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3.xml" ContentType="application/vnd.openxmlformats-officedocument.spreadsheetml.pivotTable+xml"/>
  <Override PartName="/xl/pivotTables/pivotTable2.xml" ContentType="application/vnd.openxmlformats-officedocument.spreadsheetml.pivotTable+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16.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5.xml" ContentType="application/vnd.openxmlformats-officedocument.spreadsheetml.worksheet+xml"/>
  <Override PartName="/xl/worksheets/sheet30.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3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comments3.xml" ContentType="application/vnd.openxmlformats-officedocument.spreadsheetml.comments+xml"/>
  <Override PartName="/xl/comments1.xml" ContentType="application/vnd.openxmlformats-officedocument.spreadsheetml.comments+xml"/>
  <Override PartName="/xl/externalLinks/externalLink29.xml" ContentType="application/vnd.openxmlformats-officedocument.spreadsheetml.externalLink+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comments4.xml" ContentType="application/vnd.openxmlformats-officedocument.spreadsheetml.comments+xml"/>
  <Override PartName="/xl/externalLinks/externalLink24.xml" ContentType="application/vnd.openxmlformats-officedocument.spreadsheetml.externalLink+xml"/>
  <Override PartName="/xl/comments10.xml" ContentType="application/vnd.openxmlformats-officedocument.spreadsheetml.comments+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9.xml" ContentType="application/vnd.openxmlformats-officedocument.spreadsheetml.comments+xml"/>
  <Override PartName="/xl/externalLinks/externalLink17.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alcChain.xml" ContentType="application/vnd.openxmlformats-officedocument.spreadsheetml.calcChain+xml"/>
  <Override PartName="/xl/comments12.xml" ContentType="application/vnd.openxmlformats-officedocument.spreadsheetml.comments+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1.xml" ContentType="application/vnd.openxmlformats-officedocument.spreadsheetml.comments+xml"/>
  <Override PartName="/xl/comments8.xml" ContentType="application/vnd.openxmlformats-officedocument.spreadsheetml.comments+xml"/>
  <Override PartName="/xl/externalLinks/externalLink18.xml" ContentType="application/vnd.openxmlformats-officedocument.spreadsheetml.externalLink+xml"/>
  <Override PartName="/xl/comments6.xml" ContentType="application/vnd.openxmlformats-officedocument.spreadsheetml.comments+xml"/>
  <Override PartName="/xl/externalLinks/externalLink23.xml" ContentType="application/vnd.openxmlformats-officedocument.spreadsheetml.externalLink+xml"/>
  <Override PartName="/xl/comments5.xml" ContentType="application/vnd.openxmlformats-officedocument.spreadsheetml.comments+xml"/>
  <Override PartName="/xl/externalLinks/externalLink22.xml" ContentType="application/vnd.openxmlformats-officedocument.spreadsheetml.externalLink+xml"/>
  <Override PartName="/xl/comments7.xml" ContentType="application/vnd.openxmlformats-officedocument.spreadsheetml.comments+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0730" windowHeight="11310" tabRatio="817"/>
  </bookViews>
  <sheets>
    <sheet name="Yakima BS" sheetId="37" r:id="rId1"/>
    <sheet name="Yakima IS" sheetId="19" r:id="rId2"/>
    <sheet name="References" sheetId="24" r:id="rId3"/>
    <sheet name="Yakima Consolidated IS" sheetId="1" r:id="rId4"/>
    <sheet name="Ratios" sheetId="17" r:id="rId5"/>
    <sheet name="Restating Adj's" sheetId="4" r:id="rId6"/>
    <sheet name="Pro-forma Adj's" sheetId="31" r:id="rId7"/>
    <sheet name="LG-Total Reg" sheetId="16" r:id="rId8"/>
    <sheet name="LG-Garbage" sheetId="26" r:id="rId9"/>
    <sheet name="LG-Recycle" sheetId="27" r:id="rId10"/>
    <sheet name="LG-Yardwaste" sheetId="28" r:id="rId11"/>
    <sheet name="Yakima Regulated Price Out" sheetId="23" r:id="rId12"/>
    <sheet name="Proposed Rates" sheetId="22" r:id="rId13"/>
    <sheet name="Revenue Summary" sheetId="25" r:id="rId14"/>
    <sheet name="Depr Summary" sheetId="18" r:id="rId15"/>
    <sheet name="Yakima Payroll" sheetId="35" r:id="rId16"/>
    <sheet name="Disposal" sheetId="15" r:id="rId17"/>
    <sheet name="Fuel Schedule" sheetId="32" r:id="rId18"/>
    <sheet name="A-Team Summary" sheetId="34" r:id="rId19"/>
    <sheet name="Roll Off Cust Count" sheetId="30" r:id="rId20"/>
    <sheet name="DivCon-DVP Alloc In" sheetId="13" r:id="rId21"/>
    <sheet name="Region OH Calc" sheetId="21" r:id="rId22"/>
    <sheet name="WCI P&amp;L" sheetId="5" r:id="rId23"/>
    <sheet name="WCI BS" sheetId="6" r:id="rId24"/>
    <sheet name="Corp OH" sheetId="7" r:id="rId25"/>
    <sheet name="July Fuel" sheetId="36" r:id="rId26"/>
    <sheet name="70149 Detail" sheetId="33" r:id="rId27"/>
    <sheet name="70095 Detail" sheetId="8" r:id="rId28"/>
    <sheet name="70195 Detail" sheetId="9" r:id="rId29"/>
    <sheet name="70255 Detail" sheetId="10" r:id="rId30"/>
    <sheet name="6.30.16 BS" sheetId="1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20" hidden="1">#REF!</definedName>
    <definedName name="_132Graph_h" localSheetId="8" hidden="1">#REF!</definedName>
    <definedName name="_132Graph_h" localSheetId="9" hidden="1">#REF!</definedName>
    <definedName name="_132Graph_h" localSheetId="10" hidden="1">#REF!</definedName>
    <definedName name="_132Graph_h" localSheetId="2" hidden="1">#REF!</definedName>
    <definedName name="_132Graph_h" hidden="1">#REF!</definedName>
    <definedName name="_ACT1" localSheetId="14">[4]Hidden!#REF!</definedName>
    <definedName name="_ACT1" localSheetId="20">[5]Hidden!#REF!</definedName>
    <definedName name="_ACT1" localSheetId="8">[6]Hidden!#REF!</definedName>
    <definedName name="_ACT1" localSheetId="9">[6]Hidden!#REF!</definedName>
    <definedName name="_ACT1" localSheetId="7">[6]Hidden!#REF!</definedName>
    <definedName name="_ACT1" localSheetId="10">[6]Hidden!#REF!</definedName>
    <definedName name="_ACT1" localSheetId="12">[4]Hidden!#REF!</definedName>
    <definedName name="_ACT1" localSheetId="4">[4]Hidden!#REF!</definedName>
    <definedName name="_ACT1" localSheetId="2">[7]Hidden!#REF!</definedName>
    <definedName name="_ACT1" localSheetId="13">[7]Hidden!#REF!</definedName>
    <definedName name="_ACT1" localSheetId="3">[6]Hidden!#REF!</definedName>
    <definedName name="_ACT1" localSheetId="11">[7]Hidden!#REF!</definedName>
    <definedName name="_ACT1">[6]Hidden!#REF!</definedName>
    <definedName name="_ACT2" localSheetId="14">[4]Hidden!#REF!</definedName>
    <definedName name="_ACT2" localSheetId="20">[5]Hidden!#REF!</definedName>
    <definedName name="_ACT2" localSheetId="8">[6]Hidden!#REF!</definedName>
    <definedName name="_ACT2" localSheetId="9">[6]Hidden!#REF!</definedName>
    <definedName name="_ACT2" localSheetId="7">[6]Hidden!#REF!</definedName>
    <definedName name="_ACT2" localSheetId="10">[6]Hidden!#REF!</definedName>
    <definedName name="_ACT2" localSheetId="12">[4]Hidden!#REF!</definedName>
    <definedName name="_ACT2" localSheetId="4">[4]Hidden!#REF!</definedName>
    <definedName name="_ACT2" localSheetId="2">[7]Hidden!#REF!</definedName>
    <definedName name="_ACT2" localSheetId="13">[7]Hidden!#REF!</definedName>
    <definedName name="_ACT2" localSheetId="3">[6]Hidden!#REF!</definedName>
    <definedName name="_ACT2" localSheetId="11">[7]Hidden!#REF!</definedName>
    <definedName name="_ACT2">[6]Hidden!#REF!</definedName>
    <definedName name="_ACT3" localSheetId="14">[4]Hidden!#REF!</definedName>
    <definedName name="_ACT3" localSheetId="20">[5]Hidden!#REF!</definedName>
    <definedName name="_ACT3" localSheetId="8">[6]Hidden!#REF!</definedName>
    <definedName name="_ACT3" localSheetId="9">[6]Hidden!#REF!</definedName>
    <definedName name="_ACT3" localSheetId="7">[6]Hidden!#REF!</definedName>
    <definedName name="_ACT3" localSheetId="10">[6]Hidden!#REF!</definedName>
    <definedName name="_ACT3" localSheetId="12">[4]Hidden!#REF!</definedName>
    <definedName name="_ACT3" localSheetId="4">[4]Hidden!#REF!</definedName>
    <definedName name="_ACT3" localSheetId="2">[7]Hidden!#REF!</definedName>
    <definedName name="_ACT3" localSheetId="13">[7]Hidden!#REF!</definedName>
    <definedName name="_ACT3" localSheetId="3">[6]Hidden!#REF!</definedName>
    <definedName name="_ACT3" localSheetId="11">[7]Hidden!#REF!</definedName>
    <definedName name="_ACT3">[6]Hidden!#REF!</definedName>
    <definedName name="_COS1" localSheetId="8">#REF!</definedName>
    <definedName name="_COS1" localSheetId="9">#REF!</definedName>
    <definedName name="_COS1" localSheetId="10">#REF!</definedName>
    <definedName name="_COS1" localSheetId="12">#REF!</definedName>
    <definedName name="_COS1">#REF!</definedName>
    <definedName name="_COS2" localSheetId="8">#REF!</definedName>
    <definedName name="_COS2" localSheetId="9">#REF!</definedName>
    <definedName name="_COS2" localSheetId="10">#REF!</definedName>
    <definedName name="_COS2" localSheetId="12">#REF!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20" hidden="1">#REF!</definedName>
    <definedName name="_Fill" localSheetId="8" hidden="1">#REF!</definedName>
    <definedName name="_Fill" localSheetId="9" hidden="1">#REF!</definedName>
    <definedName name="_Fill" localSheetId="10" hidden="1">#REF!</definedName>
    <definedName name="_Fill" localSheetId="2" hidden="1">#REF!</definedName>
    <definedName name="_Fill" hidden="1">#REF!</definedName>
    <definedName name="_xlnm._FilterDatabase" localSheetId="27" hidden="1">'70095 Detail'!$B$19:$AN$19</definedName>
    <definedName name="_xlnm._FilterDatabase" localSheetId="26" hidden="1">'70149 Detail'!$B$19:$AQ$20</definedName>
    <definedName name="_xlnm._FilterDatabase" localSheetId="28" hidden="1">'70195 Detail'!$B$19:$AN$19</definedName>
    <definedName name="_xlnm._FilterDatabase" localSheetId="29" hidden="1">'70255 Detail'!$B$19:$AN$19</definedName>
    <definedName name="_xlnm._FilterDatabase" localSheetId="25" hidden="1">'July Fuel'!$B$19:$AQ$20</definedName>
    <definedName name="_xlnm._FilterDatabase" localSheetId="15" hidden="1">'Yakima Payroll'!$A$8:$AD$109</definedName>
    <definedName name="_Key1" localSheetId="20" hidden="1">#REF!</definedName>
    <definedName name="_Key1" localSheetId="8" hidden="1">#REF!</definedName>
    <definedName name="_Key1" localSheetId="9" hidden="1">#REF!</definedName>
    <definedName name="_Key1" localSheetId="10" hidden="1">#REF!</definedName>
    <definedName name="_Key1" localSheetId="2" hidden="1">#REF!</definedName>
    <definedName name="_Key1" hidden="1">#REF!</definedName>
    <definedName name="_Key2" hidden="1">'[2]#REF'!$D$12</definedName>
    <definedName name="_key5" hidden="1">[3]XXXXXX!$H$10</definedName>
    <definedName name="_LYA12">[1]Hidden!$O$11</definedName>
    <definedName name="_max" localSheetId="20" hidden="1">#REF!</definedName>
    <definedName name="_max" localSheetId="8" hidden="1">#REF!</definedName>
    <definedName name="_max" localSheetId="9" hidden="1">#REF!</definedName>
    <definedName name="_max" localSheetId="10" hidden="1">#REF!</definedName>
    <definedName name="_max" localSheetId="2" hidden="1">#REF!</definedName>
    <definedName name="_max" hidden="1">#REF!</definedName>
    <definedName name="_Mon" localSheetId="20" hidden="1">#REF!</definedName>
    <definedName name="_Mon" localSheetId="8" hidden="1">#REF!</definedName>
    <definedName name="_Mon" localSheetId="9" hidden="1">#REF!</definedName>
    <definedName name="_Mon" localSheetId="10" hidden="1">#REF!</definedName>
    <definedName name="_Mon" localSheetId="2" hidden="1">#REF!</definedName>
    <definedName name="_Mon" hidden="1">#REF!</definedName>
    <definedName name="_Order1" hidden="1">255</definedName>
    <definedName name="_Order2" hidden="1">255</definedName>
    <definedName name="_Order3" hidden="1">0</definedName>
    <definedName name="_Sort" localSheetId="20" hidden="1">#REF!</definedName>
    <definedName name="_Sort" localSheetId="8" hidden="1">#REF!</definedName>
    <definedName name="_Sort" localSheetId="9" hidden="1">#REF!</definedName>
    <definedName name="_Sort" localSheetId="10" hidden="1">#REF!</definedName>
    <definedName name="_Sort" localSheetId="2" hidden="1">#REF!</definedName>
    <definedName name="_Sort" hidden="1">#REF!</definedName>
    <definedName name="_Sort1" hidden="1">'[2]#REF'!$A$10:$Z$281</definedName>
    <definedName name="_sort3" hidden="1">[3]XXXXXX!$G$10:$J$11</definedName>
    <definedName name="Accounts" localSheetId="26">'70149 Detail'!$M$13</definedName>
    <definedName name="Accounts" localSheetId="28">'70195 Detail'!$M$13</definedName>
    <definedName name="Accounts" localSheetId="29">'70255 Detail'!$M$13</definedName>
    <definedName name="Accounts" localSheetId="25">'July Fuel'!$M$13</definedName>
    <definedName name="Accounts" localSheetId="15">#REF!</definedName>
    <definedName name="Accounts">'70095 Detail'!$M$13</definedName>
    <definedName name="ACCT" localSheetId="14">[4]Hidden!#REF!</definedName>
    <definedName name="ACCT" localSheetId="20">[5]Hidden!#REF!</definedName>
    <definedName name="ACCT" localSheetId="8">[6]Hidden!#REF!</definedName>
    <definedName name="ACCT" localSheetId="9">[6]Hidden!#REF!</definedName>
    <definedName name="ACCT" localSheetId="7">[6]Hidden!#REF!</definedName>
    <definedName name="ACCT" localSheetId="10">[6]Hidden!#REF!</definedName>
    <definedName name="ACCT" localSheetId="12">[4]Hidden!#REF!</definedName>
    <definedName name="ACCT" localSheetId="2">[7]Hidden!#REF!</definedName>
    <definedName name="ACCT" localSheetId="5">[6]Hidden!#REF!</definedName>
    <definedName name="ACCT" localSheetId="13">[7]Hidden!#REF!</definedName>
    <definedName name="ACCT" localSheetId="3">[6]Hidden!#REF!</definedName>
    <definedName name="ACCT" localSheetId="11">[7]Hidden!#REF!</definedName>
    <definedName name="ACCT">[1]Hidden!$D$11</definedName>
    <definedName name="ACCT.ConsolSum">[1]Hidden!$Q$11</definedName>
    <definedName name="ACT_CUR" localSheetId="14">[4]Hidden!#REF!</definedName>
    <definedName name="ACT_CUR" localSheetId="20">[5]Hidden!#REF!</definedName>
    <definedName name="ACT_CUR" localSheetId="8">[6]Hidden!#REF!</definedName>
    <definedName name="ACT_CUR" localSheetId="9">[6]Hidden!#REF!</definedName>
    <definedName name="ACT_CUR" localSheetId="7">[6]Hidden!#REF!</definedName>
    <definedName name="ACT_CUR" localSheetId="10">[6]Hidden!#REF!</definedName>
    <definedName name="ACT_CUR" localSheetId="12">[4]Hidden!#REF!</definedName>
    <definedName name="ACT_CUR" localSheetId="4">[4]Hidden!#REF!</definedName>
    <definedName name="ACT_CUR" localSheetId="2">[7]Hidden!#REF!</definedName>
    <definedName name="ACT_CUR" localSheetId="13">[7]Hidden!#REF!</definedName>
    <definedName name="ACT_CUR" localSheetId="3">[6]Hidden!#REF!</definedName>
    <definedName name="ACT_CUR" localSheetId="11">[7]Hidden!#REF!</definedName>
    <definedName name="ACT_CUR">[6]Hidden!#REF!</definedName>
    <definedName name="ACT_YTD" localSheetId="14">[4]Hidden!#REF!</definedName>
    <definedName name="ACT_YTD" localSheetId="20">[5]Hidden!#REF!</definedName>
    <definedName name="ACT_YTD" localSheetId="8">[6]Hidden!#REF!</definedName>
    <definedName name="ACT_YTD" localSheetId="9">[6]Hidden!#REF!</definedName>
    <definedName name="ACT_YTD" localSheetId="7">[6]Hidden!#REF!</definedName>
    <definedName name="ACT_YTD" localSheetId="10">[6]Hidden!#REF!</definedName>
    <definedName name="ACT_YTD" localSheetId="12">[4]Hidden!#REF!</definedName>
    <definedName name="ACT_YTD" localSheetId="4">[4]Hidden!#REF!</definedName>
    <definedName name="ACT_YTD" localSheetId="2">[7]Hidden!#REF!</definedName>
    <definedName name="ACT_YTD" localSheetId="13">[7]Hidden!#REF!</definedName>
    <definedName name="ACT_YTD" localSheetId="11">[7]Hidden!#REF!</definedName>
    <definedName name="ACT_YTD">[6]Hidden!#REF!</definedName>
    <definedName name="AmountCount" localSheetId="20">#REF!</definedName>
    <definedName name="AmountCount" localSheetId="8">#REF!</definedName>
    <definedName name="AmountCount" localSheetId="9">#REF!</definedName>
    <definedName name="AmountCount" localSheetId="7">#REF!</definedName>
    <definedName name="AmountCount" localSheetId="10">#REF!</definedName>
    <definedName name="AmountCount" localSheetId="12">#REF!</definedName>
    <definedName name="AmountCount" localSheetId="2">#REF!</definedName>
    <definedName name="AmountCount" localSheetId="5">#REF!</definedName>
    <definedName name="AmountCount">#REF!</definedName>
    <definedName name="AmountCount1" localSheetId="20">#REF!</definedName>
    <definedName name="AmountCount1" localSheetId="8">#REF!</definedName>
    <definedName name="AmountCount1" localSheetId="9">#REF!</definedName>
    <definedName name="AmountCount1" localSheetId="10">#REF!</definedName>
    <definedName name="AmountCount1" localSheetId="2">#REF!</definedName>
    <definedName name="AmountCount1">#REF!</definedName>
    <definedName name="AmountFrom" localSheetId="26">'70149 Detail'!$P$13</definedName>
    <definedName name="AmountFrom" localSheetId="28">'70195 Detail'!$P$13</definedName>
    <definedName name="AmountFrom" localSheetId="29">'70255 Detail'!$P$13</definedName>
    <definedName name="AmountFrom" localSheetId="25">'July Fuel'!$P$13</definedName>
    <definedName name="AmountFrom" localSheetId="15">#REF!</definedName>
    <definedName name="AmountFrom">'70095 Detail'!$P$13</definedName>
    <definedName name="AmountTo" localSheetId="26">'70149 Detail'!$P$14</definedName>
    <definedName name="AmountTo" localSheetId="28">'70195 Detail'!$P$14</definedName>
    <definedName name="AmountTo" localSheetId="29">'70255 Detail'!$P$14</definedName>
    <definedName name="AmountTo" localSheetId="25">'July Fuel'!$P$14</definedName>
    <definedName name="AmountTo" localSheetId="15">#REF!</definedName>
    <definedName name="AmountTo">'70095 Detail'!$P$14</definedName>
    <definedName name="AmountTotal" localSheetId="20">#REF!</definedName>
    <definedName name="AmountTotal" localSheetId="8">#REF!</definedName>
    <definedName name="AmountTotal" localSheetId="9">#REF!</definedName>
    <definedName name="AmountTotal" localSheetId="7">#REF!</definedName>
    <definedName name="AmountTotal" localSheetId="10">#REF!</definedName>
    <definedName name="AmountTotal" localSheetId="12">#REF!</definedName>
    <definedName name="AmountTotal" localSheetId="2">#REF!</definedName>
    <definedName name="AmountTotal" localSheetId="5">#REF!</definedName>
    <definedName name="AmountTotal">#REF!</definedName>
    <definedName name="AmountTotal1" localSheetId="20">#REF!</definedName>
    <definedName name="AmountTotal1" localSheetId="8">#REF!</definedName>
    <definedName name="AmountTotal1" localSheetId="9">#REF!</definedName>
    <definedName name="AmountTotal1" localSheetId="10">#REF!</definedName>
    <definedName name="AmountTotal1">#REF!</definedName>
    <definedName name="BookRev" localSheetId="20">'[8]Pacific Regulated - Price Out'!$F$50</definedName>
    <definedName name="BookRev" localSheetId="8">'[9]Pacific Regulated - Price Out'!$F$50</definedName>
    <definedName name="BookRev" localSheetId="9">'[9]Pacific Regulated - Price Out'!$F$50</definedName>
    <definedName name="BookRev" localSheetId="7">'[9]Pacific Regulated - Price Out'!$F$50</definedName>
    <definedName name="BookRev" localSheetId="10">'[9]Pacific Regulated - Price Out'!$F$50</definedName>
    <definedName name="BookRev" localSheetId="12">'[10]Pacific Regulated - Price Out'!$F$50</definedName>
    <definedName name="BookRev" localSheetId="4">'[10]Pacific Regulated - Price Out'!$F$50</definedName>
    <definedName name="BookRev" localSheetId="2">'[10]Pacific Regulated - Price Out'!$F$50</definedName>
    <definedName name="BookRev" localSheetId="13">'[10]Pacific Regulated - Price Out'!$F$50</definedName>
    <definedName name="BookRev" localSheetId="11">'[10]Pacific Regulated - Price Out'!$F$50</definedName>
    <definedName name="BookRev">'[9]Pacific Regulated - Price Out'!$F$50</definedName>
    <definedName name="BookRev_com" localSheetId="20">'[8]Pacific Regulated - Price Out'!$F$214</definedName>
    <definedName name="BookRev_com" localSheetId="8">'[9]Pacific Regulated - Price Out'!$F$214</definedName>
    <definedName name="BookRev_com" localSheetId="9">'[9]Pacific Regulated - Price Out'!$F$214</definedName>
    <definedName name="BookRev_com" localSheetId="7">'[9]Pacific Regulated - Price Out'!$F$214</definedName>
    <definedName name="BookRev_com" localSheetId="10">'[9]Pacific Regulated - Price Out'!$F$214</definedName>
    <definedName name="BookRev_com" localSheetId="12">'[10]Pacific Regulated - Price Out'!$F$214</definedName>
    <definedName name="BookRev_com" localSheetId="4">'[10]Pacific Regulated - Price Out'!$F$214</definedName>
    <definedName name="BookRev_com" localSheetId="2">'[10]Pacific Regulated - Price Out'!$F$214</definedName>
    <definedName name="BookRev_com" localSheetId="13">'[10]Pacific Regulated - Price Out'!$F$214</definedName>
    <definedName name="BookRev_com" localSheetId="11">'[10]Pacific Regulated - Price Out'!$F$214</definedName>
    <definedName name="BookRev_com">'[9]Pacific Regulated - Price Out'!$F$214</definedName>
    <definedName name="BookRev_mfr" localSheetId="20">'[8]Pacific Regulated - Price Out'!$F$222</definedName>
    <definedName name="BookRev_mfr" localSheetId="8">'[9]Pacific Regulated - Price Out'!$F$222</definedName>
    <definedName name="BookRev_mfr" localSheetId="9">'[9]Pacific Regulated - Price Out'!$F$222</definedName>
    <definedName name="BookRev_mfr" localSheetId="7">'[9]Pacific Regulated - Price Out'!$F$222</definedName>
    <definedName name="BookRev_mfr" localSheetId="10">'[9]Pacific Regulated - Price Out'!$F$222</definedName>
    <definedName name="BookRev_mfr" localSheetId="12">'[10]Pacific Regulated - Price Out'!$F$222</definedName>
    <definedName name="BookRev_mfr" localSheetId="4">'[10]Pacific Regulated - Price Out'!$F$222</definedName>
    <definedName name="BookRev_mfr" localSheetId="2">'[10]Pacific Regulated - Price Out'!$F$222</definedName>
    <definedName name="BookRev_mfr" localSheetId="13">'[10]Pacific Regulated - Price Out'!$F$222</definedName>
    <definedName name="BookRev_mfr" localSheetId="11">'[10]Pacific Regulated - Price Out'!$F$222</definedName>
    <definedName name="BookRev_mfr">'[9]Pacific Regulated - Price Out'!$F$222</definedName>
    <definedName name="BookRev_ro" localSheetId="20">'[8]Pacific Regulated - Price Out'!$F$282</definedName>
    <definedName name="BookRev_ro" localSheetId="8">'[9]Pacific Regulated - Price Out'!$F$282</definedName>
    <definedName name="BookRev_ro" localSheetId="9">'[9]Pacific Regulated - Price Out'!$F$282</definedName>
    <definedName name="BookRev_ro" localSheetId="7">'[9]Pacific Regulated - Price Out'!$F$282</definedName>
    <definedName name="BookRev_ro" localSheetId="10">'[9]Pacific Regulated - Price Out'!$F$282</definedName>
    <definedName name="BookRev_ro" localSheetId="12">'[10]Pacific Regulated - Price Out'!$F$282</definedName>
    <definedName name="BookRev_ro" localSheetId="4">'[10]Pacific Regulated - Price Out'!$F$282</definedName>
    <definedName name="BookRev_ro" localSheetId="2">'[10]Pacific Regulated - Price Out'!$F$282</definedName>
    <definedName name="BookRev_ro" localSheetId="13">'[10]Pacific Regulated - Price Out'!$F$282</definedName>
    <definedName name="BookRev_ro" localSheetId="11">'[10]Pacific Regulated - Price Out'!$F$282</definedName>
    <definedName name="BookRev_ro">'[9]Pacific Regulated - Price Out'!$F$282</definedName>
    <definedName name="BookRev_rr" localSheetId="20">'[8]Pacific Regulated - Price Out'!$F$59</definedName>
    <definedName name="BookRev_rr" localSheetId="8">'[9]Pacific Regulated - Price Out'!$F$59</definedName>
    <definedName name="BookRev_rr" localSheetId="9">'[9]Pacific Regulated - Price Out'!$F$59</definedName>
    <definedName name="BookRev_rr" localSheetId="7">'[9]Pacific Regulated - Price Out'!$F$59</definedName>
    <definedName name="BookRev_rr" localSheetId="10">'[9]Pacific Regulated - Price Out'!$F$59</definedName>
    <definedName name="BookRev_rr" localSheetId="12">'[10]Pacific Regulated - Price Out'!$F$59</definedName>
    <definedName name="BookRev_rr" localSheetId="4">'[10]Pacific Regulated - Price Out'!$F$59</definedName>
    <definedName name="BookRev_rr" localSheetId="2">'[10]Pacific Regulated - Price Out'!$F$59</definedName>
    <definedName name="BookRev_rr" localSheetId="13">'[10]Pacific Regulated - Price Out'!$F$59</definedName>
    <definedName name="BookRev_rr" localSheetId="11">'[10]Pacific Regulated - Price Out'!$F$59</definedName>
    <definedName name="BookRev_rr">'[9]Pacific Regulated - Price Out'!$F$59</definedName>
    <definedName name="BookRev_yw" localSheetId="20">'[8]Pacific Regulated - Price Out'!$F$70</definedName>
    <definedName name="BookRev_yw" localSheetId="8">'[9]Pacific Regulated - Price Out'!$F$70</definedName>
    <definedName name="BookRev_yw" localSheetId="9">'[9]Pacific Regulated - Price Out'!$F$70</definedName>
    <definedName name="BookRev_yw" localSheetId="7">'[9]Pacific Regulated - Price Out'!$F$70</definedName>
    <definedName name="BookRev_yw" localSheetId="10">'[9]Pacific Regulated - Price Out'!$F$70</definedName>
    <definedName name="BookRev_yw" localSheetId="12">'[10]Pacific Regulated - Price Out'!$F$70</definedName>
    <definedName name="BookRev_yw" localSheetId="4">'[10]Pacific Regulated - Price Out'!$F$70</definedName>
    <definedName name="BookRev_yw" localSheetId="2">'[10]Pacific Regulated - Price Out'!$F$70</definedName>
    <definedName name="BookRev_yw" localSheetId="13">'[10]Pacific Regulated - Price Out'!$F$70</definedName>
    <definedName name="BookRev_yw" localSheetId="11">'[10]Pacific Regulated - Price Out'!$F$70</definedName>
    <definedName name="BookRev_yw">'[9]Pacific Regulated - Price Out'!$F$70</definedName>
    <definedName name="BREMAIR_COST_of_SERVICE_STUDY" localSheetId="14">#REF!</definedName>
    <definedName name="BREMAIR_COST_of_SERVICE_STUDY" localSheetId="20">#REF!</definedName>
    <definedName name="BREMAIR_COST_of_SERVICE_STUDY" localSheetId="8">#REF!</definedName>
    <definedName name="BREMAIR_COST_of_SERVICE_STUDY" localSheetId="9">#REF!</definedName>
    <definedName name="BREMAIR_COST_of_SERVICE_STUDY" localSheetId="7">#REF!</definedName>
    <definedName name="BREMAIR_COST_of_SERVICE_STUDY" localSheetId="10">#REF!</definedName>
    <definedName name="BREMAIR_COST_of_SERVICE_STUDY" localSheetId="12">#REF!</definedName>
    <definedName name="BREMAIR_COST_of_SERVICE_STUDY" localSheetId="2">#REF!</definedName>
    <definedName name="BREMAIR_COST_of_SERVICE_STUDY" localSheetId="5">#REF!</definedName>
    <definedName name="BREMAIR_COST_of_SERVICE_STUDY" localSheetId="3">#REF!</definedName>
    <definedName name="BREMAIR_COST_of_SERVICE_STUDY">#REF!</definedName>
    <definedName name="BUD_CUR" localSheetId="14">[4]Hidden!#REF!</definedName>
    <definedName name="BUD_CUR" localSheetId="20">[5]Hidden!#REF!</definedName>
    <definedName name="BUD_CUR" localSheetId="8">[6]Hidden!#REF!</definedName>
    <definedName name="BUD_CUR" localSheetId="9">[6]Hidden!#REF!</definedName>
    <definedName name="BUD_CUR" localSheetId="7">[6]Hidden!#REF!</definedName>
    <definedName name="BUD_CUR" localSheetId="10">[6]Hidden!#REF!</definedName>
    <definedName name="BUD_CUR" localSheetId="12">[4]Hidden!#REF!</definedName>
    <definedName name="BUD_CUR" localSheetId="4">[4]Hidden!#REF!</definedName>
    <definedName name="BUD_CUR" localSheetId="2">[7]Hidden!#REF!</definedName>
    <definedName name="BUD_CUR" localSheetId="13">[7]Hidden!#REF!</definedName>
    <definedName name="BUD_CUR" localSheetId="3">[6]Hidden!#REF!</definedName>
    <definedName name="BUD_CUR" localSheetId="11">[7]Hidden!#REF!</definedName>
    <definedName name="BUD_CUR">[6]Hidden!#REF!</definedName>
    <definedName name="BUD_YTD" localSheetId="14">[4]Hidden!#REF!</definedName>
    <definedName name="BUD_YTD" localSheetId="20">[5]Hidden!#REF!</definedName>
    <definedName name="BUD_YTD" localSheetId="8">[6]Hidden!#REF!</definedName>
    <definedName name="BUD_YTD" localSheetId="9">[6]Hidden!#REF!</definedName>
    <definedName name="BUD_YTD" localSheetId="7">[6]Hidden!#REF!</definedName>
    <definedName name="BUD_YTD" localSheetId="10">[6]Hidden!#REF!</definedName>
    <definedName name="BUD_YTD" localSheetId="12">[4]Hidden!#REF!</definedName>
    <definedName name="BUD_YTD" localSheetId="4">[4]Hidden!#REF!</definedName>
    <definedName name="BUD_YTD" localSheetId="2">[7]Hidden!#REF!</definedName>
    <definedName name="BUD_YTD" localSheetId="13">[7]Hidden!#REF!</definedName>
    <definedName name="BUD_YTD" localSheetId="3">[6]Hidden!#REF!</definedName>
    <definedName name="BUD_YTD" localSheetId="11">[7]Hidden!#REF!</definedName>
    <definedName name="BUD_YTD">[6]Hidden!#REF!</definedName>
    <definedName name="CalRecyTons" localSheetId="20">'[11]Recycl Tons, Commodity Value'!$L$23</definedName>
    <definedName name="CalRecyTons" localSheetId="8">'[12]Recycl Tons, Commodity Value'!$L$23</definedName>
    <definedName name="CalRecyTons" localSheetId="9">'[12]Recycl Tons, Commodity Value'!$L$23</definedName>
    <definedName name="CalRecyTons" localSheetId="7">'[12]Recycl Tons, Commodity Value'!$L$23</definedName>
    <definedName name="CalRecyTons" localSheetId="10">'[12]Recycl Tons, Commodity Value'!$L$23</definedName>
    <definedName name="CalRecyTons" localSheetId="12">'[13]Recycl Tons, Commodity Value'!$L$23</definedName>
    <definedName name="CalRecyTons" localSheetId="4">'[13]Recycl Tons, Commodity Value'!$L$23</definedName>
    <definedName name="CalRecyTons" localSheetId="2">'[13]Recycl Tons, Commodity Value'!$L$23</definedName>
    <definedName name="CalRecyTons" localSheetId="13">'[13]Recycl Tons, Commodity Value'!$L$23</definedName>
    <definedName name="CalRecyTons" localSheetId="11">'[13]Recycl Tons, Commodity Value'!$L$23</definedName>
    <definedName name="CalRecyTons">'[12]Recycl Tons, Commodity Value'!$L$23</definedName>
    <definedName name="CheckTotals" localSheetId="14">#REF!</definedName>
    <definedName name="CheckTotals" localSheetId="20">#REF!</definedName>
    <definedName name="CheckTotals" localSheetId="8">#REF!</definedName>
    <definedName name="CheckTotals" localSheetId="9">#REF!</definedName>
    <definedName name="CheckTotals" localSheetId="7">#REF!</definedName>
    <definedName name="CheckTotals" localSheetId="10">#REF!</definedName>
    <definedName name="CheckTotals" localSheetId="12">#REF!</definedName>
    <definedName name="CheckTotals" localSheetId="2">#REF!</definedName>
    <definedName name="CheckTotals" localSheetId="5">#REF!</definedName>
    <definedName name="CheckTotals" localSheetId="3">#REF!</definedName>
    <definedName name="CheckTotals">#REF!</definedName>
    <definedName name="colgroup">[1]Orientation!$G$6</definedName>
    <definedName name="colsegment">[1]Orientation!$F$6</definedName>
    <definedName name="CommlStaffPriceOut" localSheetId="8">'[14]Price Out-Reg EASTSIDE-Resi'!#REF!</definedName>
    <definedName name="CommlStaffPriceOut" localSheetId="9">'[14]Price Out-Reg EASTSIDE-Resi'!#REF!</definedName>
    <definedName name="CommlStaffPriceOut" localSheetId="10">'[14]Price Out-Reg EASTSIDE-Resi'!#REF!</definedName>
    <definedName name="CommlStaffPriceOut">'[14]Price Out-Reg EASTSIDE-Resi'!#REF!</definedName>
    <definedName name="CRCTable" localSheetId="14">#REF!</definedName>
    <definedName name="CRCTable" localSheetId="20">#REF!</definedName>
    <definedName name="CRCTable" localSheetId="8">#REF!</definedName>
    <definedName name="CRCTable" localSheetId="9">#REF!</definedName>
    <definedName name="CRCTable" localSheetId="7">#REF!</definedName>
    <definedName name="CRCTable" localSheetId="10">#REF!</definedName>
    <definedName name="CRCTable" localSheetId="12">#REF!</definedName>
    <definedName name="CRCTable" localSheetId="2">#REF!</definedName>
    <definedName name="CRCTable" localSheetId="5">#REF!</definedName>
    <definedName name="CRCTable" localSheetId="3">#REF!</definedName>
    <definedName name="CRCTable" localSheetId="15">#REF!</definedName>
    <definedName name="CRCTable">#REF!</definedName>
    <definedName name="CRCTableOLD" localSheetId="14">#REF!</definedName>
    <definedName name="CRCTableOLD" localSheetId="20">#REF!</definedName>
    <definedName name="CRCTableOLD" localSheetId="8">#REF!</definedName>
    <definedName name="CRCTableOLD" localSheetId="9">#REF!</definedName>
    <definedName name="CRCTableOLD" localSheetId="7">#REF!</definedName>
    <definedName name="CRCTableOLD" localSheetId="10">#REF!</definedName>
    <definedName name="CRCTableOLD" localSheetId="12">#REF!</definedName>
    <definedName name="CRCTableOLD" localSheetId="2">#REF!</definedName>
    <definedName name="CRCTableOLD" localSheetId="5">#REF!</definedName>
    <definedName name="CRCTableOLD" localSheetId="3">#REF!</definedName>
    <definedName name="CRCTableOLD" localSheetId="15">#REF!</definedName>
    <definedName name="CRCTableOLD">#REF!</definedName>
    <definedName name="CriteriaType">[15]ControlPanel!$Z$2:$Z$5</definedName>
    <definedName name="CurrentMonth" localSheetId="27">'70095 Detail'!$J$8</definedName>
    <definedName name="CurrentMonth" localSheetId="26">'70149 Detail'!$J$8</definedName>
    <definedName name="CurrentMonth" localSheetId="28">'70195 Detail'!$J$8</definedName>
    <definedName name="CurrentMonth" localSheetId="29">'70255 Detail'!$J$8</definedName>
    <definedName name="CurrentMonth" localSheetId="20">'[16]38000 Other Rev'!$H$8</definedName>
    <definedName name="CurrentMonth" localSheetId="25">'July Fuel'!$J$8</definedName>
    <definedName name="CurrentMonth" localSheetId="13">'[17]JE Query - MSW Reclass'!$J$8</definedName>
    <definedName name="CurrentMonth" localSheetId="15">#REF!</definedName>
    <definedName name="CurrentMonth" localSheetId="11">'[17]JE Query - MSW Reclass'!$J$8</definedName>
    <definedName name="CurrentMonth">'[18]38000 Other Rev'!$H$8</definedName>
    <definedName name="Cutomers" localSheetId="20">#REF!</definedName>
    <definedName name="Cutomers" localSheetId="8">#REF!</definedName>
    <definedName name="Cutomers" localSheetId="9">#REF!</definedName>
    <definedName name="Cutomers" localSheetId="7">#REF!</definedName>
    <definedName name="Cutomers" localSheetId="10">#REF!</definedName>
    <definedName name="Cutomers" localSheetId="12">#REF!</definedName>
    <definedName name="Cutomers" localSheetId="2">#REF!</definedName>
    <definedName name="Cutomers" localSheetId="5">#REF!</definedName>
    <definedName name="Cutomers">#REF!</definedName>
    <definedName name="_xlnm.Database" localSheetId="14">#REF!</definedName>
    <definedName name="_xlnm.Database" localSheetId="20">#REF!</definedName>
    <definedName name="_xlnm.Database" localSheetId="8">#REF!</definedName>
    <definedName name="_xlnm.Database" localSheetId="9">#REF!</definedName>
    <definedName name="_xlnm.Database" localSheetId="7">#REF!</definedName>
    <definedName name="_xlnm.Database" localSheetId="10">#REF!</definedName>
    <definedName name="_xlnm.Database" localSheetId="12">#REF!</definedName>
    <definedName name="_xlnm.Database" localSheetId="2">#REF!</definedName>
    <definedName name="_xlnm.Database" localSheetId="5">#REF!</definedName>
    <definedName name="_xlnm.Database" localSheetId="3">#REF!</definedName>
    <definedName name="_xlnm.Database" localSheetId="15">#REF!</definedName>
    <definedName name="_xlnm.Database">#REF!</definedName>
    <definedName name="Database1" localSheetId="14">#REF!</definedName>
    <definedName name="Database1" localSheetId="20">#REF!</definedName>
    <definedName name="Database1" localSheetId="8">#REF!</definedName>
    <definedName name="Database1" localSheetId="9">#REF!</definedName>
    <definedName name="Database1" localSheetId="7">#REF!</definedName>
    <definedName name="Database1" localSheetId="10">#REF!</definedName>
    <definedName name="Database1" localSheetId="12">#REF!</definedName>
    <definedName name="Database1" localSheetId="2">#REF!</definedName>
    <definedName name="Database1" localSheetId="5">#REF!</definedName>
    <definedName name="Database1" localSheetId="3">#REF!</definedName>
    <definedName name="Database1">#REF!</definedName>
    <definedName name="DateFrom" localSheetId="27">'70095 Detail'!$I$12</definedName>
    <definedName name="DateFrom" localSheetId="26">'70149 Detail'!$I$12</definedName>
    <definedName name="DateFrom" localSheetId="28">'70195 Detail'!$I$12</definedName>
    <definedName name="DateFrom" localSheetId="29">'70255 Detail'!$I$12</definedName>
    <definedName name="DateFrom" localSheetId="20">'[16]38000 Other Rev'!$G$12</definedName>
    <definedName name="DateFrom" localSheetId="25">'July Fuel'!$I$12</definedName>
    <definedName name="DateFrom" localSheetId="13">'[17]JE Query - MSW Reclass'!$I$12</definedName>
    <definedName name="DateFrom" localSheetId="15">#REF!</definedName>
    <definedName name="DateFrom" localSheetId="11">'[17]JE Query - MSW Reclass'!$I$12</definedName>
    <definedName name="DateFrom">'[18]38000 Other Rev'!$G$12</definedName>
    <definedName name="DateTo" localSheetId="27">'70095 Detail'!$I$13</definedName>
    <definedName name="DateTo" localSheetId="26">'70149 Detail'!$I$13</definedName>
    <definedName name="DateTo" localSheetId="28">'70195 Detail'!$I$13</definedName>
    <definedName name="DateTo" localSheetId="29">'70255 Detail'!$I$13</definedName>
    <definedName name="DateTo" localSheetId="20">'[16]38000 Other Rev'!$G$13</definedName>
    <definedName name="DateTo" localSheetId="25">'July Fuel'!$I$13</definedName>
    <definedName name="DateTo" localSheetId="13">'[17]JE Query - MSW Reclass'!$I$13</definedName>
    <definedName name="DateTo" localSheetId="15">#REF!</definedName>
    <definedName name="DateTo" localSheetId="11">'[17]JE Query - MSW Reclass'!$I$13</definedName>
    <definedName name="DateTo">'[18]38000 Other Rev'!$G$13</definedName>
    <definedName name="DBxStaffPriceOut" localSheetId="8">'[14]Price Out-Reg EASTSIDE-Resi'!#REF!</definedName>
    <definedName name="DBxStaffPriceOut" localSheetId="9">'[14]Price Out-Reg EASTSIDE-Resi'!#REF!</definedName>
    <definedName name="DBxStaffPriceOut" localSheetId="10">'[14]Price Out-Reg EASTSIDE-Resi'!#REF!</definedName>
    <definedName name="DBxStaffPriceOut" localSheetId="12">'[14]Price Out-Reg EASTSIDE-Resi'!#REF!</definedName>
    <definedName name="DBxStaffPriceOut">'[14]Price Out-Reg EASTSIDE-Resi'!#REF!</definedName>
    <definedName name="DEPT" localSheetId="14">[4]Hidden!#REF!</definedName>
    <definedName name="DEPT" localSheetId="20">[5]Hidden!#REF!</definedName>
    <definedName name="DEPT" localSheetId="8">[6]Hidden!#REF!</definedName>
    <definedName name="DEPT" localSheetId="9">[6]Hidden!#REF!</definedName>
    <definedName name="DEPT" localSheetId="7">[6]Hidden!#REF!</definedName>
    <definedName name="DEPT" localSheetId="10">[6]Hidden!#REF!</definedName>
    <definedName name="DEPT" localSheetId="12">[4]Hidden!#REF!</definedName>
    <definedName name="DEPT" localSheetId="4">[4]Hidden!#REF!</definedName>
    <definedName name="DEPT" localSheetId="2">[7]Hidden!#REF!</definedName>
    <definedName name="DEPT" localSheetId="13">[7]Hidden!#REF!</definedName>
    <definedName name="DEPT" localSheetId="3">[6]Hidden!#REF!</definedName>
    <definedName name="DEPT" localSheetId="11">[7]Hidden!#REF!</definedName>
    <definedName name="DEPT">[6]Hidden!#REF!</definedName>
    <definedName name="Dist" localSheetId="20">[19]Data!$E$3</definedName>
    <definedName name="Dist" localSheetId="12">[20]Data!$E$3</definedName>
    <definedName name="Dist" localSheetId="4">[20]Data!$E$3</definedName>
    <definedName name="Dist" localSheetId="13">[20]Data!$E$3</definedName>
    <definedName name="Dist" localSheetId="11">[20]Data!$E$3</definedName>
    <definedName name="Dist">[21]Data!$E$3</definedName>
    <definedName name="District" localSheetId="30">'6.30.16 BS'!$N$7</definedName>
    <definedName name="District" localSheetId="20">'[22]Vashon BS'!#REF!</definedName>
    <definedName name="District" localSheetId="17">'[22]Vashon BS'!#REF!</definedName>
    <definedName name="District" localSheetId="8">'[22]Vashon BS'!#REF!</definedName>
    <definedName name="District" localSheetId="9">'[22]Vashon BS'!#REF!</definedName>
    <definedName name="District" localSheetId="7">'[22]Vashon BS'!#REF!</definedName>
    <definedName name="District" localSheetId="10">'[22]Vashon BS'!#REF!</definedName>
    <definedName name="District" localSheetId="6">'[22]Vashon BS'!#REF!</definedName>
    <definedName name="District" localSheetId="12">'[23]Vashon BS'!#REF!</definedName>
    <definedName name="District" localSheetId="4">'[23]Vashon BS'!#REF!</definedName>
    <definedName name="District" localSheetId="2">'[23]Vashon BS'!#REF!</definedName>
    <definedName name="District" localSheetId="21">'Region OH Calc'!$K$1</definedName>
    <definedName name="District" localSheetId="5">'[22]Vashon BS'!#REF!</definedName>
    <definedName name="District" localSheetId="13">'[23]Vashon BS'!#REF!</definedName>
    <definedName name="District" localSheetId="0">'Yakima BS'!$K$1</definedName>
    <definedName name="District" localSheetId="1">'Yakima IS'!$L$1</definedName>
    <definedName name="District" localSheetId="11">'[23]Vashon BS'!#REF!</definedName>
    <definedName name="DistrictName" localSheetId="30">'6.30.16 BS'!$N$8</definedName>
    <definedName name="DistrictName" localSheetId="21">'Region OH Calc'!$K$2</definedName>
    <definedName name="DistrictName" localSheetId="0">'Yakima BS'!#REF!</definedName>
    <definedName name="DistrictName" localSheetId="1">'Yakima IS'!$L$2</definedName>
    <definedName name="DistrictNum" localSheetId="20">#REF!</definedName>
    <definedName name="DistrictNum" localSheetId="8">#REF!</definedName>
    <definedName name="DistrictNum" localSheetId="9">#REF!</definedName>
    <definedName name="DistrictNum" localSheetId="7">#REF!</definedName>
    <definedName name="DistrictNum" localSheetId="10">#REF!</definedName>
    <definedName name="DistrictNum" localSheetId="12">#REF!</definedName>
    <definedName name="DistrictNum" localSheetId="2">#REF!</definedName>
    <definedName name="DistrictNum" localSheetId="5">#REF!</definedName>
    <definedName name="DistrictNum" localSheetId="3">#REF!</definedName>
    <definedName name="DistrictNum">#REF!</definedName>
    <definedName name="Districts" localSheetId="26">'70149 Detail'!$M$12</definedName>
    <definedName name="Districts" localSheetId="28">'70195 Detail'!$M$12</definedName>
    <definedName name="Districts" localSheetId="29">'70255 Detail'!$M$12</definedName>
    <definedName name="Districts" localSheetId="25">'July Fuel'!$M$12</definedName>
    <definedName name="Districts" localSheetId="15">#REF!</definedName>
    <definedName name="Districts">'70095 Detail'!$M$12</definedName>
    <definedName name="dOG" localSheetId="20">#REF!</definedName>
    <definedName name="dOG" localSheetId="8">#REF!</definedName>
    <definedName name="dOG" localSheetId="9">#REF!</definedName>
    <definedName name="dOG" localSheetId="7">#REF!</definedName>
    <definedName name="dOG" localSheetId="10">#REF!</definedName>
    <definedName name="dOG" localSheetId="12">#REF!</definedName>
    <definedName name="dOG" localSheetId="2">#REF!</definedName>
    <definedName name="dOG" localSheetId="5">#REF!</definedName>
    <definedName name="dOG" localSheetId="13">#REF!</definedName>
    <definedName name="dOG" localSheetId="11">#REF!</definedName>
    <definedName name="dOG">#REF!</definedName>
    <definedName name="drlFilter">[1]Settings!$D$27</definedName>
    <definedName name="End" localSheetId="14">#REF!</definedName>
    <definedName name="End" localSheetId="20">#REF!</definedName>
    <definedName name="End" localSheetId="17">#REF!</definedName>
    <definedName name="End" localSheetId="8">#REF!</definedName>
    <definedName name="End" localSheetId="9">#REF!</definedName>
    <definedName name="End" localSheetId="7">#REF!</definedName>
    <definedName name="End" localSheetId="10">#REF!</definedName>
    <definedName name="End" localSheetId="6">#REF!</definedName>
    <definedName name="End" localSheetId="12">#REF!</definedName>
    <definedName name="End" localSheetId="4">#REF!</definedName>
    <definedName name="End" localSheetId="2">#REF!</definedName>
    <definedName name="End" localSheetId="5">#REF!</definedName>
    <definedName name="End" localSheetId="13">#REF!</definedName>
    <definedName name="End" localSheetId="3">'[24]IS-2120'!#REF!</definedName>
    <definedName name="End" localSheetId="11">#REF!</definedName>
    <definedName name="End">#REF!</definedName>
    <definedName name="EntrieShownLimit" localSheetId="27">'70095 Detail'!$D$6</definedName>
    <definedName name="EntrieShownLimit" localSheetId="26">'70149 Detail'!$D$6</definedName>
    <definedName name="EntrieShownLimit" localSheetId="28">'70195 Detail'!$D$6</definedName>
    <definedName name="EntrieShownLimit" localSheetId="29">'70255 Detail'!$D$6</definedName>
    <definedName name="EntrieShownLimit" localSheetId="20">'[16]38000 Other Rev'!$D$6</definedName>
    <definedName name="EntrieShownLimit" localSheetId="25">'July Fuel'!$D$6</definedName>
    <definedName name="EntrieShownLimit" localSheetId="13">'[17]JE Query - MSW Reclass'!$D$6</definedName>
    <definedName name="EntrieShownLimit" localSheetId="15">#REF!</definedName>
    <definedName name="EntrieShownLimit" localSheetId="11">'[17]JE Query - MSW Reclass'!$D$6</definedName>
    <definedName name="EntrieShownLimit">'[18]38000 Other Rev'!$D$6</definedName>
    <definedName name="ExcludeIC" localSheetId="30">'6.30.16 BS'!$V$7</definedName>
    <definedName name="ExcludeIC" localSheetId="20">'[16]2025 BS'!#REF!</definedName>
    <definedName name="ExcludeIC" localSheetId="17">'[25]2009 BS'!#REF!</definedName>
    <definedName name="ExcludeIC" localSheetId="8">'[22]Vashon BS'!#REF!</definedName>
    <definedName name="ExcludeIC" localSheetId="9">'[22]Vashon BS'!#REF!</definedName>
    <definedName name="ExcludeIC" localSheetId="7">'[22]Vashon BS'!#REF!</definedName>
    <definedName name="ExcludeIC" localSheetId="10">'[22]Vashon BS'!#REF!</definedName>
    <definedName name="ExcludeIC" localSheetId="6">'[25]2009 BS'!#REF!</definedName>
    <definedName name="ExcludeIC" localSheetId="12">'[26]2009 BS'!#REF!</definedName>
    <definedName name="ExcludeIC" localSheetId="4">'[26]2009 BS'!#REF!</definedName>
    <definedName name="ExcludeIC" localSheetId="2">'[23]Vashon BS'!#REF!</definedName>
    <definedName name="ExcludeIC" localSheetId="21">'Region OH Calc'!$O$1</definedName>
    <definedName name="ExcludeIC" localSheetId="5">'[18]2025 BS'!#REF!</definedName>
    <definedName name="ExcludeIC" localSheetId="13">'[26]2009 BS'!#REF!</definedName>
    <definedName name="ExcludeIC" localSheetId="0">'Yakima BS'!#REF!</definedName>
    <definedName name="ExcludeIC" localSheetId="1">'Yakima IS'!$P$1</definedName>
    <definedName name="ExcludeIC" localSheetId="11">'[26]2009 BS'!#REF!</definedName>
    <definedName name="EXT" localSheetId="8">#REF!</definedName>
    <definedName name="EXT" localSheetId="9">#REF!</definedName>
    <definedName name="EXT" localSheetId="10">#REF!</definedName>
    <definedName name="EXT" localSheetId="12">#REF!</definedName>
    <definedName name="EXT">#REF!</definedName>
    <definedName name="FBTable" localSheetId="20">#REF!</definedName>
    <definedName name="FBTable" localSheetId="8">#REF!</definedName>
    <definedName name="FBTable" localSheetId="9">#REF!</definedName>
    <definedName name="FBTable" localSheetId="7">#REF!</definedName>
    <definedName name="FBTable" localSheetId="10">#REF!</definedName>
    <definedName name="FBTable" localSheetId="12">#REF!</definedName>
    <definedName name="FBTable" localSheetId="2">#REF!</definedName>
    <definedName name="FBTable" localSheetId="5">#REF!</definedName>
    <definedName name="FBTable" localSheetId="3">#REF!</definedName>
    <definedName name="FBTable" localSheetId="15">#REF!</definedName>
    <definedName name="FBTable">#REF!</definedName>
    <definedName name="FBTableOld" localSheetId="14">#REF!</definedName>
    <definedName name="FBTableOld" localSheetId="20">#REF!</definedName>
    <definedName name="FBTableOld" localSheetId="8">#REF!</definedName>
    <definedName name="FBTableOld" localSheetId="9">#REF!</definedName>
    <definedName name="FBTableOld" localSheetId="7">#REF!</definedName>
    <definedName name="FBTableOld" localSheetId="10">#REF!</definedName>
    <definedName name="FBTableOld" localSheetId="12">#REF!</definedName>
    <definedName name="FBTableOld" localSheetId="2">#REF!</definedName>
    <definedName name="FBTableOld" localSheetId="5">#REF!</definedName>
    <definedName name="FBTableOld" localSheetId="3">#REF!</definedName>
    <definedName name="FBTableOld" localSheetId="15">#REF!</definedName>
    <definedName name="FBTableOld">#REF!</definedName>
    <definedName name="filter">[1]Settings!$B$14:$H$25</definedName>
    <definedName name="FromMonth" localSheetId="26">'70149 Detail'!$C$8</definedName>
    <definedName name="FromMonth" localSheetId="28">'70195 Detail'!$C$8</definedName>
    <definedName name="FromMonth" localSheetId="29">'70255 Detail'!$C$8</definedName>
    <definedName name="FromMonth" localSheetId="25">'July Fuel'!$C$8</definedName>
    <definedName name="FromMonth" localSheetId="15">#REF!</definedName>
    <definedName name="FromMonth">'70095 Detail'!$C$8</definedName>
    <definedName name="FundsApprPend" localSheetId="20">[19]Data!#REF!</definedName>
    <definedName name="FundsApprPend" localSheetId="17">[21]Data!#REF!</definedName>
    <definedName name="FundsApprPend" localSheetId="8">[21]Data!#REF!</definedName>
    <definedName name="FundsApprPend" localSheetId="9">[21]Data!#REF!</definedName>
    <definedName name="FundsApprPend" localSheetId="7">[21]Data!#REF!</definedName>
    <definedName name="FundsApprPend" localSheetId="10">[21]Data!#REF!</definedName>
    <definedName name="FundsApprPend" localSheetId="6">[21]Data!#REF!</definedName>
    <definedName name="FundsApprPend" localSheetId="12">[20]Data!#REF!</definedName>
    <definedName name="FundsApprPend" localSheetId="4">[20]Data!#REF!</definedName>
    <definedName name="FundsApprPend" localSheetId="2">[21]Data!#REF!</definedName>
    <definedName name="FundsApprPend" localSheetId="5">[21]Data!#REF!</definedName>
    <definedName name="FundsApprPend" localSheetId="13">[20]Data!#REF!</definedName>
    <definedName name="FundsApprPend" localSheetId="11">[20]Data!#REF!</definedName>
    <definedName name="FundsApprPend">[21]Data!#REF!</definedName>
    <definedName name="FundsBudUnbud" localSheetId="20">[19]Data!#REF!</definedName>
    <definedName name="FundsBudUnbud" localSheetId="8">[21]Data!#REF!</definedName>
    <definedName name="FundsBudUnbud" localSheetId="9">[21]Data!#REF!</definedName>
    <definedName name="FundsBudUnbud" localSheetId="10">[21]Data!#REF!</definedName>
    <definedName name="FundsBudUnbud" localSheetId="12">[20]Data!#REF!</definedName>
    <definedName name="FundsBudUnbud" localSheetId="4">[20]Data!#REF!</definedName>
    <definedName name="FundsBudUnbud" localSheetId="2">[21]Data!#REF!</definedName>
    <definedName name="FundsBudUnbud" localSheetId="13">[20]Data!#REF!</definedName>
    <definedName name="FundsBudUnbud" localSheetId="11">[20]Data!#REF!</definedName>
    <definedName name="FundsBudUnbud">[21]Data!#REF!</definedName>
    <definedName name="GLMappingStart" localSheetId="20">#REF!</definedName>
    <definedName name="GLMappingStart" localSheetId="8">#REF!</definedName>
    <definedName name="GLMappingStart" localSheetId="9">#REF!</definedName>
    <definedName name="GLMappingStart" localSheetId="7">#REF!</definedName>
    <definedName name="GLMappingStart" localSheetId="10">#REF!</definedName>
    <definedName name="GLMappingStart" localSheetId="12">#REF!</definedName>
    <definedName name="GLMappingStart" localSheetId="2">#REF!</definedName>
    <definedName name="GLMappingStart" localSheetId="5">#REF!</definedName>
    <definedName name="GLMappingStart">#REF!</definedName>
    <definedName name="GLMappingStart1" localSheetId="20">#REF!</definedName>
    <definedName name="GLMappingStart1" localSheetId="8">#REF!</definedName>
    <definedName name="GLMappingStart1" localSheetId="9">#REF!</definedName>
    <definedName name="GLMappingStart1" localSheetId="10">#REF!</definedName>
    <definedName name="GLMappingStart1" localSheetId="2">#REF!</definedName>
    <definedName name="GLMappingStart1">#REF!</definedName>
    <definedName name="Import_Range" localSheetId="20">[19]Data!#REF!</definedName>
    <definedName name="Import_Range" localSheetId="17">[21]Data!#REF!</definedName>
    <definedName name="Import_Range" localSheetId="8">[21]Data!#REF!</definedName>
    <definedName name="Import_Range" localSheetId="9">[21]Data!#REF!</definedName>
    <definedName name="Import_Range" localSheetId="10">[21]Data!#REF!</definedName>
    <definedName name="Import_Range" localSheetId="6">[21]Data!#REF!</definedName>
    <definedName name="Import_Range" localSheetId="12">[20]Data!#REF!</definedName>
    <definedName name="Import_Range" localSheetId="4">[20]Data!#REF!</definedName>
    <definedName name="Import_Range" localSheetId="2">[21]Data!#REF!</definedName>
    <definedName name="Import_Range" localSheetId="5">[21]Data!#REF!</definedName>
    <definedName name="Import_Range" localSheetId="13">[20]Data!#REF!</definedName>
    <definedName name="Import_Range" localSheetId="11">[20]Data!#REF!</definedName>
    <definedName name="Import_Range">[21]Data!#REF!</definedName>
    <definedName name="IncomeStmnt" localSheetId="14">#REF!</definedName>
    <definedName name="IncomeStmnt" localSheetId="20">#REF!</definedName>
    <definedName name="IncomeStmnt" localSheetId="8">#REF!</definedName>
    <definedName name="IncomeStmnt" localSheetId="9">#REF!</definedName>
    <definedName name="IncomeStmnt" localSheetId="7">#REF!</definedName>
    <definedName name="IncomeStmnt" localSheetId="10">#REF!</definedName>
    <definedName name="IncomeStmnt" localSheetId="12">#REF!</definedName>
    <definedName name="IncomeStmnt" localSheetId="2">#REF!</definedName>
    <definedName name="IncomeStmnt" localSheetId="5">#REF!</definedName>
    <definedName name="IncomeStmnt" localSheetId="3">#REF!</definedName>
    <definedName name="IncomeStmnt">#REF!</definedName>
    <definedName name="INPUT" localSheetId="14">#REF!</definedName>
    <definedName name="INPUT" localSheetId="20">#REF!</definedName>
    <definedName name="INPUT" localSheetId="17">#REF!</definedName>
    <definedName name="INPUT" localSheetId="8">#REF!</definedName>
    <definedName name="INPUT" localSheetId="9">#REF!</definedName>
    <definedName name="INPUT" localSheetId="7">#REF!</definedName>
    <definedName name="INPUT" localSheetId="10">#REF!</definedName>
    <definedName name="INPUT" localSheetId="12">#REF!</definedName>
    <definedName name="INPUT" localSheetId="2">#REF!</definedName>
    <definedName name="INPUT" localSheetId="5">#REF!</definedName>
    <definedName name="INPUT" localSheetId="3">#REF!</definedName>
    <definedName name="INPUT">#REF!</definedName>
    <definedName name="Insurance" localSheetId="14">#REF!</definedName>
    <definedName name="Insurance" localSheetId="20">#REF!</definedName>
    <definedName name="Insurance" localSheetId="8">#REF!</definedName>
    <definedName name="Insurance" localSheetId="9">#REF!</definedName>
    <definedName name="Insurance" localSheetId="7">#REF!</definedName>
    <definedName name="Insurance" localSheetId="10">#REF!</definedName>
    <definedName name="Insurance" localSheetId="12">#REF!</definedName>
    <definedName name="Insurance" localSheetId="2">#REF!</definedName>
    <definedName name="Insurance" localSheetId="5">#REF!</definedName>
    <definedName name="Insurance" localSheetId="3">#REF!</definedName>
    <definedName name="Insurance">#REF!</definedName>
    <definedName name="Interject_LastPulledValues_BalanceRange" localSheetId="8">#REF!</definedName>
    <definedName name="Interject_LastPulledValues_BalanceRange" localSheetId="9">#REF!</definedName>
    <definedName name="Interject_LastPulledValues_BalanceRange" localSheetId="10">#REF!</definedName>
    <definedName name="Interject_LastPulledValues_BalanceRange">#REF!</definedName>
    <definedName name="Interject_LastPulledValues_DescriptionRange" localSheetId="8">#REF!</definedName>
    <definedName name="Interject_LastPulledValues_DescriptionRange" localSheetId="9">#REF!</definedName>
    <definedName name="Interject_LastPulledValues_DescriptionRange" localSheetId="10">#REF!</definedName>
    <definedName name="Interject_LastPulledValues_DescriptionRange">#REF!</definedName>
    <definedName name="Interject_LastPulledValues_LastChangeGUID" localSheetId="8">#REF!</definedName>
    <definedName name="Interject_LastPulledValues_LastChangeGUID" localSheetId="9">#REF!</definedName>
    <definedName name="Interject_LastPulledValues_LastChangeGUID" localSheetId="10">#REF!</definedName>
    <definedName name="Interject_LastPulledValues_LastChangeGUID">#REF!</definedName>
    <definedName name="Interject_LastPulledValues_PreviousLastChangeGUID" localSheetId="8">#REF!</definedName>
    <definedName name="Interject_LastPulledValues_PreviousLastChangeGUID" localSheetId="9">#REF!</definedName>
    <definedName name="Interject_LastPulledValues_PreviousLastChangeGUID" localSheetId="10">#REF!</definedName>
    <definedName name="Interject_LastPulledValues_PreviousLastChangeGUID">#REF!</definedName>
    <definedName name="Invoice_Start" localSheetId="20">[19]Invoice_Drill!#REF!</definedName>
    <definedName name="Invoice_Start" localSheetId="17">[21]Invoice_Drill!#REF!</definedName>
    <definedName name="Invoice_Start" localSheetId="8">[21]Invoice_Drill!#REF!</definedName>
    <definedName name="Invoice_Start" localSheetId="9">[21]Invoice_Drill!#REF!</definedName>
    <definedName name="Invoice_Start" localSheetId="10">[21]Invoice_Drill!#REF!</definedName>
    <definedName name="Invoice_Start" localSheetId="6">[21]Invoice_Drill!#REF!</definedName>
    <definedName name="Invoice_Start" localSheetId="12">[20]Invoice_Drill!#REF!</definedName>
    <definedName name="Invoice_Start" localSheetId="4">[20]Invoice_Drill!#REF!</definedName>
    <definedName name="Invoice_Start" localSheetId="2">[21]Invoice_Drill!#REF!</definedName>
    <definedName name="Invoice_Start" localSheetId="5">[21]Invoice_Drill!#REF!</definedName>
    <definedName name="Invoice_Start" localSheetId="13">[20]Invoice_Drill!#REF!</definedName>
    <definedName name="Invoice_Start" localSheetId="11">[20]Invoice_Drill!#REF!</definedName>
    <definedName name="Invoice_Start">[21]Invoice_Drill!#REF!</definedName>
    <definedName name="JEDetail" localSheetId="20">#REF!</definedName>
    <definedName name="JEDetail" localSheetId="8">#REF!</definedName>
    <definedName name="JEDetail" localSheetId="9">#REF!</definedName>
    <definedName name="JEDetail" localSheetId="7">#REF!</definedName>
    <definedName name="JEDetail" localSheetId="10">#REF!</definedName>
    <definedName name="JEDetail" localSheetId="12">#REF!</definedName>
    <definedName name="JEDetail" localSheetId="2">#REF!</definedName>
    <definedName name="JEDetail" localSheetId="5">#REF!</definedName>
    <definedName name="JEDetail">#REF!</definedName>
    <definedName name="JEDetail1" localSheetId="20">#REF!</definedName>
    <definedName name="JEDetail1" localSheetId="8">#REF!</definedName>
    <definedName name="JEDetail1" localSheetId="9">#REF!</definedName>
    <definedName name="JEDetail1" localSheetId="10">#REF!</definedName>
    <definedName name="JEDetail1" localSheetId="2">#REF!</definedName>
    <definedName name="JEDetail1">#REF!</definedName>
    <definedName name="JEType" localSheetId="20">#REF!</definedName>
    <definedName name="JEType" localSheetId="8">#REF!</definedName>
    <definedName name="JEType" localSheetId="9">#REF!</definedName>
    <definedName name="JEType" localSheetId="7">#REF!</definedName>
    <definedName name="JEType" localSheetId="10">#REF!</definedName>
    <definedName name="JEType" localSheetId="12">#REF!</definedName>
    <definedName name="JEType" localSheetId="2">#REF!</definedName>
    <definedName name="JEType" localSheetId="5">#REF!</definedName>
    <definedName name="JEType">#REF!</definedName>
    <definedName name="JEType1" localSheetId="20">#REF!</definedName>
    <definedName name="JEType1" localSheetId="8">#REF!</definedName>
    <definedName name="JEType1" localSheetId="9">#REF!</definedName>
    <definedName name="JEType1" localSheetId="10">#REF!</definedName>
    <definedName name="JEType1">#REF!</definedName>
    <definedName name="lblBillAreaStatus" localSheetId="20">#REF!</definedName>
    <definedName name="lblBillAreaStatus" localSheetId="8">#REF!</definedName>
    <definedName name="lblBillAreaStatus" localSheetId="9">#REF!</definedName>
    <definedName name="lblBillAreaStatus" localSheetId="7">#REF!</definedName>
    <definedName name="lblBillAreaStatus" localSheetId="10">#REF!</definedName>
    <definedName name="lblBillAreaStatus" localSheetId="12">#REF!</definedName>
    <definedName name="lblBillAreaStatus" localSheetId="5">#REF!</definedName>
    <definedName name="lblBillAreaStatus">#REF!</definedName>
    <definedName name="lblBillCycleStatus" localSheetId="20">#REF!</definedName>
    <definedName name="lblBillCycleStatus" localSheetId="8">#REF!</definedName>
    <definedName name="lblBillCycleStatus" localSheetId="9">#REF!</definedName>
    <definedName name="lblBillCycleStatus" localSheetId="7">#REF!</definedName>
    <definedName name="lblBillCycleStatus" localSheetId="10">#REF!</definedName>
    <definedName name="lblBillCycleStatus" localSheetId="12">#REF!</definedName>
    <definedName name="lblBillCycleStatus" localSheetId="5">#REF!</definedName>
    <definedName name="lblBillCycleStatus">#REF!</definedName>
    <definedName name="lblCategoryStatus" localSheetId="20">#REF!</definedName>
    <definedName name="lblCategoryStatus" localSheetId="8">#REF!</definedName>
    <definedName name="lblCategoryStatus" localSheetId="9">#REF!</definedName>
    <definedName name="lblCategoryStatus" localSheetId="7">#REF!</definedName>
    <definedName name="lblCategoryStatus" localSheetId="10">#REF!</definedName>
    <definedName name="lblCategoryStatus" localSheetId="12">#REF!</definedName>
    <definedName name="lblCategoryStatus" localSheetId="5">#REF!</definedName>
    <definedName name="lblCategoryStatus">#REF!</definedName>
    <definedName name="lblCompanyStatus" localSheetId="20">#REF!</definedName>
    <definedName name="lblCompanyStatus" localSheetId="8">#REF!</definedName>
    <definedName name="lblCompanyStatus" localSheetId="9">#REF!</definedName>
    <definedName name="lblCompanyStatus" localSheetId="7">#REF!</definedName>
    <definedName name="lblCompanyStatus" localSheetId="10">#REF!</definedName>
    <definedName name="lblCompanyStatus" localSheetId="12">#REF!</definedName>
    <definedName name="lblCompanyStatus" localSheetId="5">#REF!</definedName>
    <definedName name="lblCompanyStatus">#REF!</definedName>
    <definedName name="lblDatabaseStatus" localSheetId="20">#REF!</definedName>
    <definedName name="lblDatabaseStatus" localSheetId="8">#REF!</definedName>
    <definedName name="lblDatabaseStatus" localSheetId="9">#REF!</definedName>
    <definedName name="lblDatabaseStatus" localSheetId="7">#REF!</definedName>
    <definedName name="lblDatabaseStatus" localSheetId="10">#REF!</definedName>
    <definedName name="lblDatabaseStatus" localSheetId="12">#REF!</definedName>
    <definedName name="lblDatabaseStatus" localSheetId="5">#REF!</definedName>
    <definedName name="lblDatabaseStatus">#REF!</definedName>
    <definedName name="lblPullStatus" localSheetId="20">#REF!</definedName>
    <definedName name="lblPullStatus" localSheetId="8">#REF!</definedName>
    <definedName name="lblPullStatus" localSheetId="9">#REF!</definedName>
    <definedName name="lblPullStatus" localSheetId="7">#REF!</definedName>
    <definedName name="lblPullStatus" localSheetId="10">#REF!</definedName>
    <definedName name="lblPullStatus" localSheetId="12">#REF!</definedName>
    <definedName name="lblPullStatus" localSheetId="5">#REF!</definedName>
    <definedName name="lblPullStatus">#REF!</definedName>
    <definedName name="lllllllllllllllllllll" localSheetId="14">#REF!</definedName>
    <definedName name="lllllllllllllllllllll" localSheetId="20">#REF!</definedName>
    <definedName name="lllllllllllllllllllll" localSheetId="8">#REF!</definedName>
    <definedName name="lllllllllllllllllllll" localSheetId="9">#REF!</definedName>
    <definedName name="lllllllllllllllllllll" localSheetId="7">#REF!</definedName>
    <definedName name="lllllllllllllllllllll" localSheetId="10">#REF!</definedName>
    <definedName name="lllllllllllllllllllll" localSheetId="12">#REF!</definedName>
    <definedName name="lllllllllllllllllllll" localSheetId="5">#REF!</definedName>
    <definedName name="lllllllllllllllllllll" localSheetId="3">#REF!</definedName>
    <definedName name="lllllllllllllllllllll">#REF!</definedName>
    <definedName name="MainDataEnd" localSheetId="20">#REF!</definedName>
    <definedName name="MainDataEnd" localSheetId="8">#REF!</definedName>
    <definedName name="MainDataEnd" localSheetId="9">#REF!</definedName>
    <definedName name="MainDataEnd" localSheetId="7">#REF!</definedName>
    <definedName name="MainDataEnd" localSheetId="10">#REF!</definedName>
    <definedName name="MainDataEnd" localSheetId="12">#REF!</definedName>
    <definedName name="MainDataEnd" localSheetId="5">#REF!</definedName>
    <definedName name="MainDataEnd">#REF!</definedName>
    <definedName name="MainDataStart" localSheetId="20">#REF!</definedName>
    <definedName name="MainDataStart" localSheetId="8">#REF!</definedName>
    <definedName name="MainDataStart" localSheetId="9">#REF!</definedName>
    <definedName name="MainDataStart" localSheetId="7">#REF!</definedName>
    <definedName name="MainDataStart" localSheetId="10">#REF!</definedName>
    <definedName name="MainDataStart" localSheetId="12">#REF!</definedName>
    <definedName name="MainDataStart" localSheetId="5">#REF!</definedName>
    <definedName name="MainDataStart">#REF!</definedName>
    <definedName name="MapKeyStart" localSheetId="20">#REF!</definedName>
    <definedName name="MapKeyStart" localSheetId="8">#REF!</definedName>
    <definedName name="MapKeyStart" localSheetId="9">#REF!</definedName>
    <definedName name="MapKeyStart" localSheetId="7">#REF!</definedName>
    <definedName name="MapKeyStart" localSheetId="10">#REF!</definedName>
    <definedName name="MapKeyStart" localSheetId="12">#REF!</definedName>
    <definedName name="MapKeyStart" localSheetId="5">#REF!</definedName>
    <definedName name="MapKeyStart">#REF!</definedName>
    <definedName name="master_def" localSheetId="14">#REF!</definedName>
    <definedName name="master_def" localSheetId="20">#REF!</definedName>
    <definedName name="master_def" localSheetId="17">#REF!</definedName>
    <definedName name="master_def" localSheetId="8">#REF!</definedName>
    <definedName name="master_def" localSheetId="9">#REF!</definedName>
    <definedName name="master_def" localSheetId="7">#REF!</definedName>
    <definedName name="master_def" localSheetId="10">#REF!</definedName>
    <definedName name="master_def" localSheetId="6">#REF!</definedName>
    <definedName name="master_def" localSheetId="12">#REF!</definedName>
    <definedName name="master_def" localSheetId="4">#REF!</definedName>
    <definedName name="master_def" localSheetId="2">#REF!</definedName>
    <definedName name="master_def" localSheetId="5">#REF!</definedName>
    <definedName name="master_def" localSheetId="13">#REF!</definedName>
    <definedName name="master_def" localSheetId="3">'[24]IS-2120'!#REF!</definedName>
    <definedName name="master_def" localSheetId="11">#REF!</definedName>
    <definedName name="master_def">#REF!</definedName>
    <definedName name="MATRIX" localSheetId="8">#REF!</definedName>
    <definedName name="MATRIX" localSheetId="9">#REF!</definedName>
    <definedName name="MATRIX" localSheetId="10">#REF!</definedName>
    <definedName name="MATRIX" localSheetId="12">#REF!</definedName>
    <definedName name="MATRIX">#REF!</definedName>
    <definedName name="MemoAttachment" localSheetId="20">#REF!</definedName>
    <definedName name="MemoAttachment" localSheetId="8">#REF!</definedName>
    <definedName name="MemoAttachment" localSheetId="9">#REF!</definedName>
    <definedName name="MemoAttachment" localSheetId="7">#REF!</definedName>
    <definedName name="MemoAttachment" localSheetId="10">#REF!</definedName>
    <definedName name="MemoAttachment" localSheetId="12">#REF!</definedName>
    <definedName name="MemoAttachment" localSheetId="5">#REF!</definedName>
    <definedName name="MemoAttachment">#REF!</definedName>
    <definedName name="MetaSet">[1]Orientation!$C$22</definedName>
    <definedName name="MFStaffPriceOut" localSheetId="8">'[14]Price Out-Reg EASTSIDE-Resi'!#REF!</definedName>
    <definedName name="MFStaffPriceOut" localSheetId="9">'[14]Price Out-Reg EASTSIDE-Resi'!#REF!</definedName>
    <definedName name="MFStaffPriceOut" localSheetId="10">'[14]Price Out-Reg EASTSIDE-Resi'!#REF!</definedName>
    <definedName name="MFStaffPriceOut">'[14]Price Out-Reg EASTSIDE-Resi'!#REF!</definedName>
    <definedName name="MonthList" localSheetId="20">'[19]Lookup Tables'!$A$1:$A$13</definedName>
    <definedName name="MonthList" localSheetId="12">'[20]Lookup Tables'!$A$1:$A$13</definedName>
    <definedName name="MonthList" localSheetId="4">'[20]Lookup Tables'!$A$1:$A$13</definedName>
    <definedName name="MonthList" localSheetId="13">'[20]Lookup Tables'!$A$1:$A$13</definedName>
    <definedName name="MonthList" localSheetId="11">'[20]Lookup Tables'!$A$1:$A$13</definedName>
    <definedName name="MonthList">'[21]Lookup Tables'!$A$1:$A$13</definedName>
    <definedName name="NewOnlyOrg">#N/A</definedName>
    <definedName name="nn" localSheetId="17">#REF!</definedName>
    <definedName name="nn" localSheetId="8">#REF!</definedName>
    <definedName name="nn" localSheetId="9">#REF!</definedName>
    <definedName name="nn" localSheetId="7">#REF!</definedName>
    <definedName name="nn" localSheetId="10">#REF!</definedName>
    <definedName name="nn" localSheetId="6">#REF!</definedName>
    <definedName name="nn" localSheetId="12">#REF!</definedName>
    <definedName name="nn" localSheetId="13">#REF!</definedName>
    <definedName name="nn" localSheetId="11">#REF!</definedName>
    <definedName name="nn">#REF!</definedName>
    <definedName name="NOTES" localSheetId="14">#REF!</definedName>
    <definedName name="NOTES" localSheetId="20">#REF!</definedName>
    <definedName name="NOTES" localSheetId="8">#REF!</definedName>
    <definedName name="NOTES" localSheetId="9">#REF!</definedName>
    <definedName name="NOTES" localSheetId="7">#REF!</definedName>
    <definedName name="NOTES" localSheetId="10">#REF!</definedName>
    <definedName name="NOTES" localSheetId="12">#REF!</definedName>
    <definedName name="NOTES" localSheetId="2">#REF!</definedName>
    <definedName name="NOTES" localSheetId="5">#REF!</definedName>
    <definedName name="NOTES" localSheetId="3">#REF!</definedName>
    <definedName name="NOTES">#REF!</definedName>
    <definedName name="NR" localSheetId="20">#REF!</definedName>
    <definedName name="NR" localSheetId="8">#REF!</definedName>
    <definedName name="NR" localSheetId="9">#REF!</definedName>
    <definedName name="NR" localSheetId="7">#REF!</definedName>
    <definedName name="NR" localSheetId="10">#REF!</definedName>
    <definedName name="NR" localSheetId="12">#REF!</definedName>
    <definedName name="NR" localSheetId="2">#REF!</definedName>
    <definedName name="NR" localSheetId="5">#REF!</definedName>
    <definedName name="NR">#REF!</definedName>
    <definedName name="OfficerSalary">#N/A</definedName>
    <definedName name="OffsetAcctBil">[27]JEexport!$L$10</definedName>
    <definedName name="OffsetAcctPmt">[27]JEexport!$L$9</definedName>
    <definedName name="Org11_13">#N/A</definedName>
    <definedName name="Org7_10">#N/A</definedName>
    <definedName name="p" localSheetId="20">#REF!</definedName>
    <definedName name="p" localSheetId="8">#REF!</definedName>
    <definedName name="p" localSheetId="9">#REF!</definedName>
    <definedName name="p" localSheetId="7">#REF!</definedName>
    <definedName name="p" localSheetId="10">#REF!</definedName>
    <definedName name="p" localSheetId="12">#REF!</definedName>
    <definedName name="p" localSheetId="2">#REF!</definedName>
    <definedName name="p" localSheetId="5">#REF!</definedName>
    <definedName name="p">#REF!</definedName>
    <definedName name="PAGE_1" localSheetId="14">#REF!</definedName>
    <definedName name="PAGE_1" localSheetId="20">#REF!</definedName>
    <definedName name="PAGE_1" localSheetId="8">#REF!</definedName>
    <definedName name="PAGE_1" localSheetId="9">#REF!</definedName>
    <definedName name="PAGE_1" localSheetId="7">#REF!</definedName>
    <definedName name="PAGE_1" localSheetId="10">#REF!</definedName>
    <definedName name="PAGE_1" localSheetId="12">#REF!</definedName>
    <definedName name="PAGE_1" localSheetId="2">#REF!</definedName>
    <definedName name="PAGE_1" localSheetId="5">#REF!</definedName>
    <definedName name="PAGE_1" localSheetId="3">#REF!</definedName>
    <definedName name="PAGE_1">#REF!</definedName>
    <definedName name="Page16" localSheetId="8">#REF!</definedName>
    <definedName name="Page16" localSheetId="9">#REF!</definedName>
    <definedName name="Page16" localSheetId="10">#REF!</definedName>
    <definedName name="Page16" localSheetId="12">#REF!</definedName>
    <definedName name="Page16">#REF!</definedName>
    <definedName name="Page17" localSheetId="8">#REF!</definedName>
    <definedName name="Page17" localSheetId="9">#REF!</definedName>
    <definedName name="Page17" localSheetId="10">#REF!</definedName>
    <definedName name="Page17" localSheetId="12">#REF!</definedName>
    <definedName name="Page17">#REF!</definedName>
    <definedName name="Page18" localSheetId="8">#REF!</definedName>
    <definedName name="Page18" localSheetId="9">#REF!</definedName>
    <definedName name="Page18" localSheetId="10">#REF!</definedName>
    <definedName name="Page18" localSheetId="12">#REF!</definedName>
    <definedName name="Page18">#REF!</definedName>
    <definedName name="Page7a" localSheetId="8">#REF!</definedName>
    <definedName name="Page7a" localSheetId="9">#REF!</definedName>
    <definedName name="Page7a" localSheetId="10">#REF!</definedName>
    <definedName name="Page7a" localSheetId="12">#REF!</definedName>
    <definedName name="Page7a">#REF!</definedName>
    <definedName name="pBatchID" localSheetId="20">#REF!</definedName>
    <definedName name="pBatchID" localSheetId="8">#REF!</definedName>
    <definedName name="pBatchID" localSheetId="9">#REF!</definedName>
    <definedName name="pBatchID" localSheetId="7">#REF!</definedName>
    <definedName name="pBatchID" localSheetId="10">#REF!</definedName>
    <definedName name="pBatchID" localSheetId="12">#REF!</definedName>
    <definedName name="pBatchID" localSheetId="2">#REF!</definedName>
    <definedName name="pBatchID" localSheetId="5">#REF!</definedName>
    <definedName name="pBatchID">#REF!</definedName>
    <definedName name="pBillArea" localSheetId="20">#REF!</definedName>
    <definedName name="pBillArea" localSheetId="8">#REF!</definedName>
    <definedName name="pBillArea" localSheetId="9">#REF!</definedName>
    <definedName name="pBillArea" localSheetId="7">#REF!</definedName>
    <definedName name="pBillArea" localSheetId="10">#REF!</definedName>
    <definedName name="pBillArea" localSheetId="12">#REF!</definedName>
    <definedName name="pBillArea" localSheetId="5">#REF!</definedName>
    <definedName name="pBillArea">#REF!</definedName>
    <definedName name="pBillCycle" localSheetId="20">#REF!</definedName>
    <definedName name="pBillCycle" localSheetId="8">#REF!</definedName>
    <definedName name="pBillCycle" localSheetId="9">#REF!</definedName>
    <definedName name="pBillCycle" localSheetId="7">#REF!</definedName>
    <definedName name="pBillCycle" localSheetId="10">#REF!</definedName>
    <definedName name="pBillCycle" localSheetId="12">#REF!</definedName>
    <definedName name="pBillCycle" localSheetId="5">#REF!</definedName>
    <definedName name="pBillCycle">#REF!</definedName>
    <definedName name="pCategory" localSheetId="20">#REF!</definedName>
    <definedName name="pCategory" localSheetId="8">#REF!</definedName>
    <definedName name="pCategory" localSheetId="9">#REF!</definedName>
    <definedName name="pCategory" localSheetId="7">#REF!</definedName>
    <definedName name="pCategory" localSheetId="10">#REF!</definedName>
    <definedName name="pCategory" localSheetId="12">#REF!</definedName>
    <definedName name="pCategory" localSheetId="5">#REF!</definedName>
    <definedName name="pCategory">#REF!</definedName>
    <definedName name="pCompany" localSheetId="20">#REF!</definedName>
    <definedName name="pCompany" localSheetId="8">#REF!</definedName>
    <definedName name="pCompany" localSheetId="9">#REF!</definedName>
    <definedName name="pCompany" localSheetId="7">#REF!</definedName>
    <definedName name="pCompany" localSheetId="10">#REF!</definedName>
    <definedName name="pCompany" localSheetId="12">#REF!</definedName>
    <definedName name="pCompany" localSheetId="5">#REF!</definedName>
    <definedName name="pCompany">#REF!</definedName>
    <definedName name="pCustomerNumber" localSheetId="20">#REF!</definedName>
    <definedName name="pCustomerNumber" localSheetId="8">#REF!</definedName>
    <definedName name="pCustomerNumber" localSheetId="9">#REF!</definedName>
    <definedName name="pCustomerNumber" localSheetId="7">#REF!</definedName>
    <definedName name="pCustomerNumber" localSheetId="10">#REF!</definedName>
    <definedName name="pCustomerNumber" localSheetId="12">#REF!</definedName>
    <definedName name="pCustomerNumber" localSheetId="5">#REF!</definedName>
    <definedName name="pCustomerNumber">#REF!</definedName>
    <definedName name="pDatabase" localSheetId="20">#REF!</definedName>
    <definedName name="pDatabase" localSheetId="8">#REF!</definedName>
    <definedName name="pDatabase" localSheetId="9">#REF!</definedName>
    <definedName name="pDatabase" localSheetId="7">#REF!</definedName>
    <definedName name="pDatabase" localSheetId="10">#REF!</definedName>
    <definedName name="pDatabase" localSheetId="12">#REF!</definedName>
    <definedName name="pDatabase" localSheetId="5">#REF!</definedName>
    <definedName name="pDatabase">#REF!</definedName>
    <definedName name="pEndPostDate" localSheetId="20">#REF!</definedName>
    <definedName name="pEndPostDate" localSheetId="8">#REF!</definedName>
    <definedName name="pEndPostDate" localSheetId="9">#REF!</definedName>
    <definedName name="pEndPostDate" localSheetId="7">#REF!</definedName>
    <definedName name="pEndPostDate" localSheetId="10">#REF!</definedName>
    <definedName name="pEndPostDate" localSheetId="12">#REF!</definedName>
    <definedName name="pEndPostDate" localSheetId="5">#REF!</definedName>
    <definedName name="pEndPostDate">#REF!</definedName>
    <definedName name="Period" localSheetId="14">#REF!</definedName>
    <definedName name="Period" localSheetId="20">#REF!</definedName>
    <definedName name="Period" localSheetId="8">#REF!</definedName>
    <definedName name="Period" localSheetId="9">#REF!</definedName>
    <definedName name="Period" localSheetId="7">#REF!</definedName>
    <definedName name="Period" localSheetId="10">#REF!</definedName>
    <definedName name="Period" localSheetId="12">#REF!</definedName>
    <definedName name="Period" localSheetId="5">#REF!</definedName>
    <definedName name="Period" localSheetId="3">#REF!</definedName>
    <definedName name="Period">#REF!</definedName>
    <definedName name="pMonth" localSheetId="20">#REF!</definedName>
    <definedName name="pMonth" localSheetId="8">#REF!</definedName>
    <definedName name="pMonth" localSheetId="9">#REF!</definedName>
    <definedName name="pMonth" localSheetId="7">#REF!</definedName>
    <definedName name="pMonth" localSheetId="10">#REF!</definedName>
    <definedName name="pMonth" localSheetId="12">#REF!</definedName>
    <definedName name="pMonth" localSheetId="5">#REF!</definedName>
    <definedName name="pMonth">#REF!</definedName>
    <definedName name="pOnlyShowLastTranx" localSheetId="20">#REF!</definedName>
    <definedName name="pOnlyShowLastTranx" localSheetId="8">#REF!</definedName>
    <definedName name="pOnlyShowLastTranx" localSheetId="9">#REF!</definedName>
    <definedName name="pOnlyShowLastTranx" localSheetId="7">#REF!</definedName>
    <definedName name="pOnlyShowLastTranx" localSheetId="10">#REF!</definedName>
    <definedName name="pOnlyShowLastTranx" localSheetId="12">#REF!</definedName>
    <definedName name="pOnlyShowLastTranx" localSheetId="5">#REF!</definedName>
    <definedName name="pOnlyShowLastTranx">#REF!</definedName>
    <definedName name="Posting" localSheetId="26">'70149 Detail'!$P$15</definedName>
    <definedName name="Posting" localSheetId="28">'70195 Detail'!$P$15</definedName>
    <definedName name="Posting" localSheetId="29">'70255 Detail'!$P$15</definedName>
    <definedName name="Posting" localSheetId="25">'July Fuel'!$P$15</definedName>
    <definedName name="Posting" localSheetId="15">#REF!</definedName>
    <definedName name="Posting">'70095 Detail'!$P$15</definedName>
    <definedName name="primtbl">[1]Orientation!$C$23</definedName>
    <definedName name="_xlnm.Print_Area" localSheetId="30">'6.30.16 BS'!$D$7:$V$224</definedName>
    <definedName name="_xlnm.Print_Area" localSheetId="27">'70095 Detail'!$B$9:$N$174</definedName>
    <definedName name="_xlnm.Print_Area" localSheetId="26">'70149 Detail'!$B$9:$N$46</definedName>
    <definedName name="_xlnm.Print_Area" localSheetId="28">'70195 Detail'!$B$9:$N$66</definedName>
    <definedName name="_xlnm.Print_Area" localSheetId="29">'70255 Detail'!$B$9:$N$129</definedName>
    <definedName name="_xlnm.Print_Area" localSheetId="18">'A-Team Summary'!$A$1:$M$19</definedName>
    <definedName name="_xlnm.Print_Area" localSheetId="24">'Corp OH'!$A$5:$M$90</definedName>
    <definedName name="_xlnm.Print_Area" localSheetId="14">'Depr Summary'!$A$1:$I$73</definedName>
    <definedName name="_xlnm.Print_Area" localSheetId="16">Disposal!$A$1:$AM$66</definedName>
    <definedName name="_xlnm.Print_Area" localSheetId="17">'Fuel Schedule'!$A$1:$E$39</definedName>
    <definedName name="_xlnm.Print_Area" localSheetId="25">'July Fuel'!$B$9:$N$41</definedName>
    <definedName name="_xlnm.Print_Area" localSheetId="8">'LG-Garbage'!$B$1:$M$37</definedName>
    <definedName name="_xlnm.Print_Area" localSheetId="9">'LG-Recycle'!$B$1:$M$37</definedName>
    <definedName name="_xlnm.Print_Area" localSheetId="7">'LG-Total Reg'!$B$1:$K$26</definedName>
    <definedName name="_xlnm.Print_Area" localSheetId="10">'LG-Yardwaste'!$B$1:$K$26</definedName>
    <definedName name="_xlnm.Print_Area" localSheetId="6">'Pro-forma Adj''s'!$A$1:$G$53</definedName>
    <definedName name="_xlnm.Print_Area" localSheetId="12">'Proposed Rates'!$A$1:$G$337</definedName>
    <definedName name="_xlnm.Print_Area" localSheetId="4">Ratios!$A$1:$I$213</definedName>
    <definedName name="_xlnm.Print_Area" localSheetId="2">References!$A$1:$I$43</definedName>
    <definedName name="_xlnm.Print_Area" localSheetId="21">'Region OH Calc'!$A$1:$AV$109</definedName>
    <definedName name="_xlnm.Print_Area" localSheetId="5">'Restating Adj''s'!$A$1:$Z$146</definedName>
    <definedName name="_xlnm.Print_Area" localSheetId="13">'Revenue Summary'!$A$1:$N$22</definedName>
    <definedName name="_xlnm.Print_Area" localSheetId="19">'Roll Off Cust Count'!$A$1:$S$37</definedName>
    <definedName name="_xlnm.Print_Area" localSheetId="22">'WCI P&amp;L'!$A$1:$H$42</definedName>
    <definedName name="_xlnm.Print_Area" localSheetId="0">'Yakima BS'!$A$1:$AE$206</definedName>
    <definedName name="_xlnm.Print_Area" localSheetId="3">'Yakima Consolidated IS'!$A$1:$S$283</definedName>
    <definedName name="_xlnm.Print_Area" localSheetId="1">'Yakima IS'!$B$1:$AG$329</definedName>
    <definedName name="_xlnm.Print_Area" localSheetId="15">'Yakima Payroll'!$A$1:$AE$237</definedName>
    <definedName name="_xlnm.Print_Area" localSheetId="11">'Yakima Regulated Price Out'!$A$1:$AB$199</definedName>
    <definedName name="_xlnm.Print_Area">#REF!</definedName>
    <definedName name="Print_Area_MI" localSheetId="14">#REF!</definedName>
    <definedName name="Print_Area_MI" localSheetId="20">#REF!</definedName>
    <definedName name="Print_Area_MI" localSheetId="17">#REF!</definedName>
    <definedName name="Print_Area_MI" localSheetId="8">#REF!</definedName>
    <definedName name="Print_Area_MI" localSheetId="9">#REF!</definedName>
    <definedName name="Print_Area_MI" localSheetId="7">#REF!</definedName>
    <definedName name="Print_Area_MI" localSheetId="10">#REF!</definedName>
    <definedName name="Print_Area_MI" localSheetId="12">#REF!</definedName>
    <definedName name="Print_Area_MI" localSheetId="2">#REF!</definedName>
    <definedName name="Print_Area_MI" localSheetId="5">#REF!</definedName>
    <definedName name="Print_Area_MI" localSheetId="3">#REF!</definedName>
    <definedName name="Print_Area_MI">#REF!</definedName>
    <definedName name="Print_Area1" localSheetId="14">#REF!</definedName>
    <definedName name="Print_Area1" localSheetId="20">#REF!</definedName>
    <definedName name="Print_Area1" localSheetId="8">#REF!</definedName>
    <definedName name="Print_Area1" localSheetId="9">#REF!</definedName>
    <definedName name="Print_Area1" localSheetId="7">#REF!</definedName>
    <definedName name="Print_Area1" localSheetId="10">#REF!</definedName>
    <definedName name="Print_Area1" localSheetId="12">#REF!</definedName>
    <definedName name="Print_Area1" localSheetId="5">#REF!</definedName>
    <definedName name="Print_Area1" localSheetId="3">#REF!</definedName>
    <definedName name="Print_Area1">#REF!</definedName>
    <definedName name="Print_Area2" localSheetId="14">#REF!</definedName>
    <definedName name="Print_Area2" localSheetId="20">#REF!</definedName>
    <definedName name="Print_Area2" localSheetId="8">#REF!</definedName>
    <definedName name="Print_Area2" localSheetId="9">#REF!</definedName>
    <definedName name="Print_Area2" localSheetId="7">#REF!</definedName>
    <definedName name="Print_Area2" localSheetId="10">#REF!</definedName>
    <definedName name="Print_Area2" localSheetId="12">#REF!</definedName>
    <definedName name="Print_Area2" localSheetId="5">#REF!</definedName>
    <definedName name="Print_Area2" localSheetId="3">#REF!</definedName>
    <definedName name="Print_Area2">#REF!</definedName>
    <definedName name="Print_Area3" localSheetId="14">#REF!</definedName>
    <definedName name="Print_Area3" localSheetId="20">#REF!</definedName>
    <definedName name="Print_Area3" localSheetId="8">#REF!</definedName>
    <definedName name="Print_Area3" localSheetId="9">#REF!</definedName>
    <definedName name="Print_Area3" localSheetId="7">#REF!</definedName>
    <definedName name="Print_Area3" localSheetId="10">#REF!</definedName>
    <definedName name="Print_Area3" localSheetId="12">#REF!</definedName>
    <definedName name="Print_Area3" localSheetId="5">#REF!</definedName>
    <definedName name="Print_Area3" localSheetId="3">#REF!</definedName>
    <definedName name="Print_Area3">#REF!</definedName>
    <definedName name="Print_Area5" localSheetId="14">#REF!</definedName>
    <definedName name="Print_Area5" localSheetId="20">#REF!</definedName>
    <definedName name="Print_Area5" localSheetId="8">#REF!</definedName>
    <definedName name="Print_Area5" localSheetId="9">#REF!</definedName>
    <definedName name="Print_Area5" localSheetId="7">#REF!</definedName>
    <definedName name="Print_Area5" localSheetId="10">#REF!</definedName>
    <definedName name="Print_Area5" localSheetId="12">#REF!</definedName>
    <definedName name="Print_Area5" localSheetId="5">#REF!</definedName>
    <definedName name="Print_Area5" localSheetId="3">#REF!</definedName>
    <definedName name="Print_Area5">#REF!</definedName>
    <definedName name="_xlnm.Print_Titles" localSheetId="30">'6.30.16 BS'!$D:$H,'6.30.16 BS'!$10:$13</definedName>
    <definedName name="_xlnm.Print_Titles" localSheetId="27">'70095 Detail'!$G:$G,'70095 Detail'!$19:$19</definedName>
    <definedName name="_xlnm.Print_Titles" localSheetId="26">'70149 Detail'!$G:$G</definedName>
    <definedName name="_xlnm.Print_Titles" localSheetId="28">'70195 Detail'!$B:$B,'70195 Detail'!$9:$20</definedName>
    <definedName name="_xlnm.Print_Titles" localSheetId="29">'70255 Detail'!$G:$G,'70255 Detail'!$19:$19</definedName>
    <definedName name="_xlnm.Print_Titles" localSheetId="24">'Corp OH'!$7:$10</definedName>
    <definedName name="_xlnm.Print_Titles" localSheetId="25">'July Fuel'!$G:$G</definedName>
    <definedName name="_xlnm.Print_Titles" localSheetId="12">'Proposed Rates'!$6:$9</definedName>
    <definedName name="_xlnm.Print_Titles" localSheetId="21">'Region OH Calc'!$A:$E,'Region OH Calc'!$2:$3</definedName>
    <definedName name="_xlnm.Print_Titles" localSheetId="5">'Restating Adj''s'!$5:$6</definedName>
    <definedName name="_xlnm.Print_Titles" localSheetId="19">'Roll Off Cust Count'!$A:$B</definedName>
    <definedName name="_xlnm.Print_Titles" localSheetId="23">'WCI BS'!$10:$11</definedName>
    <definedName name="_xlnm.Print_Titles" localSheetId="0">'Yakima BS'!$A:$E,'Yakima BS'!$7:$7</definedName>
    <definedName name="_xlnm.Print_Titles" localSheetId="3">'Yakima Consolidated IS'!$A:$B,'Yakima Consolidated IS'!$7:$8</definedName>
    <definedName name="_xlnm.Print_Titles" localSheetId="1">'Yakima IS'!$B:$G,'Yakima IS'!$7:$7</definedName>
    <definedName name="_xlnm.Print_Titles" localSheetId="15">'Yakima Payroll'!$1:$8</definedName>
    <definedName name="_xlnm.Print_Titles" localSheetId="11">'Yakima Regulated Price Out'!$A:$B,'Yakima Regulated Price Out'!$4:$5</definedName>
    <definedName name="Print1" localSheetId="14">#REF!</definedName>
    <definedName name="Print1" localSheetId="20">#REF!</definedName>
    <definedName name="Print1" localSheetId="8">#REF!</definedName>
    <definedName name="Print1" localSheetId="9">#REF!</definedName>
    <definedName name="Print1" localSheetId="7">#REF!</definedName>
    <definedName name="Print1" localSheetId="10">#REF!</definedName>
    <definedName name="Print1" localSheetId="12">#REF!</definedName>
    <definedName name="Print1" localSheetId="5">#REF!</definedName>
    <definedName name="Print1" localSheetId="3">#REF!</definedName>
    <definedName name="Print1">#REF!</definedName>
    <definedName name="Print2" localSheetId="14">#REF!</definedName>
    <definedName name="Print2" localSheetId="20">#REF!</definedName>
    <definedName name="Print2" localSheetId="8">#REF!</definedName>
    <definedName name="Print2" localSheetId="9">#REF!</definedName>
    <definedName name="Print2" localSheetId="7">#REF!</definedName>
    <definedName name="Print2" localSheetId="10">#REF!</definedName>
    <definedName name="Print2" localSheetId="12">#REF!</definedName>
    <definedName name="Print2" localSheetId="5">#REF!</definedName>
    <definedName name="Print2" localSheetId="3">#REF!</definedName>
    <definedName name="Print2">#REF!</definedName>
    <definedName name="Print5" localSheetId="14">#REF!</definedName>
    <definedName name="Print5" localSheetId="20">#REF!</definedName>
    <definedName name="Print5" localSheetId="8">#REF!</definedName>
    <definedName name="Print5" localSheetId="9">#REF!</definedName>
    <definedName name="Print5" localSheetId="7">#REF!</definedName>
    <definedName name="Print5" localSheetId="10">#REF!</definedName>
    <definedName name="Print5" localSheetId="12">#REF!</definedName>
    <definedName name="Print5" localSheetId="5">#REF!</definedName>
    <definedName name="Print5" localSheetId="3">#REF!</definedName>
    <definedName name="Print5">#REF!</definedName>
    <definedName name="ProRev" localSheetId="20">'[8]Pacific Regulated - Price Out'!$M$49</definedName>
    <definedName name="ProRev" localSheetId="8">'[9]Pacific Regulated - Price Out'!$M$49</definedName>
    <definedName name="ProRev" localSheetId="9">'[9]Pacific Regulated - Price Out'!$M$49</definedName>
    <definedName name="ProRev" localSheetId="7">'[9]Pacific Regulated - Price Out'!$M$49</definedName>
    <definedName name="ProRev" localSheetId="10">'[9]Pacific Regulated - Price Out'!$M$49</definedName>
    <definedName name="ProRev" localSheetId="12">'[10]Pacific Regulated - Price Out'!$M$49</definedName>
    <definedName name="ProRev" localSheetId="4">'[10]Pacific Regulated - Price Out'!$M$49</definedName>
    <definedName name="ProRev" localSheetId="2">'[10]Pacific Regulated - Price Out'!$M$49</definedName>
    <definedName name="ProRev" localSheetId="13">'[10]Pacific Regulated - Price Out'!$M$49</definedName>
    <definedName name="ProRev" localSheetId="11">'[10]Pacific Regulated - Price Out'!$M$49</definedName>
    <definedName name="ProRev">'[9]Pacific Regulated - Price Out'!$M$49</definedName>
    <definedName name="ProRev_com" localSheetId="20">'[8]Pacific Regulated - Price Out'!$M$213</definedName>
    <definedName name="ProRev_com" localSheetId="8">'[9]Pacific Regulated - Price Out'!$M$213</definedName>
    <definedName name="ProRev_com" localSheetId="9">'[9]Pacific Regulated - Price Out'!$M$213</definedName>
    <definedName name="ProRev_com" localSheetId="7">'[9]Pacific Regulated - Price Out'!$M$213</definedName>
    <definedName name="ProRev_com" localSheetId="10">'[9]Pacific Regulated - Price Out'!$M$213</definedName>
    <definedName name="ProRev_com" localSheetId="12">'[10]Pacific Regulated - Price Out'!$M$213</definedName>
    <definedName name="ProRev_com" localSheetId="4">'[10]Pacific Regulated - Price Out'!$M$213</definedName>
    <definedName name="ProRev_com" localSheetId="2">'[10]Pacific Regulated - Price Out'!$M$213</definedName>
    <definedName name="ProRev_com" localSheetId="13">'[10]Pacific Regulated - Price Out'!$M$213</definedName>
    <definedName name="ProRev_com" localSheetId="11">'[10]Pacific Regulated - Price Out'!$M$213</definedName>
    <definedName name="ProRev_com">'[9]Pacific Regulated - Price Out'!$M$213</definedName>
    <definedName name="ProRev_mfr" localSheetId="20">'[8]Pacific Regulated - Price Out'!$M$221</definedName>
    <definedName name="ProRev_mfr" localSheetId="8">'[9]Pacific Regulated - Price Out'!$M$221</definedName>
    <definedName name="ProRev_mfr" localSheetId="9">'[9]Pacific Regulated - Price Out'!$M$221</definedName>
    <definedName name="ProRev_mfr" localSheetId="7">'[9]Pacific Regulated - Price Out'!$M$221</definedName>
    <definedName name="ProRev_mfr" localSheetId="10">'[9]Pacific Regulated - Price Out'!$M$221</definedName>
    <definedName name="ProRev_mfr" localSheetId="12">'[10]Pacific Regulated - Price Out'!$M$221</definedName>
    <definedName name="ProRev_mfr" localSheetId="4">'[10]Pacific Regulated - Price Out'!$M$221</definedName>
    <definedName name="ProRev_mfr" localSheetId="2">'[10]Pacific Regulated - Price Out'!$M$221</definedName>
    <definedName name="ProRev_mfr" localSheetId="13">'[10]Pacific Regulated - Price Out'!$M$221</definedName>
    <definedName name="ProRev_mfr" localSheetId="11">'[10]Pacific Regulated - Price Out'!$M$221</definedName>
    <definedName name="ProRev_mfr">'[9]Pacific Regulated - Price Out'!$M$221</definedName>
    <definedName name="ProRev_ro" localSheetId="20">'[8]Pacific Regulated - Price Out'!$M$281</definedName>
    <definedName name="ProRev_ro" localSheetId="8">'[9]Pacific Regulated - Price Out'!$M$281</definedName>
    <definedName name="ProRev_ro" localSheetId="9">'[9]Pacific Regulated - Price Out'!$M$281</definedName>
    <definedName name="ProRev_ro" localSheetId="7">'[9]Pacific Regulated - Price Out'!$M$281</definedName>
    <definedName name="ProRev_ro" localSheetId="10">'[9]Pacific Regulated - Price Out'!$M$281</definedName>
    <definedName name="ProRev_ro" localSheetId="12">'[10]Pacific Regulated - Price Out'!$M$281</definedName>
    <definedName name="ProRev_ro" localSheetId="4">'[10]Pacific Regulated - Price Out'!$M$281</definedName>
    <definedName name="ProRev_ro" localSheetId="2">'[10]Pacific Regulated - Price Out'!$M$281</definedName>
    <definedName name="ProRev_ro" localSheetId="13">'[10]Pacific Regulated - Price Out'!$M$281</definedName>
    <definedName name="ProRev_ro" localSheetId="11">'[10]Pacific Regulated - Price Out'!$M$281</definedName>
    <definedName name="ProRev_ro">'[9]Pacific Regulated - Price Out'!$M$281</definedName>
    <definedName name="ProRev_rr" localSheetId="20">'[8]Pacific Regulated - Price Out'!$M$58</definedName>
    <definedName name="ProRev_rr" localSheetId="8">'[9]Pacific Regulated - Price Out'!$M$58</definedName>
    <definedName name="ProRev_rr" localSheetId="9">'[9]Pacific Regulated - Price Out'!$M$58</definedName>
    <definedName name="ProRev_rr" localSheetId="7">'[9]Pacific Regulated - Price Out'!$M$58</definedName>
    <definedName name="ProRev_rr" localSheetId="10">'[9]Pacific Regulated - Price Out'!$M$58</definedName>
    <definedName name="ProRev_rr" localSheetId="12">'[10]Pacific Regulated - Price Out'!$M$58</definedName>
    <definedName name="ProRev_rr" localSheetId="4">'[10]Pacific Regulated - Price Out'!$M$58</definedName>
    <definedName name="ProRev_rr" localSheetId="2">'[10]Pacific Regulated - Price Out'!$M$58</definedName>
    <definedName name="ProRev_rr" localSheetId="13">'[10]Pacific Regulated - Price Out'!$M$58</definedName>
    <definedName name="ProRev_rr" localSheetId="11">'[10]Pacific Regulated - Price Out'!$M$58</definedName>
    <definedName name="ProRev_rr">'[9]Pacific Regulated - Price Out'!$M$58</definedName>
    <definedName name="ProRev_yw" localSheetId="20">'[8]Pacific Regulated - Price Out'!$M$69</definedName>
    <definedName name="ProRev_yw" localSheetId="8">'[9]Pacific Regulated - Price Out'!$M$69</definedName>
    <definedName name="ProRev_yw" localSheetId="9">'[9]Pacific Regulated - Price Out'!$M$69</definedName>
    <definedName name="ProRev_yw" localSheetId="7">'[9]Pacific Regulated - Price Out'!$M$69</definedName>
    <definedName name="ProRev_yw" localSheetId="10">'[9]Pacific Regulated - Price Out'!$M$69</definedName>
    <definedName name="ProRev_yw" localSheetId="12">'[10]Pacific Regulated - Price Out'!$M$69</definedName>
    <definedName name="ProRev_yw" localSheetId="4">'[10]Pacific Regulated - Price Out'!$M$69</definedName>
    <definedName name="ProRev_yw" localSheetId="2">'[10]Pacific Regulated - Price Out'!$M$69</definedName>
    <definedName name="ProRev_yw" localSheetId="13">'[10]Pacific Regulated - Price Out'!$M$69</definedName>
    <definedName name="ProRev_yw" localSheetId="11">'[10]Pacific Regulated - Price Out'!$M$69</definedName>
    <definedName name="ProRev_yw">'[9]Pacific Regulated - Price Out'!$M$69</definedName>
    <definedName name="pServer" localSheetId="20">#REF!</definedName>
    <definedName name="pServer" localSheetId="8">#REF!</definedName>
    <definedName name="pServer" localSheetId="9">#REF!</definedName>
    <definedName name="pServer" localSheetId="7">#REF!</definedName>
    <definedName name="pServer" localSheetId="10">#REF!</definedName>
    <definedName name="pServer" localSheetId="12">#REF!</definedName>
    <definedName name="pServer" localSheetId="2">#REF!</definedName>
    <definedName name="pServer" localSheetId="5">#REF!</definedName>
    <definedName name="pServer">#REF!</definedName>
    <definedName name="pServiceCode" localSheetId="20">#REF!</definedName>
    <definedName name="pServiceCode" localSheetId="8">#REF!</definedName>
    <definedName name="pServiceCode" localSheetId="9">#REF!</definedName>
    <definedName name="pServiceCode" localSheetId="7">#REF!</definedName>
    <definedName name="pServiceCode" localSheetId="10">#REF!</definedName>
    <definedName name="pServiceCode" localSheetId="12">#REF!</definedName>
    <definedName name="pServiceCode" localSheetId="2">#REF!</definedName>
    <definedName name="pServiceCode" localSheetId="5">#REF!</definedName>
    <definedName name="pServiceCode">#REF!</definedName>
    <definedName name="pShowAllUnposted" localSheetId="20">#REF!</definedName>
    <definedName name="pShowAllUnposted" localSheetId="8">#REF!</definedName>
    <definedName name="pShowAllUnposted" localSheetId="9">#REF!</definedName>
    <definedName name="pShowAllUnposted" localSheetId="7">#REF!</definedName>
    <definedName name="pShowAllUnposted" localSheetId="10">#REF!</definedName>
    <definedName name="pShowAllUnposted" localSheetId="12">#REF!</definedName>
    <definedName name="pShowAllUnposted" localSheetId="2">#REF!</definedName>
    <definedName name="pShowAllUnposted" localSheetId="5">#REF!</definedName>
    <definedName name="pShowAllUnposted">#REF!</definedName>
    <definedName name="pShowCustomerDetail" localSheetId="20">#REF!</definedName>
    <definedName name="pShowCustomerDetail" localSheetId="8">#REF!</definedName>
    <definedName name="pShowCustomerDetail" localSheetId="9">#REF!</definedName>
    <definedName name="pShowCustomerDetail" localSheetId="7">#REF!</definedName>
    <definedName name="pShowCustomerDetail" localSheetId="10">#REF!</definedName>
    <definedName name="pShowCustomerDetail" localSheetId="12">#REF!</definedName>
    <definedName name="pShowCustomerDetail" localSheetId="5">#REF!</definedName>
    <definedName name="pShowCustomerDetail">#REF!</definedName>
    <definedName name="pSortOption" localSheetId="20">#REF!</definedName>
    <definedName name="pSortOption" localSheetId="8">#REF!</definedName>
    <definedName name="pSortOption" localSheetId="9">#REF!</definedName>
    <definedName name="pSortOption" localSheetId="7">#REF!</definedName>
    <definedName name="pSortOption" localSheetId="10">#REF!</definedName>
    <definedName name="pSortOption" localSheetId="12">#REF!</definedName>
    <definedName name="pSortOption" localSheetId="5">#REF!</definedName>
    <definedName name="pSortOption">#REF!</definedName>
    <definedName name="pStartPostDate" localSheetId="20">#REF!</definedName>
    <definedName name="pStartPostDate" localSheetId="8">#REF!</definedName>
    <definedName name="pStartPostDate" localSheetId="9">#REF!</definedName>
    <definedName name="pStartPostDate" localSheetId="7">#REF!</definedName>
    <definedName name="pStartPostDate" localSheetId="10">#REF!</definedName>
    <definedName name="pStartPostDate" localSheetId="12">#REF!</definedName>
    <definedName name="pStartPostDate" localSheetId="5">#REF!</definedName>
    <definedName name="pStartPostDate">#REF!</definedName>
    <definedName name="pTransType" localSheetId="20">#REF!</definedName>
    <definedName name="pTransType" localSheetId="8">#REF!</definedName>
    <definedName name="pTransType" localSheetId="9">#REF!</definedName>
    <definedName name="pTransType" localSheetId="7">#REF!</definedName>
    <definedName name="pTransType" localSheetId="10">#REF!</definedName>
    <definedName name="pTransType" localSheetId="12">#REF!</definedName>
    <definedName name="pTransType" localSheetId="5">#REF!</definedName>
    <definedName name="pTransType">#REF!</definedName>
    <definedName name="RCW_81.04.080">#N/A</definedName>
    <definedName name="RecyDisposal">#N/A</definedName>
    <definedName name="Reg_Cust_Billed_Percent" localSheetId="12">'[28]Consolidated IS 2009 2010'!$AK$20</definedName>
    <definedName name="Reg_Cust_Billed_Percent" localSheetId="4">'[28]Consolidated IS 2009 2010'!$AK$20</definedName>
    <definedName name="Reg_Cust_Billed_Percent" localSheetId="13">'[28]Consolidated IS 2009 2010'!$AK$20</definedName>
    <definedName name="Reg_Cust_Billed_Percent" localSheetId="11">'[28]Consolidated IS 2009 2010'!$AK$20</definedName>
    <definedName name="Reg_Cust_Billed_Percent">'[29]Consolidated IS 2009 2010'!$AK$20</definedName>
    <definedName name="Reg_Cust_Percent" localSheetId="12">'[28]Consolidated IS 2009 2010'!$AC$20</definedName>
    <definedName name="Reg_Cust_Percent" localSheetId="4">'[28]Consolidated IS 2009 2010'!$AC$20</definedName>
    <definedName name="Reg_Cust_Percent" localSheetId="13">'[28]Consolidated IS 2009 2010'!$AC$20</definedName>
    <definedName name="Reg_Cust_Percent" localSheetId="11">'[28]Consolidated IS 2009 2010'!$AC$20</definedName>
    <definedName name="Reg_Cust_Percent">'[29]Consolidated IS 2009 2010'!$AC$20</definedName>
    <definedName name="Reg_Drive_Percent" localSheetId="12">'[28]Consolidated IS 2009 2010'!$AC$40</definedName>
    <definedName name="Reg_Drive_Percent" localSheetId="4">'[28]Consolidated IS 2009 2010'!$AC$40</definedName>
    <definedName name="Reg_Drive_Percent" localSheetId="13">'[28]Consolidated IS 2009 2010'!$AC$40</definedName>
    <definedName name="Reg_Drive_Percent" localSheetId="11">'[28]Consolidated IS 2009 2010'!$AC$40</definedName>
    <definedName name="Reg_Drive_Percent">'[29]Consolidated IS 2009 2010'!$AC$40</definedName>
    <definedName name="Reg_Haul_Rev_Percent" localSheetId="12">'[28]Consolidated IS 2009 2010'!$Z$18</definedName>
    <definedName name="Reg_Haul_Rev_Percent" localSheetId="4">'[28]Consolidated IS 2009 2010'!$Z$18</definedName>
    <definedName name="Reg_Haul_Rev_Percent" localSheetId="13">'[28]Consolidated IS 2009 2010'!$Z$18</definedName>
    <definedName name="Reg_Haul_Rev_Percent" localSheetId="11">'[28]Consolidated IS 2009 2010'!$Z$18</definedName>
    <definedName name="Reg_Haul_Rev_Percent">'[29]Consolidated IS 2009 2010'!$Z$18</definedName>
    <definedName name="Reg_Lab_Percent" localSheetId="12">'[28]Consolidated IS 2009 2010'!$AC$39</definedName>
    <definedName name="Reg_Lab_Percent" localSheetId="4">'[28]Consolidated IS 2009 2010'!$AC$39</definedName>
    <definedName name="Reg_Lab_Percent" localSheetId="13">'[28]Consolidated IS 2009 2010'!$AC$39</definedName>
    <definedName name="Reg_Lab_Percent" localSheetId="11">'[28]Consolidated IS 2009 2010'!$AC$39</definedName>
    <definedName name="Reg_Lab_Percent">'[29]Consolidated IS 2009 2010'!$AC$39</definedName>
    <definedName name="Reg_Steel_Cont_Percent" localSheetId="12">'[28]Consolidated IS 2009 2010'!$AE$120</definedName>
    <definedName name="Reg_Steel_Cont_Percent" localSheetId="4">'[28]Consolidated IS 2009 2010'!$AE$120</definedName>
    <definedName name="Reg_Steel_Cont_Percent" localSheetId="13">'[28]Consolidated IS 2009 2010'!$AE$120</definedName>
    <definedName name="Reg_Steel_Cont_Percent" localSheetId="11">'[28]Consolidated IS 2009 2010'!$AE$120</definedName>
    <definedName name="Reg_Steel_Cont_Percent">'[29]Consolidated IS 2009 2010'!$AE$120</definedName>
    <definedName name="RegulatedIS" localSheetId="12">'[28]2009 IS'!$A$12:$Q$655</definedName>
    <definedName name="RegulatedIS" localSheetId="4">'[28]2009 IS'!$A$12:$Q$655</definedName>
    <definedName name="RegulatedIS" localSheetId="13">'[28]2009 IS'!$A$12:$Q$655</definedName>
    <definedName name="RegulatedIS" localSheetId="11">'[28]2009 IS'!$A$12:$Q$655</definedName>
    <definedName name="RegulatedIS">'[29]2009 IS'!$A$12:$Q$655</definedName>
    <definedName name="RelatedSalary">#N/A</definedName>
    <definedName name="report_type">[1]Orientation!$C$24</definedName>
    <definedName name="ReportNames" localSheetId="2">[15]ControlPanel!$X$2:$X$8</definedName>
    <definedName name="ReportNames" localSheetId="13">[15]ControlPanel!$X$2:$X$8</definedName>
    <definedName name="ReportNames" localSheetId="0">[30]ControlPanel!$S$2:$S$16</definedName>
    <definedName name="ReportNames" localSheetId="3">[15]ControlPanel!$X$2:$X$8</definedName>
    <definedName name="ReportNames" localSheetId="11">[15]ControlPanel!$X$2:$X$8</definedName>
    <definedName name="ReportVersion">[1]Settings!$D$5</definedName>
    <definedName name="ReslStaffPriceOut" localSheetId="8">'[14]Price Out-Reg EASTSIDE-Resi'!#REF!</definedName>
    <definedName name="ReslStaffPriceOut" localSheetId="9">'[14]Price Out-Reg EASTSIDE-Resi'!#REF!</definedName>
    <definedName name="ReslStaffPriceOut" localSheetId="10">'[14]Price Out-Reg EASTSIDE-Resi'!#REF!</definedName>
    <definedName name="ReslStaffPriceOut">'[14]Price Out-Reg EASTSIDE-Resi'!#REF!</definedName>
    <definedName name="RetainedEarnings" localSheetId="14">#REF!</definedName>
    <definedName name="RetainedEarnings" localSheetId="20">#REF!</definedName>
    <definedName name="RetainedEarnings" localSheetId="8">#REF!</definedName>
    <definedName name="RetainedEarnings" localSheetId="9">#REF!</definedName>
    <definedName name="RetainedEarnings" localSheetId="7">#REF!</definedName>
    <definedName name="RetainedEarnings" localSheetId="10">#REF!</definedName>
    <definedName name="RetainedEarnings" localSheetId="12">#REF!</definedName>
    <definedName name="RetainedEarnings" localSheetId="2">#REF!</definedName>
    <definedName name="RetainedEarnings" localSheetId="5">#REF!</definedName>
    <definedName name="RetainedEarnings" localSheetId="3">#REF!</definedName>
    <definedName name="RetainedEarnings">#REF!</definedName>
    <definedName name="RevCust" localSheetId="14">[31]RevenuesCust!#REF!</definedName>
    <definedName name="RevCust" localSheetId="20">[32]RevenuesCust!#REF!</definedName>
    <definedName name="RevCust" localSheetId="8">[33]RevenuesCust!#REF!</definedName>
    <definedName name="RevCust" localSheetId="9">[33]RevenuesCust!#REF!</definedName>
    <definedName name="RevCust" localSheetId="7">[33]RevenuesCust!#REF!</definedName>
    <definedName name="RevCust" localSheetId="10">[33]RevenuesCust!#REF!</definedName>
    <definedName name="RevCust" localSheetId="12">[31]RevenuesCust!#REF!</definedName>
    <definedName name="RevCust" localSheetId="4">[31]RevenuesCust!#REF!</definedName>
    <definedName name="RevCust" localSheetId="2">[34]RevenuesCust!#REF!</definedName>
    <definedName name="RevCust" localSheetId="13">[34]RevenuesCust!#REF!</definedName>
    <definedName name="RevCust" localSheetId="11">[34]RevenuesCust!#REF!</definedName>
    <definedName name="RevCust">[33]RevenuesCust!#REF!</definedName>
    <definedName name="RevCustomer" localSheetId="20">#REF!</definedName>
    <definedName name="RevCustomer" localSheetId="8">#REF!</definedName>
    <definedName name="RevCustomer" localSheetId="9">#REF!</definedName>
    <definedName name="RevCustomer" localSheetId="7">#REF!</definedName>
    <definedName name="RevCustomer" localSheetId="10">#REF!</definedName>
    <definedName name="RevCustomer" localSheetId="12">#REF!</definedName>
    <definedName name="RevCustomer" localSheetId="2">#REF!</definedName>
    <definedName name="RevCustomer" localSheetId="5">#REF!</definedName>
    <definedName name="RevCustomer" localSheetId="13">#REF!</definedName>
    <definedName name="RevCustomer" localSheetId="11">#REF!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14">#REF!</definedName>
    <definedName name="sortcol" localSheetId="20">#REF!</definedName>
    <definedName name="sortcol" localSheetId="17">#REF!</definedName>
    <definedName name="sortcol" localSheetId="8">#REF!</definedName>
    <definedName name="sortcol" localSheetId="9">#REF!</definedName>
    <definedName name="sortcol" localSheetId="7">#REF!</definedName>
    <definedName name="sortcol" localSheetId="10">#REF!</definedName>
    <definedName name="sortcol" localSheetId="6">#REF!</definedName>
    <definedName name="sortcol" localSheetId="12">#REF!</definedName>
    <definedName name="sortcol" localSheetId="4">#REF!</definedName>
    <definedName name="sortcol" localSheetId="2">#REF!</definedName>
    <definedName name="sortcol" localSheetId="5">#REF!</definedName>
    <definedName name="sortcol" localSheetId="13">#REF!</definedName>
    <definedName name="sortcol" localSheetId="3">'[24]IS-2120'!#REF!</definedName>
    <definedName name="sortcol" localSheetId="11">#REF!</definedName>
    <definedName name="sortcol">#REF!</definedName>
    <definedName name="sSRCDate" localSheetId="20">'[35]Feb''12 FAR Data'!#REF!</definedName>
    <definedName name="sSRCDate" localSheetId="8">'[36]Feb''12 FAR Data'!#REF!</definedName>
    <definedName name="sSRCDate" localSheetId="9">'[36]Feb''12 FAR Data'!#REF!</definedName>
    <definedName name="sSRCDate" localSheetId="7">'[36]Feb''12 FAR Data'!#REF!</definedName>
    <definedName name="sSRCDate" localSheetId="10">'[36]Feb''12 FAR Data'!#REF!</definedName>
    <definedName name="sSRCDate" localSheetId="12">'[37]Feb''12 FAR Data'!#REF!</definedName>
    <definedName name="sSRCDate" localSheetId="4">'[37]Feb''12 FAR Data'!#REF!</definedName>
    <definedName name="sSRCDate" localSheetId="2">'[35]Feb''12 FAR Data'!#REF!</definedName>
    <definedName name="sSRCDate" localSheetId="5">'[35]Feb''12 FAR Data'!#REF!</definedName>
    <definedName name="sSRCDate" localSheetId="13">'[35]Feb''12 FAR Data'!#REF!</definedName>
    <definedName name="sSRCDate" localSheetId="11">'[35]Feb''12 FAR Data'!#REF!</definedName>
    <definedName name="sSRCDate">'[36]Feb''12 FAR Data'!#REF!</definedName>
    <definedName name="SubSystems" localSheetId="26">'70149 Detail'!$M$15</definedName>
    <definedName name="SubSystems" localSheetId="28">'70195 Detail'!$M$15</definedName>
    <definedName name="SubSystems" localSheetId="29">'70255 Detail'!$M$15</definedName>
    <definedName name="SubSystems" localSheetId="25">'July Fuel'!$M$15</definedName>
    <definedName name="SubSystems" localSheetId="15">#REF!</definedName>
    <definedName name="SubSystems">'70095 Detail'!$M$15</definedName>
    <definedName name="Supplemental_filter">[1]Settings!$C$31</definedName>
    <definedName name="SWDisposal">#N/A</definedName>
    <definedName name="System" localSheetId="30">'6.30.16 BS'!$V$8</definedName>
    <definedName name="System" localSheetId="17">[38]BS_Close!$V$8</definedName>
    <definedName name="System" localSheetId="8">#REF!</definedName>
    <definedName name="System" localSheetId="9">#REF!</definedName>
    <definedName name="System" localSheetId="10">#REF!</definedName>
    <definedName name="System" localSheetId="6">[38]BS_Close!$V$8</definedName>
    <definedName name="System" localSheetId="12">[38]BS_Close!$V$8</definedName>
    <definedName name="System" localSheetId="2">[38]BS_Close!$V$8</definedName>
    <definedName name="System" localSheetId="21">'Region OH Calc'!$O$2</definedName>
    <definedName name="System" localSheetId="13">[38]BS_Close!$V$8</definedName>
    <definedName name="System" localSheetId="0">'Yakima BS'!#REF!</definedName>
    <definedName name="System" localSheetId="1">'Yakima IS'!$P$2</definedName>
    <definedName name="System" localSheetId="11">[38]BS_Close!$V$8</definedName>
    <definedName name="Systems" localSheetId="26">'70149 Detail'!$M$14</definedName>
    <definedName name="Systems" localSheetId="28">'70195 Detail'!$M$14</definedName>
    <definedName name="Systems" localSheetId="29">'70255 Detail'!$M$14</definedName>
    <definedName name="Systems" localSheetId="25">'July Fuel'!$M$14</definedName>
    <definedName name="Systems" localSheetId="15">#REF!</definedName>
    <definedName name="Systems">'70095 Detail'!$M$14</definedName>
    <definedName name="TemplateEnd" localSheetId="20">#REF!</definedName>
    <definedName name="TemplateEnd" localSheetId="8">#REF!</definedName>
    <definedName name="TemplateEnd" localSheetId="9">#REF!</definedName>
    <definedName name="TemplateEnd" localSheetId="7">#REF!</definedName>
    <definedName name="TemplateEnd" localSheetId="10">#REF!</definedName>
    <definedName name="TemplateEnd" localSheetId="12">#REF!</definedName>
    <definedName name="TemplateEnd" localSheetId="2">#REF!</definedName>
    <definedName name="TemplateEnd" localSheetId="5">#REF!</definedName>
    <definedName name="TemplateEnd">#REF!</definedName>
    <definedName name="TemplateStart" localSheetId="20">#REF!</definedName>
    <definedName name="TemplateStart" localSheetId="8">#REF!</definedName>
    <definedName name="TemplateStart" localSheetId="9">#REF!</definedName>
    <definedName name="TemplateStart" localSheetId="7">#REF!</definedName>
    <definedName name="TemplateStart" localSheetId="10">#REF!</definedName>
    <definedName name="TemplateStart" localSheetId="12">#REF!</definedName>
    <definedName name="TemplateStart" localSheetId="2">#REF!</definedName>
    <definedName name="TemplateStart" localSheetId="5">#REF!</definedName>
    <definedName name="TemplateStart">#REF!</definedName>
    <definedName name="TheTable" localSheetId="20">#REF!</definedName>
    <definedName name="TheTable" localSheetId="8">#REF!</definedName>
    <definedName name="TheTable" localSheetId="9">#REF!</definedName>
    <definedName name="TheTable" localSheetId="7">#REF!</definedName>
    <definedName name="TheTable" localSheetId="10">#REF!</definedName>
    <definedName name="TheTable" localSheetId="12">#REF!</definedName>
    <definedName name="TheTable" localSheetId="2">#REF!</definedName>
    <definedName name="TheTable" localSheetId="5">#REF!</definedName>
    <definedName name="TheTable" localSheetId="3">#REF!</definedName>
    <definedName name="TheTable" localSheetId="15">#REF!</definedName>
    <definedName name="TheTable">#REF!</definedName>
    <definedName name="TheTableOLD" localSheetId="14">#REF!</definedName>
    <definedName name="TheTableOLD" localSheetId="20">#REF!</definedName>
    <definedName name="TheTableOLD" localSheetId="8">#REF!</definedName>
    <definedName name="TheTableOLD" localSheetId="9">#REF!</definedName>
    <definedName name="TheTableOLD" localSheetId="7">#REF!</definedName>
    <definedName name="TheTableOLD" localSheetId="10">#REF!</definedName>
    <definedName name="TheTableOLD" localSheetId="12">#REF!</definedName>
    <definedName name="TheTableOLD" localSheetId="5">#REF!</definedName>
    <definedName name="TheTableOLD" localSheetId="3">#REF!</definedName>
    <definedName name="TheTableOLD" localSheetId="15">#REF!</definedName>
    <definedName name="TheTableOLD">#REF!</definedName>
    <definedName name="timeseries">[1]Orientation!$B$6:$C$13</definedName>
    <definedName name="ToMonth" localSheetId="26">'70149 Detail'!$G$8</definedName>
    <definedName name="ToMonth" localSheetId="28">'70195 Detail'!$G$8</definedName>
    <definedName name="ToMonth" localSheetId="29">'70255 Detail'!$G$8</definedName>
    <definedName name="ToMonth" localSheetId="25">'July Fuel'!$G$8</definedName>
    <definedName name="ToMonth" localSheetId="15">#REF!</definedName>
    <definedName name="ToMonth">'70095 Detail'!$G$8</definedName>
    <definedName name="Tons" localSheetId="17">#REF!</definedName>
    <definedName name="Tons" localSheetId="8">#REF!</definedName>
    <definedName name="Tons" localSheetId="9">#REF!</definedName>
    <definedName name="Tons" localSheetId="7">#REF!</definedName>
    <definedName name="Tons" localSheetId="10">#REF!</definedName>
    <definedName name="Tons" localSheetId="6">#REF!</definedName>
    <definedName name="Tons" localSheetId="12">#REF!</definedName>
    <definedName name="Tons" localSheetId="4">#REF!</definedName>
    <definedName name="Tons" localSheetId="13">#REF!</definedName>
    <definedName name="Tons" localSheetId="11">#REF!</definedName>
    <definedName name="Tons">#REF!</definedName>
    <definedName name="Total_Comm" localSheetId="20">'[11]Tariff Rate Sheet'!$L$214</definedName>
    <definedName name="Total_Comm" localSheetId="8">'[12]Tariff Rate Sheet'!$L$214</definedName>
    <definedName name="Total_Comm" localSheetId="9">'[12]Tariff Rate Sheet'!$L$214</definedName>
    <definedName name="Total_Comm" localSheetId="7">'[12]Tariff Rate Sheet'!$L$214</definedName>
    <definedName name="Total_Comm" localSheetId="10">'[12]Tariff Rate Sheet'!$L$214</definedName>
    <definedName name="Total_Comm" localSheetId="12">'[13]Tariff Rate Sheet'!$L$214</definedName>
    <definedName name="Total_Comm" localSheetId="4">'[13]Tariff Rate Sheet'!$L$214</definedName>
    <definedName name="Total_Comm" localSheetId="2">'[13]Tariff Rate Sheet'!$L$214</definedName>
    <definedName name="Total_Comm" localSheetId="13">'[13]Tariff Rate Sheet'!$L$214</definedName>
    <definedName name="Total_Comm" localSheetId="11">'[13]Tariff Rate Sheet'!$L$214</definedName>
    <definedName name="Total_Comm">'[12]Tariff Rate Sheet'!$L$214</definedName>
    <definedName name="Total_DB" localSheetId="20">'[11]Tariff Rate Sheet'!$L$278</definedName>
    <definedName name="Total_DB" localSheetId="8">'[12]Tariff Rate Sheet'!$L$278</definedName>
    <definedName name="Total_DB" localSheetId="9">'[12]Tariff Rate Sheet'!$L$278</definedName>
    <definedName name="Total_DB" localSheetId="7">'[12]Tariff Rate Sheet'!$L$278</definedName>
    <definedName name="Total_DB" localSheetId="10">'[12]Tariff Rate Sheet'!$L$278</definedName>
    <definedName name="Total_DB" localSheetId="12">'[13]Tariff Rate Sheet'!$L$278</definedName>
    <definedName name="Total_DB" localSheetId="4">'[13]Tariff Rate Sheet'!$L$278</definedName>
    <definedName name="Total_DB" localSheetId="2">'[13]Tariff Rate Sheet'!$L$278</definedName>
    <definedName name="Total_DB" localSheetId="13">'[13]Tariff Rate Sheet'!$L$278</definedName>
    <definedName name="Total_DB" localSheetId="11">'[13]Tariff Rate Sheet'!$L$278</definedName>
    <definedName name="Total_DB">'[12]Tariff Rate Sheet'!$L$278</definedName>
    <definedName name="Total_Resi" localSheetId="20">'[11]Tariff Rate Sheet'!$L$107</definedName>
    <definedName name="Total_Resi" localSheetId="8">'[12]Tariff Rate Sheet'!$L$107</definedName>
    <definedName name="Total_Resi" localSheetId="9">'[12]Tariff Rate Sheet'!$L$107</definedName>
    <definedName name="Total_Resi" localSheetId="7">'[12]Tariff Rate Sheet'!$L$107</definedName>
    <definedName name="Total_Resi" localSheetId="10">'[12]Tariff Rate Sheet'!$L$107</definedName>
    <definedName name="Total_Resi" localSheetId="12">'[13]Tariff Rate Sheet'!$L$107</definedName>
    <definedName name="Total_Resi" localSheetId="4">'[13]Tariff Rate Sheet'!$L$107</definedName>
    <definedName name="Total_Resi" localSheetId="2">'[13]Tariff Rate Sheet'!$L$107</definedName>
    <definedName name="Total_Resi" localSheetId="13">'[13]Tariff Rate Sheet'!$L$107</definedName>
    <definedName name="Total_Resi" localSheetId="11">'[13]Tariff Rate Sheet'!$L$107</definedName>
    <definedName name="Total_Resi">'[12]Tariff Rate Sheet'!$L$107</definedName>
    <definedName name="Transactions" localSheetId="20">#REF!</definedName>
    <definedName name="Transactions" localSheetId="8">#REF!</definedName>
    <definedName name="Transactions" localSheetId="9">#REF!</definedName>
    <definedName name="Transactions" localSheetId="7">#REF!</definedName>
    <definedName name="Transactions" localSheetId="10">#REF!</definedName>
    <definedName name="Transactions" localSheetId="12">#REF!</definedName>
    <definedName name="Transactions" localSheetId="2">#REF!</definedName>
    <definedName name="Transactions" localSheetId="5">#REF!</definedName>
    <definedName name="Transactions">#REF!</definedName>
    <definedName name="UnregulatedIS" localSheetId="12">'[28]2010 IS'!$A$12:$Q$654</definedName>
    <definedName name="UnregulatedIS" localSheetId="4">'[28]2010 IS'!$A$12:$Q$654</definedName>
    <definedName name="UnregulatedIS" localSheetId="13">'[28]2010 IS'!$A$12:$Q$654</definedName>
    <definedName name="UnregulatedIS" localSheetId="11">'[28]2010 IS'!$A$12:$Q$654</definedName>
    <definedName name="UnregulatedIS">'[29]2010 IS'!$A$12:$Q$654</definedName>
    <definedName name="VendorCode" localSheetId="26">'70149 Detail'!$P$12</definedName>
    <definedName name="VendorCode" localSheetId="28">'70195 Detail'!$P$12</definedName>
    <definedName name="VendorCode" localSheetId="29">'70255 Detail'!$P$12</definedName>
    <definedName name="VendorCode" localSheetId="25">'July Fuel'!$P$12</definedName>
    <definedName name="VendorCode" localSheetId="15">#REF!</definedName>
    <definedName name="VendorCode">'70095 Detail'!$P$12</definedName>
    <definedName name="Version" localSheetId="20">[19]Data!#REF!</definedName>
    <definedName name="Version" localSheetId="17">[21]Data!#REF!</definedName>
    <definedName name="Version" localSheetId="8">[21]Data!#REF!</definedName>
    <definedName name="Version" localSheetId="9">[21]Data!#REF!</definedName>
    <definedName name="Version" localSheetId="7">[21]Data!#REF!</definedName>
    <definedName name="Version" localSheetId="10">[21]Data!#REF!</definedName>
    <definedName name="Version" localSheetId="6">[21]Data!#REF!</definedName>
    <definedName name="Version" localSheetId="12">[20]Data!#REF!</definedName>
    <definedName name="Version" localSheetId="4">[20]Data!#REF!</definedName>
    <definedName name="Version" localSheetId="2">[21]Data!#REF!</definedName>
    <definedName name="Version" localSheetId="5">[21]Data!#REF!</definedName>
    <definedName name="Version" localSheetId="13">[20]Data!#REF!</definedName>
    <definedName name="Version" localSheetId="11">[20]Data!#REF!</definedName>
    <definedName name="Version">[21]Data!#REF!</definedName>
    <definedName name="wrn.PrintReview."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0"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2"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3"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1"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0"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2"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3"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1"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1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9"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2"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4"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3"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1"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17" hidden="1">{"Page1",#N/A,TRUE,"SUMM";"Page2",#N/A,TRUE,"Rev";"Page3",#N/A,TRUE,"Dir_Costs"}</definedName>
    <definedName name="wrn.test." localSheetId="8" hidden="1">{"Page1",#N/A,TRUE,"SUMM";"Page2",#N/A,TRUE,"Rev";"Page3",#N/A,TRUE,"Dir_Costs"}</definedName>
    <definedName name="wrn.test." localSheetId="9" hidden="1">{"Page1",#N/A,TRUE,"SUMM";"Page2",#N/A,TRUE,"Rev";"Page3",#N/A,TRUE,"Dir_Costs"}</definedName>
    <definedName name="wrn.test." localSheetId="7" hidden="1">{"Page1",#N/A,TRUE,"SUMM";"Page2",#N/A,TRUE,"Rev";"Page3",#N/A,TRUE,"Dir_Costs"}</definedName>
    <definedName name="wrn.test." localSheetId="10" hidden="1">{"Page1",#N/A,TRUE,"SUMM";"Page2",#N/A,TRUE,"Rev";"Page3",#N/A,TRUE,"Dir_Costs"}</definedName>
    <definedName name="wrn.test." localSheetId="6" hidden="1">{"Page1",#N/A,TRUE,"SUMM";"Page2",#N/A,TRUE,"Rev";"Page3",#N/A,TRUE,"Dir_Costs"}</definedName>
    <definedName name="wrn.test." localSheetId="12" hidden="1">{"Page1",#N/A,TRUE,"SUMM";"Page2",#N/A,TRUE,"Rev";"Page3",#N/A,TRUE,"Dir_Costs"}</definedName>
    <definedName name="wrn.test." localSheetId="4" hidden="1">{"Page1",#N/A,TRUE,"SUMM";"Page2",#N/A,TRUE,"Rev";"Page3",#N/A,TRUE,"Dir_Costs"}</definedName>
    <definedName name="wrn.test." localSheetId="13" hidden="1">{"Page1",#N/A,TRUE,"SUMM";"Page2",#N/A,TRUE,"Rev";"Page3",#N/A,TRUE,"Dir_Costs"}</definedName>
    <definedName name="wrn.test." localSheetId="11" hidden="1">{"Page1",#N/A,TRUE,"SUMM";"Page2",#N/A,TRUE,"Rev";"Page3",#N/A,TRUE,"Dir_Costs"}</definedName>
    <definedName name="wrn.test." hidden="1">{"Page1",#N/A,TRUE,"SUMM";"Page2",#N/A,TRUE,"Rev";"Page3",#N/A,TRUE,"Dir_Costs"}</definedName>
    <definedName name="WTable" localSheetId="14">#REF!</definedName>
    <definedName name="WTable" localSheetId="20">#REF!</definedName>
    <definedName name="WTable" localSheetId="8">#REF!</definedName>
    <definedName name="WTable" localSheetId="9">#REF!</definedName>
    <definedName name="WTable" localSheetId="7">#REF!</definedName>
    <definedName name="WTable" localSheetId="10">#REF!</definedName>
    <definedName name="WTable" localSheetId="12">#REF!</definedName>
    <definedName name="WTable" localSheetId="2">#REF!</definedName>
    <definedName name="WTable" localSheetId="5">#REF!</definedName>
    <definedName name="WTable" localSheetId="3">#REF!</definedName>
    <definedName name="WTable" localSheetId="15">#REF!</definedName>
    <definedName name="WTable">#REF!</definedName>
    <definedName name="WTableOld" localSheetId="14">#REF!</definedName>
    <definedName name="WTableOld" localSheetId="20">#REF!</definedName>
    <definedName name="WTableOld" localSheetId="8">#REF!</definedName>
    <definedName name="WTableOld" localSheetId="9">#REF!</definedName>
    <definedName name="WTableOld" localSheetId="7">#REF!</definedName>
    <definedName name="WTableOld" localSheetId="10">#REF!</definedName>
    <definedName name="WTableOld" localSheetId="12">#REF!</definedName>
    <definedName name="WTableOld" localSheetId="2">#REF!</definedName>
    <definedName name="WTableOld" localSheetId="5">#REF!</definedName>
    <definedName name="WTableOld" localSheetId="3">#REF!</definedName>
    <definedName name="WTableOld" localSheetId="15">#REF!</definedName>
    <definedName name="WTableOld">#REF!</definedName>
    <definedName name="ww" localSheetId="20">#REF!</definedName>
    <definedName name="ww" localSheetId="8">#REF!</definedName>
    <definedName name="ww" localSheetId="9">#REF!</definedName>
    <definedName name="ww" localSheetId="7">#REF!</definedName>
    <definedName name="ww" localSheetId="10">#REF!</definedName>
    <definedName name="ww" localSheetId="12">#REF!</definedName>
    <definedName name="ww" localSheetId="2">#REF!</definedName>
    <definedName name="ww" localSheetId="5">#REF!</definedName>
    <definedName name="ww">#REF!</definedName>
    <definedName name="xperiod">[1]Orientation!$G$15</definedName>
    <definedName name="xtabin" localSheetId="14">[4]Hidden!#REF!</definedName>
    <definedName name="xtabin" localSheetId="20">[5]Hidden!#REF!</definedName>
    <definedName name="xtabin" localSheetId="8">[6]Hidden!#REF!</definedName>
    <definedName name="xtabin" localSheetId="9">[6]Hidden!#REF!</definedName>
    <definedName name="xtabin" localSheetId="7">[6]Hidden!#REF!</definedName>
    <definedName name="xtabin" localSheetId="10">[6]Hidden!#REF!</definedName>
    <definedName name="xtabin" localSheetId="12">[4]Hidden!#REF!</definedName>
    <definedName name="xtabin" localSheetId="4">[4]Hidden!#REF!</definedName>
    <definedName name="xtabin" localSheetId="2">[7]Hidden!#REF!</definedName>
    <definedName name="xtabin" localSheetId="13">[7]Hidden!#REF!</definedName>
    <definedName name="xtabin" localSheetId="3">[6]Hidden!#REF!</definedName>
    <definedName name="xtabin" localSheetId="11">[7]Hidden!#REF!</definedName>
    <definedName name="xtabin">[6]Hidden!#REF!</definedName>
    <definedName name="xx" localSheetId="14">#REF!</definedName>
    <definedName name="xx" localSheetId="20">#REF!</definedName>
    <definedName name="xx" localSheetId="8">#REF!</definedName>
    <definedName name="xx" localSheetId="9">#REF!</definedName>
    <definedName name="xx" localSheetId="7">#REF!</definedName>
    <definedName name="xx" localSheetId="10">#REF!</definedName>
    <definedName name="xx" localSheetId="12">#REF!</definedName>
    <definedName name="xx" localSheetId="2">#REF!</definedName>
    <definedName name="xx" localSheetId="5">#REF!</definedName>
    <definedName name="xx" localSheetId="3">#REF!</definedName>
    <definedName name="xx">#REF!</definedName>
    <definedName name="xxx" localSheetId="20">#REF!</definedName>
    <definedName name="xxx" localSheetId="8">#REF!</definedName>
    <definedName name="xxx" localSheetId="9">#REF!</definedName>
    <definedName name="xxx" localSheetId="7">#REF!</definedName>
    <definedName name="xxx" localSheetId="10">#REF!</definedName>
    <definedName name="xxx" localSheetId="12">#REF!</definedName>
    <definedName name="xxx" localSheetId="2">#REF!</definedName>
    <definedName name="xxx" localSheetId="5">#REF!</definedName>
    <definedName name="xxx">#REF!</definedName>
    <definedName name="xxxx" localSheetId="20">#REF!</definedName>
    <definedName name="xxxx" localSheetId="8">#REF!</definedName>
    <definedName name="xxxx" localSheetId="9">#REF!</definedName>
    <definedName name="xxxx" localSheetId="7">#REF!</definedName>
    <definedName name="xxxx" localSheetId="10">#REF!</definedName>
    <definedName name="xxxx" localSheetId="12">#REF!</definedName>
    <definedName name="xxxx" localSheetId="2">#REF!</definedName>
    <definedName name="xxxx" localSheetId="5">#REF!</definedName>
    <definedName name="xxxx">#REF!</definedName>
    <definedName name="YearMonth" localSheetId="30">'6.30.16 BS'!$D$9</definedName>
    <definedName name="YearMonth" localSheetId="20">'[22]Vashon BS'!#REF!</definedName>
    <definedName name="YearMonth" localSheetId="17">'[22]Vashon BS'!#REF!</definedName>
    <definedName name="YearMonth" localSheetId="8">'[22]Vashon BS'!#REF!</definedName>
    <definedName name="YearMonth" localSheetId="9">'[22]Vashon BS'!#REF!</definedName>
    <definedName name="YearMonth" localSheetId="7">'[22]Vashon BS'!#REF!</definedName>
    <definedName name="YearMonth" localSheetId="10">'[22]Vashon BS'!#REF!</definedName>
    <definedName name="YearMonth" localSheetId="6">'[22]Vashon BS'!#REF!</definedName>
    <definedName name="YearMonth" localSheetId="12">'[23]Vashon BS'!#REF!</definedName>
    <definedName name="YearMonth" localSheetId="4">'[23]Vashon BS'!#REF!</definedName>
    <definedName name="YearMonth" localSheetId="2">'[23]Vashon BS'!#REF!</definedName>
    <definedName name="YearMonth" localSheetId="21">'Region OH Calc'!$A$3</definedName>
    <definedName name="YearMonth" localSheetId="5">'[22]Vashon BS'!#REF!</definedName>
    <definedName name="YearMonth" localSheetId="13">'[23]Vashon BS'!#REF!</definedName>
    <definedName name="YearMonth" localSheetId="0">'Yakima BS'!$A$3</definedName>
    <definedName name="YearMonth" localSheetId="1">'Yakima IS'!$B$3</definedName>
    <definedName name="YearMonth" localSheetId="11">'[23]Vashon BS'!#REF!</definedName>
    <definedName name="YWMedWasteDisp">#N/A</definedName>
    <definedName name="yy" localSheetId="20">#REF!</definedName>
    <definedName name="yy" localSheetId="8">#REF!</definedName>
    <definedName name="yy" localSheetId="9">#REF!</definedName>
    <definedName name="yy" localSheetId="7">#REF!</definedName>
    <definedName name="yy" localSheetId="10">#REF!</definedName>
    <definedName name="yy" localSheetId="12">#REF!</definedName>
    <definedName name="yy" localSheetId="2">#REF!</definedName>
    <definedName name="yy" localSheetId="5">#REF!</definedName>
    <definedName name="yy" localSheetId="13">#REF!</definedName>
    <definedName name="yy" localSheetId="11">#REF!</definedName>
    <definedName name="yy">#REF!</definedName>
  </definedNames>
  <calcPr calcId="145621" concurrentManualCount="4"/>
  <pivotCaches>
    <pivotCache cacheId="6" r:id="rId70"/>
    <pivotCache cacheId="7" r:id="rId71"/>
    <pivotCache cacheId="8" r:id="rId72"/>
  </pivotCaches>
</workbook>
</file>

<file path=xl/calcChain.xml><?xml version="1.0" encoding="utf-8"?>
<calcChain xmlns="http://schemas.openxmlformats.org/spreadsheetml/2006/main">
  <c r="P224" i="35" l="1"/>
  <c r="P225" i="35"/>
  <c r="P223" i="35"/>
  <c r="P221" i="35"/>
  <c r="P220" i="35"/>
  <c r="P206" i="35"/>
  <c r="P205" i="35"/>
  <c r="P202" i="35"/>
  <c r="P203" i="35"/>
  <c r="P204" i="35"/>
  <c r="P201" i="35"/>
  <c r="P189" i="35"/>
  <c r="P188" i="35"/>
  <c r="P186" i="35"/>
  <c r="P145" i="35"/>
  <c r="P146" i="35"/>
  <c r="P147" i="35"/>
  <c r="P148" i="35"/>
  <c r="P149" i="35"/>
  <c r="P150" i="35"/>
  <c r="P144" i="35"/>
  <c r="P128" i="35"/>
  <c r="P129" i="35"/>
  <c r="P130" i="35"/>
  <c r="P131" i="35"/>
  <c r="P132" i="35"/>
  <c r="P127" i="35"/>
  <c r="J7" i="19" l="1"/>
  <c r="L7" i="19" s="1"/>
  <c r="N7" i="19" s="1"/>
  <c r="P7" i="19" s="1"/>
  <c r="R7" i="19" s="1"/>
  <c r="T7" i="19" s="1"/>
  <c r="V7" i="19" s="1"/>
  <c r="X7" i="19" s="1"/>
  <c r="Z7" i="19" s="1"/>
  <c r="AB7" i="19" s="1"/>
  <c r="AD7" i="19" s="1"/>
  <c r="B124" i="4" l="1"/>
  <c r="B120" i="4"/>
  <c r="AC206" i="37"/>
  <c r="AA206" i="37"/>
  <c r="Y206" i="37"/>
  <c r="W206" i="37"/>
  <c r="U206" i="37"/>
  <c r="S206" i="37"/>
  <c r="Q206" i="37"/>
  <c r="O206" i="37"/>
  <c r="M206" i="37"/>
  <c r="K206" i="37"/>
  <c r="I206" i="37"/>
  <c r="G206" i="37"/>
  <c r="AC196" i="37"/>
  <c r="AA196" i="37"/>
  <c r="Y196" i="37"/>
  <c r="W196" i="37"/>
  <c r="U196" i="37"/>
  <c r="S196" i="37"/>
  <c r="Q196" i="37"/>
  <c r="O196" i="37"/>
  <c r="M196" i="37"/>
  <c r="K196" i="37"/>
  <c r="I196" i="37"/>
  <c r="G196" i="37"/>
  <c r="AC193" i="37"/>
  <c r="AA193" i="37"/>
  <c r="Y193" i="37"/>
  <c r="W193" i="37"/>
  <c r="U193" i="37"/>
  <c r="S193" i="37"/>
  <c r="Q193" i="37"/>
  <c r="O193" i="37"/>
  <c r="M193" i="37"/>
  <c r="K193" i="37"/>
  <c r="I193" i="37"/>
  <c r="G193" i="37"/>
  <c r="AC190" i="37"/>
  <c r="AA190" i="37"/>
  <c r="Y190" i="37"/>
  <c r="W190" i="37"/>
  <c r="U190" i="37"/>
  <c r="S190" i="37"/>
  <c r="Q190" i="37"/>
  <c r="O190" i="37"/>
  <c r="M190" i="37"/>
  <c r="K190" i="37"/>
  <c r="I190" i="37"/>
  <c r="G190" i="37"/>
  <c r="AC187" i="37"/>
  <c r="AA187" i="37"/>
  <c r="Y187" i="37"/>
  <c r="W187" i="37"/>
  <c r="U187" i="37"/>
  <c r="S187" i="37"/>
  <c r="Q187" i="37"/>
  <c r="O187" i="37"/>
  <c r="M187" i="37"/>
  <c r="K187" i="37"/>
  <c r="I187" i="37"/>
  <c r="G187" i="37"/>
  <c r="AC184" i="37"/>
  <c r="AA184" i="37"/>
  <c r="Y184" i="37"/>
  <c r="W184" i="37"/>
  <c r="U184" i="37"/>
  <c r="S184" i="37"/>
  <c r="Q184" i="37"/>
  <c r="O184" i="37"/>
  <c r="M184" i="37"/>
  <c r="K184" i="37"/>
  <c r="I184" i="37"/>
  <c r="G184" i="37"/>
  <c r="AC181" i="37"/>
  <c r="AA181" i="37"/>
  <c r="Y181" i="37"/>
  <c r="W181" i="37"/>
  <c r="U181" i="37"/>
  <c r="S181" i="37"/>
  <c r="Q181" i="37"/>
  <c r="O181" i="37"/>
  <c r="M181" i="37"/>
  <c r="K181" i="37"/>
  <c r="I181" i="37"/>
  <c r="G181" i="37"/>
  <c r="AC178" i="37"/>
  <c r="AC198" i="37" s="1"/>
  <c r="AA178" i="37"/>
  <c r="AA198" i="37" s="1"/>
  <c r="Y178" i="37"/>
  <c r="Y198" i="37" s="1"/>
  <c r="W178" i="37"/>
  <c r="W198" i="37" s="1"/>
  <c r="U178" i="37"/>
  <c r="U198" i="37" s="1"/>
  <c r="S178" i="37"/>
  <c r="S198" i="37" s="1"/>
  <c r="Q178" i="37"/>
  <c r="Q198" i="37" s="1"/>
  <c r="O178" i="37"/>
  <c r="O198" i="37" s="1"/>
  <c r="M178" i="37"/>
  <c r="M198" i="37" s="1"/>
  <c r="K178" i="37"/>
  <c r="K198" i="37" s="1"/>
  <c r="I178" i="37"/>
  <c r="I198" i="37" s="1"/>
  <c r="G178" i="37"/>
  <c r="G198" i="37" s="1"/>
  <c r="AC172" i="37"/>
  <c r="AA172" i="37"/>
  <c r="Y172" i="37"/>
  <c r="W172" i="37"/>
  <c r="U172" i="37"/>
  <c r="S172" i="37"/>
  <c r="Q172" i="37"/>
  <c r="O172" i="37"/>
  <c r="M172" i="37"/>
  <c r="K172" i="37"/>
  <c r="I172" i="37"/>
  <c r="G172" i="37"/>
  <c r="AC169" i="37"/>
  <c r="AA169" i="37"/>
  <c r="Y169" i="37"/>
  <c r="W169" i="37"/>
  <c r="U169" i="37"/>
  <c r="S169" i="37"/>
  <c r="Q169" i="37"/>
  <c r="O169" i="37"/>
  <c r="M169" i="37"/>
  <c r="K169" i="37"/>
  <c r="I169" i="37"/>
  <c r="G169" i="37"/>
  <c r="AC166" i="37"/>
  <c r="AA166" i="37"/>
  <c r="Y166" i="37"/>
  <c r="W166" i="37"/>
  <c r="U166" i="37"/>
  <c r="S166" i="37"/>
  <c r="Q166" i="37"/>
  <c r="O166" i="37"/>
  <c r="M166" i="37"/>
  <c r="K166" i="37"/>
  <c r="I166" i="37"/>
  <c r="G166" i="37"/>
  <c r="AC163" i="37"/>
  <c r="AA163" i="37"/>
  <c r="Y163" i="37"/>
  <c r="W163" i="37"/>
  <c r="U163" i="37"/>
  <c r="S163" i="37"/>
  <c r="Q163" i="37"/>
  <c r="O163" i="37"/>
  <c r="M163" i="37"/>
  <c r="K163" i="37"/>
  <c r="I163" i="37"/>
  <c r="G163" i="37"/>
  <c r="AC160" i="37"/>
  <c r="AA160" i="37"/>
  <c r="Y160" i="37"/>
  <c r="W160" i="37"/>
  <c r="U160" i="37"/>
  <c r="S160" i="37"/>
  <c r="Q160" i="37"/>
  <c r="O160" i="37"/>
  <c r="M160" i="37"/>
  <c r="K160" i="37"/>
  <c r="I160" i="37"/>
  <c r="G160" i="37"/>
  <c r="AC153" i="37"/>
  <c r="AA153" i="37"/>
  <c r="Y153" i="37"/>
  <c r="W153" i="37"/>
  <c r="U153" i="37"/>
  <c r="S153" i="37"/>
  <c r="Q153" i="37"/>
  <c r="O153" i="37"/>
  <c r="M153" i="37"/>
  <c r="K153" i="37"/>
  <c r="I153" i="37"/>
  <c r="G153" i="37"/>
  <c r="AC145" i="37"/>
  <c r="AA145" i="37"/>
  <c r="Y145" i="37"/>
  <c r="W145" i="37"/>
  <c r="U145" i="37"/>
  <c r="S145" i="37"/>
  <c r="Q145" i="37"/>
  <c r="O145" i="37"/>
  <c r="M145" i="37"/>
  <c r="K145" i="37"/>
  <c r="I145" i="37"/>
  <c r="G145" i="37"/>
  <c r="AC142" i="37"/>
  <c r="AA142" i="37"/>
  <c r="Y142" i="37"/>
  <c r="W142" i="37"/>
  <c r="U142" i="37"/>
  <c r="S142" i="37"/>
  <c r="Q142" i="37"/>
  <c r="O142" i="37"/>
  <c r="M142" i="37"/>
  <c r="K142" i="37"/>
  <c r="I142" i="37"/>
  <c r="G142" i="37"/>
  <c r="AC132" i="37"/>
  <c r="AC155" i="37" s="1"/>
  <c r="AA132" i="37"/>
  <c r="AA155" i="37" s="1"/>
  <c r="Y132" i="37"/>
  <c r="Y155" i="37" s="1"/>
  <c r="W132" i="37"/>
  <c r="W155" i="37" s="1"/>
  <c r="U132" i="37"/>
  <c r="U155" i="37" s="1"/>
  <c r="S132" i="37"/>
  <c r="S155" i="37" s="1"/>
  <c r="Q132" i="37"/>
  <c r="Q155" i="37" s="1"/>
  <c r="O132" i="37"/>
  <c r="O155" i="37" s="1"/>
  <c r="M132" i="37"/>
  <c r="M155" i="37" s="1"/>
  <c r="K132" i="37"/>
  <c r="K155" i="37" s="1"/>
  <c r="I132" i="37"/>
  <c r="I155" i="37" s="1"/>
  <c r="G132" i="37"/>
  <c r="G155" i="37" s="1"/>
  <c r="AC125" i="37"/>
  <c r="AA125" i="37"/>
  <c r="Y125" i="37"/>
  <c r="W125" i="37"/>
  <c r="U125" i="37"/>
  <c r="S125" i="37"/>
  <c r="Q125" i="37"/>
  <c r="O125" i="37"/>
  <c r="M125" i="37"/>
  <c r="K125" i="37"/>
  <c r="I125" i="37"/>
  <c r="G125" i="37"/>
  <c r="AC121" i="37"/>
  <c r="AA121" i="37"/>
  <c r="Y121" i="37"/>
  <c r="W121" i="37"/>
  <c r="U121" i="37"/>
  <c r="S121" i="37"/>
  <c r="Q121" i="37"/>
  <c r="O121" i="37"/>
  <c r="M121" i="37"/>
  <c r="K121" i="37"/>
  <c r="I121" i="37"/>
  <c r="G121" i="37"/>
  <c r="AC118" i="37"/>
  <c r="AA118" i="37"/>
  <c r="Y118" i="37"/>
  <c r="W118" i="37"/>
  <c r="U118" i="37"/>
  <c r="S118" i="37"/>
  <c r="Q118" i="37"/>
  <c r="O118" i="37"/>
  <c r="M118" i="37"/>
  <c r="K118" i="37"/>
  <c r="I118" i="37"/>
  <c r="G118" i="37"/>
  <c r="AC115" i="37"/>
  <c r="AA115" i="37"/>
  <c r="Y115" i="37"/>
  <c r="W115" i="37"/>
  <c r="U115" i="37"/>
  <c r="S115" i="37"/>
  <c r="Q115" i="37"/>
  <c r="O115" i="37"/>
  <c r="M115" i="37"/>
  <c r="K115" i="37"/>
  <c r="I115" i="37"/>
  <c r="G115" i="37"/>
  <c r="AC112" i="37"/>
  <c r="AA112" i="37"/>
  <c r="Y112" i="37"/>
  <c r="W112" i="37"/>
  <c r="U112" i="37"/>
  <c r="S112" i="37"/>
  <c r="Q112" i="37"/>
  <c r="O112" i="37"/>
  <c r="M112" i="37"/>
  <c r="K112" i="37"/>
  <c r="I112" i="37"/>
  <c r="G112" i="37"/>
  <c r="AC109" i="37"/>
  <c r="AA109" i="37"/>
  <c r="Y109" i="37"/>
  <c r="W109" i="37"/>
  <c r="U109" i="37"/>
  <c r="S109" i="37"/>
  <c r="Q109" i="37"/>
  <c r="O109" i="37"/>
  <c r="M109" i="37"/>
  <c r="K109" i="37"/>
  <c r="I109" i="37"/>
  <c r="G109" i="37"/>
  <c r="AC100" i="37"/>
  <c r="AA100" i="37"/>
  <c r="Y100" i="37"/>
  <c r="W100" i="37"/>
  <c r="U100" i="37"/>
  <c r="S100" i="37"/>
  <c r="Q100" i="37"/>
  <c r="O100" i="37"/>
  <c r="M100" i="37"/>
  <c r="K100" i="37"/>
  <c r="I100" i="37"/>
  <c r="G100" i="37"/>
  <c r="AC96" i="37"/>
  <c r="AA96" i="37"/>
  <c r="Y96" i="37"/>
  <c r="W96" i="37"/>
  <c r="U96" i="37"/>
  <c r="S96" i="37"/>
  <c r="Q96" i="37"/>
  <c r="O96" i="37"/>
  <c r="M96" i="37"/>
  <c r="K96" i="37"/>
  <c r="I96" i="37"/>
  <c r="G96" i="37"/>
  <c r="AC93" i="37"/>
  <c r="AA93" i="37"/>
  <c r="Y93" i="37"/>
  <c r="W93" i="37"/>
  <c r="U93" i="37"/>
  <c r="S93" i="37"/>
  <c r="Q93" i="37"/>
  <c r="O93" i="37"/>
  <c r="M93" i="37"/>
  <c r="K93" i="37"/>
  <c r="I93" i="37"/>
  <c r="G93" i="37"/>
  <c r="AC51" i="37"/>
  <c r="AA51" i="37"/>
  <c r="Y51" i="37"/>
  <c r="W51" i="37"/>
  <c r="U51" i="37"/>
  <c r="S51" i="37"/>
  <c r="Q51" i="37"/>
  <c r="O51" i="37"/>
  <c r="M51" i="37"/>
  <c r="K51" i="37"/>
  <c r="I51" i="37"/>
  <c r="G51" i="37"/>
  <c r="AC48" i="37"/>
  <c r="AA48" i="37"/>
  <c r="Y48" i="37"/>
  <c r="W48" i="37"/>
  <c r="U48" i="37"/>
  <c r="S48" i="37"/>
  <c r="Q48" i="37"/>
  <c r="O48" i="37"/>
  <c r="M48" i="37"/>
  <c r="K48" i="37"/>
  <c r="I48" i="37"/>
  <c r="G48" i="37"/>
  <c r="AC40" i="37"/>
  <c r="AA40" i="37"/>
  <c r="Y40" i="37"/>
  <c r="W40" i="37"/>
  <c r="U40" i="37"/>
  <c r="S40" i="37"/>
  <c r="Q40" i="37"/>
  <c r="O40" i="37"/>
  <c r="M40" i="37"/>
  <c r="K40" i="37"/>
  <c r="I40" i="37"/>
  <c r="G40" i="37"/>
  <c r="AC33" i="37"/>
  <c r="AA33" i="37"/>
  <c r="Y33" i="37"/>
  <c r="W33" i="37"/>
  <c r="U33" i="37"/>
  <c r="S33" i="37"/>
  <c r="Q33" i="37"/>
  <c r="O33" i="37"/>
  <c r="M33" i="37"/>
  <c r="K33" i="37"/>
  <c r="I33" i="37"/>
  <c r="G33" i="37"/>
  <c r="AC23" i="37"/>
  <c r="AC53" i="37" s="1"/>
  <c r="AA23" i="37"/>
  <c r="AA53" i="37" s="1"/>
  <c r="Y23" i="37"/>
  <c r="Y53" i="37" s="1"/>
  <c r="W23" i="37"/>
  <c r="W53" i="37" s="1"/>
  <c r="U23" i="37"/>
  <c r="U53" i="37" s="1"/>
  <c r="S23" i="37"/>
  <c r="S53" i="37" s="1"/>
  <c r="Q23" i="37"/>
  <c r="Q53" i="37" s="1"/>
  <c r="O23" i="37"/>
  <c r="O53" i="37" s="1"/>
  <c r="M23" i="37"/>
  <c r="M53" i="37" s="1"/>
  <c r="K23" i="37"/>
  <c r="K53" i="37" s="1"/>
  <c r="I23" i="37"/>
  <c r="I53" i="37" s="1"/>
  <c r="G23" i="37"/>
  <c r="G53" i="37" s="1"/>
  <c r="I7" i="37"/>
  <c r="K7" i="37" s="1"/>
  <c r="M7" i="37" s="1"/>
  <c r="O7" i="37" s="1"/>
  <c r="Q7" i="37" s="1"/>
  <c r="S7" i="37" s="1"/>
  <c r="U7" i="37" s="1"/>
  <c r="W7" i="37" s="1"/>
  <c r="Y7" i="37" s="1"/>
  <c r="AA7" i="37" s="1"/>
  <c r="AC7" i="37" s="1"/>
  <c r="G127" i="37" l="1"/>
  <c r="W174" i="37"/>
  <c r="W200" i="37" s="1"/>
  <c r="Q127" i="37"/>
  <c r="Y127" i="37"/>
  <c r="I174" i="37"/>
  <c r="I200" i="37" s="1"/>
  <c r="Q174" i="37"/>
  <c r="Q200" i="37" s="1"/>
  <c r="Y174" i="37"/>
  <c r="Y200" i="37" s="1"/>
  <c r="O127" i="37"/>
  <c r="G174" i="37"/>
  <c r="G200" i="37" s="1"/>
  <c r="I127" i="37"/>
  <c r="K127" i="37"/>
  <c r="S127" i="37"/>
  <c r="AA127" i="37"/>
  <c r="K174" i="37"/>
  <c r="K200" i="37" s="1"/>
  <c r="S174" i="37"/>
  <c r="S200" i="37" s="1"/>
  <c r="AA174" i="37"/>
  <c r="AA200" i="37" s="1"/>
  <c r="W127" i="37"/>
  <c r="O174" i="37"/>
  <c r="O200" i="37" s="1"/>
  <c r="M127" i="37"/>
  <c r="U127" i="37"/>
  <c r="U202" i="37" s="1"/>
  <c r="AC127" i="37"/>
  <c r="M174" i="37"/>
  <c r="M200" i="37" s="1"/>
  <c r="U174" i="37"/>
  <c r="U200" i="37" s="1"/>
  <c r="AC174" i="37"/>
  <c r="AC200" i="37" s="1"/>
  <c r="M202" i="37" l="1"/>
  <c r="K202" i="37"/>
  <c r="Q202" i="37"/>
  <c r="W202" i="37"/>
  <c r="O202" i="37"/>
  <c r="S202" i="37"/>
  <c r="Y202" i="37"/>
  <c r="I202" i="37"/>
  <c r="AC202" i="37"/>
  <c r="AA202" i="37"/>
  <c r="G202" i="37"/>
  <c r="B30" i="32" l="1"/>
  <c r="AS40" i="36"/>
  <c r="AQ40" i="36"/>
  <c r="AS39" i="36"/>
  <c r="AQ39" i="36"/>
  <c r="AS38" i="36"/>
  <c r="AQ38" i="36"/>
  <c r="AS37" i="36"/>
  <c r="AQ37" i="36"/>
  <c r="AS36" i="36"/>
  <c r="AQ36" i="36"/>
  <c r="AS35" i="36"/>
  <c r="AQ35" i="36"/>
  <c r="AS34" i="36"/>
  <c r="AQ34" i="36"/>
  <c r="AS33" i="36"/>
  <c r="AQ33" i="36"/>
  <c r="AS32" i="36"/>
  <c r="AQ32" i="36"/>
  <c r="AS31" i="36"/>
  <c r="AQ31" i="36"/>
  <c r="AS30" i="36"/>
  <c r="AQ30" i="36"/>
  <c r="AS29" i="36"/>
  <c r="AQ29" i="36"/>
  <c r="AS28" i="36"/>
  <c r="AQ28" i="36"/>
  <c r="AS27" i="36"/>
  <c r="AQ27" i="36"/>
  <c r="AS26" i="36"/>
  <c r="AQ26" i="36"/>
  <c r="AS25" i="36"/>
  <c r="AQ25" i="36"/>
  <c r="AS24" i="36"/>
  <c r="AQ24" i="36"/>
  <c r="AS23" i="36"/>
  <c r="AQ23" i="36"/>
  <c r="AS22" i="36"/>
  <c r="AQ22" i="36"/>
  <c r="AS21" i="36"/>
  <c r="AQ21" i="36"/>
  <c r="AS20" i="36"/>
  <c r="AQ20" i="36"/>
  <c r="G17" i="36"/>
  <c r="E17" i="36"/>
  <c r="D17" i="36"/>
  <c r="E16" i="36"/>
  <c r="D16" i="36"/>
  <c r="J8" i="36"/>
  <c r="G8" i="36"/>
  <c r="C8" i="36"/>
  <c r="U4" i="36"/>
  <c r="B5" i="36"/>
  <c r="Y4" i="36"/>
  <c r="Q39" i="23" l="1"/>
  <c r="M94" i="23"/>
  <c r="Q94" i="23" s="1"/>
  <c r="O94" i="23"/>
  <c r="M95" i="23"/>
  <c r="O95" i="23"/>
  <c r="Q95" i="23"/>
  <c r="M96" i="23"/>
  <c r="Q96" i="23" s="1"/>
  <c r="O96" i="23"/>
  <c r="M97" i="23"/>
  <c r="Q97" i="23" s="1"/>
  <c r="O97" i="23"/>
  <c r="M98" i="23"/>
  <c r="O98" i="23"/>
  <c r="Q98" i="23" s="1"/>
  <c r="M99" i="23"/>
  <c r="O99" i="23"/>
  <c r="Q99" i="23"/>
  <c r="M100" i="23"/>
  <c r="Q100" i="23" s="1"/>
  <c r="O100" i="23"/>
  <c r="M101" i="23"/>
  <c r="Q101" i="23" s="1"/>
  <c r="O101" i="23"/>
  <c r="M102" i="23"/>
  <c r="O102" i="23"/>
  <c r="Q102" i="23" s="1"/>
  <c r="M103" i="23"/>
  <c r="O103" i="23"/>
  <c r="Q103" i="23"/>
  <c r="M104" i="23"/>
  <c r="Q104" i="23" s="1"/>
  <c r="O104" i="23"/>
  <c r="M105" i="23"/>
  <c r="Q105" i="23" s="1"/>
  <c r="O105" i="23"/>
  <c r="M106" i="23"/>
  <c r="Q106" i="23" s="1"/>
  <c r="O106" i="23"/>
  <c r="M107" i="23"/>
  <c r="O107" i="23"/>
  <c r="Q107" i="23"/>
  <c r="M108" i="23"/>
  <c r="O108" i="23"/>
  <c r="Q108" i="23"/>
  <c r="M109" i="23"/>
  <c r="Q109" i="23" s="1"/>
  <c r="O109" i="23"/>
  <c r="M110" i="23"/>
  <c r="Q110" i="23" s="1"/>
  <c r="O110" i="23"/>
  <c r="M111" i="23"/>
  <c r="O111" i="23"/>
  <c r="Q111" i="23"/>
  <c r="M113" i="23"/>
  <c r="M118" i="23"/>
  <c r="Q118" i="23" s="1"/>
  <c r="O118" i="23"/>
  <c r="M119" i="23"/>
  <c r="O119" i="23"/>
  <c r="Q119" i="23"/>
  <c r="M120" i="23"/>
  <c r="O120" i="23"/>
  <c r="Q120" i="23"/>
  <c r="M121" i="23"/>
  <c r="Q121" i="23" s="1"/>
  <c r="O121" i="23"/>
  <c r="M122" i="23"/>
  <c r="Q122" i="23" s="1"/>
  <c r="O122" i="23"/>
  <c r="M123" i="23"/>
  <c r="O123" i="23"/>
  <c r="Q123" i="23"/>
  <c r="M124" i="23"/>
  <c r="O124" i="23"/>
  <c r="Q124" i="23"/>
  <c r="M125" i="23"/>
  <c r="Q125" i="23" s="1"/>
  <c r="O125" i="23"/>
  <c r="M126" i="23"/>
  <c r="Q126" i="23" s="1"/>
  <c r="O126" i="23"/>
  <c r="M127" i="23"/>
  <c r="O127" i="23"/>
  <c r="Q127" i="23"/>
  <c r="M128" i="23"/>
  <c r="O128" i="23"/>
  <c r="Q128" i="23"/>
  <c r="M129" i="23"/>
  <c r="Q129" i="23" s="1"/>
  <c r="O129" i="23"/>
  <c r="M130" i="23"/>
  <c r="Q130" i="23" s="1"/>
  <c r="O130" i="23"/>
  <c r="M131" i="23"/>
  <c r="O131" i="23"/>
  <c r="Q131" i="23"/>
  <c r="M132" i="23"/>
  <c r="O132" i="23"/>
  <c r="Q132" i="23"/>
  <c r="M133" i="23"/>
  <c r="Q133" i="23" s="1"/>
  <c r="O133" i="23"/>
  <c r="M134" i="23"/>
  <c r="Q134" i="23" s="1"/>
  <c r="O134" i="23"/>
  <c r="M135" i="23"/>
  <c r="O135" i="23"/>
  <c r="Q135" i="23"/>
  <c r="M136" i="23"/>
  <c r="O136" i="23"/>
  <c r="Q136" i="23"/>
  <c r="M137" i="23"/>
  <c r="Q137" i="23" s="1"/>
  <c r="O137" i="23"/>
  <c r="M138" i="23"/>
  <c r="Q138" i="23" s="1"/>
  <c r="O138" i="23"/>
  <c r="M167" i="23"/>
  <c r="O167" i="23"/>
  <c r="Q167" i="23"/>
  <c r="M168" i="23"/>
  <c r="Q168" i="23" s="1"/>
  <c r="O168" i="23"/>
  <c r="M169" i="23"/>
  <c r="Q169" i="23" s="1"/>
  <c r="O169" i="23"/>
  <c r="M170" i="23"/>
  <c r="Q170" i="23" s="1"/>
  <c r="O170" i="23"/>
  <c r="M171" i="23"/>
  <c r="Q171" i="23" s="1"/>
  <c r="O171" i="23"/>
  <c r="M23" i="23"/>
  <c r="Q23" i="23" s="1"/>
  <c r="O23" i="23"/>
  <c r="M24" i="23"/>
  <c r="O24" i="23"/>
  <c r="Q24" i="23"/>
  <c r="M32" i="23"/>
  <c r="M34" i="23"/>
  <c r="Q34" i="23" s="1"/>
  <c r="O34" i="23"/>
  <c r="M35" i="23"/>
  <c r="Q35" i="23" s="1"/>
  <c r="O35" i="23"/>
  <c r="M36" i="23"/>
  <c r="O36" i="23"/>
  <c r="Q36" i="23"/>
  <c r="M37" i="23"/>
  <c r="O37" i="23"/>
  <c r="Q37" i="23"/>
  <c r="Y26" i="35" l="1"/>
  <c r="E17" i="16" l="1"/>
  <c r="E18" i="16"/>
  <c r="G269" i="1"/>
  <c r="G268" i="1"/>
  <c r="G265" i="1"/>
  <c r="G148" i="1"/>
  <c r="G95" i="1"/>
  <c r="G83" i="1"/>
  <c r="B21" i="31"/>
  <c r="B20" i="31"/>
  <c r="B18" i="31"/>
  <c r="B12" i="31"/>
  <c r="B11" i="31"/>
  <c r="B9" i="31"/>
  <c r="B81" i="4"/>
  <c r="B89" i="4" s="1"/>
  <c r="D265" i="1" s="1"/>
  <c r="B84" i="4"/>
  <c r="B92" i="4" s="1"/>
  <c r="B83" i="4"/>
  <c r="B91" i="4" s="1"/>
  <c r="D268" i="1" s="1"/>
  <c r="B82" i="4"/>
  <c r="B90" i="4" s="1"/>
  <c r="D266" i="1" s="1"/>
  <c r="D95" i="1"/>
  <c r="P226" i="35"/>
  <c r="P207" i="35"/>
  <c r="P190" i="35"/>
  <c r="P151" i="35"/>
  <c r="P133" i="35"/>
  <c r="O112" i="35"/>
  <c r="N112" i="35"/>
  <c r="N114" i="35" s="1"/>
  <c r="M112" i="35"/>
  <c r="L112" i="35"/>
  <c r="K112" i="35"/>
  <c r="J112" i="35"/>
  <c r="J114" i="35" s="1"/>
  <c r="I112" i="35"/>
  <c r="H112" i="35"/>
  <c r="G112" i="35"/>
  <c r="F112" i="35"/>
  <c r="F114" i="35" s="1"/>
  <c r="E112" i="35"/>
  <c r="R110" i="35"/>
  <c r="Q110" i="35"/>
  <c r="S110" i="35" s="1"/>
  <c r="P110" i="35"/>
  <c r="R109" i="35"/>
  <c r="Q109" i="35"/>
  <c r="S109" i="35" s="1"/>
  <c r="P109" i="35"/>
  <c r="P112" i="35" s="1"/>
  <c r="X106" i="35"/>
  <c r="R106" i="35"/>
  <c r="Q106" i="35"/>
  <c r="O106" i="35"/>
  <c r="N106" i="35"/>
  <c r="M106" i="35"/>
  <c r="L106" i="35"/>
  <c r="K106" i="35"/>
  <c r="J106" i="35"/>
  <c r="I106" i="35"/>
  <c r="H106" i="35"/>
  <c r="G106" i="35"/>
  <c r="F106" i="35"/>
  <c r="E106" i="35"/>
  <c r="S104" i="35"/>
  <c r="R104" i="35"/>
  <c r="Q104" i="35"/>
  <c r="P104" i="35"/>
  <c r="S103" i="35"/>
  <c r="S106" i="35" s="1"/>
  <c r="R103" i="35"/>
  <c r="Q103" i="35"/>
  <c r="P103" i="35"/>
  <c r="P106" i="35" s="1"/>
  <c r="P213" i="35" s="1"/>
  <c r="X100" i="35"/>
  <c r="X112" i="35" s="1"/>
  <c r="O100" i="35"/>
  <c r="N100" i="35"/>
  <c r="M100" i="35"/>
  <c r="L100" i="35"/>
  <c r="K100" i="35"/>
  <c r="J100" i="35"/>
  <c r="I100" i="35"/>
  <c r="H100" i="35"/>
  <c r="G100" i="35"/>
  <c r="F100" i="35"/>
  <c r="E100" i="35"/>
  <c r="S98" i="35"/>
  <c r="R98" i="35"/>
  <c r="Q98" i="35"/>
  <c r="P98" i="35"/>
  <c r="AD97" i="35"/>
  <c r="AA97" i="35"/>
  <c r="R97" i="35"/>
  <c r="Q97" i="35"/>
  <c r="S97" i="35" s="1"/>
  <c r="P97" i="35"/>
  <c r="S96" i="35"/>
  <c r="R96" i="35"/>
  <c r="Q96" i="35"/>
  <c r="P96" i="35"/>
  <c r="S95" i="35"/>
  <c r="R95" i="35"/>
  <c r="Q95" i="35"/>
  <c r="P95" i="35"/>
  <c r="R94" i="35"/>
  <c r="Q94" i="35"/>
  <c r="S94" i="35" s="1"/>
  <c r="P94" i="35"/>
  <c r="R93" i="35"/>
  <c r="Q93" i="35"/>
  <c r="S93" i="35" s="1"/>
  <c r="P93" i="35"/>
  <c r="R92" i="35"/>
  <c r="Q92" i="35"/>
  <c r="S92" i="35" s="1"/>
  <c r="P92" i="35"/>
  <c r="S91" i="35"/>
  <c r="R91" i="35"/>
  <c r="Q91" i="35"/>
  <c r="P91" i="35"/>
  <c r="S90" i="35"/>
  <c r="R90" i="35"/>
  <c r="Q90" i="35"/>
  <c r="P90" i="35"/>
  <c r="S89" i="35"/>
  <c r="R89" i="35"/>
  <c r="Q89" i="35"/>
  <c r="P89" i="35"/>
  <c r="S88" i="35"/>
  <c r="R88" i="35"/>
  <c r="Q88" i="35"/>
  <c r="P88" i="35"/>
  <c r="AD87" i="35"/>
  <c r="AA87" i="35"/>
  <c r="S87" i="35"/>
  <c r="R87" i="35"/>
  <c r="Q87" i="35"/>
  <c r="P87" i="35"/>
  <c r="AD86" i="35"/>
  <c r="AA86" i="35"/>
  <c r="R86" i="35"/>
  <c r="Q86" i="35"/>
  <c r="S86" i="35" s="1"/>
  <c r="P86" i="35"/>
  <c r="S85" i="35"/>
  <c r="R85" i="35"/>
  <c r="Q85" i="35"/>
  <c r="P85" i="35"/>
  <c r="S84" i="35"/>
  <c r="R84" i="35"/>
  <c r="Q84" i="35"/>
  <c r="P84" i="35"/>
  <c r="S83" i="35"/>
  <c r="R83" i="35"/>
  <c r="R100" i="35" s="1"/>
  <c r="Q83" i="35"/>
  <c r="Q100" i="35" s="1"/>
  <c r="P83" i="35"/>
  <c r="P100" i="35" s="1"/>
  <c r="P194" i="35" s="1"/>
  <c r="P210" i="35" s="1"/>
  <c r="Q210" i="35" s="1"/>
  <c r="X80" i="35"/>
  <c r="O80" i="35"/>
  <c r="N80" i="35"/>
  <c r="M80" i="35"/>
  <c r="L80" i="35"/>
  <c r="K80" i="35"/>
  <c r="J80" i="35"/>
  <c r="I80" i="35"/>
  <c r="H80" i="35"/>
  <c r="G80" i="35"/>
  <c r="F80" i="35"/>
  <c r="E80" i="35"/>
  <c r="R78" i="35"/>
  <c r="Q78" i="35"/>
  <c r="S78" i="35" s="1"/>
  <c r="P78" i="35"/>
  <c r="S77" i="35"/>
  <c r="R77" i="35"/>
  <c r="Q77" i="35"/>
  <c r="P77" i="35"/>
  <c r="S76" i="35"/>
  <c r="R76" i="35"/>
  <c r="Q76" i="35"/>
  <c r="P76" i="35"/>
  <c r="S75" i="35"/>
  <c r="R75" i="35"/>
  <c r="Q75" i="35"/>
  <c r="P75" i="35"/>
  <c r="S74" i="35"/>
  <c r="R74" i="35"/>
  <c r="Q74" i="35"/>
  <c r="P74" i="35"/>
  <c r="S73" i="35"/>
  <c r="R73" i="35"/>
  <c r="Q73" i="35"/>
  <c r="P73" i="35"/>
  <c r="S72" i="35"/>
  <c r="R72" i="35"/>
  <c r="Q72" i="35"/>
  <c r="P72" i="35"/>
  <c r="S71" i="35"/>
  <c r="R71" i="35"/>
  <c r="Q71" i="35"/>
  <c r="P71" i="35"/>
  <c r="S70" i="35"/>
  <c r="R70" i="35"/>
  <c r="Q70" i="35"/>
  <c r="P70" i="35"/>
  <c r="S69" i="35"/>
  <c r="R69" i="35"/>
  <c r="Q69" i="35"/>
  <c r="P69" i="35"/>
  <c r="S68" i="35"/>
  <c r="R68" i="35"/>
  <c r="Q68" i="35"/>
  <c r="P68" i="35"/>
  <c r="S67" i="35"/>
  <c r="R67" i="35"/>
  <c r="R80" i="35" s="1"/>
  <c r="Q67" i="35"/>
  <c r="Q80" i="35" s="1"/>
  <c r="P67" i="35"/>
  <c r="P80" i="35" s="1"/>
  <c r="P138" i="35" s="1"/>
  <c r="P153" i="35" s="1"/>
  <c r="Q153" i="35" s="1"/>
  <c r="X63" i="35"/>
  <c r="X64" i="35" s="1"/>
  <c r="O63" i="35"/>
  <c r="N63" i="35"/>
  <c r="M63" i="35"/>
  <c r="L63" i="35"/>
  <c r="K63" i="35"/>
  <c r="J63" i="35"/>
  <c r="I63" i="35"/>
  <c r="H63" i="35"/>
  <c r="G63" i="35"/>
  <c r="F63" i="35"/>
  <c r="E63" i="35"/>
  <c r="S61" i="35"/>
  <c r="R61" i="35"/>
  <c r="Q61" i="35"/>
  <c r="P61" i="35"/>
  <c r="S60" i="35"/>
  <c r="R60" i="35"/>
  <c r="Q60" i="35"/>
  <c r="P60" i="35"/>
  <c r="S59" i="35"/>
  <c r="R59" i="35"/>
  <c r="Q59" i="35"/>
  <c r="P59" i="35"/>
  <c r="S58" i="35"/>
  <c r="R58" i="35"/>
  <c r="Q58" i="35"/>
  <c r="P58" i="35"/>
  <c r="S57" i="35"/>
  <c r="R57" i="35"/>
  <c r="Q57" i="35"/>
  <c r="P57" i="35"/>
  <c r="S56" i="35"/>
  <c r="R56" i="35"/>
  <c r="Q56" i="35"/>
  <c r="P56" i="35"/>
  <c r="S55" i="35"/>
  <c r="R55" i="35"/>
  <c r="Q55" i="35"/>
  <c r="P55" i="35"/>
  <c r="S54" i="35"/>
  <c r="R54" i="35"/>
  <c r="Q54" i="35"/>
  <c r="P54" i="35"/>
  <c r="S53" i="35"/>
  <c r="R53" i="35"/>
  <c r="Q53" i="35"/>
  <c r="P53" i="35"/>
  <c r="S52" i="35"/>
  <c r="R52" i="35"/>
  <c r="Q52" i="35"/>
  <c r="P52" i="35"/>
  <c r="S51" i="35"/>
  <c r="R51" i="35"/>
  <c r="Q51" i="35"/>
  <c r="P51" i="35"/>
  <c r="S50" i="35"/>
  <c r="S63" i="35" s="1"/>
  <c r="R50" i="35"/>
  <c r="R63" i="35" s="1"/>
  <c r="Q50" i="35"/>
  <c r="Q63" i="35" s="1"/>
  <c r="P50" i="35"/>
  <c r="P63" i="35" s="1"/>
  <c r="O48" i="35"/>
  <c r="O64" i="35" s="1"/>
  <c r="N48" i="35"/>
  <c r="N64" i="35" s="1"/>
  <c r="M48" i="35"/>
  <c r="M64" i="35" s="1"/>
  <c r="L48" i="35"/>
  <c r="L64" i="35" s="1"/>
  <c r="K48" i="35"/>
  <c r="K64" i="35" s="1"/>
  <c r="J48" i="35"/>
  <c r="J64" i="35" s="1"/>
  <c r="I48" i="35"/>
  <c r="I64" i="35" s="1"/>
  <c r="H48" i="35"/>
  <c r="H64" i="35" s="1"/>
  <c r="G48" i="35"/>
  <c r="G64" i="35" s="1"/>
  <c r="F48" i="35"/>
  <c r="F64" i="35" s="1"/>
  <c r="E48" i="35"/>
  <c r="E64" i="35" s="1"/>
  <c r="R46" i="35"/>
  <c r="S46" i="35" s="1"/>
  <c r="Q46" i="35"/>
  <c r="P46" i="35"/>
  <c r="R45" i="35"/>
  <c r="S45" i="35" s="1"/>
  <c r="Q45" i="35"/>
  <c r="P45" i="35"/>
  <c r="R44" i="35"/>
  <c r="S44" i="35" s="1"/>
  <c r="Q44" i="35"/>
  <c r="P44" i="35"/>
  <c r="R43" i="35"/>
  <c r="S43" i="35" s="1"/>
  <c r="Q43" i="35"/>
  <c r="P43" i="35"/>
  <c r="R42" i="35"/>
  <c r="S42" i="35" s="1"/>
  <c r="Q42" i="35"/>
  <c r="P42" i="35"/>
  <c r="R41" i="35"/>
  <c r="S41" i="35" s="1"/>
  <c r="Q41" i="35"/>
  <c r="P41" i="35"/>
  <c r="R40" i="35"/>
  <c r="S40" i="35" s="1"/>
  <c r="Q40" i="35"/>
  <c r="P40" i="35"/>
  <c r="R39" i="35"/>
  <c r="S39" i="35" s="1"/>
  <c r="Q39" i="35"/>
  <c r="P39" i="35"/>
  <c r="R38" i="35"/>
  <c r="S38" i="35" s="1"/>
  <c r="Q38" i="35"/>
  <c r="P38" i="35"/>
  <c r="S37" i="35"/>
  <c r="R37" i="35"/>
  <c r="Q37" i="35"/>
  <c r="P37" i="35"/>
  <c r="S36" i="35"/>
  <c r="R36" i="35"/>
  <c r="Q36" i="35"/>
  <c r="P36" i="35"/>
  <c r="S35" i="35"/>
  <c r="R35" i="35"/>
  <c r="Q35" i="35"/>
  <c r="P35" i="35"/>
  <c r="S34" i="35"/>
  <c r="R34" i="35"/>
  <c r="Q34" i="35"/>
  <c r="P34" i="35"/>
  <c r="S33" i="35"/>
  <c r="R33" i="35"/>
  <c r="Q33" i="35"/>
  <c r="P33" i="35"/>
  <c r="R32" i="35"/>
  <c r="S32" i="35" s="1"/>
  <c r="Q32" i="35"/>
  <c r="P32" i="35"/>
  <c r="S31" i="35"/>
  <c r="R31" i="35"/>
  <c r="Q31" i="35"/>
  <c r="P31" i="35"/>
  <c r="S30" i="35"/>
  <c r="R30" i="35"/>
  <c r="Q30" i="35"/>
  <c r="P30" i="35"/>
  <c r="S29" i="35"/>
  <c r="R29" i="35"/>
  <c r="Q29" i="35"/>
  <c r="P29" i="35"/>
  <c r="R28" i="35"/>
  <c r="S28" i="35" s="1"/>
  <c r="Q28" i="35"/>
  <c r="P28" i="35"/>
  <c r="S27" i="35"/>
  <c r="R27" i="35"/>
  <c r="Q27" i="35"/>
  <c r="P27" i="35"/>
  <c r="V26" i="35"/>
  <c r="AA26" i="35" s="1"/>
  <c r="S26" i="35"/>
  <c r="R26" i="35"/>
  <c r="Q26" i="35"/>
  <c r="P26" i="35"/>
  <c r="S25" i="35"/>
  <c r="R25" i="35"/>
  <c r="Q25" i="35"/>
  <c r="P25" i="35"/>
  <c r="R24" i="35"/>
  <c r="Q24" i="35"/>
  <c r="S24" i="35" s="1"/>
  <c r="P24" i="35"/>
  <c r="R23" i="35"/>
  <c r="Q23" i="35"/>
  <c r="S23" i="35" s="1"/>
  <c r="P23" i="35"/>
  <c r="R22" i="35"/>
  <c r="Q22" i="35"/>
  <c r="S22" i="35" s="1"/>
  <c r="P22" i="35"/>
  <c r="R21" i="35"/>
  <c r="Q21" i="35"/>
  <c r="S21" i="35" s="1"/>
  <c r="P21" i="35"/>
  <c r="R20" i="35"/>
  <c r="Q20" i="35"/>
  <c r="S20" i="35" s="1"/>
  <c r="P20" i="35"/>
  <c r="R19" i="35"/>
  <c r="Q19" i="35"/>
  <c r="S19" i="35" s="1"/>
  <c r="P19" i="35"/>
  <c r="R18" i="35"/>
  <c r="Q18" i="35"/>
  <c r="S18" i="35" s="1"/>
  <c r="P18" i="35"/>
  <c r="R17" i="35"/>
  <c r="Q17" i="35"/>
  <c r="S17" i="35" s="1"/>
  <c r="P17" i="35"/>
  <c r="R16" i="35"/>
  <c r="Q16" i="35"/>
  <c r="S16" i="35" s="1"/>
  <c r="P16" i="35"/>
  <c r="R15" i="35"/>
  <c r="Q15" i="35"/>
  <c r="S15" i="35" s="1"/>
  <c r="P15" i="35"/>
  <c r="R14" i="35"/>
  <c r="Q14" i="35"/>
  <c r="S14" i="35" s="1"/>
  <c r="P14" i="35"/>
  <c r="R13" i="35"/>
  <c r="Q13" i="35"/>
  <c r="S13" i="35" s="1"/>
  <c r="P13" i="35"/>
  <c r="R12" i="35"/>
  <c r="Q12" i="35"/>
  <c r="S12" i="35" s="1"/>
  <c r="P12" i="35"/>
  <c r="R11" i="35"/>
  <c r="R48" i="35" s="1"/>
  <c r="R64" i="35" s="1"/>
  <c r="Q11" i="35"/>
  <c r="Q48" i="35" s="1"/>
  <c r="Q64" i="35" s="1"/>
  <c r="P11" i="35"/>
  <c r="AJ10" i="35"/>
  <c r="V75" i="35" s="1"/>
  <c r="Y75" i="35" s="1"/>
  <c r="AA75" i="35" s="1"/>
  <c r="AD75" i="35" s="1"/>
  <c r="AI10" i="35"/>
  <c r="V74" i="35" s="1"/>
  <c r="Y74" i="35" s="1"/>
  <c r="AA74" i="35" s="1"/>
  <c r="AD74" i="35" s="1"/>
  <c r="AN7" i="35"/>
  <c r="V18" i="35" s="1"/>
  <c r="Y18" i="35" s="1"/>
  <c r="AA18" i="35" s="1"/>
  <c r="AD18" i="35" s="1"/>
  <c r="AM7" i="35"/>
  <c r="V16" i="35" s="1"/>
  <c r="Y16" i="35" s="1"/>
  <c r="AA16" i="35" s="1"/>
  <c r="AD16" i="35" s="1"/>
  <c r="AL7" i="35"/>
  <c r="V14" i="35" s="1"/>
  <c r="Y14" i="35" s="1"/>
  <c r="AA14" i="35" s="1"/>
  <c r="AD14" i="35" s="1"/>
  <c r="AK7" i="35"/>
  <c r="AJ7" i="35"/>
  <c r="V43" i="35" s="1"/>
  <c r="Y43" i="35" s="1"/>
  <c r="AA43" i="35" s="1"/>
  <c r="AD43" i="35" s="1"/>
  <c r="AI7" i="35"/>
  <c r="V19" i="35" s="1"/>
  <c r="Y19" i="35" s="1"/>
  <c r="AA19" i="35" s="1"/>
  <c r="AD19" i="35" s="1"/>
  <c r="AH7" i="35"/>
  <c r="V34" i="35" s="1"/>
  <c r="Y34" i="35" s="1"/>
  <c r="AA34" i="35" s="1"/>
  <c r="AD34" i="35" s="1"/>
  <c r="P229" i="35" l="1"/>
  <c r="Q229" i="35" s="1"/>
  <c r="T25" i="4"/>
  <c r="V27" i="35"/>
  <c r="Y27" i="35" s="1"/>
  <c r="AA27" i="35" s="1"/>
  <c r="AD27" i="35" s="1"/>
  <c r="V31" i="35"/>
  <c r="Y31" i="35" s="1"/>
  <c r="AA31" i="35" s="1"/>
  <c r="AD31" i="35" s="1"/>
  <c r="Q112" i="35"/>
  <c r="Q114" i="35" s="1"/>
  <c r="E114" i="35"/>
  <c r="I114" i="35"/>
  <c r="M114" i="35"/>
  <c r="V30" i="35"/>
  <c r="Y30" i="35" s="1"/>
  <c r="AA30" i="35" s="1"/>
  <c r="AD30" i="35" s="1"/>
  <c r="R112" i="35"/>
  <c r="R114" i="35" s="1"/>
  <c r="V97" i="35"/>
  <c r="V86" i="35"/>
  <c r="V78" i="35"/>
  <c r="Y78" i="35" s="1"/>
  <c r="AA78" i="35" s="1"/>
  <c r="AD78" i="35" s="1"/>
  <c r="V46" i="35"/>
  <c r="Y46" i="35" s="1"/>
  <c r="AA46" i="35" s="1"/>
  <c r="AD46" i="35" s="1"/>
  <c r="V45" i="35"/>
  <c r="Y45" i="35" s="1"/>
  <c r="AA45" i="35" s="1"/>
  <c r="AD45" i="35" s="1"/>
  <c r="V44" i="35"/>
  <c r="Y44" i="35" s="1"/>
  <c r="AA44" i="35" s="1"/>
  <c r="AD44" i="35" s="1"/>
  <c r="V42" i="35"/>
  <c r="Y42" i="35" s="1"/>
  <c r="AA42" i="35" s="1"/>
  <c r="AD42" i="35" s="1"/>
  <c r="V41" i="35"/>
  <c r="Y41" i="35" s="1"/>
  <c r="AA41" i="35" s="1"/>
  <c r="AD41" i="35" s="1"/>
  <c r="V40" i="35"/>
  <c r="Y40" i="35" s="1"/>
  <c r="AA40" i="35" s="1"/>
  <c r="AD40" i="35" s="1"/>
  <c r="V39" i="35"/>
  <c r="Y39" i="35" s="1"/>
  <c r="AA39" i="35" s="1"/>
  <c r="AD39" i="35" s="1"/>
  <c r="V38" i="35"/>
  <c r="Y38" i="35" s="1"/>
  <c r="AA38" i="35" s="1"/>
  <c r="AD38" i="35" s="1"/>
  <c r="V37" i="35"/>
  <c r="Y37" i="35" s="1"/>
  <c r="AA37" i="35" s="1"/>
  <c r="AD37" i="35" s="1"/>
  <c r="V36" i="35"/>
  <c r="Y36" i="35" s="1"/>
  <c r="AA36" i="35" s="1"/>
  <c r="AD36" i="35" s="1"/>
  <c r="V35" i="35"/>
  <c r="Y35" i="35" s="1"/>
  <c r="AA35" i="35" s="1"/>
  <c r="AD35" i="35" s="1"/>
  <c r="V98" i="35"/>
  <c r="Y98" i="35" s="1"/>
  <c r="AA98" i="35" s="1"/>
  <c r="AD98" i="35" s="1"/>
  <c r="V96" i="35"/>
  <c r="V91" i="35"/>
  <c r="Y91" i="35" s="1"/>
  <c r="V87" i="35"/>
  <c r="V85" i="35"/>
  <c r="V84" i="35"/>
  <c r="V83" i="35"/>
  <c r="V77" i="35"/>
  <c r="V73" i="35"/>
  <c r="Y73" i="35" s="1"/>
  <c r="AA73" i="35" s="1"/>
  <c r="V72" i="35"/>
  <c r="Y72" i="35" s="1"/>
  <c r="AA72" i="35" s="1"/>
  <c r="V71" i="35"/>
  <c r="Y71" i="35" s="1"/>
  <c r="AA71" i="35" s="1"/>
  <c r="AD71" i="35" s="1"/>
  <c r="V70" i="35"/>
  <c r="Y70" i="35" s="1"/>
  <c r="AA70" i="35" s="1"/>
  <c r="AD70" i="35" s="1"/>
  <c r="V69" i="35"/>
  <c r="Y69" i="35" s="1"/>
  <c r="AA69" i="35" s="1"/>
  <c r="AD69" i="35" s="1"/>
  <c r="V68" i="35"/>
  <c r="Y68" i="35" s="1"/>
  <c r="AA68" i="35" s="1"/>
  <c r="AD68" i="35" s="1"/>
  <c r="V67" i="35"/>
  <c r="V61" i="35"/>
  <c r="Y61" i="35" s="1"/>
  <c r="AA61" i="35" s="1"/>
  <c r="AD61" i="35" s="1"/>
  <c r="V60" i="35"/>
  <c r="Y60" i="35" s="1"/>
  <c r="AA60" i="35" s="1"/>
  <c r="AD60" i="35" s="1"/>
  <c r="V59" i="35"/>
  <c r="Y59" i="35" s="1"/>
  <c r="AA59" i="35" s="1"/>
  <c r="AD59" i="35" s="1"/>
  <c r="V58" i="35"/>
  <c r="Y58" i="35" s="1"/>
  <c r="AA58" i="35" s="1"/>
  <c r="AD58" i="35" s="1"/>
  <c r="V57" i="35"/>
  <c r="Y57" i="35" s="1"/>
  <c r="AA57" i="35" s="1"/>
  <c r="AD57" i="35" s="1"/>
  <c r="V56" i="35"/>
  <c r="Y56" i="35" s="1"/>
  <c r="AA56" i="35" s="1"/>
  <c r="AD56" i="35" s="1"/>
  <c r="V55" i="35"/>
  <c r="Y55" i="35" s="1"/>
  <c r="AA55" i="35" s="1"/>
  <c r="AD55" i="35" s="1"/>
  <c r="V54" i="35"/>
  <c r="Y54" i="35" s="1"/>
  <c r="AA54" i="35" s="1"/>
  <c r="AD54" i="35" s="1"/>
  <c r="V53" i="35"/>
  <c r="Y53" i="35" s="1"/>
  <c r="AA53" i="35" s="1"/>
  <c r="AD53" i="35" s="1"/>
  <c r="V52" i="35"/>
  <c r="Y52" i="35" s="1"/>
  <c r="AA52" i="35" s="1"/>
  <c r="AD52" i="35" s="1"/>
  <c r="V51" i="35"/>
  <c r="Y51" i="35" s="1"/>
  <c r="AA51" i="35" s="1"/>
  <c r="AD51" i="35" s="1"/>
  <c r="V50" i="35"/>
  <c r="V104" i="35"/>
  <c r="Y104" i="35" s="1"/>
  <c r="AA104" i="35" s="1"/>
  <c r="AD104" i="35" s="1"/>
  <c r="V103" i="35"/>
  <c r="V95" i="35"/>
  <c r="V90" i="35"/>
  <c r="V89" i="35"/>
  <c r="Y89" i="35" s="1"/>
  <c r="AA89" i="35" s="1"/>
  <c r="AD89" i="35" s="1"/>
  <c r="V88" i="35"/>
  <c r="Y88" i="35" s="1"/>
  <c r="AA88" i="35" s="1"/>
  <c r="AD88" i="35" s="1"/>
  <c r="V94" i="35"/>
  <c r="V93" i="35"/>
  <c r="Y93" i="35" s="1"/>
  <c r="AA93" i="35" s="1"/>
  <c r="AD93" i="35" s="1"/>
  <c r="V92" i="35"/>
  <c r="Y92" i="35" s="1"/>
  <c r="AA92" i="35" s="1"/>
  <c r="AD92" i="35" s="1"/>
  <c r="S11" i="35"/>
  <c r="S48" i="35" s="1"/>
  <c r="S64" i="35" s="1"/>
  <c r="V25" i="35"/>
  <c r="Y25" i="35" s="1"/>
  <c r="AA25" i="35" s="1"/>
  <c r="AD25" i="35" s="1"/>
  <c r="V29" i="35"/>
  <c r="Y29" i="35" s="1"/>
  <c r="AA29" i="35" s="1"/>
  <c r="AD29" i="35" s="1"/>
  <c r="V33" i="35"/>
  <c r="Y33" i="35" s="1"/>
  <c r="AA33" i="35" s="1"/>
  <c r="AD33" i="35" s="1"/>
  <c r="S100" i="35"/>
  <c r="S112" i="35" s="1"/>
  <c r="S114" i="35" s="1"/>
  <c r="G114" i="35"/>
  <c r="K114" i="35"/>
  <c r="O114" i="35"/>
  <c r="P180" i="35"/>
  <c r="P192" i="35" s="1"/>
  <c r="Q192" i="35" s="1"/>
  <c r="V76" i="35"/>
  <c r="Y76" i="35" s="1"/>
  <c r="AA76" i="35" s="1"/>
  <c r="AD76" i="35" s="1"/>
  <c r="V110" i="35"/>
  <c r="Y110" i="35" s="1"/>
  <c r="AA110" i="35" s="1"/>
  <c r="AD110" i="35" s="1"/>
  <c r="V109" i="35"/>
  <c r="Y109" i="35" s="1"/>
  <c r="P48" i="35"/>
  <c r="P64" i="35" s="1"/>
  <c r="P120" i="35" s="1"/>
  <c r="P135" i="35" s="1"/>
  <c r="Q135" i="35" s="1"/>
  <c r="V11" i="35"/>
  <c r="V12" i="35"/>
  <c r="Y12" i="35" s="1"/>
  <c r="AA12" i="35" s="1"/>
  <c r="AD12" i="35" s="1"/>
  <c r="V13" i="35"/>
  <c r="Y13" i="35" s="1"/>
  <c r="AA13" i="35" s="1"/>
  <c r="AD13" i="35" s="1"/>
  <c r="V15" i="35"/>
  <c r="Y15" i="35" s="1"/>
  <c r="AA15" i="35" s="1"/>
  <c r="AD15" i="35" s="1"/>
  <c r="V17" i="35"/>
  <c r="Y17" i="35" s="1"/>
  <c r="AA17" i="35" s="1"/>
  <c r="AD17" i="35" s="1"/>
  <c r="V20" i="35"/>
  <c r="Y20" i="35" s="1"/>
  <c r="AA20" i="35" s="1"/>
  <c r="AD20" i="35" s="1"/>
  <c r="V21" i="35"/>
  <c r="Y21" i="35" s="1"/>
  <c r="AA21" i="35" s="1"/>
  <c r="AD21" i="35" s="1"/>
  <c r="V22" i="35"/>
  <c r="Y22" i="35" s="1"/>
  <c r="AA22" i="35" s="1"/>
  <c r="AD22" i="35" s="1"/>
  <c r="V23" i="35"/>
  <c r="Y23" i="35" s="1"/>
  <c r="AA23" i="35" s="1"/>
  <c r="AD23" i="35" s="1"/>
  <c r="V24" i="35"/>
  <c r="Y24" i="35" s="1"/>
  <c r="AA24" i="35" s="1"/>
  <c r="AD24" i="35" s="1"/>
  <c r="V28" i="35"/>
  <c r="Y28" i="35" s="1"/>
  <c r="AA28" i="35" s="1"/>
  <c r="AD28" i="35" s="1"/>
  <c r="V32" i="35"/>
  <c r="Y32" i="35" s="1"/>
  <c r="AA32" i="35" s="1"/>
  <c r="AD32" i="35" s="1"/>
  <c r="S80" i="35"/>
  <c r="X114" i="35"/>
  <c r="H114" i="35"/>
  <c r="L114" i="35"/>
  <c r="P234" i="35" l="1"/>
  <c r="V48" i="35"/>
  <c r="Y11" i="35"/>
  <c r="P114" i="35"/>
  <c r="Y50" i="35"/>
  <c r="V63" i="35"/>
  <c r="Y67" i="35"/>
  <c r="V80" i="35"/>
  <c r="Y83" i="35"/>
  <c r="V100" i="35"/>
  <c r="AA109" i="35"/>
  <c r="AD109" i="35" s="1"/>
  <c r="AD112" i="35" s="1"/>
  <c r="Y112" i="35"/>
  <c r="Y84" i="35"/>
  <c r="AA84" i="35" s="1"/>
  <c r="AD84" i="35" s="1"/>
  <c r="Y103" i="35"/>
  <c r="V106" i="35"/>
  <c r="V112" i="35" s="1"/>
  <c r="P235" i="35" l="1"/>
  <c r="Y100" i="35"/>
  <c r="AA83" i="35"/>
  <c r="AD83" i="35" s="1"/>
  <c r="AD100" i="35" s="1"/>
  <c r="Y63" i="35"/>
  <c r="AA50" i="35"/>
  <c r="Y80" i="35"/>
  <c r="AA67" i="35"/>
  <c r="AD67" i="35" s="1"/>
  <c r="AD80" i="35" s="1"/>
  <c r="B10" i="31" s="1"/>
  <c r="Y48" i="35"/>
  <c r="AA11" i="35"/>
  <c r="AA103" i="35"/>
  <c r="AD103" i="35" s="1"/>
  <c r="AD106" i="35" s="1"/>
  <c r="Y106" i="35"/>
  <c r="V64" i="35"/>
  <c r="V114" i="35" s="1"/>
  <c r="B19" i="31" l="1"/>
  <c r="G266" i="1" s="1"/>
  <c r="G32" i="1"/>
  <c r="AA48" i="35"/>
  <c r="AA64" i="35" s="1"/>
  <c r="AD11" i="35"/>
  <c r="AD48" i="35" s="1"/>
  <c r="AD64" i="35" s="1"/>
  <c r="Y64" i="35"/>
  <c r="AD50" i="35"/>
  <c r="AD63" i="35" s="1"/>
  <c r="AA63" i="35"/>
  <c r="Y114" i="35" l="1"/>
  <c r="B80" i="4"/>
  <c r="AD114" i="35"/>
  <c r="B8" i="31"/>
  <c r="K6" i="34"/>
  <c r="L6" i="34"/>
  <c r="K11" i="34"/>
  <c r="L11" i="34" s="1"/>
  <c r="L13" i="34" s="1"/>
  <c r="B17" i="31" l="1"/>
  <c r="G264" i="1" s="1"/>
  <c r="G89" i="1"/>
  <c r="B88" i="4"/>
  <c r="T33" i="4"/>
  <c r="D89" i="1" s="1"/>
  <c r="B85" i="4"/>
  <c r="Z28" i="4"/>
  <c r="Z29" i="4"/>
  <c r="Z30" i="4"/>
  <c r="Z31" i="4"/>
  <c r="Z34" i="4"/>
  <c r="Z35" i="4"/>
  <c r="Z36" i="4"/>
  <c r="Z38" i="4"/>
  <c r="Z39" i="4"/>
  <c r="Z40" i="4"/>
  <c r="Z41" i="4"/>
  <c r="Z42" i="4"/>
  <c r="Z43" i="4"/>
  <c r="Z45" i="4"/>
  <c r="Z47" i="4"/>
  <c r="Z50" i="4"/>
  <c r="Z51" i="4"/>
  <c r="Z52" i="4"/>
  <c r="Z53" i="4"/>
  <c r="Z54" i="4"/>
  <c r="Z55" i="4"/>
  <c r="Z64" i="4"/>
  <c r="Z65" i="4"/>
  <c r="Z66" i="4"/>
  <c r="Z67" i="4"/>
  <c r="Z68" i="4"/>
  <c r="Z69" i="4"/>
  <c r="Z71" i="4"/>
  <c r="Z72" i="4"/>
  <c r="Z73" i="4"/>
  <c r="D264" i="1" l="1"/>
  <c r="B93" i="4"/>
  <c r="T70" i="4" s="1"/>
  <c r="D93" i="4" l="1"/>
  <c r="C73" i="6"/>
  <c r="B7" i="24" l="1"/>
  <c r="B8" i="24"/>
  <c r="B9" i="24"/>
  <c r="B10" i="24"/>
  <c r="C168" i="23" l="1"/>
  <c r="C121" i="23" l="1"/>
  <c r="C117" i="23"/>
  <c r="M117" i="23" s="1"/>
  <c r="C115" i="23"/>
  <c r="M115" i="23" s="1"/>
  <c r="C114" i="23"/>
  <c r="M114" i="23" s="1"/>
  <c r="C112" i="23"/>
  <c r="M112" i="23" s="1"/>
  <c r="C93" i="23"/>
  <c r="C92" i="23"/>
  <c r="C91" i="23"/>
  <c r="C89" i="23"/>
  <c r="C88" i="23"/>
  <c r="C87" i="23"/>
  <c r="C80" i="23"/>
  <c r="C77" i="23"/>
  <c r="C79" i="23" s="1"/>
  <c r="C75" i="23"/>
  <c r="C74" i="23"/>
  <c r="C73" i="23"/>
  <c r="C72" i="23"/>
  <c r="C76" i="23" s="1"/>
  <c r="C70" i="23"/>
  <c r="C69" i="23"/>
  <c r="C67" i="23"/>
  <c r="C68" i="23" s="1"/>
  <c r="C66" i="23"/>
  <c r="C65" i="23"/>
  <c r="C63" i="23"/>
  <c r="C64" i="23" s="1"/>
  <c r="C62" i="23"/>
  <c r="C58" i="23"/>
  <c r="C54" i="23"/>
  <c r="C57" i="23" s="1"/>
  <c r="C61" i="23" s="1"/>
  <c r="B12" i="24"/>
  <c r="B11" i="24"/>
  <c r="C33" i="23"/>
  <c r="M33" i="23" s="1"/>
  <c r="C31" i="23"/>
  <c r="M31" i="23" s="1"/>
  <c r="C26" i="23"/>
  <c r="M26" i="23" s="1"/>
  <c r="C78" i="23" l="1"/>
  <c r="C116" i="23"/>
  <c r="M116" i="23" s="1"/>
  <c r="C71" i="23"/>
  <c r="C56" i="23"/>
  <c r="C60" i="23" s="1"/>
  <c r="C55" i="23"/>
  <c r="C59" i="23" s="1"/>
  <c r="C27" i="23"/>
  <c r="C28" i="23" l="1"/>
  <c r="M27" i="23"/>
  <c r="C25" i="23"/>
  <c r="M25" i="23" s="1"/>
  <c r="C29" i="23" l="1"/>
  <c r="M28" i="23"/>
  <c r="G27" i="1"/>
  <c r="B49" i="31"/>
  <c r="C30" i="23" l="1"/>
  <c r="M30" i="23" s="1"/>
  <c r="M29" i="23"/>
  <c r="D25" i="7" l="1"/>
  <c r="AS31" i="33"/>
  <c r="AQ31" i="33"/>
  <c r="AS43" i="33"/>
  <c r="AQ43" i="33"/>
  <c r="AS42" i="33"/>
  <c r="AQ42" i="33"/>
  <c r="AS41" i="33"/>
  <c r="AQ41" i="33"/>
  <c r="AS40" i="33"/>
  <c r="AQ40" i="33"/>
  <c r="AS39" i="33"/>
  <c r="AQ39" i="33"/>
  <c r="AS38" i="33"/>
  <c r="AQ38" i="33"/>
  <c r="AS37" i="33"/>
  <c r="AQ37" i="33"/>
  <c r="AS36" i="33"/>
  <c r="AQ36" i="33"/>
  <c r="AS35" i="33"/>
  <c r="AQ35" i="33"/>
  <c r="AS34" i="33"/>
  <c r="AQ34" i="33"/>
  <c r="AS33" i="33"/>
  <c r="AQ33" i="33"/>
  <c r="AS32" i="33"/>
  <c r="AQ32" i="33"/>
  <c r="AS30" i="33"/>
  <c r="AQ30" i="33"/>
  <c r="AS29" i="33"/>
  <c r="AQ29" i="33"/>
  <c r="AS28" i="33"/>
  <c r="AQ28" i="33"/>
  <c r="AS27" i="33"/>
  <c r="AQ27" i="33"/>
  <c r="AS26" i="33"/>
  <c r="AQ26" i="33"/>
  <c r="AS25" i="33"/>
  <c r="AQ25" i="33"/>
  <c r="AS24" i="33"/>
  <c r="AQ24" i="33"/>
  <c r="AS23" i="33"/>
  <c r="AQ23" i="33"/>
  <c r="AS22" i="33"/>
  <c r="AQ22" i="33"/>
  <c r="AS21" i="33"/>
  <c r="AQ21" i="33"/>
  <c r="AS20" i="33"/>
  <c r="AQ20" i="33"/>
  <c r="G17" i="33"/>
  <c r="E17" i="33"/>
  <c r="D17" i="33"/>
  <c r="E16" i="33"/>
  <c r="D16" i="33"/>
  <c r="J8" i="33"/>
  <c r="G8" i="33"/>
  <c r="C8" i="33"/>
  <c r="U4" i="33"/>
  <c r="B5" i="33"/>
  <c r="Y4" i="33"/>
  <c r="B20" i="32" l="1"/>
  <c r="B19" i="32"/>
  <c r="B18" i="32"/>
  <c r="B17" i="32"/>
  <c r="B16" i="32"/>
  <c r="B15" i="32"/>
  <c r="B14" i="32"/>
  <c r="B13" i="32"/>
  <c r="B12" i="32"/>
  <c r="B11" i="32"/>
  <c r="B10" i="32"/>
  <c r="B9" i="32"/>
  <c r="AF22" i="19"/>
  <c r="C16" i="1" s="1"/>
  <c r="AF21" i="19"/>
  <c r="AF20" i="19"/>
  <c r="AF19" i="19"/>
  <c r="AF18" i="19"/>
  <c r="C12" i="1" s="1"/>
  <c r="AF17" i="19"/>
  <c r="C11" i="1" s="1"/>
  <c r="AF16" i="19"/>
  <c r="AF15" i="19"/>
  <c r="AF14" i="19"/>
  <c r="AF13" i="19"/>
  <c r="C15" i="1" s="1"/>
  <c r="AF12" i="19"/>
  <c r="AF11" i="19"/>
  <c r="AF33" i="19"/>
  <c r="AF32" i="19"/>
  <c r="AF31" i="19"/>
  <c r="AF48" i="19"/>
  <c r="C19" i="1" s="1"/>
  <c r="AF47" i="19"/>
  <c r="AF55" i="19"/>
  <c r="AF68" i="19"/>
  <c r="AF67" i="19"/>
  <c r="AF66" i="19"/>
  <c r="AF65" i="19"/>
  <c r="AF64" i="19"/>
  <c r="AF97" i="19"/>
  <c r="AF96" i="19"/>
  <c r="AF95" i="19"/>
  <c r="AF94" i="19"/>
  <c r="AF93" i="19"/>
  <c r="AF92" i="19"/>
  <c r="AF91" i="19"/>
  <c r="AF90" i="19"/>
  <c r="AF89" i="19"/>
  <c r="AF88" i="19"/>
  <c r="AF87" i="19"/>
  <c r="AF86" i="19"/>
  <c r="AF101" i="19"/>
  <c r="AF133" i="19"/>
  <c r="AF132" i="19"/>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51" i="19"/>
  <c r="AF150" i="19"/>
  <c r="AF149" i="19"/>
  <c r="AF148" i="19"/>
  <c r="AF147" i="19"/>
  <c r="AF146" i="19"/>
  <c r="AF145" i="19"/>
  <c r="AF144" i="19"/>
  <c r="AF143" i="19"/>
  <c r="AF142" i="19"/>
  <c r="AF141" i="19"/>
  <c r="AF140" i="19"/>
  <c r="AF139" i="19"/>
  <c r="AF138" i="19"/>
  <c r="AF165" i="19"/>
  <c r="AF164" i="19"/>
  <c r="AF163" i="19"/>
  <c r="AF162" i="19"/>
  <c r="AF161" i="19"/>
  <c r="AF160" i="19"/>
  <c r="AF159" i="19"/>
  <c r="AF158" i="19"/>
  <c r="AF157" i="19"/>
  <c r="AF156" i="19"/>
  <c r="AF184" i="19"/>
  <c r="AF183" i="19"/>
  <c r="AF182" i="19"/>
  <c r="AF181" i="19"/>
  <c r="AF180" i="19"/>
  <c r="AF179" i="19"/>
  <c r="AF178" i="19"/>
  <c r="AF177" i="19"/>
  <c r="AF176" i="19"/>
  <c r="AF175" i="19"/>
  <c r="AF174" i="19"/>
  <c r="AF173" i="19"/>
  <c r="AF172" i="19"/>
  <c r="AF171" i="19"/>
  <c r="AF170" i="19"/>
  <c r="AF200" i="19"/>
  <c r="AF199" i="19"/>
  <c r="AF198" i="19"/>
  <c r="AF197" i="19"/>
  <c r="AF196" i="19"/>
  <c r="AF195" i="19"/>
  <c r="AF194" i="19"/>
  <c r="AF193" i="19"/>
  <c r="AF204" i="19"/>
  <c r="AF260" i="19"/>
  <c r="AF259" i="19"/>
  <c r="AF258" i="19"/>
  <c r="AF257" i="19"/>
  <c r="AF256" i="19"/>
  <c r="AF255" i="19"/>
  <c r="AF254" i="19"/>
  <c r="AF253" i="19"/>
  <c r="AF252" i="19"/>
  <c r="AF251" i="19"/>
  <c r="AF250" i="19"/>
  <c r="AF249" i="19"/>
  <c r="AF248" i="19"/>
  <c r="AF247" i="19"/>
  <c r="AF246" i="19"/>
  <c r="AF245" i="19"/>
  <c r="AF244" i="19"/>
  <c r="AF243" i="19"/>
  <c r="AF242" i="19"/>
  <c r="AF241" i="19"/>
  <c r="AF240" i="19"/>
  <c r="AF239" i="19"/>
  <c r="AF238" i="19"/>
  <c r="AF237" i="19"/>
  <c r="AF236" i="19"/>
  <c r="AF235" i="19"/>
  <c r="AH48" i="21" s="1"/>
  <c r="AF234" i="19"/>
  <c r="AF233" i="19"/>
  <c r="AF232" i="19"/>
  <c r="AF231" i="19"/>
  <c r="AF230" i="19"/>
  <c r="AF229" i="19"/>
  <c r="AF228" i="19"/>
  <c r="AF227" i="19"/>
  <c r="AF226" i="19"/>
  <c r="AF225" i="19"/>
  <c r="AF224" i="19"/>
  <c r="AF223" i="19"/>
  <c r="AF222" i="19"/>
  <c r="AF221" i="19"/>
  <c r="AF220" i="19"/>
  <c r="AF219" i="19"/>
  <c r="AF218" i="19"/>
  <c r="AF264" i="19"/>
  <c r="AF278" i="19"/>
  <c r="AF277" i="19"/>
  <c r="AF276" i="19"/>
  <c r="AF275" i="19"/>
  <c r="AF286" i="19"/>
  <c r="AF28" i="19"/>
  <c r="AF40" i="19"/>
  <c r="AF50" i="19"/>
  <c r="AF24" i="19"/>
  <c r="AF44" i="19"/>
  <c r="C10" i="1" l="1"/>
  <c r="C13" i="1"/>
  <c r="C14" i="1"/>
  <c r="AF35" i="19"/>
  <c r="AF52" i="19" s="1"/>
  <c r="H24" i="19"/>
  <c r="J24" i="19"/>
  <c r="L24" i="19"/>
  <c r="N24" i="19"/>
  <c r="P24" i="19"/>
  <c r="R24" i="19"/>
  <c r="T24" i="19"/>
  <c r="V24" i="19"/>
  <c r="X24" i="19"/>
  <c r="Z24" i="19"/>
  <c r="AB24" i="19"/>
  <c r="AD24" i="19"/>
  <c r="H28" i="19"/>
  <c r="J28" i="19"/>
  <c r="L28" i="19"/>
  <c r="N28" i="19"/>
  <c r="P28" i="19"/>
  <c r="R28" i="19"/>
  <c r="T28" i="19"/>
  <c r="V28" i="19"/>
  <c r="X28" i="19"/>
  <c r="Z28" i="19"/>
  <c r="AB28" i="19"/>
  <c r="AD28" i="19"/>
  <c r="H35" i="19"/>
  <c r="J35" i="19"/>
  <c r="L35" i="19"/>
  <c r="N35" i="19"/>
  <c r="P35" i="19"/>
  <c r="R35" i="19"/>
  <c r="T35" i="19"/>
  <c r="V35" i="19"/>
  <c r="X35" i="19"/>
  <c r="Z35" i="19"/>
  <c r="AB35" i="19"/>
  <c r="AD35" i="19"/>
  <c r="H40" i="19"/>
  <c r="J40" i="19"/>
  <c r="L40" i="19"/>
  <c r="N40" i="19"/>
  <c r="P40" i="19"/>
  <c r="R40" i="19"/>
  <c r="T40" i="19"/>
  <c r="V40" i="19"/>
  <c r="X40" i="19"/>
  <c r="Z40" i="19"/>
  <c r="AB40" i="19"/>
  <c r="AD40" i="19"/>
  <c r="H44" i="19"/>
  <c r="J44" i="19"/>
  <c r="L44" i="19"/>
  <c r="N44" i="19"/>
  <c r="P44" i="19"/>
  <c r="R44" i="19"/>
  <c r="T44" i="19"/>
  <c r="V44" i="19"/>
  <c r="X44" i="19"/>
  <c r="Z44" i="19"/>
  <c r="AB44" i="19"/>
  <c r="AD44" i="19"/>
  <c r="H50" i="19"/>
  <c r="J50" i="19"/>
  <c r="L50" i="19"/>
  <c r="N50" i="19"/>
  <c r="P50" i="19"/>
  <c r="R50" i="19"/>
  <c r="T50" i="19"/>
  <c r="V50" i="19"/>
  <c r="X50" i="19"/>
  <c r="Z50" i="19"/>
  <c r="AB50" i="19"/>
  <c r="AD50" i="19"/>
  <c r="H57" i="19"/>
  <c r="J57" i="19"/>
  <c r="L57" i="19"/>
  <c r="N57" i="19"/>
  <c r="P57" i="19"/>
  <c r="R57" i="19"/>
  <c r="T57" i="19"/>
  <c r="V57" i="19"/>
  <c r="X57" i="19"/>
  <c r="Z57" i="19"/>
  <c r="AB57" i="19"/>
  <c r="AD57" i="19"/>
  <c r="AF57" i="19"/>
  <c r="H61" i="19"/>
  <c r="J61" i="19"/>
  <c r="L61" i="19"/>
  <c r="N61" i="19"/>
  <c r="P61" i="19"/>
  <c r="R61" i="19"/>
  <c r="T61" i="19"/>
  <c r="V61" i="19"/>
  <c r="X61" i="19"/>
  <c r="Z61" i="19"/>
  <c r="AB61" i="19"/>
  <c r="AD61" i="19"/>
  <c r="AF61" i="19"/>
  <c r="H70" i="19"/>
  <c r="J70" i="19"/>
  <c r="L70" i="19"/>
  <c r="N70" i="19"/>
  <c r="P70" i="19"/>
  <c r="R70" i="19"/>
  <c r="T70" i="19"/>
  <c r="V70" i="19"/>
  <c r="X70" i="19"/>
  <c r="Z70" i="19"/>
  <c r="AB70" i="19"/>
  <c r="AD70" i="19"/>
  <c r="AF70" i="19"/>
  <c r="H75" i="19"/>
  <c r="J75" i="19"/>
  <c r="L75" i="19"/>
  <c r="N75" i="19"/>
  <c r="P75" i="19"/>
  <c r="R75" i="19"/>
  <c r="T75" i="19"/>
  <c r="V75" i="19"/>
  <c r="X75" i="19"/>
  <c r="Z75" i="19"/>
  <c r="AB75" i="19"/>
  <c r="AD75" i="19"/>
  <c r="AF75" i="19"/>
  <c r="H79" i="19"/>
  <c r="J79" i="19"/>
  <c r="L79" i="19"/>
  <c r="N79" i="19"/>
  <c r="P79" i="19"/>
  <c r="R79" i="19"/>
  <c r="T79" i="19"/>
  <c r="V79" i="19"/>
  <c r="X79" i="19"/>
  <c r="Z79" i="19"/>
  <c r="AB79" i="19"/>
  <c r="AD79" i="19"/>
  <c r="AF79" i="19"/>
  <c r="H99" i="19"/>
  <c r="J99" i="19"/>
  <c r="L99" i="19"/>
  <c r="N99" i="19"/>
  <c r="P99" i="19"/>
  <c r="R99" i="19"/>
  <c r="T99" i="19"/>
  <c r="V99" i="19"/>
  <c r="X99" i="19"/>
  <c r="Z99" i="19"/>
  <c r="AB99" i="19"/>
  <c r="AD99" i="19"/>
  <c r="AF99" i="19"/>
  <c r="AF103" i="19"/>
  <c r="H103" i="19"/>
  <c r="J103" i="19"/>
  <c r="L103" i="19"/>
  <c r="N103" i="19"/>
  <c r="P103" i="19"/>
  <c r="R103" i="19"/>
  <c r="T103" i="19"/>
  <c r="V103" i="19"/>
  <c r="X103" i="19"/>
  <c r="Z103" i="19"/>
  <c r="AB103" i="19"/>
  <c r="AD103" i="19"/>
  <c r="H135" i="19"/>
  <c r="J135" i="19"/>
  <c r="L135" i="19"/>
  <c r="N135" i="19"/>
  <c r="P135" i="19"/>
  <c r="R135" i="19"/>
  <c r="T135" i="19"/>
  <c r="V135" i="19"/>
  <c r="X135" i="19"/>
  <c r="Z135" i="19"/>
  <c r="AB135" i="19"/>
  <c r="AD135" i="19"/>
  <c r="AF135" i="19"/>
  <c r="H153" i="19"/>
  <c r="J153" i="19"/>
  <c r="L153" i="19"/>
  <c r="N153" i="19"/>
  <c r="P153" i="19"/>
  <c r="R153" i="19"/>
  <c r="T153" i="19"/>
  <c r="V153" i="19"/>
  <c r="X153" i="19"/>
  <c r="Z153" i="19"/>
  <c r="AB153" i="19"/>
  <c r="AD153" i="19"/>
  <c r="AF153" i="19"/>
  <c r="H167" i="19"/>
  <c r="J167" i="19"/>
  <c r="L167" i="19"/>
  <c r="N167" i="19"/>
  <c r="P167" i="19"/>
  <c r="R167" i="19"/>
  <c r="T167" i="19"/>
  <c r="V167" i="19"/>
  <c r="X167" i="19"/>
  <c r="Z167" i="19"/>
  <c r="AB167" i="19"/>
  <c r="AD167" i="19"/>
  <c r="AF167" i="19"/>
  <c r="H186" i="19"/>
  <c r="J186" i="19"/>
  <c r="L186" i="19"/>
  <c r="N186" i="19"/>
  <c r="P186" i="19"/>
  <c r="R186" i="19"/>
  <c r="T186" i="19"/>
  <c r="V186" i="19"/>
  <c r="X186" i="19"/>
  <c r="Z186" i="19"/>
  <c r="AB186" i="19"/>
  <c r="AD186" i="19"/>
  <c r="AF186" i="19"/>
  <c r="H190" i="19"/>
  <c r="J190" i="19"/>
  <c r="L190" i="19"/>
  <c r="N190" i="19"/>
  <c r="P190" i="19"/>
  <c r="R190" i="19"/>
  <c r="T190" i="19"/>
  <c r="V190" i="19"/>
  <c r="X190" i="19"/>
  <c r="Z190" i="19"/>
  <c r="AB190" i="19"/>
  <c r="AD190" i="19"/>
  <c r="AF190" i="19"/>
  <c r="H202" i="19"/>
  <c r="J202" i="19"/>
  <c r="L202" i="19"/>
  <c r="N202" i="19"/>
  <c r="P202" i="19"/>
  <c r="R202" i="19"/>
  <c r="T202" i="19"/>
  <c r="V202" i="19"/>
  <c r="X202" i="19"/>
  <c r="Z202" i="19"/>
  <c r="AB202" i="19"/>
  <c r="AD202" i="19"/>
  <c r="AF202" i="19"/>
  <c r="AF206" i="19"/>
  <c r="H206" i="19"/>
  <c r="J206" i="19"/>
  <c r="L206" i="19"/>
  <c r="N206" i="19"/>
  <c r="P206" i="19"/>
  <c r="R206" i="19"/>
  <c r="T206" i="19"/>
  <c r="V206" i="19"/>
  <c r="X206" i="19"/>
  <c r="Z206" i="19"/>
  <c r="AB206" i="19"/>
  <c r="AD206" i="19"/>
  <c r="H215" i="19"/>
  <c r="J215" i="19"/>
  <c r="L215" i="19"/>
  <c r="N215" i="19"/>
  <c r="P215" i="19"/>
  <c r="R215" i="19"/>
  <c r="T215" i="19"/>
  <c r="V215" i="19"/>
  <c r="X215" i="19"/>
  <c r="Z215" i="19"/>
  <c r="AB215" i="19"/>
  <c r="AD215" i="19"/>
  <c r="AF215" i="19"/>
  <c r="H262" i="19"/>
  <c r="J262" i="19"/>
  <c r="L262" i="19"/>
  <c r="N262" i="19"/>
  <c r="P262" i="19"/>
  <c r="R262" i="19"/>
  <c r="T262" i="19"/>
  <c r="V262" i="19"/>
  <c r="X262" i="19"/>
  <c r="Z262" i="19"/>
  <c r="AB262" i="19"/>
  <c r="AD262" i="19"/>
  <c r="AF262" i="19"/>
  <c r="H266" i="19"/>
  <c r="J266" i="19"/>
  <c r="L266" i="19"/>
  <c r="N266" i="19"/>
  <c r="P266" i="19"/>
  <c r="R266" i="19"/>
  <c r="T266" i="19"/>
  <c r="V266" i="19"/>
  <c r="X266" i="19"/>
  <c r="Z266" i="19"/>
  <c r="AB266" i="19"/>
  <c r="AD266" i="19"/>
  <c r="AF266" i="19"/>
  <c r="H280" i="19"/>
  <c r="J280" i="19"/>
  <c r="L280" i="19"/>
  <c r="M280" i="19"/>
  <c r="N280" i="19"/>
  <c r="P280" i="19"/>
  <c r="R280" i="19"/>
  <c r="S280" i="19"/>
  <c r="T280" i="19"/>
  <c r="V280" i="19"/>
  <c r="X280" i="19"/>
  <c r="Y280" i="19"/>
  <c r="Z280" i="19"/>
  <c r="AB280" i="19"/>
  <c r="AD280" i="19"/>
  <c r="AE280" i="19"/>
  <c r="H284" i="19"/>
  <c r="J284" i="19"/>
  <c r="L284" i="19"/>
  <c r="M284" i="19"/>
  <c r="N284" i="19"/>
  <c r="P284" i="19"/>
  <c r="R284" i="19"/>
  <c r="S284" i="19"/>
  <c r="T284" i="19"/>
  <c r="V284" i="19"/>
  <c r="X284" i="19"/>
  <c r="Y284" i="19"/>
  <c r="Z284" i="19"/>
  <c r="AB284" i="19"/>
  <c r="AD284" i="19"/>
  <c r="AE284" i="19"/>
  <c r="H288" i="19"/>
  <c r="J288" i="19"/>
  <c r="L288" i="19"/>
  <c r="M288" i="19"/>
  <c r="N288" i="19"/>
  <c r="P288" i="19"/>
  <c r="R288" i="19"/>
  <c r="S288" i="19"/>
  <c r="T288" i="19"/>
  <c r="V288" i="19"/>
  <c r="X288" i="19"/>
  <c r="Y288" i="19"/>
  <c r="Z288" i="19"/>
  <c r="AB288" i="19"/>
  <c r="AD288" i="19"/>
  <c r="AE288" i="19"/>
  <c r="M290" i="19"/>
  <c r="S290" i="19"/>
  <c r="Y290" i="19"/>
  <c r="AE290" i="19"/>
  <c r="M292" i="19"/>
  <c r="S292" i="19"/>
  <c r="Y292" i="19"/>
  <c r="AE292" i="19"/>
  <c r="H296" i="19"/>
  <c r="J296" i="19"/>
  <c r="L296" i="19"/>
  <c r="M296" i="19"/>
  <c r="N296" i="19"/>
  <c r="P296" i="19"/>
  <c r="R296" i="19"/>
  <c r="S296" i="19"/>
  <c r="T296" i="19"/>
  <c r="V296" i="19"/>
  <c r="X296" i="19"/>
  <c r="Y296" i="19"/>
  <c r="Z296" i="19"/>
  <c r="AB296" i="19"/>
  <c r="AD296" i="19"/>
  <c r="AE296" i="19"/>
  <c r="AF296" i="19"/>
  <c r="H300" i="19"/>
  <c r="J300" i="19"/>
  <c r="L300" i="19"/>
  <c r="M300" i="19"/>
  <c r="N300" i="19"/>
  <c r="P300" i="19"/>
  <c r="R300" i="19"/>
  <c r="S300" i="19"/>
  <c r="T300" i="19"/>
  <c r="V300" i="19"/>
  <c r="X300" i="19"/>
  <c r="Y300" i="19"/>
  <c r="Z300" i="19"/>
  <c r="AB300" i="19"/>
  <c r="AD300" i="19"/>
  <c r="AE300" i="19"/>
  <c r="AF300" i="19"/>
  <c r="H304" i="19"/>
  <c r="J304" i="19"/>
  <c r="L304" i="19"/>
  <c r="M304" i="19"/>
  <c r="N304" i="19"/>
  <c r="P304" i="19"/>
  <c r="R304" i="19"/>
  <c r="S304" i="19"/>
  <c r="T304" i="19"/>
  <c r="V304" i="19"/>
  <c r="X304" i="19"/>
  <c r="Y304" i="19"/>
  <c r="Z304" i="19"/>
  <c r="AB304" i="19"/>
  <c r="AD304" i="19"/>
  <c r="AE304" i="19"/>
  <c r="AF304" i="19"/>
  <c r="M306" i="19"/>
  <c r="S306" i="19"/>
  <c r="Y306" i="19"/>
  <c r="AE306" i="19"/>
  <c r="H310" i="19"/>
  <c r="J310" i="19"/>
  <c r="L310" i="19"/>
  <c r="M310" i="19"/>
  <c r="N310" i="19"/>
  <c r="P310" i="19"/>
  <c r="R310" i="19"/>
  <c r="S310" i="19"/>
  <c r="T310" i="19"/>
  <c r="V310" i="19"/>
  <c r="X310" i="19"/>
  <c r="Y310" i="19"/>
  <c r="Z310" i="19"/>
  <c r="AB310" i="19"/>
  <c r="AD310" i="19"/>
  <c r="AE310" i="19"/>
  <c r="AF310" i="19"/>
  <c r="M312" i="19"/>
  <c r="S312" i="19"/>
  <c r="Y312" i="19"/>
  <c r="AE312" i="19"/>
  <c r="H316" i="19"/>
  <c r="J316" i="19"/>
  <c r="L316" i="19"/>
  <c r="M316" i="19"/>
  <c r="N316" i="19"/>
  <c r="P316" i="19"/>
  <c r="R316" i="19"/>
  <c r="S316" i="19"/>
  <c r="T316" i="19"/>
  <c r="V316" i="19"/>
  <c r="X316" i="19"/>
  <c r="Y316" i="19"/>
  <c r="Z316" i="19"/>
  <c r="AB316" i="19"/>
  <c r="AD316" i="19"/>
  <c r="AE316" i="19"/>
  <c r="AF316" i="19"/>
  <c r="M318" i="19"/>
  <c r="S318" i="19"/>
  <c r="Y318" i="19"/>
  <c r="AE318" i="19"/>
  <c r="H322" i="19"/>
  <c r="J322" i="19"/>
  <c r="L322" i="19"/>
  <c r="M322" i="19"/>
  <c r="N322" i="19"/>
  <c r="P322" i="19"/>
  <c r="R322" i="19"/>
  <c r="S322" i="19"/>
  <c r="T322" i="19"/>
  <c r="V322" i="19"/>
  <c r="X322" i="19"/>
  <c r="Y322" i="19"/>
  <c r="Z322" i="19"/>
  <c r="AB322" i="19"/>
  <c r="AD322" i="19"/>
  <c r="AE322" i="19"/>
  <c r="AF322" i="19"/>
  <c r="M324" i="19"/>
  <c r="S324" i="19"/>
  <c r="Y324" i="19"/>
  <c r="AE324" i="19"/>
  <c r="H328" i="19"/>
  <c r="J328" i="19"/>
  <c r="L328" i="19"/>
  <c r="N328" i="19"/>
  <c r="P328" i="19"/>
  <c r="R328" i="19"/>
  <c r="T328" i="19"/>
  <c r="V328" i="19"/>
  <c r="X328" i="19"/>
  <c r="Z328" i="19"/>
  <c r="AB328" i="19"/>
  <c r="AD328" i="19"/>
  <c r="AF328" i="19"/>
  <c r="X52" i="19" l="1"/>
  <c r="AD268" i="19"/>
  <c r="V268" i="19"/>
  <c r="N268" i="19"/>
  <c r="J268" i="19"/>
  <c r="H52" i="19"/>
  <c r="AF280" i="19"/>
  <c r="AB208" i="19"/>
  <c r="V208" i="19"/>
  <c r="AF81" i="19"/>
  <c r="AB81" i="19"/>
  <c r="L81" i="19"/>
  <c r="V81" i="19"/>
  <c r="N81" i="19"/>
  <c r="Z268" i="19"/>
  <c r="R268" i="19"/>
  <c r="Z81" i="19"/>
  <c r="R81" i="19"/>
  <c r="J81" i="19"/>
  <c r="Z290" i="19"/>
  <c r="T290" i="19"/>
  <c r="N290" i="19"/>
  <c r="H290" i="19"/>
  <c r="T208" i="19"/>
  <c r="L208" i="19"/>
  <c r="H208" i="19"/>
  <c r="X81" i="19"/>
  <c r="X83" i="19" s="1"/>
  <c r="P81" i="19"/>
  <c r="AD52" i="19"/>
  <c r="V52" i="19"/>
  <c r="X268" i="19"/>
  <c r="P268" i="19"/>
  <c r="H268" i="19"/>
  <c r="P208" i="19"/>
  <c r="AD208" i="19"/>
  <c r="N208" i="19"/>
  <c r="AF83" i="19"/>
  <c r="T81" i="19"/>
  <c r="H81" i="19"/>
  <c r="H83" i="19" s="1"/>
  <c r="H210" i="19" s="1"/>
  <c r="AB290" i="19"/>
  <c r="V290" i="19"/>
  <c r="P290" i="19"/>
  <c r="J290" i="19"/>
  <c r="AD81" i="19"/>
  <c r="AD83" i="19" s="1"/>
  <c r="AD210" i="19" s="1"/>
  <c r="AD271" i="19" s="1"/>
  <c r="AB52" i="19"/>
  <c r="L52" i="19"/>
  <c r="AB268" i="19"/>
  <c r="T268" i="19"/>
  <c r="L268" i="19"/>
  <c r="X208" i="19"/>
  <c r="N52" i="19"/>
  <c r="N83" i="19" s="1"/>
  <c r="P52" i="19"/>
  <c r="P83" i="19" s="1"/>
  <c r="P210" i="19" s="1"/>
  <c r="P271" i="19" s="1"/>
  <c r="T52" i="19"/>
  <c r="AD290" i="19"/>
  <c r="X290" i="19"/>
  <c r="R290" i="19"/>
  <c r="L290" i="19"/>
  <c r="Z52" i="19"/>
  <c r="Z83" i="19" s="1"/>
  <c r="Z210" i="19" s="1"/>
  <c r="Z271" i="19" s="1"/>
  <c r="R52" i="19"/>
  <c r="R83" i="19" s="1"/>
  <c r="J52" i="19"/>
  <c r="AF284" i="19"/>
  <c r="Z208" i="19"/>
  <c r="R208" i="19"/>
  <c r="J208" i="19"/>
  <c r="AF208" i="19"/>
  <c r="V83" i="19"/>
  <c r="V210" i="19" s="1"/>
  <c r="V271" i="19" s="1"/>
  <c r="AF288" i="19"/>
  <c r="AF268" i="19"/>
  <c r="C20" i="32"/>
  <c r="C17" i="32"/>
  <c r="A10" i="32"/>
  <c r="A11" i="32" s="1"/>
  <c r="N210" i="19" l="1"/>
  <c r="N271" i="19" s="1"/>
  <c r="H271" i="19"/>
  <c r="L83" i="19"/>
  <c r="L210" i="19" s="1"/>
  <c r="L271" i="19" s="1"/>
  <c r="L273" i="19" s="1"/>
  <c r="X210" i="19"/>
  <c r="X271" i="19" s="1"/>
  <c r="AB83" i="19"/>
  <c r="AB210" i="19" s="1"/>
  <c r="AB271" i="19" s="1"/>
  <c r="R210" i="19"/>
  <c r="R271" i="19" s="1"/>
  <c r="R273" i="19" s="1"/>
  <c r="J83" i="19"/>
  <c r="J210" i="19" s="1"/>
  <c r="J271" i="19" s="1"/>
  <c r="L292" i="19"/>
  <c r="L306" i="19" s="1"/>
  <c r="L312" i="19" s="1"/>
  <c r="L318" i="19" s="1"/>
  <c r="L324" i="19" s="1"/>
  <c r="N273" i="19"/>
  <c r="N292" i="19"/>
  <c r="N306" i="19" s="1"/>
  <c r="N312" i="19" s="1"/>
  <c r="N318" i="19" s="1"/>
  <c r="N324" i="19" s="1"/>
  <c r="T83" i="19"/>
  <c r="T210" i="19" s="1"/>
  <c r="T271" i="19" s="1"/>
  <c r="AF290" i="19"/>
  <c r="J273" i="19"/>
  <c r="J292" i="19"/>
  <c r="J306" i="19" s="1"/>
  <c r="J312" i="19" s="1"/>
  <c r="J318" i="19" s="1"/>
  <c r="J324" i="19" s="1"/>
  <c r="H273" i="19"/>
  <c r="H292" i="19"/>
  <c r="H306" i="19" s="1"/>
  <c r="H312" i="19" s="1"/>
  <c r="H318" i="19" s="1"/>
  <c r="H324" i="19" s="1"/>
  <c r="C14" i="32"/>
  <c r="R292" i="19"/>
  <c r="R306" i="19" s="1"/>
  <c r="R312" i="19" s="1"/>
  <c r="R318" i="19" s="1"/>
  <c r="R324" i="19" s="1"/>
  <c r="AD273" i="19"/>
  <c r="AD292" i="19"/>
  <c r="AD306" i="19" s="1"/>
  <c r="AD312" i="19" s="1"/>
  <c r="AD318" i="19" s="1"/>
  <c r="AD324" i="19" s="1"/>
  <c r="X273" i="19"/>
  <c r="X292" i="19"/>
  <c r="X306" i="19" s="1"/>
  <c r="X312" i="19" s="1"/>
  <c r="X318" i="19" s="1"/>
  <c r="X324" i="19" s="1"/>
  <c r="V273" i="19"/>
  <c r="V292" i="19"/>
  <c r="V306" i="19" s="1"/>
  <c r="V312" i="19" s="1"/>
  <c r="V318" i="19" s="1"/>
  <c r="V324" i="19" s="1"/>
  <c r="C10" i="32"/>
  <c r="AF210" i="19"/>
  <c r="C11" i="32"/>
  <c r="C15" i="32"/>
  <c r="C19" i="32"/>
  <c r="Z292" i="19"/>
  <c r="Z306" i="19" s="1"/>
  <c r="Z312" i="19" s="1"/>
  <c r="Z318" i="19" s="1"/>
  <c r="Z324" i="19" s="1"/>
  <c r="Z273" i="19"/>
  <c r="P273" i="19"/>
  <c r="P292" i="19"/>
  <c r="P306" i="19" s="1"/>
  <c r="P312" i="19" s="1"/>
  <c r="P318" i="19" s="1"/>
  <c r="P324" i="19" s="1"/>
  <c r="C18" i="32"/>
  <c r="C12" i="32"/>
  <c r="C16" i="32"/>
  <c r="C13" i="32"/>
  <c r="AB273" i="19" l="1"/>
  <c r="AB292" i="19"/>
  <c r="AB306" i="19" s="1"/>
  <c r="AB312" i="19" s="1"/>
  <c r="AB318" i="19" s="1"/>
  <c r="AB324" i="19" s="1"/>
  <c r="T292" i="19"/>
  <c r="T306" i="19" s="1"/>
  <c r="T312" i="19" s="1"/>
  <c r="T318" i="19" s="1"/>
  <c r="T324" i="19" s="1"/>
  <c r="T273" i="19"/>
  <c r="AF271" i="19"/>
  <c r="A12" i="32"/>
  <c r="B22" i="32"/>
  <c r="C30" i="32"/>
  <c r="P2" i="12"/>
  <c r="T2" i="12"/>
  <c r="V2" i="12"/>
  <c r="J3" i="12"/>
  <c r="L3" i="12"/>
  <c r="N3" i="12"/>
  <c r="P3" i="12"/>
  <c r="B7" i="12"/>
  <c r="T3" i="12"/>
  <c r="A8" i="12"/>
  <c r="A6" i="12"/>
  <c r="A4" i="12"/>
  <c r="A5" i="12"/>
  <c r="A7" i="12"/>
  <c r="B4" i="12"/>
  <c r="B6" i="12"/>
  <c r="B5" i="12"/>
  <c r="R3" i="12" l="1"/>
  <c r="S13" i="12"/>
  <c r="R13" i="12" s="1"/>
  <c r="AF273" i="19"/>
  <c r="AF292" i="19"/>
  <c r="A13" i="32"/>
  <c r="A14" i="32" s="1"/>
  <c r="S3" i="12"/>
  <c r="P16" i="12"/>
  <c r="T16" i="12" s="1"/>
  <c r="P17" i="12"/>
  <c r="T17" i="12" s="1"/>
  <c r="V17" i="12" s="1"/>
  <c r="P18" i="12"/>
  <c r="T18" i="12"/>
  <c r="V18" i="12" s="1"/>
  <c r="P19" i="12"/>
  <c r="T19" i="12"/>
  <c r="V19" i="12"/>
  <c r="P20" i="12"/>
  <c r="T20" i="12" s="1"/>
  <c r="V20" i="12" s="1"/>
  <c r="P21" i="12"/>
  <c r="T21" i="12" s="1"/>
  <c r="V21" i="12" s="1"/>
  <c r="P22" i="12"/>
  <c r="T22" i="12"/>
  <c r="V22" i="12" s="1"/>
  <c r="P23" i="12"/>
  <c r="T23" i="12"/>
  <c r="V23" i="12"/>
  <c r="P24" i="12"/>
  <c r="T24" i="12" s="1"/>
  <c r="V24" i="12" s="1"/>
  <c r="P25" i="12"/>
  <c r="T25" i="12" s="1"/>
  <c r="V25" i="12" s="1"/>
  <c r="P26" i="12"/>
  <c r="T26" i="12"/>
  <c r="V26" i="12" s="1"/>
  <c r="P27" i="12"/>
  <c r="T27" i="12"/>
  <c r="V27" i="12"/>
  <c r="J29" i="12"/>
  <c r="L29" i="12"/>
  <c r="N29" i="12"/>
  <c r="N58" i="12" s="1"/>
  <c r="P29" i="12"/>
  <c r="R29" i="12"/>
  <c r="S29" i="12"/>
  <c r="P30" i="12"/>
  <c r="T30" i="12" s="1"/>
  <c r="P31" i="12"/>
  <c r="T31" i="12" s="1"/>
  <c r="V31" i="12" s="1"/>
  <c r="P32" i="12"/>
  <c r="T32" i="12"/>
  <c r="V32" i="12" s="1"/>
  <c r="P33" i="12"/>
  <c r="T33" i="12"/>
  <c r="V33" i="12"/>
  <c r="P34" i="12"/>
  <c r="T34" i="12" s="1"/>
  <c r="V34" i="12" s="1"/>
  <c r="P35" i="12"/>
  <c r="T35" i="12" s="1"/>
  <c r="V35" i="12" s="1"/>
  <c r="P36" i="12"/>
  <c r="T36" i="12"/>
  <c r="V36" i="12" s="1"/>
  <c r="J38" i="12"/>
  <c r="L38" i="12"/>
  <c r="P38" i="12" s="1"/>
  <c r="N38" i="12"/>
  <c r="R38" i="12"/>
  <c r="S38" i="12"/>
  <c r="P39" i="12"/>
  <c r="T39" i="12"/>
  <c r="V39" i="12"/>
  <c r="P40" i="12"/>
  <c r="T40" i="12" s="1"/>
  <c r="P41" i="12"/>
  <c r="T41" i="12" s="1"/>
  <c r="V41" i="12" s="1"/>
  <c r="P42" i="12"/>
  <c r="T42" i="12"/>
  <c r="V42" i="12" s="1"/>
  <c r="P43" i="12"/>
  <c r="T43" i="12"/>
  <c r="V43" i="12"/>
  <c r="J45" i="12"/>
  <c r="L45" i="12"/>
  <c r="N45" i="12"/>
  <c r="P45" i="12"/>
  <c r="R45" i="12"/>
  <c r="S45" i="12"/>
  <c r="P46" i="12"/>
  <c r="T46" i="12" s="1"/>
  <c r="P47" i="12"/>
  <c r="T47" i="12" s="1"/>
  <c r="V47" i="12" s="1"/>
  <c r="P48" i="12"/>
  <c r="T48" i="12"/>
  <c r="V48" i="12" s="1"/>
  <c r="P49" i="12"/>
  <c r="T49" i="12"/>
  <c r="V49" i="12"/>
  <c r="P50" i="12"/>
  <c r="T50" i="12" s="1"/>
  <c r="V50" i="12" s="1"/>
  <c r="P51" i="12"/>
  <c r="T51" i="12" s="1"/>
  <c r="V51" i="12" s="1"/>
  <c r="J53" i="12"/>
  <c r="P53" i="12" s="1"/>
  <c r="L53" i="12"/>
  <c r="N53" i="12"/>
  <c r="R53" i="12"/>
  <c r="S53" i="12"/>
  <c r="J56" i="12"/>
  <c r="P56" i="12" s="1"/>
  <c r="L56" i="12"/>
  <c r="N56" i="12"/>
  <c r="R56" i="12"/>
  <c r="S56" i="12"/>
  <c r="T56" i="12"/>
  <c r="V56" i="12"/>
  <c r="J58" i="12"/>
  <c r="L58" i="12"/>
  <c r="R58" i="12"/>
  <c r="S58" i="12"/>
  <c r="P61" i="12"/>
  <c r="T61" i="12"/>
  <c r="V61" i="12" s="1"/>
  <c r="P62" i="12"/>
  <c r="T62" i="12"/>
  <c r="V62" i="12"/>
  <c r="P63" i="12"/>
  <c r="T63" i="12" s="1"/>
  <c r="V63" i="12" s="1"/>
  <c r="P64" i="12"/>
  <c r="T64" i="12" s="1"/>
  <c r="V64" i="12" s="1"/>
  <c r="P65" i="12"/>
  <c r="T65" i="12"/>
  <c r="V65" i="12" s="1"/>
  <c r="P66" i="12"/>
  <c r="T66" i="12"/>
  <c r="V66" i="12"/>
  <c r="P67" i="12"/>
  <c r="T67" i="12" s="1"/>
  <c r="V67" i="12" s="1"/>
  <c r="P68" i="12"/>
  <c r="T68" i="12" s="1"/>
  <c r="V68" i="12" s="1"/>
  <c r="P69" i="12"/>
  <c r="T69" i="12"/>
  <c r="V69" i="12" s="1"/>
  <c r="P70" i="12"/>
  <c r="T70" i="12"/>
  <c r="V70" i="12"/>
  <c r="P71" i="12"/>
  <c r="T71" i="12" s="1"/>
  <c r="V71" i="12" s="1"/>
  <c r="P72" i="12"/>
  <c r="T72" i="12" s="1"/>
  <c r="V72" i="12" s="1"/>
  <c r="P73" i="12"/>
  <c r="T73" i="12"/>
  <c r="V73" i="12" s="1"/>
  <c r="P74" i="12"/>
  <c r="T74" i="12"/>
  <c r="V74" i="12"/>
  <c r="P75" i="12"/>
  <c r="T75" i="12"/>
  <c r="V75" i="12"/>
  <c r="P76" i="12"/>
  <c r="T76" i="12" s="1"/>
  <c r="V76" i="12" s="1"/>
  <c r="P77" i="12"/>
  <c r="T77" i="12"/>
  <c r="V77" i="12" s="1"/>
  <c r="P78" i="12"/>
  <c r="T78" i="12"/>
  <c r="V78" i="12"/>
  <c r="P79" i="12"/>
  <c r="T79" i="12"/>
  <c r="V79" i="12"/>
  <c r="P80" i="12"/>
  <c r="T80" i="12" s="1"/>
  <c r="V80" i="12" s="1"/>
  <c r="P81" i="12"/>
  <c r="T81" i="12"/>
  <c r="V81" i="12" s="1"/>
  <c r="P82" i="12"/>
  <c r="T82" i="12"/>
  <c r="V82" i="12"/>
  <c r="P83" i="12"/>
  <c r="T83" i="12" s="1"/>
  <c r="V83" i="12" s="1"/>
  <c r="P84" i="12"/>
  <c r="T84" i="12" s="1"/>
  <c r="V84" i="12" s="1"/>
  <c r="P85" i="12"/>
  <c r="T85" i="12"/>
  <c r="V85" i="12" s="1"/>
  <c r="P86" i="12"/>
  <c r="T86" i="12"/>
  <c r="V86" i="12"/>
  <c r="P87" i="12"/>
  <c r="T87" i="12"/>
  <c r="V87" i="12"/>
  <c r="P88" i="12"/>
  <c r="T88" i="12" s="1"/>
  <c r="V88" i="12" s="1"/>
  <c r="P89" i="12"/>
  <c r="T89" i="12"/>
  <c r="V89" i="12" s="1"/>
  <c r="P90" i="12"/>
  <c r="T90" i="12"/>
  <c r="V90" i="12"/>
  <c r="P91" i="12"/>
  <c r="T91" i="12"/>
  <c r="V91" i="12"/>
  <c r="P92" i="12"/>
  <c r="T92" i="12" s="1"/>
  <c r="V92" i="12" s="1"/>
  <c r="P93" i="12"/>
  <c r="T93" i="12"/>
  <c r="V93" i="12" s="1"/>
  <c r="P94" i="12"/>
  <c r="T94" i="12"/>
  <c r="V94" i="12"/>
  <c r="P95" i="12"/>
  <c r="T95" i="12"/>
  <c r="V95" i="12"/>
  <c r="J97" i="12"/>
  <c r="J131" i="12" s="1"/>
  <c r="J219" i="12" s="1"/>
  <c r="L97" i="12"/>
  <c r="N97" i="12"/>
  <c r="R97" i="12"/>
  <c r="R131" i="12" s="1"/>
  <c r="S97" i="12"/>
  <c r="J100" i="12"/>
  <c r="P100" i="12" s="1"/>
  <c r="L100" i="12"/>
  <c r="N100" i="12"/>
  <c r="R100" i="12"/>
  <c r="S100" i="12"/>
  <c r="T100" i="12"/>
  <c r="V100" i="12"/>
  <c r="P101" i="12"/>
  <c r="T101" i="12" s="1"/>
  <c r="P102" i="12"/>
  <c r="T102" i="12"/>
  <c r="V102" i="12" s="1"/>
  <c r="J104" i="12"/>
  <c r="L104" i="12"/>
  <c r="P104" i="12" s="1"/>
  <c r="N104" i="12"/>
  <c r="N131" i="12" s="1"/>
  <c r="R104" i="12"/>
  <c r="S104" i="12"/>
  <c r="P105" i="12"/>
  <c r="T105" i="12"/>
  <c r="V105" i="12"/>
  <c r="P106" i="12"/>
  <c r="T106" i="12"/>
  <c r="V106" i="12"/>
  <c r="P107" i="12"/>
  <c r="T107" i="12" s="1"/>
  <c r="V107" i="12" s="1"/>
  <c r="P108" i="12"/>
  <c r="T108" i="12"/>
  <c r="V108" i="12" s="1"/>
  <c r="P109" i="12"/>
  <c r="T109" i="12"/>
  <c r="V109" i="12"/>
  <c r="P110" i="12"/>
  <c r="T110" i="12" s="1"/>
  <c r="V110" i="12" s="1"/>
  <c r="P111" i="12"/>
  <c r="T111" i="12" s="1"/>
  <c r="V111" i="12" s="1"/>
  <c r="J113" i="12"/>
  <c r="P113" i="12" s="1"/>
  <c r="L113" i="12"/>
  <c r="L131" i="12" s="1"/>
  <c r="L219" i="12" s="1"/>
  <c r="N113" i="12"/>
  <c r="R113" i="12"/>
  <c r="S113" i="12"/>
  <c r="S131" i="12" s="1"/>
  <c r="S219" i="12" s="1"/>
  <c r="J116" i="12"/>
  <c r="P116" i="12" s="1"/>
  <c r="L116" i="12"/>
  <c r="N116" i="12"/>
  <c r="R116" i="12"/>
  <c r="S116" i="12"/>
  <c r="T116" i="12"/>
  <c r="V116" i="12"/>
  <c r="J119" i="12"/>
  <c r="P119" i="12" s="1"/>
  <c r="L119" i="12"/>
  <c r="N119" i="12"/>
  <c r="R119" i="12"/>
  <c r="S119" i="12"/>
  <c r="T119" i="12"/>
  <c r="V119" i="12"/>
  <c r="J122" i="12"/>
  <c r="P122" i="12" s="1"/>
  <c r="L122" i="12"/>
  <c r="N122" i="12"/>
  <c r="R122" i="12"/>
  <c r="S122" i="12"/>
  <c r="T122" i="12"/>
  <c r="V122" i="12"/>
  <c r="J125" i="12"/>
  <c r="P125" i="12" s="1"/>
  <c r="L125" i="12"/>
  <c r="N125" i="12"/>
  <c r="R125" i="12"/>
  <c r="S125" i="12"/>
  <c r="T125" i="12"/>
  <c r="V125" i="12"/>
  <c r="P126" i="12"/>
  <c r="T126" i="12"/>
  <c r="V126" i="12" s="1"/>
  <c r="V129" i="12" s="1"/>
  <c r="P127" i="12"/>
  <c r="T127" i="12"/>
  <c r="V127" i="12"/>
  <c r="J129" i="12"/>
  <c r="L129" i="12"/>
  <c r="N129" i="12"/>
  <c r="P129" i="12"/>
  <c r="R129" i="12"/>
  <c r="S129" i="12"/>
  <c r="J135" i="12"/>
  <c r="L135" i="12"/>
  <c r="N135" i="12"/>
  <c r="P135" i="12"/>
  <c r="R135" i="12"/>
  <c r="S135" i="12"/>
  <c r="T135" i="12"/>
  <c r="V135" i="12"/>
  <c r="J139" i="12"/>
  <c r="L139" i="12"/>
  <c r="N139" i="12"/>
  <c r="P139" i="12"/>
  <c r="R139" i="12"/>
  <c r="S139" i="12"/>
  <c r="T139" i="12"/>
  <c r="V139" i="12"/>
  <c r="P140" i="12"/>
  <c r="T140" i="12" s="1"/>
  <c r="P141" i="12"/>
  <c r="T141" i="12" s="1"/>
  <c r="V141" i="12" s="1"/>
  <c r="P142" i="12"/>
  <c r="T142" i="12"/>
  <c r="V142" i="12" s="1"/>
  <c r="P143" i="12"/>
  <c r="T143" i="12"/>
  <c r="V143" i="12"/>
  <c r="P144" i="12"/>
  <c r="T144" i="12" s="1"/>
  <c r="V144" i="12" s="1"/>
  <c r="P145" i="12"/>
  <c r="T145" i="12" s="1"/>
  <c r="V145" i="12" s="1"/>
  <c r="P146" i="12"/>
  <c r="T146" i="12"/>
  <c r="V146" i="12" s="1"/>
  <c r="P147" i="12"/>
  <c r="T147" i="12"/>
  <c r="V147" i="12"/>
  <c r="J149" i="12"/>
  <c r="L149" i="12"/>
  <c r="N149" i="12"/>
  <c r="P149" i="12"/>
  <c r="R149" i="12"/>
  <c r="S149" i="12"/>
  <c r="P150" i="12"/>
  <c r="T150" i="12" s="1"/>
  <c r="J152" i="12"/>
  <c r="J162" i="12" s="1"/>
  <c r="J187" i="12" s="1"/>
  <c r="J217" i="12" s="1"/>
  <c r="L152" i="12"/>
  <c r="N152" i="12"/>
  <c r="R152" i="12"/>
  <c r="R162" i="12" s="1"/>
  <c r="R187" i="12" s="1"/>
  <c r="R217" i="12" s="1"/>
  <c r="S152" i="12"/>
  <c r="P153" i="12"/>
  <c r="T153" i="12" s="1"/>
  <c r="P154" i="12"/>
  <c r="T154" i="12"/>
  <c r="V154" i="12" s="1"/>
  <c r="P155" i="12"/>
  <c r="T155" i="12"/>
  <c r="V155" i="12"/>
  <c r="P156" i="12"/>
  <c r="T156" i="12" s="1"/>
  <c r="V156" i="12" s="1"/>
  <c r="P157" i="12"/>
  <c r="T157" i="12" s="1"/>
  <c r="V157" i="12" s="1"/>
  <c r="P158" i="12"/>
  <c r="T158" i="12"/>
  <c r="V158" i="12" s="1"/>
  <c r="J160" i="12"/>
  <c r="L160" i="12"/>
  <c r="P160" i="12" s="1"/>
  <c r="N160" i="12"/>
  <c r="R160" i="12"/>
  <c r="S160" i="12"/>
  <c r="L162" i="12"/>
  <c r="N162" i="12"/>
  <c r="S162" i="12"/>
  <c r="J167" i="12"/>
  <c r="L167" i="12"/>
  <c r="P167" i="12" s="1"/>
  <c r="N167" i="12"/>
  <c r="R167" i="12"/>
  <c r="S167" i="12"/>
  <c r="T167" i="12"/>
  <c r="V167" i="12"/>
  <c r="J170" i="12"/>
  <c r="L170" i="12"/>
  <c r="N170" i="12"/>
  <c r="P170" i="12" s="1"/>
  <c r="R170" i="12"/>
  <c r="S170" i="12"/>
  <c r="T170" i="12"/>
  <c r="V170" i="12"/>
  <c r="J173" i="12"/>
  <c r="L173" i="12"/>
  <c r="N173" i="12"/>
  <c r="P173" i="12" s="1"/>
  <c r="R173" i="12"/>
  <c r="S173" i="12"/>
  <c r="T173" i="12"/>
  <c r="V173" i="12"/>
  <c r="J176" i="12"/>
  <c r="L176" i="12"/>
  <c r="N176" i="12"/>
  <c r="P176" i="12" s="1"/>
  <c r="R176" i="12"/>
  <c r="S176" i="12"/>
  <c r="T176" i="12"/>
  <c r="V176" i="12"/>
  <c r="J179" i="12"/>
  <c r="L179" i="12"/>
  <c r="N179" i="12"/>
  <c r="P179" i="12" s="1"/>
  <c r="R179" i="12"/>
  <c r="S179" i="12"/>
  <c r="T179" i="12"/>
  <c r="V179" i="12"/>
  <c r="J182" i="12"/>
  <c r="L182" i="12"/>
  <c r="N182" i="12"/>
  <c r="P182" i="12" s="1"/>
  <c r="R182" i="12"/>
  <c r="S182" i="12"/>
  <c r="T182" i="12"/>
  <c r="V182" i="12"/>
  <c r="J185" i="12"/>
  <c r="L185" i="12"/>
  <c r="N185" i="12"/>
  <c r="P185" i="12" s="1"/>
  <c r="R185" i="12"/>
  <c r="S185" i="12"/>
  <c r="T185" i="12"/>
  <c r="V185" i="12"/>
  <c r="L187" i="12"/>
  <c r="N187" i="12"/>
  <c r="S187" i="12"/>
  <c r="J191" i="12"/>
  <c r="L191" i="12"/>
  <c r="N191" i="12"/>
  <c r="P191" i="12" s="1"/>
  <c r="P215" i="12" s="1"/>
  <c r="R191" i="12"/>
  <c r="S191" i="12"/>
  <c r="T191" i="12"/>
  <c r="V191" i="12"/>
  <c r="J194" i="12"/>
  <c r="L194" i="12"/>
  <c r="N194" i="12"/>
  <c r="P194" i="12" s="1"/>
  <c r="R194" i="12"/>
  <c r="S194" i="12"/>
  <c r="T194" i="12"/>
  <c r="V194" i="12"/>
  <c r="J197" i="12"/>
  <c r="L197" i="12"/>
  <c r="N197" i="12"/>
  <c r="P197" i="12" s="1"/>
  <c r="R197" i="12"/>
  <c r="S197" i="12"/>
  <c r="T197" i="12"/>
  <c r="V197" i="12"/>
  <c r="J200" i="12"/>
  <c r="L200" i="12"/>
  <c r="N200" i="12"/>
  <c r="P200" i="12" s="1"/>
  <c r="R200" i="12"/>
  <c r="S200" i="12"/>
  <c r="T200" i="12"/>
  <c r="V200" i="12"/>
  <c r="J203" i="12"/>
  <c r="L203" i="12"/>
  <c r="N203" i="12"/>
  <c r="P203" i="12" s="1"/>
  <c r="R203" i="12"/>
  <c r="S203" i="12"/>
  <c r="T203" i="12"/>
  <c r="V203" i="12"/>
  <c r="J206" i="12"/>
  <c r="L206" i="12"/>
  <c r="N206" i="12"/>
  <c r="P206" i="12" s="1"/>
  <c r="R206" i="12"/>
  <c r="S206" i="12"/>
  <c r="T206" i="12"/>
  <c r="V206" i="12"/>
  <c r="J209" i="12"/>
  <c r="L209" i="12"/>
  <c r="N209" i="12"/>
  <c r="P209" i="12" s="1"/>
  <c r="R209" i="12"/>
  <c r="S209" i="12"/>
  <c r="T209" i="12"/>
  <c r="V209" i="12"/>
  <c r="P211" i="12"/>
  <c r="T211" i="12" s="1"/>
  <c r="J213" i="12"/>
  <c r="L213" i="12"/>
  <c r="N213" i="12"/>
  <c r="P213" i="12"/>
  <c r="R213" i="12"/>
  <c r="S213" i="12"/>
  <c r="J215" i="12"/>
  <c r="L215" i="12"/>
  <c r="R215" i="12"/>
  <c r="S215" i="12"/>
  <c r="L217" i="12"/>
  <c r="S217" i="12"/>
  <c r="J223" i="12"/>
  <c r="L223" i="12"/>
  <c r="N223" i="12"/>
  <c r="P223" i="12"/>
  <c r="R223" i="12"/>
  <c r="S223" i="12"/>
  <c r="T223" i="12"/>
  <c r="V223" i="12"/>
  <c r="U4" i="10"/>
  <c r="Y4" i="10"/>
  <c r="B5" i="10"/>
  <c r="AF306" i="19" l="1"/>
  <c r="A15" i="32"/>
  <c r="A16" i="32" s="1"/>
  <c r="A17" i="32" s="1"/>
  <c r="A18" i="32" s="1"/>
  <c r="A19" i="32" s="1"/>
  <c r="A20" i="32" s="1"/>
  <c r="T152" i="12"/>
  <c r="V150" i="12"/>
  <c r="V152" i="12" s="1"/>
  <c r="V140" i="12"/>
  <c r="V149" i="12" s="1"/>
  <c r="V162" i="12" s="1"/>
  <c r="V187" i="12" s="1"/>
  <c r="V217" i="12" s="1"/>
  <c r="T149" i="12"/>
  <c r="V113" i="12"/>
  <c r="V40" i="12"/>
  <c r="V45" i="12" s="1"/>
  <c r="T45" i="12"/>
  <c r="T113" i="12"/>
  <c r="V97" i="12"/>
  <c r="V153" i="12"/>
  <c r="V160" i="12" s="1"/>
  <c r="T160" i="12"/>
  <c r="P58" i="12"/>
  <c r="V16" i="12"/>
  <c r="V29" i="12" s="1"/>
  <c r="T29" i="12"/>
  <c r="T104" i="12"/>
  <c r="V101" i="12"/>
  <c r="V104" i="12" s="1"/>
  <c r="T213" i="12"/>
  <c r="V211" i="12"/>
  <c r="V213" i="12" s="1"/>
  <c r="V215" i="12" s="1"/>
  <c r="T215" i="12"/>
  <c r="R219" i="12"/>
  <c r="T53" i="12"/>
  <c r="V46" i="12"/>
  <c r="V53" i="12" s="1"/>
  <c r="T38" i="12"/>
  <c r="V30" i="12"/>
  <c r="V38" i="12" s="1"/>
  <c r="N215" i="12"/>
  <c r="N217" i="12" s="1"/>
  <c r="N219" i="12" s="1"/>
  <c r="P152" i="12"/>
  <c r="P162" i="12" s="1"/>
  <c r="P187" i="12" s="1"/>
  <c r="P217" i="12" s="1"/>
  <c r="T129" i="12"/>
  <c r="P97" i="12"/>
  <c r="T97" i="12"/>
  <c r="C8" i="10"/>
  <c r="G8" i="10"/>
  <c r="J8" i="10"/>
  <c r="D16" i="10"/>
  <c r="E16" i="10"/>
  <c r="D17" i="10"/>
  <c r="E17" i="10"/>
  <c r="G17"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E128" i="10"/>
  <c r="B5" i="9"/>
  <c r="Y4" i="9"/>
  <c r="U4" i="9"/>
  <c r="AF312" i="19" l="1"/>
  <c r="T58" i="12"/>
  <c r="T131" i="12" s="1"/>
  <c r="T219" i="12" s="1"/>
  <c r="P131" i="12"/>
  <c r="P219" i="12" s="1"/>
  <c r="V58" i="12"/>
  <c r="V131" i="12" s="1"/>
  <c r="V219" i="12" s="1"/>
  <c r="T162" i="12"/>
  <c r="T187" i="12" s="1"/>
  <c r="T217" i="12" s="1"/>
  <c r="C8" i="9"/>
  <c r="G8" i="9"/>
  <c r="J8" i="9"/>
  <c r="D16" i="9"/>
  <c r="E16" i="9"/>
  <c r="D17" i="9"/>
  <c r="E17" i="9"/>
  <c r="G17"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D64" i="9"/>
  <c r="C8" i="8"/>
  <c r="G8" i="8"/>
  <c r="J8" i="8"/>
  <c r="D16" i="8"/>
  <c r="E16" i="8"/>
  <c r="D17" i="8"/>
  <c r="E17" i="8"/>
  <c r="G17"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E173" i="8"/>
  <c r="E11" i="7"/>
  <c r="E12" i="7"/>
  <c r="E13" i="7"/>
  <c r="E14" i="7"/>
  <c r="E15" i="7"/>
  <c r="E16" i="7"/>
  <c r="D17" i="7"/>
  <c r="E17" i="7" s="1"/>
  <c r="E18" i="7"/>
  <c r="E19" i="7"/>
  <c r="E20" i="7"/>
  <c r="E21" i="7"/>
  <c r="E22" i="7"/>
  <c r="E23" i="7"/>
  <c r="E24" i="7"/>
  <c r="E25" i="7"/>
  <c r="D26" i="7"/>
  <c r="E26" i="7" s="1"/>
  <c r="D27" i="7"/>
  <c r="E27" i="7"/>
  <c r="E28" i="7"/>
  <c r="F29" i="7"/>
  <c r="E30" i="7"/>
  <c r="E31" i="7"/>
  <c r="E32" i="7"/>
  <c r="E33" i="7"/>
  <c r="E34" i="7"/>
  <c r="D35" i="7"/>
  <c r="E35" i="7" s="1"/>
  <c r="D36" i="7"/>
  <c r="E36" i="7" s="1"/>
  <c r="D37" i="7"/>
  <c r="E37" i="7" s="1"/>
  <c r="D38" i="7"/>
  <c r="E38" i="7" s="1"/>
  <c r="D39" i="7"/>
  <c r="E39" i="7" s="1"/>
  <c r="E40" i="7"/>
  <c r="D41" i="7"/>
  <c r="E41" i="7"/>
  <c r="E42" i="7"/>
  <c r="E43" i="7"/>
  <c r="D44" i="7"/>
  <c r="E44" i="7"/>
  <c r="E45" i="7"/>
  <c r="E46" i="7"/>
  <c r="E47" i="7"/>
  <c r="E48" i="7"/>
  <c r="E49" i="7"/>
  <c r="E50" i="7"/>
  <c r="D51" i="7"/>
  <c r="E51" i="7"/>
  <c r="E52" i="7"/>
  <c r="D53" i="7"/>
  <c r="E53" i="7" s="1"/>
  <c r="E54" i="7"/>
  <c r="D55" i="7"/>
  <c r="E55" i="7"/>
  <c r="E56" i="7"/>
  <c r="E57" i="7"/>
  <c r="E58" i="7"/>
  <c r="E59" i="7"/>
  <c r="E60" i="7"/>
  <c r="E61" i="7"/>
  <c r="E62" i="7"/>
  <c r="E63" i="7"/>
  <c r="E64" i="7"/>
  <c r="E65" i="7"/>
  <c r="E66" i="7"/>
  <c r="D67" i="7"/>
  <c r="E67" i="7" s="1"/>
  <c r="E68" i="7"/>
  <c r="E69" i="7"/>
  <c r="D70" i="7"/>
  <c r="E70" i="7" s="1"/>
  <c r="E71" i="7"/>
  <c r="E72" i="7"/>
  <c r="E73" i="7"/>
  <c r="D74" i="7"/>
  <c r="E74" i="7"/>
  <c r="E75" i="7"/>
  <c r="E76" i="7"/>
  <c r="E77" i="7"/>
  <c r="E78" i="7"/>
  <c r="D79" i="7"/>
  <c r="E79" i="7"/>
  <c r="E80" i="7"/>
  <c r="E81" i="7"/>
  <c r="D82" i="7"/>
  <c r="E82" i="7"/>
  <c r="D83" i="7"/>
  <c r="E83" i="7"/>
  <c r="D84" i="7"/>
  <c r="E84" i="7"/>
  <c r="C85" i="7"/>
  <c r="E87" i="7"/>
  <c r="C88" i="7"/>
  <c r="C19" i="6"/>
  <c r="C20" i="6"/>
  <c r="C29" i="6" s="1"/>
  <c r="C26" i="6"/>
  <c r="C36" i="6"/>
  <c r="C40" i="6"/>
  <c r="C46" i="6" s="1"/>
  <c r="C42" i="6"/>
  <c r="C57" i="6"/>
  <c r="C59" i="6"/>
  <c r="C67" i="6"/>
  <c r="C69" i="6" s="1"/>
  <c r="D26" i="5"/>
  <c r="D33" i="5"/>
  <c r="D37" i="5" s="1"/>
  <c r="D41" i="5" s="1"/>
  <c r="B21" i="13"/>
  <c r="C25" i="13"/>
  <c r="C26" i="13" s="1"/>
  <c r="C37" i="30"/>
  <c r="D37" i="30"/>
  <c r="E37" i="30"/>
  <c r="F37" i="30"/>
  <c r="G37" i="30"/>
  <c r="H37" i="30"/>
  <c r="I37" i="30"/>
  <c r="J37" i="30"/>
  <c r="K37" i="30"/>
  <c r="L37" i="30"/>
  <c r="M37" i="30"/>
  <c r="N37" i="30"/>
  <c r="O37" i="30"/>
  <c r="P37" i="30"/>
  <c r="Q37" i="30"/>
  <c r="R37" i="30"/>
  <c r="S37" i="30"/>
  <c r="A1" i="15"/>
  <c r="J10" i="15"/>
  <c r="K10" i="15"/>
  <c r="L10" i="15"/>
  <c r="M10" i="15"/>
  <c r="W10" i="15"/>
  <c r="X10" i="15"/>
  <c r="Y10" i="15"/>
  <c r="Z10" i="15"/>
  <c r="AJ10" i="15"/>
  <c r="AK10" i="15"/>
  <c r="AL10" i="15"/>
  <c r="AM10" i="15"/>
  <c r="J11" i="15"/>
  <c r="K11" i="15"/>
  <c r="L11" i="15"/>
  <c r="M11" i="15"/>
  <c r="W11" i="15"/>
  <c r="X11" i="15"/>
  <c r="Y11" i="15"/>
  <c r="Z11" i="15"/>
  <c r="AJ11" i="15"/>
  <c r="AK11" i="15"/>
  <c r="AL11" i="15"/>
  <c r="AM11" i="15"/>
  <c r="J12" i="15"/>
  <c r="K12" i="15"/>
  <c r="L12" i="15"/>
  <c r="M12" i="15"/>
  <c r="W12" i="15"/>
  <c r="X12" i="15"/>
  <c r="Y12" i="15"/>
  <c r="Z12" i="15"/>
  <c r="AJ12" i="15"/>
  <c r="AK12" i="15"/>
  <c r="AL12" i="15"/>
  <c r="AM12" i="15"/>
  <c r="J13" i="15"/>
  <c r="K13" i="15"/>
  <c r="L13" i="15"/>
  <c r="M13" i="15"/>
  <c r="W13" i="15"/>
  <c r="X13" i="15"/>
  <c r="Y13" i="15"/>
  <c r="Z13" i="15"/>
  <c r="AJ13" i="15"/>
  <c r="AK13" i="15"/>
  <c r="AL13" i="15"/>
  <c r="AM13" i="15"/>
  <c r="J14" i="15"/>
  <c r="K14" i="15"/>
  <c r="L14" i="15"/>
  <c r="M14" i="15"/>
  <c r="W14" i="15"/>
  <c r="X14" i="15"/>
  <c r="Y14" i="15"/>
  <c r="Z14" i="15"/>
  <c r="AJ14" i="15"/>
  <c r="AK14" i="15"/>
  <c r="AL14" i="15"/>
  <c r="AM14" i="15"/>
  <c r="J15" i="15"/>
  <c r="K15" i="15"/>
  <c r="L15" i="15"/>
  <c r="M15" i="15"/>
  <c r="W15" i="15"/>
  <c r="X15" i="15"/>
  <c r="Y15" i="15"/>
  <c r="Z15" i="15"/>
  <c r="AJ15" i="15"/>
  <c r="AK15" i="15"/>
  <c r="AL15" i="15"/>
  <c r="AM15" i="15"/>
  <c r="J16" i="15"/>
  <c r="K16" i="15"/>
  <c r="L16" i="15"/>
  <c r="M16" i="15"/>
  <c r="W16" i="15"/>
  <c r="X16" i="15"/>
  <c r="Y16" i="15"/>
  <c r="Z16" i="15"/>
  <c r="AJ16" i="15"/>
  <c r="AK16" i="15"/>
  <c r="AL16" i="15"/>
  <c r="AM16" i="15"/>
  <c r="A17" i="15"/>
  <c r="A18" i="15" s="1"/>
  <c r="A19" i="15" s="1"/>
  <c r="A20" i="15" s="1"/>
  <c r="A21" i="15" s="1"/>
  <c r="J17" i="15"/>
  <c r="K17" i="15"/>
  <c r="L17" i="15"/>
  <c r="M17" i="15"/>
  <c r="W17" i="15"/>
  <c r="X17" i="15"/>
  <c r="Y17" i="15"/>
  <c r="Z17" i="15"/>
  <c r="AJ17" i="15"/>
  <c r="AK17" i="15"/>
  <c r="AL17" i="15"/>
  <c r="AM17" i="15"/>
  <c r="J18" i="15"/>
  <c r="K18" i="15"/>
  <c r="L18" i="15"/>
  <c r="M18" i="15"/>
  <c r="W18" i="15"/>
  <c r="X18" i="15"/>
  <c r="Y18" i="15"/>
  <c r="Z18" i="15"/>
  <c r="AJ18" i="15"/>
  <c r="AK18" i="15"/>
  <c r="AL18" i="15"/>
  <c r="AM18" i="15"/>
  <c r="J19" i="15"/>
  <c r="K19" i="15"/>
  <c r="L19" i="15"/>
  <c r="M19" i="15"/>
  <c r="W19" i="15"/>
  <c r="X19" i="15"/>
  <c r="Y19" i="15"/>
  <c r="Z19" i="15"/>
  <c r="AJ19" i="15"/>
  <c r="AK19" i="15"/>
  <c r="AL19" i="15"/>
  <c r="AM19" i="15"/>
  <c r="J20" i="15"/>
  <c r="K20" i="15"/>
  <c r="L20" i="15"/>
  <c r="M20" i="15"/>
  <c r="W20" i="15"/>
  <c r="X20" i="15"/>
  <c r="Y20" i="15"/>
  <c r="Z20" i="15"/>
  <c r="AJ20" i="15"/>
  <c r="AK20" i="15"/>
  <c r="AL20" i="15"/>
  <c r="AM20" i="15"/>
  <c r="J21" i="15"/>
  <c r="K21" i="15"/>
  <c r="L21" i="15"/>
  <c r="M21" i="15"/>
  <c r="W21" i="15"/>
  <c r="X21" i="15"/>
  <c r="Y21" i="15"/>
  <c r="Z21" i="15"/>
  <c r="AJ21" i="15"/>
  <c r="AK21" i="15"/>
  <c r="AL21" i="15"/>
  <c r="AM21" i="15"/>
  <c r="B23" i="15"/>
  <c r="C23" i="15"/>
  <c r="D23" i="15"/>
  <c r="B48" i="15" s="1"/>
  <c r="E23" i="15"/>
  <c r="F23" i="15"/>
  <c r="G23" i="15"/>
  <c r="C45" i="15" s="1"/>
  <c r="H23" i="15"/>
  <c r="B49" i="15" s="1"/>
  <c r="I23" i="15"/>
  <c r="N23" i="15"/>
  <c r="O23" i="15"/>
  <c r="B44" i="15" s="1"/>
  <c r="P23" i="15"/>
  <c r="Q23" i="15"/>
  <c r="R23" i="15"/>
  <c r="S23" i="15"/>
  <c r="B45" i="15" s="1"/>
  <c r="T23" i="15"/>
  <c r="U23" i="15"/>
  <c r="V23" i="15"/>
  <c r="W23" i="15"/>
  <c r="AA23" i="15"/>
  <c r="AB23" i="15"/>
  <c r="AC23" i="15"/>
  <c r="AD23" i="15"/>
  <c r="AE23" i="15"/>
  <c r="AF23" i="15"/>
  <c r="AG23" i="15"/>
  <c r="AH23" i="15"/>
  <c r="AI23" i="15"/>
  <c r="B40" i="15"/>
  <c r="B56" i="15" s="1"/>
  <c r="C40" i="15"/>
  <c r="C56" i="15" s="1"/>
  <c r="E40" i="15"/>
  <c r="F40" i="15"/>
  <c r="C57" i="15" s="1"/>
  <c r="B57" i="15"/>
  <c r="AH2" i="21"/>
  <c r="AH12" i="21" s="1"/>
  <c r="AJ12" i="21" s="1"/>
  <c r="AH3" i="21"/>
  <c r="I6" i="21"/>
  <c r="K6" i="21" s="1"/>
  <c r="M6" i="21" s="1"/>
  <c r="O6" i="21" s="1"/>
  <c r="Q6" i="21" s="1"/>
  <c r="S6" i="21" s="1"/>
  <c r="U6" i="21" s="1"/>
  <c r="W6" i="21" s="1"/>
  <c r="Y6" i="21" s="1"/>
  <c r="AA6" i="21" s="1"/>
  <c r="AC6" i="21" s="1"/>
  <c r="AH13" i="21"/>
  <c r="AH16" i="21"/>
  <c r="AJ16" i="21" s="1"/>
  <c r="AH18" i="21"/>
  <c r="AJ18" i="21" s="1"/>
  <c r="AH20" i="21"/>
  <c r="AJ20" i="21" s="1"/>
  <c r="AH22" i="21"/>
  <c r="AJ22" i="21" s="1"/>
  <c r="AH24" i="21"/>
  <c r="AH35" i="21"/>
  <c r="AJ35" i="21" s="1"/>
  <c r="AH37" i="21"/>
  <c r="AJ37" i="21" s="1"/>
  <c r="AH39" i="21"/>
  <c r="AJ39" i="21" s="1"/>
  <c r="AH41" i="21"/>
  <c r="AJ41" i="21" s="1"/>
  <c r="AH43" i="21"/>
  <c r="AJ43" i="21" s="1"/>
  <c r="G46" i="21"/>
  <c r="I46" i="21"/>
  <c r="K46" i="21"/>
  <c r="M46" i="21"/>
  <c r="O46" i="21"/>
  <c r="Q46" i="21"/>
  <c r="S46" i="21"/>
  <c r="U46" i="21"/>
  <c r="W46" i="21"/>
  <c r="Y46" i="21"/>
  <c r="AA46" i="21"/>
  <c r="AC46" i="21"/>
  <c r="AE46" i="21"/>
  <c r="E11" i="23"/>
  <c r="O11" i="23" s="1"/>
  <c r="K11" i="23"/>
  <c r="M11" i="23"/>
  <c r="E12" i="23"/>
  <c r="K12" i="23"/>
  <c r="M12" i="23"/>
  <c r="E13" i="23"/>
  <c r="O13" i="23" s="1"/>
  <c r="K13" i="23"/>
  <c r="M13" i="23"/>
  <c r="E14" i="23"/>
  <c r="O14" i="23" s="1"/>
  <c r="K14" i="23"/>
  <c r="M14" i="23"/>
  <c r="E15" i="23"/>
  <c r="O15" i="23" s="1"/>
  <c r="K15" i="23"/>
  <c r="M15" i="23"/>
  <c r="E16" i="23"/>
  <c r="K16" i="23"/>
  <c r="M16" i="23"/>
  <c r="E17" i="23"/>
  <c r="O17" i="23" s="1"/>
  <c r="K17" i="23"/>
  <c r="M17" i="23"/>
  <c r="E18" i="23"/>
  <c r="O18" i="23" s="1"/>
  <c r="K18" i="23"/>
  <c r="M18" i="23"/>
  <c r="E19" i="23"/>
  <c r="O19" i="23" s="1"/>
  <c r="Q19" i="23" s="1"/>
  <c r="K19" i="23"/>
  <c r="M19" i="23"/>
  <c r="E20" i="23"/>
  <c r="K20" i="23"/>
  <c r="M20" i="23"/>
  <c r="E21" i="23"/>
  <c r="O21" i="23" s="1"/>
  <c r="K21" i="23"/>
  <c r="M21" i="23"/>
  <c r="E22" i="23"/>
  <c r="K22" i="23"/>
  <c r="M22" i="23"/>
  <c r="E23" i="23"/>
  <c r="K23" i="23"/>
  <c r="E24" i="23"/>
  <c r="K24" i="23"/>
  <c r="K25" i="23"/>
  <c r="K26" i="23"/>
  <c r="K27" i="23"/>
  <c r="K28" i="23"/>
  <c r="K29" i="23"/>
  <c r="K30" i="23"/>
  <c r="K31" i="23"/>
  <c r="E32" i="23"/>
  <c r="O32" i="23" s="1"/>
  <c r="Q32" i="23" s="1"/>
  <c r="K32" i="23"/>
  <c r="K33" i="23"/>
  <c r="E34" i="23"/>
  <c r="K34" i="23"/>
  <c r="E35" i="23"/>
  <c r="K35" i="23"/>
  <c r="E36" i="23"/>
  <c r="K36" i="23"/>
  <c r="E37" i="23"/>
  <c r="K37" i="23"/>
  <c r="G39" i="23"/>
  <c r="I39" i="23"/>
  <c r="E42" i="23"/>
  <c r="O42" i="23" s="1"/>
  <c r="K42" i="23"/>
  <c r="M42" i="23"/>
  <c r="G44" i="23"/>
  <c r="I44" i="23"/>
  <c r="K44" i="23"/>
  <c r="E47" i="23"/>
  <c r="O47" i="23" s="1"/>
  <c r="K47" i="23"/>
  <c r="K49" i="23" s="1"/>
  <c r="M47" i="23"/>
  <c r="G49" i="23"/>
  <c r="I49" i="23"/>
  <c r="K54" i="23"/>
  <c r="M54" i="23"/>
  <c r="K55" i="23"/>
  <c r="M55" i="23"/>
  <c r="K56" i="23"/>
  <c r="M56" i="23"/>
  <c r="K57" i="23"/>
  <c r="M57" i="23"/>
  <c r="K58" i="23"/>
  <c r="M58" i="23"/>
  <c r="K59" i="23"/>
  <c r="M59" i="23"/>
  <c r="K60" i="23"/>
  <c r="M60" i="23"/>
  <c r="K61" i="23"/>
  <c r="M61" i="23"/>
  <c r="K62" i="23"/>
  <c r="M62" i="23"/>
  <c r="K63" i="23"/>
  <c r="M63" i="23"/>
  <c r="K64" i="23"/>
  <c r="M64" i="23"/>
  <c r="K65" i="23"/>
  <c r="M65" i="23"/>
  <c r="K66" i="23"/>
  <c r="M66" i="23"/>
  <c r="K67" i="23"/>
  <c r="M67" i="23"/>
  <c r="K68" i="23"/>
  <c r="M68" i="23"/>
  <c r="K69" i="23"/>
  <c r="M69" i="23"/>
  <c r="K70" i="23"/>
  <c r="M70" i="23"/>
  <c r="K71" i="23"/>
  <c r="M71" i="23"/>
  <c r="K72" i="23"/>
  <c r="M72" i="23"/>
  <c r="K73" i="23"/>
  <c r="M73" i="23"/>
  <c r="K74" i="23"/>
  <c r="M74" i="23"/>
  <c r="K75" i="23"/>
  <c r="M75" i="23"/>
  <c r="K76" i="23"/>
  <c r="M76" i="23"/>
  <c r="K77" i="23"/>
  <c r="M77" i="23"/>
  <c r="K78" i="23"/>
  <c r="M78" i="23"/>
  <c r="K79" i="23"/>
  <c r="M79" i="23"/>
  <c r="K80" i="23"/>
  <c r="M80" i="23"/>
  <c r="E81" i="23"/>
  <c r="K81" i="23"/>
  <c r="M81" i="23"/>
  <c r="E82" i="23"/>
  <c r="O82" i="23" s="1"/>
  <c r="Q82" i="23" s="1"/>
  <c r="K82" i="23"/>
  <c r="M82" i="23"/>
  <c r="E83" i="23"/>
  <c r="K83" i="23"/>
  <c r="M83" i="23"/>
  <c r="E84" i="23"/>
  <c r="K84" i="23"/>
  <c r="M84" i="23"/>
  <c r="O84" i="23"/>
  <c r="E85" i="23"/>
  <c r="K85" i="23"/>
  <c r="M85" i="23"/>
  <c r="K86" i="23"/>
  <c r="M86" i="23"/>
  <c r="K87" i="23"/>
  <c r="M87" i="23"/>
  <c r="K88" i="23"/>
  <c r="M88" i="23"/>
  <c r="K89" i="23"/>
  <c r="M89" i="23"/>
  <c r="K90" i="23"/>
  <c r="M90" i="23"/>
  <c r="K91" i="23"/>
  <c r="M91" i="23"/>
  <c r="K92" i="23"/>
  <c r="M92" i="23"/>
  <c r="K93" i="23"/>
  <c r="M93" i="23"/>
  <c r="E94" i="23"/>
  <c r="K94" i="23"/>
  <c r="E95" i="23"/>
  <c r="K95" i="23"/>
  <c r="E96" i="23"/>
  <c r="K96" i="23"/>
  <c r="E97" i="23"/>
  <c r="K97" i="23"/>
  <c r="E98" i="23"/>
  <c r="K98" i="23"/>
  <c r="E99" i="23"/>
  <c r="K99" i="23"/>
  <c r="E100" i="23"/>
  <c r="K100" i="23"/>
  <c r="E101" i="23"/>
  <c r="K101" i="23"/>
  <c r="E102" i="23"/>
  <c r="K102" i="23"/>
  <c r="E103" i="23"/>
  <c r="K103" i="23"/>
  <c r="E104" i="23"/>
  <c r="K104" i="23"/>
  <c r="E105" i="23"/>
  <c r="K105" i="23"/>
  <c r="E106" i="23"/>
  <c r="K106" i="23"/>
  <c r="E107" i="23"/>
  <c r="K107" i="23"/>
  <c r="E108" i="23"/>
  <c r="K108" i="23"/>
  <c r="E109" i="23"/>
  <c r="K109" i="23"/>
  <c r="E110" i="23"/>
  <c r="K110" i="23"/>
  <c r="E111" i="23"/>
  <c r="K111" i="23"/>
  <c r="K112" i="23"/>
  <c r="E113" i="23"/>
  <c r="O113" i="23" s="1"/>
  <c r="Q113" i="23" s="1"/>
  <c r="K113" i="23"/>
  <c r="K114" i="23"/>
  <c r="K115" i="23"/>
  <c r="K116" i="23"/>
  <c r="K117" i="23"/>
  <c r="E118" i="23"/>
  <c r="K118" i="23"/>
  <c r="E119" i="23"/>
  <c r="K119" i="23"/>
  <c r="E120" i="23"/>
  <c r="K120" i="23"/>
  <c r="E121" i="23"/>
  <c r="K121" i="23"/>
  <c r="E122" i="23"/>
  <c r="K122" i="23"/>
  <c r="E123" i="23"/>
  <c r="K123" i="23"/>
  <c r="E124" i="23"/>
  <c r="K124" i="23"/>
  <c r="E125" i="23"/>
  <c r="K125" i="23"/>
  <c r="E126" i="23"/>
  <c r="K126" i="23"/>
  <c r="E127" i="23"/>
  <c r="K127" i="23"/>
  <c r="E128" i="23"/>
  <c r="K128" i="23"/>
  <c r="E129" i="23"/>
  <c r="K129" i="23"/>
  <c r="E130" i="23"/>
  <c r="K130" i="23"/>
  <c r="E131" i="23"/>
  <c r="K131" i="23"/>
  <c r="E132" i="23"/>
  <c r="K132" i="23"/>
  <c r="E133" i="23"/>
  <c r="K133" i="23"/>
  <c r="E134" i="23"/>
  <c r="K134" i="23"/>
  <c r="E135" i="23"/>
  <c r="K135" i="23"/>
  <c r="E136" i="23"/>
  <c r="K136" i="23"/>
  <c r="E137" i="23"/>
  <c r="K137" i="23"/>
  <c r="K138" i="23"/>
  <c r="K139" i="23"/>
  <c r="G141" i="23"/>
  <c r="I141" i="23"/>
  <c r="K141" i="23"/>
  <c r="E146" i="23"/>
  <c r="K146" i="23"/>
  <c r="M146" i="23"/>
  <c r="O146" i="23"/>
  <c r="Q146" i="23" s="1"/>
  <c r="E147" i="23"/>
  <c r="K147" i="23"/>
  <c r="M147" i="23"/>
  <c r="E148" i="23"/>
  <c r="O148" i="23" s="1"/>
  <c r="K148" i="23"/>
  <c r="M148" i="23"/>
  <c r="E149" i="23"/>
  <c r="K149" i="23"/>
  <c r="M149" i="23"/>
  <c r="E150" i="23"/>
  <c r="O150" i="23" s="1"/>
  <c r="Q150" i="23" s="1"/>
  <c r="K150" i="23"/>
  <c r="M150" i="23"/>
  <c r="E151" i="23"/>
  <c r="K151" i="23"/>
  <c r="M151" i="23"/>
  <c r="E152" i="23"/>
  <c r="O152" i="23" s="1"/>
  <c r="K152" i="23"/>
  <c r="M152" i="23"/>
  <c r="E153" i="23"/>
  <c r="K153" i="23"/>
  <c r="M153" i="23"/>
  <c r="E154" i="23"/>
  <c r="K154" i="23"/>
  <c r="M154" i="23"/>
  <c r="O154" i="23"/>
  <c r="Q154" i="23" s="1"/>
  <c r="E155" i="23"/>
  <c r="K155" i="23"/>
  <c r="M155" i="23"/>
  <c r="E156" i="23"/>
  <c r="O156" i="23" s="1"/>
  <c r="K156" i="23"/>
  <c r="M156" i="23"/>
  <c r="K157" i="23"/>
  <c r="M157" i="23"/>
  <c r="K158" i="23"/>
  <c r="M158" i="23"/>
  <c r="K159" i="23"/>
  <c r="M159" i="23"/>
  <c r="E160" i="23"/>
  <c r="K160" i="23"/>
  <c r="M160" i="23"/>
  <c r="O160" i="23"/>
  <c r="E161" i="23"/>
  <c r="K161" i="23"/>
  <c r="M161" i="23"/>
  <c r="E162" i="23"/>
  <c r="O162" i="23" s="1"/>
  <c r="Q162" i="23" s="1"/>
  <c r="K162" i="23"/>
  <c r="M162" i="23"/>
  <c r="E163" i="23"/>
  <c r="K163" i="23"/>
  <c r="M163" i="23"/>
  <c r="E164" i="23"/>
  <c r="O164" i="23" s="1"/>
  <c r="K164" i="23"/>
  <c r="M164" i="23"/>
  <c r="E165" i="23"/>
  <c r="K165" i="23"/>
  <c r="M165" i="23"/>
  <c r="E166" i="23"/>
  <c r="K166" i="23"/>
  <c r="M166" i="23"/>
  <c r="E167" i="23"/>
  <c r="K167" i="23"/>
  <c r="E168" i="23"/>
  <c r="K168" i="23"/>
  <c r="E169" i="23"/>
  <c r="K169" i="23"/>
  <c r="E170" i="23"/>
  <c r="K170" i="23"/>
  <c r="E171" i="23"/>
  <c r="K171" i="23"/>
  <c r="K172" i="23"/>
  <c r="G174" i="23"/>
  <c r="I174" i="23"/>
  <c r="E177" i="23"/>
  <c r="K177" i="23"/>
  <c r="K179" i="23" s="1"/>
  <c r="G179" i="23"/>
  <c r="I179" i="23"/>
  <c r="K182" i="23"/>
  <c r="K183" i="23"/>
  <c r="E184" i="23"/>
  <c r="K184" i="23"/>
  <c r="G186" i="23"/>
  <c r="G188" i="23" s="1"/>
  <c r="I186" i="23"/>
  <c r="B135" i="22"/>
  <c r="B136" i="22"/>
  <c r="B137" i="22"/>
  <c r="B149" i="22"/>
  <c r="B150" i="22"/>
  <c r="B310" i="22"/>
  <c r="E157" i="23" s="1"/>
  <c r="B311" i="22"/>
  <c r="E158" i="23" s="1"/>
  <c r="O158" i="23" s="1"/>
  <c r="Q158" i="23" s="1"/>
  <c r="B312" i="22"/>
  <c r="E159" i="23" s="1"/>
  <c r="B313" i="22"/>
  <c r="E57" i="23"/>
  <c r="D7" i="24"/>
  <c r="E7" i="24"/>
  <c r="F7" i="24"/>
  <c r="G7" i="24"/>
  <c r="H7" i="24"/>
  <c r="C8" i="24"/>
  <c r="F8" i="24"/>
  <c r="E56" i="23"/>
  <c r="C9" i="24"/>
  <c r="F9" i="24"/>
  <c r="G9" i="24"/>
  <c r="E55" i="23"/>
  <c r="C10" i="24"/>
  <c r="D10" i="24"/>
  <c r="E10" i="24"/>
  <c r="F10" i="24"/>
  <c r="G10" i="24"/>
  <c r="H10" i="24"/>
  <c r="C11" i="24"/>
  <c r="D11" i="24"/>
  <c r="E11" i="24"/>
  <c r="F11" i="24"/>
  <c r="H11" i="24"/>
  <c r="F12" i="24"/>
  <c r="B13" i="24"/>
  <c r="D13" i="24" s="1"/>
  <c r="C13" i="24"/>
  <c r="F13" i="24"/>
  <c r="G13" i="24"/>
  <c r="E17" i="28"/>
  <c r="E18" i="28"/>
  <c r="Z8" i="28"/>
  <c r="Z14" i="28"/>
  <c r="Z20" i="28"/>
  <c r="Z26" i="28"/>
  <c r="Z32" i="28"/>
  <c r="Z38" i="28"/>
  <c r="Z44" i="28"/>
  <c r="Z6" i="28"/>
  <c r="Z12" i="28"/>
  <c r="Z18" i="28"/>
  <c r="Z24" i="28"/>
  <c r="Z30" i="28"/>
  <c r="Z50" i="28"/>
  <c r="Z56" i="28"/>
  <c r="Z5" i="28"/>
  <c r="Z11" i="28"/>
  <c r="Z17" i="28"/>
  <c r="Z23" i="28"/>
  <c r="Z29" i="28"/>
  <c r="Z35" i="28"/>
  <c r="Z41" i="28"/>
  <c r="Z47" i="28"/>
  <c r="Z53" i="28"/>
  <c r="Z36" i="28"/>
  <c r="Z42" i="28"/>
  <c r="Z48" i="28"/>
  <c r="Z54" i="28"/>
  <c r="Z7" i="28"/>
  <c r="Z13" i="28"/>
  <c r="Z19" i="28"/>
  <c r="Z25" i="28"/>
  <c r="Z31" i="28"/>
  <c r="Z37" i="28"/>
  <c r="Z43" i="28"/>
  <c r="Z49" i="28"/>
  <c r="Z55" i="28"/>
  <c r="E17" i="27"/>
  <c r="E18" i="27"/>
  <c r="Z7" i="27"/>
  <c r="Z13" i="27"/>
  <c r="Z19" i="27"/>
  <c r="Z25" i="27"/>
  <c r="Z31" i="27"/>
  <c r="Z37" i="27"/>
  <c r="Z43" i="27"/>
  <c r="Z5" i="27"/>
  <c r="Z11" i="27"/>
  <c r="Z17" i="27"/>
  <c r="Z23" i="27"/>
  <c r="Z29" i="27"/>
  <c r="Z49" i="27"/>
  <c r="Z55" i="27"/>
  <c r="Z35" i="27"/>
  <c r="Z41" i="27"/>
  <c r="Z47" i="27"/>
  <c r="Z53" i="27"/>
  <c r="Z6" i="27"/>
  <c r="Z12" i="27"/>
  <c r="Z18" i="27"/>
  <c r="Z24" i="27"/>
  <c r="Z30" i="27"/>
  <c r="Z36" i="27"/>
  <c r="Z42" i="27"/>
  <c r="Z48" i="27"/>
  <c r="Z54" i="27"/>
  <c r="Z8" i="27"/>
  <c r="Z14" i="27"/>
  <c r="Z20" i="27"/>
  <c r="Z26" i="27"/>
  <c r="Z32" i="27"/>
  <c r="Z38" i="27"/>
  <c r="Z44" i="27"/>
  <c r="Z50" i="27"/>
  <c r="Z56" i="27"/>
  <c r="E17" i="26"/>
  <c r="E18" i="26"/>
  <c r="Z7" i="26"/>
  <c r="Z13" i="26"/>
  <c r="Z19" i="26"/>
  <c r="Z25" i="26"/>
  <c r="Z31" i="26"/>
  <c r="Z37" i="26"/>
  <c r="Z43" i="26"/>
  <c r="Z5" i="26"/>
  <c r="Z11" i="26"/>
  <c r="Z17" i="26"/>
  <c r="Z23" i="26"/>
  <c r="Z29" i="26"/>
  <c r="Z49" i="26"/>
  <c r="Z55" i="26"/>
  <c r="Z35" i="26"/>
  <c r="Z41" i="26"/>
  <c r="Z47" i="26"/>
  <c r="Z53" i="26"/>
  <c r="Z6" i="26"/>
  <c r="Z12" i="26"/>
  <c r="Z18" i="26"/>
  <c r="Z24" i="26"/>
  <c r="Z30" i="26"/>
  <c r="Z36" i="26"/>
  <c r="Z42" i="26"/>
  <c r="Z48" i="26"/>
  <c r="Z54" i="26"/>
  <c r="Z8" i="26"/>
  <c r="Z14" i="26"/>
  <c r="Z20" i="26"/>
  <c r="Z26" i="26"/>
  <c r="Z32" i="26"/>
  <c r="Z38" i="26"/>
  <c r="Z44" i="26"/>
  <c r="Z50" i="26"/>
  <c r="Z56" i="26"/>
  <c r="Z7" i="16"/>
  <c r="Z13" i="16"/>
  <c r="Z19" i="16"/>
  <c r="Z25" i="16"/>
  <c r="Z31" i="16"/>
  <c r="Z37" i="16"/>
  <c r="Z43" i="16"/>
  <c r="Z5" i="16"/>
  <c r="Z11" i="16"/>
  <c r="Z17" i="16"/>
  <c r="Z23" i="16"/>
  <c r="Z29" i="16"/>
  <c r="Z49" i="16"/>
  <c r="Z55" i="16"/>
  <c r="Z35" i="16"/>
  <c r="Z41" i="16"/>
  <c r="Z47" i="16"/>
  <c r="Z53" i="16"/>
  <c r="Z6" i="16"/>
  <c r="Z12" i="16"/>
  <c r="Z18" i="16"/>
  <c r="Z24" i="16"/>
  <c r="Z30" i="16"/>
  <c r="Z36" i="16"/>
  <c r="Z42" i="16"/>
  <c r="Z48" i="16"/>
  <c r="Z54" i="16"/>
  <c r="Z8" i="16"/>
  <c r="Z14" i="16"/>
  <c r="Z20" i="16"/>
  <c r="Z26" i="16"/>
  <c r="Z32" i="16"/>
  <c r="Z38" i="16"/>
  <c r="Z44" i="16"/>
  <c r="Z50" i="16"/>
  <c r="Z56" i="16"/>
  <c r="G7" i="18"/>
  <c r="H7" i="18" s="1"/>
  <c r="C88" i="17"/>
  <c r="C116" i="17"/>
  <c r="C117" i="17"/>
  <c r="C30" i="18"/>
  <c r="H30" i="18"/>
  <c r="C32" i="18"/>
  <c r="C48" i="18" s="1"/>
  <c r="F48" i="18"/>
  <c r="H44" i="18"/>
  <c r="C136" i="17" s="1"/>
  <c r="H46" i="18"/>
  <c r="C137" i="17" s="1"/>
  <c r="E48" i="18"/>
  <c r="G48" i="18"/>
  <c r="E59" i="18"/>
  <c r="E67" i="18" s="1"/>
  <c r="E69" i="18" s="1"/>
  <c r="G61" i="18"/>
  <c r="G63" i="18"/>
  <c r="E65" i="18"/>
  <c r="E71" i="18"/>
  <c r="M6" i="25"/>
  <c r="N6" i="25" s="1"/>
  <c r="M7" i="25"/>
  <c r="N7" i="25"/>
  <c r="M8" i="25"/>
  <c r="N8" i="25" s="1"/>
  <c r="M9" i="25"/>
  <c r="N9" i="25"/>
  <c r="M10" i="25"/>
  <c r="N10" i="25" s="1"/>
  <c r="M11" i="25"/>
  <c r="N11" i="25"/>
  <c r="M12" i="25"/>
  <c r="N12" i="25" s="1"/>
  <c r="M13" i="25"/>
  <c r="N13" i="25"/>
  <c r="M14" i="25"/>
  <c r="N14" i="25" s="1"/>
  <c r="M15" i="25"/>
  <c r="N15" i="25"/>
  <c r="M16" i="25"/>
  <c r="N16" i="25" s="1"/>
  <c r="M17" i="25"/>
  <c r="N17" i="25"/>
  <c r="B18" i="25"/>
  <c r="D18" i="25"/>
  <c r="E18" i="25"/>
  <c r="F18" i="25"/>
  <c r="G18" i="25"/>
  <c r="H18" i="25"/>
  <c r="I18" i="25"/>
  <c r="J18" i="25"/>
  <c r="K18" i="25"/>
  <c r="F21" i="25"/>
  <c r="D51" i="17" s="1"/>
  <c r="E51" i="17" s="1"/>
  <c r="E19" i="17"/>
  <c r="C13" i="17"/>
  <c r="D13" i="17"/>
  <c r="D21" i="17" s="1"/>
  <c r="E39" i="17"/>
  <c r="E66" i="17"/>
  <c r="E63" i="17"/>
  <c r="E64" i="17"/>
  <c r="E65" i="17"/>
  <c r="C82" i="17"/>
  <c r="E80" i="17"/>
  <c r="E81" i="17"/>
  <c r="C89" i="17"/>
  <c r="C90" i="17"/>
  <c r="C94" i="17"/>
  <c r="C95" i="17"/>
  <c r="C96" i="17"/>
  <c r="C97" i="17"/>
  <c r="C98" i="17"/>
  <c r="D98" i="17" s="1"/>
  <c r="C173" i="17" s="1"/>
  <c r="F173" i="17" s="1"/>
  <c r="C99" i="17"/>
  <c r="C102" i="17"/>
  <c r="D108" i="4" s="1"/>
  <c r="C103" i="17"/>
  <c r="C104" i="17"/>
  <c r="C105" i="17"/>
  <c r="C106" i="17"/>
  <c r="D106" i="17" s="1"/>
  <c r="C107" i="17"/>
  <c r="C118" i="17"/>
  <c r="C122" i="17"/>
  <c r="C123" i="17"/>
  <c r="C124" i="17"/>
  <c r="C125" i="17"/>
  <c r="C126" i="17"/>
  <c r="D126" i="17" s="1"/>
  <c r="E126" i="17" s="1"/>
  <c r="C127" i="17"/>
  <c r="C130" i="17"/>
  <c r="C131" i="17"/>
  <c r="C132" i="17"/>
  <c r="C133" i="17"/>
  <c r="C134" i="17"/>
  <c r="D134" i="17" s="1"/>
  <c r="C205" i="17" s="1"/>
  <c r="F205" i="17" s="1"/>
  <c r="C135" i="17"/>
  <c r="C151" i="17"/>
  <c r="C159" i="17"/>
  <c r="C160" i="17"/>
  <c r="C161" i="17"/>
  <c r="C162" i="17"/>
  <c r="A2" i="31"/>
  <c r="A3" i="31"/>
  <c r="B14" i="31"/>
  <c r="B33" i="31"/>
  <c r="A2" i="4"/>
  <c r="A3" i="4"/>
  <c r="B9" i="4"/>
  <c r="C9" i="4"/>
  <c r="B12" i="4"/>
  <c r="J13" i="1" s="1"/>
  <c r="N13" i="1" s="1"/>
  <c r="B10" i="4"/>
  <c r="D10" i="4" s="1"/>
  <c r="B11" i="4"/>
  <c r="B13" i="4"/>
  <c r="J14" i="1" s="1"/>
  <c r="N14" i="1" s="1"/>
  <c r="P14" i="1" s="1"/>
  <c r="B14" i="4"/>
  <c r="B17" i="4"/>
  <c r="J18" i="1" s="1"/>
  <c r="N18" i="1" s="1"/>
  <c r="C11" i="4"/>
  <c r="C12" i="4"/>
  <c r="K13" i="1" s="1"/>
  <c r="C13" i="4"/>
  <c r="K14" i="1" s="1"/>
  <c r="C14" i="4"/>
  <c r="K15" i="1" s="1"/>
  <c r="C15" i="4"/>
  <c r="D15" i="4" s="1"/>
  <c r="Z16" i="4"/>
  <c r="C17" i="4"/>
  <c r="T19" i="4"/>
  <c r="Q19" i="4"/>
  <c r="R19" i="4"/>
  <c r="S19" i="4"/>
  <c r="U19" i="4"/>
  <c r="V19" i="4"/>
  <c r="W19" i="4"/>
  <c r="X19" i="4"/>
  <c r="Y19" i="4"/>
  <c r="Z24" i="4"/>
  <c r="B27" i="4"/>
  <c r="B28" i="4"/>
  <c r="T32" i="4"/>
  <c r="Z33" i="4"/>
  <c r="T49" i="4"/>
  <c r="B137" i="4"/>
  <c r="X49" i="4" s="1"/>
  <c r="B119" i="4"/>
  <c r="B123" i="4"/>
  <c r="D64" i="4"/>
  <c r="D212" i="1" s="1"/>
  <c r="D68" i="4"/>
  <c r="D221" i="1" s="1"/>
  <c r="D71" i="4"/>
  <c r="D232" i="1" s="1"/>
  <c r="D109" i="4"/>
  <c r="D110" i="4"/>
  <c r="A63" i="4"/>
  <c r="B63" i="4"/>
  <c r="B138" i="4"/>
  <c r="A64" i="4"/>
  <c r="B64" i="4"/>
  <c r="A65" i="4"/>
  <c r="B65" i="4"/>
  <c r="A66" i="4"/>
  <c r="B66" i="4"/>
  <c r="A67" i="4"/>
  <c r="B67" i="4"/>
  <c r="A68" i="4"/>
  <c r="B68" i="4"/>
  <c r="Y74" i="4"/>
  <c r="A69" i="4"/>
  <c r="B69" i="4"/>
  <c r="A70" i="4"/>
  <c r="B70" i="4"/>
  <c r="A71" i="4"/>
  <c r="B71" i="4"/>
  <c r="B141" i="4"/>
  <c r="J10" i="1"/>
  <c r="N10" i="1" s="1"/>
  <c r="K11" i="1"/>
  <c r="J12" i="1"/>
  <c r="N12" i="1" s="1"/>
  <c r="R12" i="1" s="1"/>
  <c r="K12" i="1"/>
  <c r="J16" i="1"/>
  <c r="N16" i="1" s="1"/>
  <c r="T16" i="1" s="1"/>
  <c r="D17" i="1"/>
  <c r="K18" i="1"/>
  <c r="N19" i="1"/>
  <c r="T19" i="1" s="1"/>
  <c r="G20" i="1"/>
  <c r="D28" i="1"/>
  <c r="G28" i="1"/>
  <c r="D46" i="1"/>
  <c r="G54" i="1"/>
  <c r="D58" i="1"/>
  <c r="G58" i="1"/>
  <c r="D63" i="1"/>
  <c r="G63" i="1"/>
  <c r="D67" i="1"/>
  <c r="G67" i="1"/>
  <c r="D80" i="1"/>
  <c r="G80" i="1"/>
  <c r="C95" i="1"/>
  <c r="D96" i="1"/>
  <c r="D103" i="1"/>
  <c r="D118" i="1"/>
  <c r="G118" i="1"/>
  <c r="C122" i="1"/>
  <c r="C123" i="1"/>
  <c r="G124" i="1"/>
  <c r="L124" i="1"/>
  <c r="Q124" i="1"/>
  <c r="G128" i="1"/>
  <c r="K128" i="1"/>
  <c r="D132" i="1"/>
  <c r="G132" i="1"/>
  <c r="D138" i="1"/>
  <c r="G138" i="1"/>
  <c r="G145" i="1"/>
  <c r="G159" i="1"/>
  <c r="C171" i="1"/>
  <c r="D174" i="1"/>
  <c r="D178" i="1"/>
  <c r="G178" i="1"/>
  <c r="D182" i="1"/>
  <c r="G182" i="1"/>
  <c r="D186" i="1"/>
  <c r="G186" i="1"/>
  <c r="D194" i="1"/>
  <c r="G194" i="1"/>
  <c r="D202" i="1"/>
  <c r="F202" i="1"/>
  <c r="G202" i="1"/>
  <c r="G206" i="1"/>
  <c r="N215" i="1"/>
  <c r="N216" i="1"/>
  <c r="G233" i="1"/>
  <c r="C238" i="1"/>
  <c r="C241" i="1"/>
  <c r="G243" i="1"/>
  <c r="N246" i="1"/>
  <c r="T246" i="1" s="1"/>
  <c r="N247" i="1"/>
  <c r="T247" i="1" s="1"/>
  <c r="D248" i="1"/>
  <c r="G248" i="1"/>
  <c r="J248" i="1"/>
  <c r="O248" i="1"/>
  <c r="P248" i="1"/>
  <c r="Q248" i="1"/>
  <c r="R248" i="1"/>
  <c r="T250" i="1"/>
  <c r="U250" i="1"/>
  <c r="D252" i="1"/>
  <c r="G252" i="1"/>
  <c r="D257" i="1"/>
  <c r="G257" i="1"/>
  <c r="D261" i="1"/>
  <c r="G261" i="1"/>
  <c r="C265" i="1"/>
  <c r="H265" i="1" s="1"/>
  <c r="G270" i="1"/>
  <c r="N273" i="1"/>
  <c r="N274" i="1" s="1"/>
  <c r="D274" i="1"/>
  <c r="G274" i="1"/>
  <c r="J274" i="1"/>
  <c r="O274" i="1"/>
  <c r="P274" i="1"/>
  <c r="Q274" i="1"/>
  <c r="R274" i="1"/>
  <c r="C18" i="1"/>
  <c r="U4" i="8"/>
  <c r="B5" i="8"/>
  <c r="Y4" i="8"/>
  <c r="AM23" i="15" l="1"/>
  <c r="K23" i="15"/>
  <c r="B36" i="4"/>
  <c r="D123" i="1" s="1"/>
  <c r="J123" i="1"/>
  <c r="N123" i="1" s="1"/>
  <c r="R123" i="1" s="1"/>
  <c r="R124" i="1" s="1"/>
  <c r="B53" i="15"/>
  <c r="B52" i="15"/>
  <c r="C44" i="15"/>
  <c r="J121" i="1" s="1"/>
  <c r="N121" i="1" s="1"/>
  <c r="O121" i="1" s="1"/>
  <c r="O124" i="1" s="1"/>
  <c r="AK23" i="15"/>
  <c r="X23" i="15"/>
  <c r="AL23" i="15"/>
  <c r="Y23" i="15"/>
  <c r="L23" i="15"/>
  <c r="AJ23" i="15"/>
  <c r="J23" i="15"/>
  <c r="C49" i="15"/>
  <c r="C48" i="15"/>
  <c r="Z23" i="15"/>
  <c r="M23" i="15"/>
  <c r="B31" i="4"/>
  <c r="J11" i="1"/>
  <c r="N11" i="1" s="1"/>
  <c r="Q11" i="1" s="1"/>
  <c r="T11" i="1" s="1"/>
  <c r="D11" i="4"/>
  <c r="D9" i="4"/>
  <c r="X70" i="4"/>
  <c r="D269" i="1"/>
  <c r="D270" i="1" s="1"/>
  <c r="D14" i="4"/>
  <c r="C128" i="17"/>
  <c r="G71" i="18"/>
  <c r="G59" i="18"/>
  <c r="G65" i="18" s="1"/>
  <c r="C138" i="17"/>
  <c r="G69" i="18"/>
  <c r="C68" i="17"/>
  <c r="E13" i="17"/>
  <c r="C163" i="17"/>
  <c r="D161" i="17" s="1"/>
  <c r="D41" i="17"/>
  <c r="N248" i="1"/>
  <c r="T248" i="1" s="1"/>
  <c r="T123" i="1"/>
  <c r="C9" i="18"/>
  <c r="H15" i="18"/>
  <c r="B23" i="31"/>
  <c r="B26" i="31" s="1"/>
  <c r="Z32" i="4"/>
  <c r="D83" i="1"/>
  <c r="D86" i="1" s="1"/>
  <c r="Z26" i="4"/>
  <c r="X25" i="4"/>
  <c r="D32" i="1" s="1"/>
  <c r="D15" i="18"/>
  <c r="D30" i="18"/>
  <c r="F30" i="18"/>
  <c r="D148" i="1"/>
  <c r="D155" i="1" s="1"/>
  <c r="Z49" i="4"/>
  <c r="J122" i="1"/>
  <c r="N122" i="1" s="1"/>
  <c r="P122" i="1" s="1"/>
  <c r="J15" i="1"/>
  <c r="N15" i="1" s="1"/>
  <c r="P15" i="1" s="1"/>
  <c r="K16" i="1"/>
  <c r="K10" i="1"/>
  <c r="C19" i="4"/>
  <c r="D50" i="17" s="1"/>
  <c r="D53" i="17" s="1"/>
  <c r="B121" i="4"/>
  <c r="D111" i="4"/>
  <c r="C11" i="18"/>
  <c r="I188" i="23"/>
  <c r="Q13" i="23"/>
  <c r="Q152" i="23"/>
  <c r="Q18" i="23"/>
  <c r="Q17" i="23"/>
  <c r="Q156" i="23"/>
  <c r="Q148" i="23"/>
  <c r="Q42" i="23"/>
  <c r="C15" i="17" s="1"/>
  <c r="Q21" i="23"/>
  <c r="Q11" i="23"/>
  <c r="K186" i="23"/>
  <c r="Q47" i="23"/>
  <c r="C17" i="17" s="1"/>
  <c r="Q14" i="23"/>
  <c r="D17" i="4"/>
  <c r="B125" i="4"/>
  <c r="Q37" i="4"/>
  <c r="Z37" i="4" s="1"/>
  <c r="B19" i="4"/>
  <c r="I10" i="4" s="1"/>
  <c r="P18" i="1" s="1"/>
  <c r="O10" i="1"/>
  <c r="T10" i="1" s="1"/>
  <c r="E123" i="1"/>
  <c r="B48" i="18"/>
  <c r="C100" i="17"/>
  <c r="D107" i="4" s="1"/>
  <c r="H123" i="1"/>
  <c r="K123" i="1" s="1"/>
  <c r="U123" i="1" s="1"/>
  <c r="AF318" i="19"/>
  <c r="C13" i="18"/>
  <c r="G15" i="18"/>
  <c r="G50" i="18" s="1"/>
  <c r="E98" i="17"/>
  <c r="C197" i="17"/>
  <c r="F197" i="17" s="1"/>
  <c r="D48" i="18"/>
  <c r="H48" i="18"/>
  <c r="G30" i="18"/>
  <c r="B30" i="18"/>
  <c r="E30" i="18"/>
  <c r="E15" i="18"/>
  <c r="F15" i="18"/>
  <c r="C17" i="1"/>
  <c r="C20" i="1" s="1"/>
  <c r="J265" i="1"/>
  <c r="C111" i="4"/>
  <c r="E9" i="4"/>
  <c r="E13" i="4"/>
  <c r="E15" i="4"/>
  <c r="F15" i="4" s="1"/>
  <c r="E11" i="4"/>
  <c r="F11" i="4" s="1"/>
  <c r="E265" i="1"/>
  <c r="E10" i="4"/>
  <c r="F10" i="4" s="1"/>
  <c r="B60" i="15"/>
  <c r="E14" i="4"/>
  <c r="F14" i="4" s="1"/>
  <c r="E21" i="4"/>
  <c r="F21" i="4" s="1"/>
  <c r="P18" i="4" s="1"/>
  <c r="C108" i="4"/>
  <c r="E108" i="4" s="1"/>
  <c r="V60" i="4" s="1"/>
  <c r="Z60" i="4" s="1"/>
  <c r="E17" i="4"/>
  <c r="E171" i="1"/>
  <c r="T14" i="1"/>
  <c r="T12" i="1"/>
  <c r="E95" i="1"/>
  <c r="H95" i="1" s="1"/>
  <c r="O13" i="1"/>
  <c r="T13" i="1" s="1"/>
  <c r="C181" i="17"/>
  <c r="F181" i="17"/>
  <c r="F13" i="17"/>
  <c r="D95" i="17" s="1"/>
  <c r="C170" i="17" s="1"/>
  <c r="E170" i="17" s="1"/>
  <c r="P237" i="1" s="1"/>
  <c r="G13" i="17"/>
  <c r="F63" i="17"/>
  <c r="D117" i="17" s="1"/>
  <c r="E192" i="17" s="1"/>
  <c r="G63" i="17"/>
  <c r="E117" i="17" s="1"/>
  <c r="B35" i="4"/>
  <c r="D160" i="17"/>
  <c r="N18" i="25"/>
  <c r="D137" i="17"/>
  <c r="C208" i="17" s="1"/>
  <c r="F208" i="17" s="1"/>
  <c r="E134" i="17"/>
  <c r="D123" i="17"/>
  <c r="C120" i="17"/>
  <c r="C108" i="17"/>
  <c r="E106" i="17"/>
  <c r="C92" i="17"/>
  <c r="E89" i="17"/>
  <c r="E61" i="17"/>
  <c r="M18" i="25"/>
  <c r="D68" i="17"/>
  <c r="E67" i="17"/>
  <c r="F67" i="17" s="1"/>
  <c r="D13" i="4"/>
  <c r="D12" i="4"/>
  <c r="C33" i="17"/>
  <c r="B15" i="18"/>
  <c r="O159" i="23"/>
  <c r="Q159" i="23" s="1"/>
  <c r="O157" i="23"/>
  <c r="Q157" i="23" s="1"/>
  <c r="E33" i="23"/>
  <c r="O33" i="23" s="1"/>
  <c r="Q33" i="23" s="1"/>
  <c r="E62" i="23"/>
  <c r="O165" i="23"/>
  <c r="Q165" i="23" s="1"/>
  <c r="Q164" i="23"/>
  <c r="O163" i="23"/>
  <c r="Q163" i="23" s="1"/>
  <c r="O161" i="23"/>
  <c r="Q161" i="23" s="1"/>
  <c r="Q160" i="23"/>
  <c r="E12" i="24"/>
  <c r="O56" i="23"/>
  <c r="Q56" i="23" s="1"/>
  <c r="E60" i="23"/>
  <c r="E8" i="24"/>
  <c r="O149" i="23"/>
  <c r="Q149" i="23" s="1"/>
  <c r="K174" i="23"/>
  <c r="E13" i="24"/>
  <c r="H12" i="24"/>
  <c r="D12" i="24"/>
  <c r="G11" i="24"/>
  <c r="E59" i="23"/>
  <c r="O55" i="23"/>
  <c r="Q55" i="23" s="1"/>
  <c r="E9" i="24"/>
  <c r="H8" i="24"/>
  <c r="D8" i="24"/>
  <c r="C7" i="24"/>
  <c r="O166" i="23"/>
  <c r="Q166" i="23" s="1"/>
  <c r="H13" i="24"/>
  <c r="G12" i="24"/>
  <c r="C12" i="24"/>
  <c r="E25" i="23"/>
  <c r="O25" i="23" s="1"/>
  <c r="Q25" i="23" s="1"/>
  <c r="E27" i="23"/>
  <c r="O27" i="23" s="1"/>
  <c r="Q27" i="23" s="1"/>
  <c r="E29" i="23"/>
  <c r="O29" i="23" s="1"/>
  <c r="Q29" i="23" s="1"/>
  <c r="E31" i="23"/>
  <c r="O31" i="23" s="1"/>
  <c r="Q31" i="23" s="1"/>
  <c r="E26" i="23"/>
  <c r="O26" i="23" s="1"/>
  <c r="Q26" i="23" s="1"/>
  <c r="E28" i="23"/>
  <c r="O28" i="23" s="1"/>
  <c r="Q28" i="23" s="1"/>
  <c r="E30" i="23"/>
  <c r="O30" i="23" s="1"/>
  <c r="Q30" i="23" s="1"/>
  <c r="E64" i="23"/>
  <c r="E68" i="23"/>
  <c r="E72" i="23"/>
  <c r="E76" i="23"/>
  <c r="E80" i="23"/>
  <c r="E88" i="23"/>
  <c r="E92" i="23"/>
  <c r="E54" i="23"/>
  <c r="E66" i="23"/>
  <c r="E70" i="23"/>
  <c r="E74" i="23"/>
  <c r="E78" i="23"/>
  <c r="E86" i="23"/>
  <c r="E90" i="23"/>
  <c r="E63" i="23"/>
  <c r="E69" i="23"/>
  <c r="E77" i="23"/>
  <c r="E89" i="23"/>
  <c r="E115" i="23"/>
  <c r="O115" i="23" s="1"/>
  <c r="Q115" i="23" s="1"/>
  <c r="E117" i="23"/>
  <c r="O117" i="23" s="1"/>
  <c r="Q117" i="23" s="1"/>
  <c r="E67" i="23"/>
  <c r="E75" i="23"/>
  <c r="E87" i="23"/>
  <c r="E65" i="23"/>
  <c r="E73" i="23"/>
  <c r="E93" i="23"/>
  <c r="E112" i="23"/>
  <c r="O112" i="23" s="1"/>
  <c r="Q112" i="23" s="1"/>
  <c r="E114" i="23"/>
  <c r="O114" i="23" s="1"/>
  <c r="Q114" i="23" s="1"/>
  <c r="E116" i="23"/>
  <c r="O116" i="23" s="1"/>
  <c r="Q116" i="23" s="1"/>
  <c r="E71" i="23"/>
  <c r="E79" i="23"/>
  <c r="E91" i="23"/>
  <c r="H9" i="24"/>
  <c r="D9" i="24"/>
  <c r="G8" i="24"/>
  <c r="O57" i="23"/>
  <c r="Q57" i="23" s="1"/>
  <c r="E61" i="23"/>
  <c r="O155" i="23"/>
  <c r="Q155" i="23" s="1"/>
  <c r="O153" i="23"/>
  <c r="Q153" i="23" s="1"/>
  <c r="O151" i="23"/>
  <c r="Q151" i="23" s="1"/>
  <c r="O147" i="23"/>
  <c r="Q147" i="23" s="1"/>
  <c r="O85" i="23"/>
  <c r="Q85" i="23" s="1"/>
  <c r="Q84" i="23"/>
  <c r="O83" i="23"/>
  <c r="Q83" i="23" s="1"/>
  <c r="O81" i="23"/>
  <c r="Q81" i="23" s="1"/>
  <c r="O20" i="23"/>
  <c r="Q20" i="23" s="1"/>
  <c r="O16" i="23"/>
  <c r="Q16" i="23" s="1"/>
  <c r="C50" i="15"/>
  <c r="D67" i="6"/>
  <c r="D68" i="6"/>
  <c r="Q15" i="23"/>
  <c r="AJ24" i="21"/>
  <c r="AI24" i="21"/>
  <c r="C61" i="6"/>
  <c r="O12" i="23"/>
  <c r="Q12" i="23" s="1"/>
  <c r="K39" i="23"/>
  <c r="K188" i="23" s="1"/>
  <c r="AJ13" i="21"/>
  <c r="C53" i="15"/>
  <c r="C52" i="15"/>
  <c r="C46" i="15"/>
  <c r="O22" i="23"/>
  <c r="Q22" i="23" s="1"/>
  <c r="AH34" i="21"/>
  <c r="AH32" i="21"/>
  <c r="AJ32" i="21" s="1"/>
  <c r="AH30" i="21"/>
  <c r="AJ30" i="21" s="1"/>
  <c r="AH28" i="21"/>
  <c r="AJ28" i="21" s="1"/>
  <c r="AH26" i="21"/>
  <c r="AJ26" i="21" s="1"/>
  <c r="AI13" i="21"/>
  <c r="AH10" i="21"/>
  <c r="AJ10" i="21" s="1"/>
  <c r="AH8" i="21"/>
  <c r="AH33" i="21"/>
  <c r="AJ33" i="21" s="1"/>
  <c r="AH31" i="21"/>
  <c r="AJ31" i="21" s="1"/>
  <c r="AH29" i="21"/>
  <c r="AJ29" i="21" s="1"/>
  <c r="AH27" i="21"/>
  <c r="AJ27" i="21" s="1"/>
  <c r="AH25" i="21"/>
  <c r="AJ25" i="21" s="1"/>
  <c r="AH14" i="21"/>
  <c r="AH11" i="21"/>
  <c r="AH9" i="21"/>
  <c r="AJ9" i="21" s="1"/>
  <c r="C74" i="6"/>
  <c r="C76" i="6" s="1"/>
  <c r="D29" i="7"/>
  <c r="AH44" i="21"/>
  <c r="AJ44" i="21" s="1"/>
  <c r="AH42" i="21"/>
  <c r="AJ42" i="21" s="1"/>
  <c r="AH40" i="21"/>
  <c r="AJ40" i="21" s="1"/>
  <c r="AH38" i="21"/>
  <c r="AJ38" i="21" s="1"/>
  <c r="AH36" i="21"/>
  <c r="AJ36" i="21" s="1"/>
  <c r="AH23" i="21"/>
  <c r="AJ23" i="21" s="1"/>
  <c r="AH21" i="21"/>
  <c r="AJ21" i="21" s="1"/>
  <c r="AH19" i="21"/>
  <c r="AJ19" i="21" s="1"/>
  <c r="AH17" i="21"/>
  <c r="AJ17" i="21" s="1"/>
  <c r="AH15" i="21"/>
  <c r="AJ15" i="21" s="1"/>
  <c r="C121" i="1"/>
  <c r="C106" i="1"/>
  <c r="C107" i="1"/>
  <c r="C246" i="1"/>
  <c r="C251" i="1"/>
  <c r="C127" i="1"/>
  <c r="C89" i="1"/>
  <c r="C90" i="1"/>
  <c r="C91" i="1"/>
  <c r="C92" i="1"/>
  <c r="C264" i="1"/>
  <c r="C189" i="1"/>
  <c r="C93" i="1"/>
  <c r="C94" i="1"/>
  <c r="C109" i="1"/>
  <c r="C110" i="1"/>
  <c r="C197" i="1"/>
  <c r="C108" i="1"/>
  <c r="C255" i="1"/>
  <c r="C31" i="1"/>
  <c r="C32" i="1"/>
  <c r="C33" i="1"/>
  <c r="C34" i="1"/>
  <c r="C35" i="1"/>
  <c r="C266" i="1"/>
  <c r="C190" i="1"/>
  <c r="C36" i="1"/>
  <c r="C37" i="1"/>
  <c r="C111" i="1"/>
  <c r="C70" i="1"/>
  <c r="C198" i="1"/>
  <c r="C49" i="1"/>
  <c r="C50" i="1"/>
  <c r="C51" i="1"/>
  <c r="C66" i="1"/>
  <c r="C99" i="1"/>
  <c r="B24" i="32" s="1"/>
  <c r="B25" i="32" s="1"/>
  <c r="C100" i="1"/>
  <c r="C101" i="1"/>
  <c r="C57" i="1"/>
  <c r="C71" i="1"/>
  <c r="C72" i="1"/>
  <c r="C162" i="1"/>
  <c r="C73" i="1"/>
  <c r="C74" i="1"/>
  <c r="C163" i="1"/>
  <c r="C75" i="1"/>
  <c r="C41" i="1"/>
  <c r="C42" i="1"/>
  <c r="C43" i="1"/>
  <c r="C267" i="1"/>
  <c r="C191" i="1"/>
  <c r="C44" i="1"/>
  <c r="C45" i="1"/>
  <c r="C76" i="1"/>
  <c r="C52" i="1"/>
  <c r="C53" i="1"/>
  <c r="C77" i="1"/>
  <c r="C102" i="1"/>
  <c r="C78" i="1"/>
  <c r="C83" i="1"/>
  <c r="C84" i="1"/>
  <c r="C268" i="1"/>
  <c r="C192" i="1"/>
  <c r="C85" i="1"/>
  <c r="C112" i="1"/>
  <c r="C209" i="1"/>
  <c r="C210" i="1"/>
  <c r="C199" i="1"/>
  <c r="C211" i="1"/>
  <c r="C26" i="1"/>
  <c r="C113" i="1"/>
  <c r="C27" i="1"/>
  <c r="C181" i="1"/>
  <c r="C114" i="1"/>
  <c r="C115" i="1"/>
  <c r="C164" i="1"/>
  <c r="C79" i="1"/>
  <c r="C116" i="1"/>
  <c r="C260" i="1"/>
  <c r="C247" i="1"/>
  <c r="C117" i="1"/>
  <c r="C165" i="1"/>
  <c r="C256" i="1"/>
  <c r="C144" i="1"/>
  <c r="C135" i="1"/>
  <c r="C136" i="1"/>
  <c r="C137" i="1"/>
  <c r="C141" i="1"/>
  <c r="C142" i="1"/>
  <c r="C61" i="1"/>
  <c r="C62" i="1"/>
  <c r="C143" i="1"/>
  <c r="C242" i="1"/>
  <c r="C148" i="1"/>
  <c r="C149" i="1"/>
  <c r="C150" i="1"/>
  <c r="C151" i="1"/>
  <c r="C152" i="1"/>
  <c r="C269" i="1"/>
  <c r="C193" i="1"/>
  <c r="C153" i="1"/>
  <c r="C154" i="1"/>
  <c r="C212" i="1"/>
  <c r="C213" i="1"/>
  <c r="C214" i="1"/>
  <c r="C215" i="1"/>
  <c r="C216" i="1"/>
  <c r="C200" i="1"/>
  <c r="C201" i="1"/>
  <c r="C166" i="1"/>
  <c r="C218" i="1"/>
  <c r="C185" i="1"/>
  <c r="C219" i="1"/>
  <c r="C220" i="1"/>
  <c r="C167" i="1"/>
  <c r="C221" i="1"/>
  <c r="C222" i="1"/>
  <c r="C223" i="1"/>
  <c r="C224" i="1"/>
  <c r="C225" i="1"/>
  <c r="C226" i="1"/>
  <c r="C227" i="1"/>
  <c r="C228" i="1"/>
  <c r="C168" i="1"/>
  <c r="C229" i="1"/>
  <c r="C230" i="1"/>
  <c r="C131" i="1"/>
  <c r="C231" i="1"/>
  <c r="C177" i="1"/>
  <c r="C169" i="1"/>
  <c r="C232" i="1"/>
  <c r="C170" i="1"/>
  <c r="C172" i="1"/>
  <c r="C205" i="1"/>
  <c r="C173" i="1"/>
  <c r="C158" i="1"/>
  <c r="B51" i="4" s="1"/>
  <c r="C236" i="1"/>
  <c r="C237" i="1"/>
  <c r="C239" i="1"/>
  <c r="C240" i="1"/>
  <c r="C273" i="1"/>
  <c r="F9" i="4" l="1"/>
  <c r="H148" i="1"/>
  <c r="D162" i="17"/>
  <c r="D89" i="17"/>
  <c r="E168" i="17" s="1"/>
  <c r="D159" i="17"/>
  <c r="F50" i="18"/>
  <c r="G72" i="18"/>
  <c r="C194" i="17"/>
  <c r="E194" i="17" s="1"/>
  <c r="E199" i="17" s="1"/>
  <c r="D50" i="18"/>
  <c r="E68" i="17"/>
  <c r="C70" i="17" s="1"/>
  <c r="D107" i="17" s="1"/>
  <c r="C182" i="17" s="1"/>
  <c r="H50" i="18"/>
  <c r="B50" i="18"/>
  <c r="B61" i="15"/>
  <c r="E31" i="26"/>
  <c r="D38" i="1"/>
  <c r="Z25" i="4"/>
  <c r="T121" i="1"/>
  <c r="T15" i="1"/>
  <c r="C15" i="18"/>
  <c r="C50" i="18" s="1"/>
  <c r="E50" i="18"/>
  <c r="I12" i="4"/>
  <c r="R18" i="1" s="1"/>
  <c r="R20" i="1" s="1"/>
  <c r="E7" i="28" s="1"/>
  <c r="P20" i="1"/>
  <c r="C50" i="17"/>
  <c r="C53" i="17" s="1"/>
  <c r="I9" i="4"/>
  <c r="O18" i="1" s="1"/>
  <c r="F17" i="4"/>
  <c r="P17" i="4" s="1"/>
  <c r="D18" i="1" s="1"/>
  <c r="F13" i="4"/>
  <c r="P13" i="4" s="1"/>
  <c r="B127" i="4"/>
  <c r="E111" i="4"/>
  <c r="V63" i="4" s="1"/>
  <c r="Z63" i="4" s="1"/>
  <c r="C10" i="17"/>
  <c r="C30" i="17" s="1"/>
  <c r="E17" i="17"/>
  <c r="C153" i="17"/>
  <c r="C37" i="17"/>
  <c r="E37" i="17" s="1"/>
  <c r="E15" i="17"/>
  <c r="G15" i="17" s="1"/>
  <c r="C35" i="17"/>
  <c r="E35" i="17" s="1"/>
  <c r="C152" i="17"/>
  <c r="I11" i="4"/>
  <c r="Q18" i="1" s="1"/>
  <c r="J124" i="1"/>
  <c r="M123" i="1"/>
  <c r="C140" i="17"/>
  <c r="C282" i="1" s="1"/>
  <c r="H282" i="1" s="1"/>
  <c r="AF324" i="19"/>
  <c r="D103" i="17"/>
  <c r="D105" i="17"/>
  <c r="Q174" i="23"/>
  <c r="C21" i="1"/>
  <c r="D90" i="17"/>
  <c r="D118" i="17"/>
  <c r="C106" i="4"/>
  <c r="C243" i="1"/>
  <c r="E170" i="1"/>
  <c r="H170" i="1"/>
  <c r="E231" i="1"/>
  <c r="H231" i="1"/>
  <c r="H168" i="1"/>
  <c r="E168" i="1"/>
  <c r="H225" i="1"/>
  <c r="E225" i="1"/>
  <c r="C68" i="4"/>
  <c r="E221" i="1"/>
  <c r="H221" i="1"/>
  <c r="E220" i="1"/>
  <c r="H220" i="1"/>
  <c r="C217" i="1"/>
  <c r="C233" i="1" s="1"/>
  <c r="E201" i="1"/>
  <c r="H201" i="1"/>
  <c r="C65" i="4"/>
  <c r="D65" i="4" s="1"/>
  <c r="D214" i="1" s="1"/>
  <c r="E214" i="1" s="1"/>
  <c r="C64" i="4"/>
  <c r="E212" i="1"/>
  <c r="H212" i="1"/>
  <c r="E269" i="1"/>
  <c r="H269" i="1"/>
  <c r="E149" i="1"/>
  <c r="H143" i="1"/>
  <c r="E143" i="1"/>
  <c r="E61" i="1"/>
  <c r="H61" i="1"/>
  <c r="C63" i="1"/>
  <c r="H136" i="1"/>
  <c r="E136" i="1"/>
  <c r="H165" i="1"/>
  <c r="E165" i="1"/>
  <c r="H247" i="1"/>
  <c r="E247" i="1"/>
  <c r="E164" i="1"/>
  <c r="H164" i="1"/>
  <c r="H114" i="1"/>
  <c r="E114" i="1"/>
  <c r="E26" i="1"/>
  <c r="H26" i="1"/>
  <c r="C28" i="1"/>
  <c r="C63" i="4"/>
  <c r="H112" i="1"/>
  <c r="E112" i="1"/>
  <c r="H84" i="1"/>
  <c r="E53" i="1"/>
  <c r="H53" i="1"/>
  <c r="H44" i="1"/>
  <c r="E44" i="1"/>
  <c r="H267" i="1"/>
  <c r="E267" i="1"/>
  <c r="C46" i="1"/>
  <c r="E41" i="1"/>
  <c r="E163" i="1"/>
  <c r="H163" i="1"/>
  <c r="E73" i="1"/>
  <c r="H73" i="1"/>
  <c r="H57" i="1"/>
  <c r="E57" i="1"/>
  <c r="E58" i="1" s="1"/>
  <c r="C58" i="1"/>
  <c r="E66" i="1"/>
  <c r="E67" i="1" s="1"/>
  <c r="C67" i="1"/>
  <c r="H66" i="1"/>
  <c r="E36" i="1"/>
  <c r="H36" i="1"/>
  <c r="D85" i="7"/>
  <c r="E29" i="7"/>
  <c r="E85" i="7" s="1"/>
  <c r="E88" i="7" s="1"/>
  <c r="B48" i="4" s="1"/>
  <c r="AI14" i="21"/>
  <c r="AJ14" i="21"/>
  <c r="O91" i="23"/>
  <c r="Q91" i="23" s="1"/>
  <c r="O65" i="23"/>
  <c r="Q65" i="23" s="1"/>
  <c r="O69" i="23"/>
  <c r="Q69" i="23" s="1"/>
  <c r="O78" i="23"/>
  <c r="Q78" i="23" s="1"/>
  <c r="O54" i="23"/>
  <c r="Q54" i="23" s="1"/>
  <c r="E58" i="23"/>
  <c r="O76" i="23"/>
  <c r="Q76" i="23" s="1"/>
  <c r="O60" i="23"/>
  <c r="Q60" i="23" s="1"/>
  <c r="O62" i="23"/>
  <c r="Q62" i="23" s="1"/>
  <c r="D70" i="17"/>
  <c r="E175" i="17"/>
  <c r="P236" i="1"/>
  <c r="P14" i="4"/>
  <c r="G14" i="4"/>
  <c r="E95" i="17"/>
  <c r="J95" i="1"/>
  <c r="K95" i="1" s="1"/>
  <c r="P27" i="4"/>
  <c r="Z27" i="4" s="1"/>
  <c r="Z18" i="4"/>
  <c r="D19" i="1"/>
  <c r="N265" i="1"/>
  <c r="K265" i="1"/>
  <c r="U265" i="1" s="1"/>
  <c r="Q265" i="1"/>
  <c r="C107" i="4"/>
  <c r="E107" i="4" s="1"/>
  <c r="V59" i="4" s="1"/>
  <c r="Z59" i="4" s="1"/>
  <c r="E173" i="1"/>
  <c r="H173" i="1"/>
  <c r="C71" i="4"/>
  <c r="H232" i="1"/>
  <c r="E232" i="1"/>
  <c r="E229" i="1"/>
  <c r="H229" i="1"/>
  <c r="E224" i="1"/>
  <c r="H224" i="1"/>
  <c r="E167" i="1"/>
  <c r="H167" i="1"/>
  <c r="E166" i="1"/>
  <c r="H166" i="1"/>
  <c r="C66" i="4"/>
  <c r="D66" i="4" s="1"/>
  <c r="D215" i="1" s="1"/>
  <c r="E215" i="1" s="1"/>
  <c r="E193" i="1"/>
  <c r="H193" i="1"/>
  <c r="E150" i="1"/>
  <c r="H150" i="1"/>
  <c r="H62" i="1"/>
  <c r="E62" i="1"/>
  <c r="E135" i="1"/>
  <c r="C138" i="1"/>
  <c r="H135" i="1"/>
  <c r="H256" i="1"/>
  <c r="E256" i="1"/>
  <c r="E79" i="1"/>
  <c r="H79" i="1"/>
  <c r="E181" i="1"/>
  <c r="E182" i="1" s="1"/>
  <c r="H181" i="1"/>
  <c r="E209" i="1"/>
  <c r="H209" i="1"/>
  <c r="E268" i="1"/>
  <c r="H268" i="1"/>
  <c r="E78" i="1"/>
  <c r="H78" i="1"/>
  <c r="E45" i="1"/>
  <c r="H45" i="1"/>
  <c r="E42" i="1"/>
  <c r="H42" i="1"/>
  <c r="H74" i="1"/>
  <c r="E74" i="1"/>
  <c r="E71" i="1"/>
  <c r="H71" i="1"/>
  <c r="E51" i="1"/>
  <c r="H51" i="1"/>
  <c r="C80" i="1"/>
  <c r="E70" i="1"/>
  <c r="H70" i="1"/>
  <c r="H37" i="1"/>
  <c r="E37" i="1"/>
  <c r="E190" i="1"/>
  <c r="H190" i="1"/>
  <c r="H33" i="1"/>
  <c r="E33" i="1"/>
  <c r="E31" i="1"/>
  <c r="C38" i="1"/>
  <c r="C257" i="1"/>
  <c r="E255" i="1"/>
  <c r="H255" i="1"/>
  <c r="H108" i="1"/>
  <c r="E108" i="1"/>
  <c r="E110" i="1"/>
  <c r="H110" i="1"/>
  <c r="H94" i="1"/>
  <c r="E94" i="1"/>
  <c r="E189" i="1"/>
  <c r="H189" i="1"/>
  <c r="C194" i="1"/>
  <c r="E92" i="1"/>
  <c r="H92" i="1"/>
  <c r="E90" i="1"/>
  <c r="H90" i="1"/>
  <c r="H251" i="1"/>
  <c r="E251" i="1"/>
  <c r="E252" i="1" s="1"/>
  <c r="C252" i="1"/>
  <c r="H107" i="1"/>
  <c r="E107" i="1"/>
  <c r="B63" i="15"/>
  <c r="B64" i="15" s="1"/>
  <c r="B65" i="15" s="1"/>
  <c r="C124" i="1"/>
  <c r="E19" i="28"/>
  <c r="E19" i="27"/>
  <c r="E19" i="26"/>
  <c r="E19" i="16"/>
  <c r="AI34" i="21"/>
  <c r="AJ34" i="21" s="1"/>
  <c r="O79" i="23"/>
  <c r="Q79" i="23" s="1"/>
  <c r="O87" i="23"/>
  <c r="Q87" i="23" s="1"/>
  <c r="O63" i="23"/>
  <c r="Q63" i="23" s="1"/>
  <c r="O74" i="23"/>
  <c r="Q74" i="23" s="1"/>
  <c r="O92" i="23"/>
  <c r="Q92" i="23" s="1"/>
  <c r="O72" i="23"/>
  <c r="Q72" i="23" s="1"/>
  <c r="O59" i="23"/>
  <c r="Q59" i="23" s="1"/>
  <c r="G13" i="4"/>
  <c r="R215" i="1"/>
  <c r="R216" i="1"/>
  <c r="Q215" i="1"/>
  <c r="Q216" i="1"/>
  <c r="G15" i="4"/>
  <c r="P15" i="4"/>
  <c r="E123" i="17"/>
  <c r="D238" i="1"/>
  <c r="E12" i="4"/>
  <c r="F12" i="4" s="1"/>
  <c r="C110" i="4"/>
  <c r="E110" i="4" s="1"/>
  <c r="V62" i="4" s="1"/>
  <c r="Z62" i="4" s="1"/>
  <c r="C159" i="1"/>
  <c r="H172" i="1"/>
  <c r="E172" i="1"/>
  <c r="E177" i="1"/>
  <c r="E178" i="1" s="1"/>
  <c r="C178" i="1"/>
  <c r="H177" i="1"/>
  <c r="H131" i="1"/>
  <c r="H132" i="1" s="1"/>
  <c r="E131" i="1"/>
  <c r="E132" i="1" s="1"/>
  <c r="C69" i="4"/>
  <c r="D69" i="4" s="1"/>
  <c r="D228" i="1" s="1"/>
  <c r="E228" i="1" s="1"/>
  <c r="E226" i="1"/>
  <c r="H226" i="1"/>
  <c r="E222" i="1"/>
  <c r="H222" i="1"/>
  <c r="H219" i="1"/>
  <c r="E219" i="1"/>
  <c r="E218" i="1"/>
  <c r="H218" i="1"/>
  <c r="E200" i="1"/>
  <c r="H200" i="1"/>
  <c r="E213" i="1"/>
  <c r="H213" i="1"/>
  <c r="E154" i="1"/>
  <c r="H154" i="1"/>
  <c r="H152" i="1"/>
  <c r="E152" i="1"/>
  <c r="E148" i="1"/>
  <c r="C155" i="1"/>
  <c r="C76" i="4"/>
  <c r="D76" i="4" s="1"/>
  <c r="S46" i="4" s="1"/>
  <c r="Z46" i="4" s="1"/>
  <c r="E137" i="1"/>
  <c r="H137" i="1"/>
  <c r="E117" i="1"/>
  <c r="H117" i="1"/>
  <c r="E260" i="1"/>
  <c r="E261" i="1" s="1"/>
  <c r="H260" i="1"/>
  <c r="C261" i="1"/>
  <c r="E115" i="1"/>
  <c r="H115" i="1"/>
  <c r="E113" i="1"/>
  <c r="H113" i="1"/>
  <c r="E199" i="1"/>
  <c r="H199" i="1"/>
  <c r="E85" i="1"/>
  <c r="H85" i="1"/>
  <c r="C86" i="1"/>
  <c r="E83" i="1"/>
  <c r="E77" i="1"/>
  <c r="H77" i="1"/>
  <c r="H52" i="1"/>
  <c r="E52" i="1"/>
  <c r="E191" i="1"/>
  <c r="H191" i="1"/>
  <c r="E43" i="1"/>
  <c r="H43" i="1"/>
  <c r="E75" i="1"/>
  <c r="H75" i="1"/>
  <c r="E162" i="1"/>
  <c r="H162" i="1"/>
  <c r="C174" i="1"/>
  <c r="E101" i="1"/>
  <c r="H101" i="1"/>
  <c r="E99" i="1"/>
  <c r="C103" i="1"/>
  <c r="C54" i="1"/>
  <c r="E35" i="1"/>
  <c r="H35" i="1"/>
  <c r="AJ8" i="21"/>
  <c r="AH46" i="21"/>
  <c r="AH49" i="21" s="1"/>
  <c r="O61" i="23"/>
  <c r="Q61" i="23" s="1"/>
  <c r="O71" i="23"/>
  <c r="Q71" i="23" s="1"/>
  <c r="O93" i="23"/>
  <c r="Q93" i="23" s="1"/>
  <c r="O75" i="23"/>
  <c r="Q75" i="23" s="1"/>
  <c r="O89" i="23"/>
  <c r="Q89" i="23" s="1"/>
  <c r="O90" i="23"/>
  <c r="Q90" i="23" s="1"/>
  <c r="O70" i="23"/>
  <c r="Q70" i="23" s="1"/>
  <c r="O88" i="23"/>
  <c r="Q88" i="23" s="1"/>
  <c r="O68" i="23"/>
  <c r="Q68" i="23" s="1"/>
  <c r="D106" i="4"/>
  <c r="C110" i="17"/>
  <c r="P215" i="1"/>
  <c r="P216" i="1"/>
  <c r="F61" i="17"/>
  <c r="G67" i="17"/>
  <c r="D19" i="4"/>
  <c r="P10" i="4"/>
  <c r="G10" i="4"/>
  <c r="P11" i="4"/>
  <c r="G11" i="4"/>
  <c r="E273" i="1"/>
  <c r="E274" i="1" s="1"/>
  <c r="C274" i="1"/>
  <c r="H273" i="1"/>
  <c r="C109" i="4"/>
  <c r="E109" i="4" s="1"/>
  <c r="V61" i="4" s="1"/>
  <c r="Z61" i="4" s="1"/>
  <c r="B129" i="4"/>
  <c r="C206" i="1"/>
  <c r="E169" i="1"/>
  <c r="H169" i="1"/>
  <c r="C70" i="4"/>
  <c r="D70" i="4" s="1"/>
  <c r="D230" i="1" s="1"/>
  <c r="H227" i="1"/>
  <c r="E227" i="1"/>
  <c r="H223" i="1"/>
  <c r="E223" i="1"/>
  <c r="E185" i="1"/>
  <c r="E186" i="1" s="1"/>
  <c r="C186" i="1"/>
  <c r="H185" i="1"/>
  <c r="C67" i="4"/>
  <c r="D67" i="4" s="1"/>
  <c r="D216" i="1" s="1"/>
  <c r="H216" i="1" s="1"/>
  <c r="M216" i="1" s="1"/>
  <c r="E153" i="1"/>
  <c r="H153" i="1"/>
  <c r="E151" i="1"/>
  <c r="H151" i="1"/>
  <c r="E242" i="1"/>
  <c r="H242" i="1"/>
  <c r="H141" i="1"/>
  <c r="C145" i="1"/>
  <c r="E141" i="1"/>
  <c r="E144" i="1"/>
  <c r="H144" i="1"/>
  <c r="H116" i="1"/>
  <c r="E116" i="1"/>
  <c r="E27" i="1"/>
  <c r="H27" i="1"/>
  <c r="E211" i="1"/>
  <c r="H211" i="1"/>
  <c r="E192" i="1"/>
  <c r="H192" i="1"/>
  <c r="E102" i="1"/>
  <c r="H102" i="1"/>
  <c r="H76" i="1"/>
  <c r="E76" i="1"/>
  <c r="E72" i="1"/>
  <c r="H72" i="1"/>
  <c r="E100" i="1"/>
  <c r="H100" i="1"/>
  <c r="E50" i="1"/>
  <c r="H50" i="1"/>
  <c r="E198" i="1"/>
  <c r="H198" i="1"/>
  <c r="H111" i="1"/>
  <c r="E111" i="1"/>
  <c r="E266" i="1"/>
  <c r="H266" i="1"/>
  <c r="E34" i="1"/>
  <c r="H34" i="1"/>
  <c r="E32" i="1"/>
  <c r="H32" i="1" s="1"/>
  <c r="E197" i="1"/>
  <c r="H197" i="1"/>
  <c r="C202" i="1"/>
  <c r="E109" i="1"/>
  <c r="H109" i="1"/>
  <c r="E93" i="1"/>
  <c r="H93" i="1"/>
  <c r="E264" i="1"/>
  <c r="C270" i="1"/>
  <c r="H264" i="1"/>
  <c r="E91" i="1"/>
  <c r="H91" i="1"/>
  <c r="E89" i="1"/>
  <c r="C96" i="1"/>
  <c r="B100" i="4"/>
  <c r="C128" i="1"/>
  <c r="H246" i="1"/>
  <c r="C248" i="1"/>
  <c r="E246" i="1"/>
  <c r="C118" i="1"/>
  <c r="E106" i="1"/>
  <c r="H106" i="1"/>
  <c r="AI11" i="21"/>
  <c r="O73" i="23"/>
  <c r="Q73" i="23" s="1"/>
  <c r="O67" i="23"/>
  <c r="Q67" i="23" s="1"/>
  <c r="O77" i="23"/>
  <c r="Q77" i="23" s="1"/>
  <c r="O86" i="23"/>
  <c r="Q86" i="23" s="1"/>
  <c r="O66" i="23"/>
  <c r="Q66" i="23" s="1"/>
  <c r="O80" i="23"/>
  <c r="Q80" i="23" s="1"/>
  <c r="O64" i="23"/>
  <c r="Q64" i="23" s="1"/>
  <c r="E33" i="17"/>
  <c r="E137" i="17"/>
  <c r="B37" i="4"/>
  <c r="D121" i="1" s="1"/>
  <c r="H121" i="1" s="1"/>
  <c r="D122" i="1"/>
  <c r="D163" i="17"/>
  <c r="O216" i="1"/>
  <c r="O215" i="1"/>
  <c r="G61" i="17"/>
  <c r="G9" i="4"/>
  <c r="P9" i="4"/>
  <c r="T122" i="1"/>
  <c r="P124" i="1"/>
  <c r="N124" i="1"/>
  <c r="C132" i="1"/>
  <c r="C182" i="1"/>
  <c r="E17" i="1"/>
  <c r="H17" i="1"/>
  <c r="E50" i="17" l="1"/>
  <c r="G17" i="4"/>
  <c r="D133" i="17"/>
  <c r="C204" i="17" s="1"/>
  <c r="D135" i="17"/>
  <c r="C206" i="17" s="1"/>
  <c r="D136" i="17"/>
  <c r="C207" i="17" s="1"/>
  <c r="D102" i="17"/>
  <c r="D131" i="17"/>
  <c r="C202" i="17" s="1"/>
  <c r="D130" i="17"/>
  <c r="F192" i="17"/>
  <c r="G192" i="17"/>
  <c r="G168" i="17"/>
  <c r="R236" i="1" s="1"/>
  <c r="F168" i="17"/>
  <c r="E10" i="17"/>
  <c r="D125" i="17" s="1"/>
  <c r="F15" i="17"/>
  <c r="C276" i="1"/>
  <c r="C149" i="17"/>
  <c r="B31" i="31"/>
  <c r="Z70" i="4"/>
  <c r="T74" i="4"/>
  <c r="T265" i="1"/>
  <c r="D241" i="1"/>
  <c r="H241" i="1" s="1"/>
  <c r="B131" i="4"/>
  <c r="W56" i="4" s="1"/>
  <c r="I13" i="4"/>
  <c r="F17" i="17"/>
  <c r="G17" i="17"/>
  <c r="H215" i="1"/>
  <c r="H228" i="1"/>
  <c r="K228" i="1" s="1"/>
  <c r="E121" i="1"/>
  <c r="U216" i="1"/>
  <c r="H214" i="1"/>
  <c r="E19" i="4"/>
  <c r="E257" i="1"/>
  <c r="E63" i="1"/>
  <c r="H80" i="1"/>
  <c r="E138" i="1"/>
  <c r="E202" i="1"/>
  <c r="AF331" i="19"/>
  <c r="J107" i="1"/>
  <c r="T215" i="1"/>
  <c r="AI46" i="21"/>
  <c r="E118" i="1"/>
  <c r="K50" i="1"/>
  <c r="J50" i="1"/>
  <c r="J100" i="1"/>
  <c r="K100" i="1"/>
  <c r="H230" i="1"/>
  <c r="E174" i="1"/>
  <c r="J43" i="1"/>
  <c r="K43" i="1"/>
  <c r="J52" i="1"/>
  <c r="K52" i="1"/>
  <c r="K85" i="1"/>
  <c r="J85" i="1"/>
  <c r="J199" i="1"/>
  <c r="K199" i="1"/>
  <c r="J137" i="1"/>
  <c r="K137" i="1"/>
  <c r="J213" i="1"/>
  <c r="K213" i="1"/>
  <c r="J222" i="1"/>
  <c r="K222" i="1"/>
  <c r="J226" i="1"/>
  <c r="K226" i="1"/>
  <c r="D240" i="1"/>
  <c r="K121" i="1"/>
  <c r="U121" i="1" s="1"/>
  <c r="J90" i="1"/>
  <c r="K90" i="1"/>
  <c r="E194" i="1"/>
  <c r="E38" i="1"/>
  <c r="J33" i="1"/>
  <c r="K33" i="1"/>
  <c r="E80" i="1"/>
  <c r="J45" i="1"/>
  <c r="K45" i="1"/>
  <c r="J181" i="1"/>
  <c r="J182" i="1" s="1"/>
  <c r="K181" i="1"/>
  <c r="K182" i="1" s="1"/>
  <c r="J79" i="1"/>
  <c r="K79" i="1"/>
  <c r="J256" i="1"/>
  <c r="K256" i="1"/>
  <c r="D237" i="1"/>
  <c r="N95" i="1"/>
  <c r="Q95" i="1" s="1"/>
  <c r="T95" i="1" s="1"/>
  <c r="U95" i="1"/>
  <c r="H18" i="1"/>
  <c r="M18" i="1" s="1"/>
  <c r="E18" i="1"/>
  <c r="Z14" i="4"/>
  <c r="D15" i="1"/>
  <c r="O58" i="23"/>
  <c r="Q58" i="23" s="1"/>
  <c r="Q141" i="23" s="1"/>
  <c r="C11" i="17" s="1"/>
  <c r="J57" i="1"/>
  <c r="K57" i="1"/>
  <c r="K58" i="1" s="1"/>
  <c r="H58" i="1"/>
  <c r="K163" i="1"/>
  <c r="J163" i="1"/>
  <c r="E46" i="1"/>
  <c r="J44" i="1"/>
  <c r="K44" i="1"/>
  <c r="D63" i="4"/>
  <c r="C72" i="4"/>
  <c r="E28" i="1"/>
  <c r="J164" i="1"/>
  <c r="K164" i="1"/>
  <c r="J165" i="1"/>
  <c r="K165" i="1"/>
  <c r="B56" i="4"/>
  <c r="G10" i="17"/>
  <c r="E182" i="17"/>
  <c r="F182" i="17"/>
  <c r="G182" i="17"/>
  <c r="D182" i="17"/>
  <c r="M265" i="1"/>
  <c r="T124" i="1"/>
  <c r="T216" i="1"/>
  <c r="D124" i="1"/>
  <c r="H248" i="1"/>
  <c r="K246" i="1"/>
  <c r="M246" i="1" s="1"/>
  <c r="E96" i="1"/>
  <c r="E270" i="1"/>
  <c r="K197" i="1"/>
  <c r="J197" i="1"/>
  <c r="H202" i="1"/>
  <c r="J32" i="1"/>
  <c r="K32" i="1"/>
  <c r="J34" i="1"/>
  <c r="K34" i="1"/>
  <c r="J198" i="1"/>
  <c r="K198" i="1"/>
  <c r="J76" i="1"/>
  <c r="K76" i="1"/>
  <c r="J211" i="1"/>
  <c r="K211" i="1"/>
  <c r="K242" i="1"/>
  <c r="J242" i="1"/>
  <c r="E216" i="1"/>
  <c r="H186" i="1"/>
  <c r="K227" i="1"/>
  <c r="J227" i="1"/>
  <c r="E230" i="1"/>
  <c r="Z10" i="4"/>
  <c r="D11" i="1"/>
  <c r="E86" i="1"/>
  <c r="H261" i="1"/>
  <c r="D142" i="1"/>
  <c r="E155" i="1"/>
  <c r="H178" i="1"/>
  <c r="D14" i="1"/>
  <c r="Z13" i="4"/>
  <c r="J110" i="1"/>
  <c r="K110" i="1"/>
  <c r="K108" i="1"/>
  <c r="J108" i="1"/>
  <c r="K190" i="1"/>
  <c r="J190" i="1"/>
  <c r="J42" i="1"/>
  <c r="K42" i="1"/>
  <c r="K268" i="1"/>
  <c r="J268" i="1"/>
  <c r="J209" i="1"/>
  <c r="K209" i="1"/>
  <c r="J135" i="1"/>
  <c r="K135" i="1"/>
  <c r="H138" i="1"/>
  <c r="J224" i="1"/>
  <c r="K224" i="1"/>
  <c r="M95" i="1"/>
  <c r="T18" i="1"/>
  <c r="O20" i="1"/>
  <c r="E136" i="17"/>
  <c r="E103" i="17"/>
  <c r="K239" i="1" s="1"/>
  <c r="E107" i="17"/>
  <c r="E131" i="17"/>
  <c r="E135" i="17"/>
  <c r="E133" i="17"/>
  <c r="E102" i="17"/>
  <c r="E105" i="17"/>
  <c r="E130" i="17"/>
  <c r="J66" i="1"/>
  <c r="K66" i="1"/>
  <c r="K67" i="1" s="1"/>
  <c r="H67" i="1"/>
  <c r="J73" i="1"/>
  <c r="K73" i="1"/>
  <c r="J267" i="1"/>
  <c r="K267" i="1"/>
  <c r="J84" i="1"/>
  <c r="K84" i="1"/>
  <c r="K247" i="1"/>
  <c r="U247" i="1" s="1"/>
  <c r="J61" i="1"/>
  <c r="K61" i="1"/>
  <c r="H63" i="1"/>
  <c r="H149" i="1"/>
  <c r="K212" i="1"/>
  <c r="J212" i="1"/>
  <c r="AJ48" i="21"/>
  <c r="B57" i="4" s="1"/>
  <c r="C113" i="4"/>
  <c r="E30" i="17"/>
  <c r="D97" i="17"/>
  <c r="G204" i="17"/>
  <c r="D204" i="17"/>
  <c r="E204" i="17"/>
  <c r="F204" i="17"/>
  <c r="C201" i="17"/>
  <c r="E70" i="17"/>
  <c r="C178" i="17"/>
  <c r="J239" i="1"/>
  <c r="N239" i="1" s="1"/>
  <c r="J93" i="1"/>
  <c r="K93" i="1"/>
  <c r="J115" i="1"/>
  <c r="K115" i="1"/>
  <c r="E88" i="17"/>
  <c r="E116" i="17"/>
  <c r="J106" i="1"/>
  <c r="H118" i="1"/>
  <c r="K264" i="1"/>
  <c r="H270" i="1"/>
  <c r="J264" i="1"/>
  <c r="K223" i="1"/>
  <c r="J223" i="1"/>
  <c r="K101" i="1"/>
  <c r="J101" i="1"/>
  <c r="J77" i="1"/>
  <c r="K77" i="1"/>
  <c r="Z15" i="4"/>
  <c r="D16" i="1"/>
  <c r="H252" i="1"/>
  <c r="K92" i="1"/>
  <c r="J92" i="1"/>
  <c r="J255" i="1"/>
  <c r="H257" i="1"/>
  <c r="K255" i="1"/>
  <c r="J37" i="1"/>
  <c r="K37" i="1"/>
  <c r="K78" i="1"/>
  <c r="J78" i="1"/>
  <c r="J36" i="1"/>
  <c r="K36" i="1"/>
  <c r="C177" i="17"/>
  <c r="J238" i="1"/>
  <c r="N238" i="1" s="1"/>
  <c r="D206" i="17"/>
  <c r="E206" i="17"/>
  <c r="F206" i="17"/>
  <c r="G206" i="17"/>
  <c r="G207" i="17"/>
  <c r="D207" i="17"/>
  <c r="E207" i="17"/>
  <c r="F207" i="17"/>
  <c r="J17" i="1"/>
  <c r="K17" i="1" s="1"/>
  <c r="K20" i="1" s="1"/>
  <c r="D10" i="1"/>
  <c r="Z9" i="4"/>
  <c r="E53" i="17"/>
  <c r="D55" i="17" s="1"/>
  <c r="AJ11" i="21"/>
  <c r="AJ46" i="21" s="1"/>
  <c r="E248" i="1"/>
  <c r="J266" i="1"/>
  <c r="K266" i="1"/>
  <c r="J102" i="1"/>
  <c r="K102" i="1"/>
  <c r="K27" i="1"/>
  <c r="J27" i="1"/>
  <c r="J141" i="1"/>
  <c r="K141" i="1"/>
  <c r="K169" i="1"/>
  <c r="J169" i="1"/>
  <c r="K273" i="1"/>
  <c r="K274" i="1" s="1"/>
  <c r="H274" i="1"/>
  <c r="D12" i="1"/>
  <c r="Z11" i="4"/>
  <c r="H182" i="1"/>
  <c r="D116" i="17"/>
  <c r="D88" i="17"/>
  <c r="E106" i="4"/>
  <c r="V58" i="4" s="1"/>
  <c r="D113" i="4"/>
  <c r="K35" i="1"/>
  <c r="J35" i="1"/>
  <c r="E103" i="1"/>
  <c r="J162" i="1"/>
  <c r="K162" i="1"/>
  <c r="J191" i="1"/>
  <c r="K191" i="1"/>
  <c r="J113" i="1"/>
  <c r="K113" i="1"/>
  <c r="E238" i="1"/>
  <c r="H238" i="1"/>
  <c r="J189" i="1"/>
  <c r="H194" i="1"/>
  <c r="K189" i="1"/>
  <c r="J94" i="1"/>
  <c r="K94" i="1"/>
  <c r="J70" i="1"/>
  <c r="K70" i="1"/>
  <c r="J51" i="1"/>
  <c r="K51" i="1"/>
  <c r="J71" i="1"/>
  <c r="K71" i="1"/>
  <c r="J74" i="1"/>
  <c r="K74" i="1"/>
  <c r="J62" i="1"/>
  <c r="K62" i="1"/>
  <c r="D49" i="1"/>
  <c r="H19" i="1"/>
  <c r="M19" i="1" s="1"/>
  <c r="E19" i="1"/>
  <c r="K112" i="1"/>
  <c r="J112" i="1"/>
  <c r="J26" i="1"/>
  <c r="K26" i="1"/>
  <c r="H28" i="1"/>
  <c r="K136" i="1"/>
  <c r="J136" i="1"/>
  <c r="K225" i="1"/>
  <c r="J225" i="1"/>
  <c r="J231" i="1"/>
  <c r="K231" i="1"/>
  <c r="F10" i="17"/>
  <c r="C180" i="17"/>
  <c r="J241" i="1"/>
  <c r="N241" i="1" s="1"/>
  <c r="E202" i="17"/>
  <c r="F202" i="17"/>
  <c r="G202" i="17"/>
  <c r="D202" i="17"/>
  <c r="J109" i="1"/>
  <c r="K109" i="1"/>
  <c r="K72" i="1"/>
  <c r="J72" i="1"/>
  <c r="J192" i="1"/>
  <c r="K192" i="1"/>
  <c r="J144" i="1"/>
  <c r="K144" i="1"/>
  <c r="D239" i="1"/>
  <c r="E90" i="17"/>
  <c r="E118" i="17"/>
  <c r="J75" i="1"/>
  <c r="K75" i="1"/>
  <c r="K215" i="1"/>
  <c r="U215" i="1" s="1"/>
  <c r="P12" i="4"/>
  <c r="P19" i="4" s="1"/>
  <c r="G12" i="4"/>
  <c r="J53" i="1"/>
  <c r="K53" i="1"/>
  <c r="K114" i="1"/>
  <c r="J114" i="1"/>
  <c r="J143" i="1"/>
  <c r="K143" i="1"/>
  <c r="F19" i="4"/>
  <c r="E122" i="1"/>
  <c r="H122" i="1"/>
  <c r="J91" i="1"/>
  <c r="K91" i="1"/>
  <c r="K111" i="1"/>
  <c r="J111" i="1"/>
  <c r="K116" i="1"/>
  <c r="J116" i="1"/>
  <c r="J117" i="1"/>
  <c r="K117" i="1"/>
  <c r="AJ49" i="21" l="1"/>
  <c r="E125" i="17"/>
  <c r="C196" i="17"/>
  <c r="E97" i="17"/>
  <c r="C172" i="17"/>
  <c r="Q236" i="1"/>
  <c r="K241" i="1"/>
  <c r="K257" i="1"/>
  <c r="M197" i="1"/>
  <c r="M268" i="1"/>
  <c r="E241" i="1"/>
  <c r="Z58" i="4"/>
  <c r="D205" i="1"/>
  <c r="D206" i="1" s="1"/>
  <c r="Z56" i="4"/>
  <c r="M102" i="1"/>
  <c r="M92" i="1"/>
  <c r="M33" i="1"/>
  <c r="M141" i="1"/>
  <c r="M36" i="1"/>
  <c r="M264" i="1"/>
  <c r="M84" i="1"/>
  <c r="M66" i="1"/>
  <c r="M209" i="1"/>
  <c r="M227" i="1"/>
  <c r="M198" i="1"/>
  <c r="M164" i="1"/>
  <c r="M163" i="1"/>
  <c r="M90" i="1"/>
  <c r="M213" i="1"/>
  <c r="M52" i="1"/>
  <c r="W74" i="4"/>
  <c r="E124" i="1"/>
  <c r="D99" i="17"/>
  <c r="D127" i="17"/>
  <c r="B58" i="4"/>
  <c r="R57" i="4" s="1"/>
  <c r="J228" i="1"/>
  <c r="N228" i="1" s="1"/>
  <c r="Q228" i="1" s="1"/>
  <c r="M144" i="1"/>
  <c r="M62" i="1"/>
  <c r="M71" i="1"/>
  <c r="M222" i="1"/>
  <c r="M78" i="1"/>
  <c r="M267" i="1"/>
  <c r="M43" i="1"/>
  <c r="M114" i="1"/>
  <c r="M75" i="1"/>
  <c r="M51" i="1"/>
  <c r="M169" i="1"/>
  <c r="M108" i="1"/>
  <c r="U182" i="1"/>
  <c r="M115" i="1"/>
  <c r="M93" i="1"/>
  <c r="M190" i="1"/>
  <c r="M110" i="1"/>
  <c r="M76" i="1"/>
  <c r="K107" i="1"/>
  <c r="M107" i="1" s="1"/>
  <c r="M255" i="1"/>
  <c r="M215" i="1"/>
  <c r="M225" i="1"/>
  <c r="K28" i="1"/>
  <c r="M70" i="1"/>
  <c r="M35" i="1"/>
  <c r="M37" i="1"/>
  <c r="M61" i="1"/>
  <c r="M73" i="1"/>
  <c r="M42" i="1"/>
  <c r="M211" i="1"/>
  <c r="M34" i="1"/>
  <c r="M117" i="1"/>
  <c r="M26" i="1"/>
  <c r="M189" i="1"/>
  <c r="M273" i="1"/>
  <c r="M247" i="1"/>
  <c r="M224" i="1"/>
  <c r="M135" i="1"/>
  <c r="M32" i="1"/>
  <c r="M112" i="1"/>
  <c r="M223" i="1"/>
  <c r="M181" i="1"/>
  <c r="K80" i="1"/>
  <c r="M77" i="1"/>
  <c r="M242" i="1"/>
  <c r="E92" i="17"/>
  <c r="K236" i="1" s="1"/>
  <c r="N116" i="1"/>
  <c r="U116" i="1"/>
  <c r="N143" i="1"/>
  <c r="U143" i="1"/>
  <c r="U239" i="1"/>
  <c r="H239" i="1"/>
  <c r="M239" i="1" s="1"/>
  <c r="E239" i="1"/>
  <c r="N72" i="1"/>
  <c r="U72" i="1"/>
  <c r="N109" i="1"/>
  <c r="U109" i="1"/>
  <c r="N231" i="1"/>
  <c r="U231" i="1"/>
  <c r="N136" i="1"/>
  <c r="U136" i="1"/>
  <c r="N162" i="1"/>
  <c r="U162" i="1"/>
  <c r="V74" i="4"/>
  <c r="D236" i="1"/>
  <c r="N27" i="1"/>
  <c r="U27" i="1"/>
  <c r="N266" i="1"/>
  <c r="U266" i="1"/>
  <c r="G19" i="4"/>
  <c r="F22" i="4"/>
  <c r="N53" i="1"/>
  <c r="U53" i="1"/>
  <c r="Z12" i="4"/>
  <c r="Z19" i="4" s="1"/>
  <c r="D13" i="1"/>
  <c r="D20" i="1" s="1"/>
  <c r="M72" i="1"/>
  <c r="M109" i="1"/>
  <c r="D180" i="17"/>
  <c r="O241" i="1" s="1"/>
  <c r="E180" i="17"/>
  <c r="P241" i="1" s="1"/>
  <c r="F180" i="17"/>
  <c r="Q241" i="1" s="1"/>
  <c r="G180" i="17"/>
  <c r="R241" i="1" s="1"/>
  <c r="D124" i="17"/>
  <c r="D96" i="17"/>
  <c r="M231" i="1"/>
  <c r="D54" i="1"/>
  <c r="H49" i="1"/>
  <c r="E49" i="1"/>
  <c r="E54" i="1" s="1"/>
  <c r="N74" i="1"/>
  <c r="U74" i="1"/>
  <c r="N94" i="1"/>
  <c r="U94" i="1"/>
  <c r="N113" i="1"/>
  <c r="U113" i="1"/>
  <c r="N191" i="1"/>
  <c r="U191" i="1"/>
  <c r="M162" i="1"/>
  <c r="D92" i="17"/>
  <c r="D168" i="17"/>
  <c r="N225" i="1"/>
  <c r="U225" i="1"/>
  <c r="N62" i="1"/>
  <c r="U62" i="1"/>
  <c r="N70" i="1"/>
  <c r="U70" i="1"/>
  <c r="M113" i="1"/>
  <c r="D120" i="17"/>
  <c r="D192" i="17"/>
  <c r="M266" i="1"/>
  <c r="C55" i="17"/>
  <c r="H10" i="1"/>
  <c r="E10" i="1"/>
  <c r="Q17" i="1"/>
  <c r="E31" i="27" s="1"/>
  <c r="N17" i="1"/>
  <c r="N20" i="1" s="1"/>
  <c r="O21" i="1" s="1"/>
  <c r="J20" i="1"/>
  <c r="N37" i="1"/>
  <c r="U37" i="1"/>
  <c r="J257" i="1"/>
  <c r="N255" i="1"/>
  <c r="U255" i="1"/>
  <c r="N77" i="1"/>
  <c r="U77" i="1"/>
  <c r="K106" i="1"/>
  <c r="U106" i="1" s="1"/>
  <c r="F201" i="17"/>
  <c r="G201" i="17"/>
  <c r="D201" i="17"/>
  <c r="E201" i="17"/>
  <c r="N212" i="1"/>
  <c r="U212" i="1"/>
  <c r="N224" i="1"/>
  <c r="U224" i="1"/>
  <c r="K138" i="1"/>
  <c r="N268" i="1"/>
  <c r="U268" i="1"/>
  <c r="N165" i="1"/>
  <c r="U165" i="1"/>
  <c r="N163" i="1"/>
  <c r="U163" i="1"/>
  <c r="M57" i="1"/>
  <c r="H15" i="1"/>
  <c r="M15" i="1" s="1"/>
  <c r="E15" i="1"/>
  <c r="N256" i="1"/>
  <c r="U256" i="1"/>
  <c r="G38" i="1"/>
  <c r="H31" i="1"/>
  <c r="N226" i="1"/>
  <c r="U226" i="1"/>
  <c r="N137" i="1"/>
  <c r="U137" i="1"/>
  <c r="N199" i="1"/>
  <c r="U199" i="1"/>
  <c r="N100" i="1"/>
  <c r="U100" i="1"/>
  <c r="M241" i="1"/>
  <c r="N117" i="1"/>
  <c r="U117" i="1"/>
  <c r="N111" i="1"/>
  <c r="U111" i="1"/>
  <c r="N91" i="1"/>
  <c r="U91" i="1"/>
  <c r="M143" i="1"/>
  <c r="N114" i="1"/>
  <c r="U114" i="1"/>
  <c r="M53" i="1"/>
  <c r="N192" i="1"/>
  <c r="U192" i="1"/>
  <c r="M116" i="1"/>
  <c r="M111" i="1"/>
  <c r="M91" i="1"/>
  <c r="K122" i="1"/>
  <c r="U122" i="1" s="1"/>
  <c r="N75" i="1"/>
  <c r="U75" i="1"/>
  <c r="N144" i="1"/>
  <c r="U144" i="1"/>
  <c r="M192" i="1"/>
  <c r="M136" i="1"/>
  <c r="N112" i="1"/>
  <c r="U112" i="1"/>
  <c r="M74" i="1"/>
  <c r="N71" i="1"/>
  <c r="U71" i="1"/>
  <c r="N51" i="1"/>
  <c r="U51" i="1"/>
  <c r="M94" i="1"/>
  <c r="M191" i="1"/>
  <c r="N35" i="1"/>
  <c r="U35" i="1"/>
  <c r="E113" i="4"/>
  <c r="H12" i="1"/>
  <c r="M12" i="1" s="1"/>
  <c r="E12" i="1"/>
  <c r="N169" i="1"/>
  <c r="U169" i="1"/>
  <c r="N141" i="1"/>
  <c r="U141" i="1"/>
  <c r="B32" i="31"/>
  <c r="E11" i="17"/>
  <c r="F11" i="17" s="1"/>
  <c r="C31" i="17"/>
  <c r="C150" i="17"/>
  <c r="C21" i="17"/>
  <c r="H11" i="17" s="1"/>
  <c r="N92" i="1"/>
  <c r="U92" i="1"/>
  <c r="E16" i="1"/>
  <c r="H16" i="1"/>
  <c r="M16" i="1" s="1"/>
  <c r="J80" i="1"/>
  <c r="N223" i="1"/>
  <c r="U223" i="1"/>
  <c r="N264" i="1"/>
  <c r="U264" i="1"/>
  <c r="E120" i="17"/>
  <c r="M212" i="1"/>
  <c r="N84" i="1"/>
  <c r="U84" i="1"/>
  <c r="N267" i="1"/>
  <c r="U267" i="1"/>
  <c r="N73" i="1"/>
  <c r="U73" i="1"/>
  <c r="K238" i="1"/>
  <c r="M238" i="1" s="1"/>
  <c r="N190" i="1"/>
  <c r="U190" i="1"/>
  <c r="G155" i="1"/>
  <c r="N198" i="1"/>
  <c r="U198" i="1"/>
  <c r="N197" i="1"/>
  <c r="U197" i="1"/>
  <c r="G96" i="1"/>
  <c r="H89" i="1"/>
  <c r="N44" i="1"/>
  <c r="U44" i="1"/>
  <c r="N45" i="1"/>
  <c r="U45" i="1"/>
  <c r="M226" i="1"/>
  <c r="M137" i="1"/>
  <c r="M199" i="1"/>
  <c r="M100" i="1"/>
  <c r="U241" i="1"/>
  <c r="N101" i="1"/>
  <c r="U101" i="1"/>
  <c r="N93" i="1"/>
  <c r="U93" i="1"/>
  <c r="K63" i="1"/>
  <c r="C278" i="1"/>
  <c r="C280" i="1"/>
  <c r="N66" i="1"/>
  <c r="J67" i="1"/>
  <c r="U67" i="1" s="1"/>
  <c r="U66" i="1"/>
  <c r="J138" i="1"/>
  <c r="N135" i="1"/>
  <c r="U135" i="1"/>
  <c r="N209" i="1"/>
  <c r="U209" i="1"/>
  <c r="N108" i="1"/>
  <c r="U108" i="1"/>
  <c r="N110" i="1"/>
  <c r="U110" i="1"/>
  <c r="D145" i="1"/>
  <c r="H142" i="1"/>
  <c r="E142" i="1"/>
  <c r="E145" i="1" s="1"/>
  <c r="G86" i="1"/>
  <c r="H83" i="1"/>
  <c r="N242" i="1"/>
  <c r="U242" i="1"/>
  <c r="M165" i="1"/>
  <c r="D72" i="4"/>
  <c r="S57" i="4" s="1"/>
  <c r="D210" i="1"/>
  <c r="G46" i="1"/>
  <c r="H41" i="1"/>
  <c r="N57" i="1"/>
  <c r="J58" i="1"/>
  <c r="U58" i="1" s="1"/>
  <c r="U57" i="1"/>
  <c r="H237" i="1"/>
  <c r="E237" i="1"/>
  <c r="M256" i="1"/>
  <c r="N79" i="1"/>
  <c r="U79" i="1"/>
  <c r="N181" i="1"/>
  <c r="U181" i="1"/>
  <c r="M45" i="1"/>
  <c r="N33" i="1"/>
  <c r="U33" i="1"/>
  <c r="H124" i="1"/>
  <c r="N85" i="1"/>
  <c r="U85" i="1"/>
  <c r="N43" i="1"/>
  <c r="U43" i="1"/>
  <c r="N50" i="1"/>
  <c r="U50" i="1"/>
  <c r="N26" i="1"/>
  <c r="J28" i="1"/>
  <c r="U26" i="1"/>
  <c r="N189" i="1"/>
  <c r="U189" i="1"/>
  <c r="M27" i="1"/>
  <c r="N102" i="1"/>
  <c r="U102" i="1"/>
  <c r="M17" i="1"/>
  <c r="G177" i="17"/>
  <c r="D177" i="17"/>
  <c r="E177" i="17"/>
  <c r="F177" i="17"/>
  <c r="N36" i="1"/>
  <c r="U36" i="1"/>
  <c r="N78" i="1"/>
  <c r="U78" i="1"/>
  <c r="M101" i="1"/>
  <c r="V106" i="1"/>
  <c r="N106" i="1"/>
  <c r="J118" i="1"/>
  <c r="N115" i="1"/>
  <c r="U115" i="1"/>
  <c r="F178" i="17"/>
  <c r="Q239" i="1" s="1"/>
  <c r="G178" i="17"/>
  <c r="R239" i="1" s="1"/>
  <c r="D178" i="17"/>
  <c r="O239" i="1" s="1"/>
  <c r="E178" i="17"/>
  <c r="P239" i="1" s="1"/>
  <c r="J63" i="1"/>
  <c r="N61" i="1"/>
  <c r="U61" i="1"/>
  <c r="E7" i="26"/>
  <c r="N42" i="1"/>
  <c r="U42" i="1"/>
  <c r="H14" i="1"/>
  <c r="M14" i="1" s="1"/>
  <c r="E14" i="1"/>
  <c r="E11" i="1"/>
  <c r="H11" i="1"/>
  <c r="M11" i="1" s="1"/>
  <c r="N227" i="1"/>
  <c r="U227" i="1"/>
  <c r="N211" i="1"/>
  <c r="U211" i="1"/>
  <c r="N76" i="1"/>
  <c r="U76" i="1"/>
  <c r="N34" i="1"/>
  <c r="U34" i="1"/>
  <c r="N32" i="1"/>
  <c r="U32" i="1"/>
  <c r="K248" i="1"/>
  <c r="U248" i="1" s="1"/>
  <c r="U246" i="1"/>
  <c r="N164" i="1"/>
  <c r="U164" i="1"/>
  <c r="M44" i="1"/>
  <c r="M79" i="1"/>
  <c r="N90" i="1"/>
  <c r="U90" i="1"/>
  <c r="M121" i="1"/>
  <c r="H240" i="1"/>
  <c r="E240" i="1"/>
  <c r="N222" i="1"/>
  <c r="U222" i="1"/>
  <c r="N213" i="1"/>
  <c r="U213" i="1"/>
  <c r="M85" i="1"/>
  <c r="N52" i="1"/>
  <c r="U52" i="1"/>
  <c r="M50" i="1"/>
  <c r="N107" i="1"/>
  <c r="Q107" i="1" s="1"/>
  <c r="T107" i="1" s="1"/>
  <c r="F172" i="17" l="1"/>
  <c r="D172" i="17"/>
  <c r="F196" i="17"/>
  <c r="F199" i="17" s="1"/>
  <c r="D196" i="17"/>
  <c r="U257" i="1"/>
  <c r="K118" i="1"/>
  <c r="U118" i="1" s="1"/>
  <c r="U107" i="1"/>
  <c r="E205" i="1"/>
  <c r="E206" i="1" s="1"/>
  <c r="U138" i="1"/>
  <c r="H205" i="1"/>
  <c r="J205" i="1" s="1"/>
  <c r="K205" i="1" s="1"/>
  <c r="K206" i="1" s="1"/>
  <c r="D217" i="1"/>
  <c r="D233" i="1" s="1"/>
  <c r="Z57" i="4"/>
  <c r="Q74" i="4"/>
  <c r="U228" i="1"/>
  <c r="M228" i="1"/>
  <c r="O228" i="1"/>
  <c r="P228" i="1"/>
  <c r="R228" i="1"/>
  <c r="C198" i="17"/>
  <c r="G198" i="17" s="1"/>
  <c r="G199" i="17" s="1"/>
  <c r="E127" i="17"/>
  <c r="C174" i="17"/>
  <c r="G174" i="17" s="1"/>
  <c r="E99" i="17"/>
  <c r="U80" i="1"/>
  <c r="N80" i="1"/>
  <c r="U63" i="1"/>
  <c r="R52" i="1"/>
  <c r="O52" i="1"/>
  <c r="P52" i="1"/>
  <c r="Q52" i="1"/>
  <c r="O61" i="1"/>
  <c r="P61" i="1"/>
  <c r="Q61" i="1"/>
  <c r="N63" i="1"/>
  <c r="R61" i="1"/>
  <c r="O213" i="1"/>
  <c r="P213" i="1"/>
  <c r="Q213" i="1"/>
  <c r="R213" i="1"/>
  <c r="Q90" i="1"/>
  <c r="R90" i="1"/>
  <c r="O90" i="1"/>
  <c r="P90" i="1"/>
  <c r="Q34" i="1"/>
  <c r="R34" i="1"/>
  <c r="O34" i="1"/>
  <c r="P34" i="1"/>
  <c r="Q211" i="1"/>
  <c r="R211" i="1"/>
  <c r="O211" i="1"/>
  <c r="P211" i="1"/>
  <c r="T239" i="1"/>
  <c r="O115" i="1"/>
  <c r="Q115" i="1"/>
  <c r="P115" i="1"/>
  <c r="R115" i="1"/>
  <c r="P78" i="1"/>
  <c r="Q78" i="1"/>
  <c r="R78" i="1"/>
  <c r="O78" i="1"/>
  <c r="Q238" i="1"/>
  <c r="Q26" i="1"/>
  <c r="N28" i="1"/>
  <c r="O26" i="1"/>
  <c r="P26" i="1"/>
  <c r="R26" i="1"/>
  <c r="O43" i="1"/>
  <c r="P43" i="1"/>
  <c r="Q43" i="1"/>
  <c r="R43" i="1"/>
  <c r="O181" i="1"/>
  <c r="P181" i="1"/>
  <c r="P182" i="1" s="1"/>
  <c r="Q181" i="1"/>
  <c r="R181" i="1"/>
  <c r="R182" i="1" s="1"/>
  <c r="H86" i="1"/>
  <c r="J83" i="1"/>
  <c r="K83" i="1"/>
  <c r="K86" i="1" s="1"/>
  <c r="J142" i="1"/>
  <c r="K142" i="1"/>
  <c r="K145" i="1" s="1"/>
  <c r="H145" i="1"/>
  <c r="O209" i="1"/>
  <c r="P209" i="1"/>
  <c r="Q209" i="1"/>
  <c r="R209" i="1"/>
  <c r="P197" i="1"/>
  <c r="Q197" i="1"/>
  <c r="R197" i="1"/>
  <c r="O197" i="1"/>
  <c r="K148" i="1"/>
  <c r="H155" i="1"/>
  <c r="J148" i="1"/>
  <c r="P190" i="1"/>
  <c r="Q190" i="1"/>
  <c r="R190" i="1"/>
  <c r="O190" i="1"/>
  <c r="R267" i="1"/>
  <c r="O267" i="1"/>
  <c r="P267" i="1"/>
  <c r="Q267" i="1"/>
  <c r="P264" i="1"/>
  <c r="O264" i="1"/>
  <c r="Q264" i="1"/>
  <c r="R264" i="1"/>
  <c r="H17" i="17"/>
  <c r="H15" i="17"/>
  <c r="H13" i="17"/>
  <c r="G11" i="17"/>
  <c r="E21" i="17"/>
  <c r="D23" i="17" s="1"/>
  <c r="K219" i="1" s="1"/>
  <c r="O141" i="1"/>
  <c r="P141" i="1"/>
  <c r="Q141" i="1"/>
  <c r="R141" i="1"/>
  <c r="P35" i="1"/>
  <c r="Q35" i="1"/>
  <c r="R35" i="1"/>
  <c r="O35" i="1"/>
  <c r="Q71" i="1"/>
  <c r="R71" i="1"/>
  <c r="O71" i="1"/>
  <c r="P71" i="1"/>
  <c r="M122" i="1"/>
  <c r="Q192" i="1"/>
  <c r="R192" i="1"/>
  <c r="O192" i="1"/>
  <c r="P192" i="1"/>
  <c r="R111" i="1"/>
  <c r="P111" i="1"/>
  <c r="O111" i="1"/>
  <c r="Q111" i="1"/>
  <c r="P212" i="1"/>
  <c r="Q212" i="1"/>
  <c r="R212" i="1"/>
  <c r="O212" i="1"/>
  <c r="O255" i="1"/>
  <c r="R255" i="1"/>
  <c r="P255" i="1"/>
  <c r="N257" i="1"/>
  <c r="Q255" i="1"/>
  <c r="B96" i="4"/>
  <c r="B98" i="4" s="1"/>
  <c r="B101" i="4" s="1"/>
  <c r="U44" i="4" s="1"/>
  <c r="Z44" i="4" s="1"/>
  <c r="M10" i="1"/>
  <c r="C168" i="17"/>
  <c r="J236" i="1"/>
  <c r="U236" i="1" s="1"/>
  <c r="F92" i="17"/>
  <c r="C195" i="17"/>
  <c r="D195" i="17" s="1"/>
  <c r="E124" i="17"/>
  <c r="T241" i="1"/>
  <c r="P27" i="1"/>
  <c r="R27" i="1"/>
  <c r="O27" i="1"/>
  <c r="Q27" i="1"/>
  <c r="R143" i="1"/>
  <c r="O143" i="1"/>
  <c r="P143" i="1"/>
  <c r="Q143" i="1"/>
  <c r="P238" i="1"/>
  <c r="Q189" i="1"/>
  <c r="R189" i="1"/>
  <c r="O189" i="1"/>
  <c r="P189" i="1"/>
  <c r="R33" i="1"/>
  <c r="O33" i="1"/>
  <c r="P33" i="1"/>
  <c r="Q33" i="1"/>
  <c r="R57" i="1"/>
  <c r="R58" i="1" s="1"/>
  <c r="O57" i="1"/>
  <c r="P57" i="1"/>
  <c r="P58" i="1" s="1"/>
  <c r="N58" i="1"/>
  <c r="Q57" i="1"/>
  <c r="Q58" i="1" s="1"/>
  <c r="H210" i="1"/>
  <c r="E210" i="1"/>
  <c r="Q242" i="1"/>
  <c r="R242" i="1"/>
  <c r="O242" i="1"/>
  <c r="P242" i="1"/>
  <c r="R108" i="1"/>
  <c r="P108" i="1"/>
  <c r="O108" i="1"/>
  <c r="Q108" i="1"/>
  <c r="Q45" i="1"/>
  <c r="R45" i="1"/>
  <c r="O45" i="1"/>
  <c r="P45" i="1"/>
  <c r="J89" i="1"/>
  <c r="K89" i="1"/>
  <c r="K96" i="1" s="1"/>
  <c r="H96" i="1"/>
  <c r="D33" i="31"/>
  <c r="D35" i="31" s="1"/>
  <c r="G171" i="1" s="1"/>
  <c r="E37" i="31"/>
  <c r="Q144" i="1"/>
  <c r="R144" i="1"/>
  <c r="O144" i="1"/>
  <c r="P144" i="1"/>
  <c r="Q100" i="1"/>
  <c r="R100" i="1"/>
  <c r="O100" i="1"/>
  <c r="P100" i="1"/>
  <c r="Q199" i="1"/>
  <c r="R199" i="1"/>
  <c r="O199" i="1"/>
  <c r="P199" i="1"/>
  <c r="Q226" i="1"/>
  <c r="O226" i="1"/>
  <c r="P226" i="1"/>
  <c r="R226" i="1"/>
  <c r="E7" i="16"/>
  <c r="R21" i="1"/>
  <c r="P21" i="1"/>
  <c r="U20" i="1"/>
  <c r="C192" i="17"/>
  <c r="F120" i="17"/>
  <c r="O70" i="1"/>
  <c r="P70" i="1"/>
  <c r="Q70" i="1"/>
  <c r="R70" i="1"/>
  <c r="Q113" i="1"/>
  <c r="O113" i="1"/>
  <c r="P113" i="1"/>
  <c r="R113" i="1"/>
  <c r="R74" i="1"/>
  <c r="O74" i="1"/>
  <c r="P74" i="1"/>
  <c r="Q74" i="1"/>
  <c r="D243" i="1"/>
  <c r="E236" i="1"/>
  <c r="E243" i="1" s="1"/>
  <c r="H236" i="1"/>
  <c r="R136" i="1"/>
  <c r="P136" i="1"/>
  <c r="O136" i="1"/>
  <c r="Q136" i="1"/>
  <c r="Q109" i="1"/>
  <c r="O109" i="1"/>
  <c r="P109" i="1"/>
  <c r="R109" i="1"/>
  <c r="R76" i="1"/>
  <c r="O76" i="1"/>
  <c r="P76" i="1"/>
  <c r="Q76" i="1"/>
  <c r="O36" i="1"/>
  <c r="P36" i="1"/>
  <c r="Q36" i="1"/>
  <c r="R36" i="1"/>
  <c r="P50" i="1"/>
  <c r="Q50" i="1"/>
  <c r="R50" i="1"/>
  <c r="O50" i="1"/>
  <c r="P85" i="1"/>
  <c r="Q85" i="1"/>
  <c r="R85" i="1"/>
  <c r="O85" i="1"/>
  <c r="Q79" i="1"/>
  <c r="R79" i="1"/>
  <c r="O79" i="1"/>
  <c r="P79" i="1"/>
  <c r="H46" i="1"/>
  <c r="J41" i="1"/>
  <c r="K41" i="1"/>
  <c r="K46" i="1" s="1"/>
  <c r="O135" i="1"/>
  <c r="N138" i="1"/>
  <c r="Q135" i="1"/>
  <c r="P135" i="1"/>
  <c r="R135" i="1"/>
  <c r="O66" i="1"/>
  <c r="P66" i="1"/>
  <c r="P67" i="1" s="1"/>
  <c r="N67" i="1"/>
  <c r="Q66" i="1"/>
  <c r="Q67" i="1" s="1"/>
  <c r="R66" i="1"/>
  <c r="R67" i="1" s="1"/>
  <c r="O73" i="1"/>
  <c r="P73" i="1"/>
  <c r="Q73" i="1"/>
  <c r="R73" i="1"/>
  <c r="Q84" i="1"/>
  <c r="R84" i="1"/>
  <c r="O84" i="1"/>
  <c r="P84" i="1"/>
  <c r="N182" i="1"/>
  <c r="P223" i="1"/>
  <c r="R223" i="1"/>
  <c r="O223" i="1"/>
  <c r="Q223" i="1"/>
  <c r="C154" i="17"/>
  <c r="D150" i="17" s="1"/>
  <c r="D94" i="17"/>
  <c r="D122" i="17"/>
  <c r="D128" i="17" s="1"/>
  <c r="O51" i="1"/>
  <c r="P51" i="1"/>
  <c r="Q51" i="1"/>
  <c r="R51" i="1"/>
  <c r="Q91" i="1"/>
  <c r="R91" i="1"/>
  <c r="O91" i="1"/>
  <c r="P91" i="1"/>
  <c r="Q117" i="1"/>
  <c r="O117" i="1"/>
  <c r="P117" i="1"/>
  <c r="R117" i="1"/>
  <c r="J31" i="1"/>
  <c r="K31" i="1"/>
  <c r="K38" i="1" s="1"/>
  <c r="H38" i="1"/>
  <c r="R256" i="1"/>
  <c r="P256" i="1"/>
  <c r="Q256" i="1"/>
  <c r="O256" i="1"/>
  <c r="O224" i="1"/>
  <c r="Q224" i="1"/>
  <c r="R224" i="1"/>
  <c r="P224" i="1"/>
  <c r="Q77" i="1"/>
  <c r="R77" i="1"/>
  <c r="O77" i="1"/>
  <c r="P77" i="1"/>
  <c r="T17" i="1"/>
  <c r="Q20" i="1"/>
  <c r="R225" i="1"/>
  <c r="P225" i="1"/>
  <c r="O225" i="1"/>
  <c r="Q225" i="1"/>
  <c r="Q53" i="1"/>
  <c r="R53" i="1"/>
  <c r="O53" i="1"/>
  <c r="P53" i="1"/>
  <c r="O266" i="1"/>
  <c r="Q266" i="1"/>
  <c r="R266" i="1"/>
  <c r="P266" i="1"/>
  <c r="R116" i="1"/>
  <c r="P116" i="1"/>
  <c r="Q116" i="1"/>
  <c r="O116" i="1"/>
  <c r="Q222" i="1"/>
  <c r="O222" i="1"/>
  <c r="P222" i="1"/>
  <c r="R222" i="1"/>
  <c r="O32" i="1"/>
  <c r="P32" i="1"/>
  <c r="Q32" i="1"/>
  <c r="R32" i="1"/>
  <c r="P227" i="1"/>
  <c r="R227" i="1"/>
  <c r="O227" i="1"/>
  <c r="Q227" i="1"/>
  <c r="O238" i="1"/>
  <c r="Q42" i="1"/>
  <c r="R42" i="1"/>
  <c r="O42" i="1"/>
  <c r="P42" i="1"/>
  <c r="E30" i="26"/>
  <c r="E32" i="26" s="1"/>
  <c r="K8" i="26"/>
  <c r="Q106" i="1"/>
  <c r="N118" i="1"/>
  <c r="R238" i="1"/>
  <c r="O102" i="1"/>
  <c r="Q102" i="1"/>
  <c r="P102" i="1"/>
  <c r="R102" i="1"/>
  <c r="U28" i="1"/>
  <c r="O110" i="1"/>
  <c r="Q110" i="1"/>
  <c r="R110" i="1"/>
  <c r="P110" i="1"/>
  <c r="O93" i="1"/>
  <c r="P93" i="1"/>
  <c r="Q93" i="1"/>
  <c r="R93" i="1"/>
  <c r="P101" i="1"/>
  <c r="Q101" i="1"/>
  <c r="R101" i="1"/>
  <c r="O101" i="1"/>
  <c r="K124" i="1"/>
  <c r="U124" i="1" s="1"/>
  <c r="R44" i="1"/>
  <c r="O44" i="1"/>
  <c r="P44" i="1"/>
  <c r="Q44" i="1"/>
  <c r="O198" i="1"/>
  <c r="P198" i="1"/>
  <c r="Q198" i="1"/>
  <c r="R198" i="1"/>
  <c r="Q182" i="1"/>
  <c r="P92" i="1"/>
  <c r="Q92" i="1"/>
  <c r="R92" i="1"/>
  <c r="O92" i="1"/>
  <c r="E31" i="17"/>
  <c r="E41" i="17" s="1"/>
  <c r="D42" i="17" s="1"/>
  <c r="C41" i="17"/>
  <c r="U238" i="1"/>
  <c r="P112" i="1"/>
  <c r="R112" i="1"/>
  <c r="O112" i="1"/>
  <c r="Q112" i="1"/>
  <c r="Q75" i="1"/>
  <c r="R75" i="1"/>
  <c r="O75" i="1"/>
  <c r="P75" i="1"/>
  <c r="P114" i="1"/>
  <c r="R114" i="1"/>
  <c r="O114" i="1"/>
  <c r="Q114" i="1"/>
  <c r="Q137" i="1"/>
  <c r="O137" i="1"/>
  <c r="R137" i="1"/>
  <c r="P137" i="1"/>
  <c r="P268" i="1"/>
  <c r="Q268" i="1"/>
  <c r="R268" i="1"/>
  <c r="O268" i="1"/>
  <c r="R37" i="1"/>
  <c r="O37" i="1"/>
  <c r="P37" i="1"/>
  <c r="Q37" i="1"/>
  <c r="R62" i="1"/>
  <c r="O62" i="1"/>
  <c r="P62" i="1"/>
  <c r="Q62" i="1"/>
  <c r="O236" i="1"/>
  <c r="O191" i="1"/>
  <c r="P191" i="1"/>
  <c r="Q191" i="1"/>
  <c r="R191" i="1"/>
  <c r="R94" i="1"/>
  <c r="O94" i="1"/>
  <c r="P94" i="1"/>
  <c r="Q94" i="1"/>
  <c r="H54" i="1"/>
  <c r="J49" i="1"/>
  <c r="K49" i="1"/>
  <c r="K54" i="1" s="1"/>
  <c r="C171" i="17"/>
  <c r="D171" i="17" s="1"/>
  <c r="E96" i="17"/>
  <c r="H13" i="1"/>
  <c r="M13" i="1" s="1"/>
  <c r="E13" i="1"/>
  <c r="E20" i="1" s="1"/>
  <c r="Q231" i="1"/>
  <c r="O231" i="1"/>
  <c r="P231" i="1"/>
  <c r="R231" i="1"/>
  <c r="P72" i="1"/>
  <c r="Q72" i="1"/>
  <c r="R72" i="1"/>
  <c r="O72" i="1"/>
  <c r="M106" i="1"/>
  <c r="H217" i="1" l="1"/>
  <c r="E217" i="1"/>
  <c r="Q237" i="1"/>
  <c r="F175" i="17"/>
  <c r="H206" i="1"/>
  <c r="S74" i="4"/>
  <c r="T228" i="1"/>
  <c r="R237" i="1"/>
  <c r="G175" i="17"/>
  <c r="E118" i="4"/>
  <c r="T181" i="1"/>
  <c r="T43" i="1"/>
  <c r="Q80" i="1"/>
  <c r="T231" i="1"/>
  <c r="T101" i="1"/>
  <c r="T91" i="1"/>
  <c r="T94" i="1"/>
  <c r="T110" i="1"/>
  <c r="T32" i="1"/>
  <c r="T53" i="1"/>
  <c r="T225" i="1"/>
  <c r="T84" i="1"/>
  <c r="O182" i="1"/>
  <c r="T182" i="1" s="1"/>
  <c r="T78" i="1"/>
  <c r="T211" i="1"/>
  <c r="T34" i="1"/>
  <c r="T90" i="1"/>
  <c r="P80" i="1"/>
  <c r="M49" i="1"/>
  <c r="R138" i="1"/>
  <c r="T136" i="1"/>
  <c r="T27" i="1"/>
  <c r="R80" i="1"/>
  <c r="M148" i="1"/>
  <c r="T57" i="1"/>
  <c r="O58" i="1"/>
  <c r="T58" i="1" s="1"/>
  <c r="T33" i="1"/>
  <c r="P257" i="1"/>
  <c r="T111" i="1"/>
  <c r="T192" i="1"/>
  <c r="T35" i="1"/>
  <c r="T141" i="1"/>
  <c r="C23" i="17"/>
  <c r="M205" i="1"/>
  <c r="P28" i="1"/>
  <c r="K170" i="1"/>
  <c r="K131" i="1"/>
  <c r="K229" i="1"/>
  <c r="K154" i="1"/>
  <c r="K269" i="1"/>
  <c r="K270" i="1" s="1"/>
  <c r="K168" i="1"/>
  <c r="K167" i="1"/>
  <c r="K166" i="1"/>
  <c r="K152" i="1"/>
  <c r="K201" i="1"/>
  <c r="K172" i="1"/>
  <c r="K185" i="1"/>
  <c r="K186" i="1" s="1"/>
  <c r="K150" i="1"/>
  <c r="K151" i="1"/>
  <c r="K153" i="1"/>
  <c r="K200" i="1"/>
  <c r="K193" i="1"/>
  <c r="K194" i="1" s="1"/>
  <c r="K173" i="1"/>
  <c r="K149" i="1"/>
  <c r="T92" i="1"/>
  <c r="T198" i="1"/>
  <c r="T44" i="1"/>
  <c r="T116" i="1"/>
  <c r="J38" i="1"/>
  <c r="N31" i="1"/>
  <c r="U31" i="1"/>
  <c r="T117" i="1"/>
  <c r="E122" i="17"/>
  <c r="E128" i="17" s="1"/>
  <c r="C193" i="17"/>
  <c r="C199" i="17" s="1"/>
  <c r="D193" i="17"/>
  <c r="D199" i="17" s="1"/>
  <c r="P138" i="1"/>
  <c r="M41" i="1"/>
  <c r="T36" i="1"/>
  <c r="T109" i="1"/>
  <c r="H243" i="1"/>
  <c r="M236" i="1"/>
  <c r="T199" i="1"/>
  <c r="T100" i="1"/>
  <c r="T144" i="1"/>
  <c r="G174" i="1"/>
  <c r="H171" i="1"/>
  <c r="M89" i="1"/>
  <c r="T45" i="1"/>
  <c r="O118" i="1"/>
  <c r="T108" i="1"/>
  <c r="N236" i="1"/>
  <c r="T236" i="1" s="1"/>
  <c r="U74" i="4"/>
  <c r="D127" i="1"/>
  <c r="R257" i="1"/>
  <c r="T212" i="1"/>
  <c r="T71" i="1"/>
  <c r="E104" i="17"/>
  <c r="E132" i="17"/>
  <c r="E138" i="17" s="1"/>
  <c r="K260" i="1"/>
  <c r="K261" i="1" s="1"/>
  <c r="K177" i="1"/>
  <c r="K178" i="1" s="1"/>
  <c r="K232" i="1"/>
  <c r="K214" i="1"/>
  <c r="K221" i="1"/>
  <c r="K218" i="1"/>
  <c r="K220" i="1"/>
  <c r="K230" i="1"/>
  <c r="T267" i="1"/>
  <c r="T209" i="1"/>
  <c r="N142" i="1"/>
  <c r="U142" i="1"/>
  <c r="J145" i="1"/>
  <c r="U145" i="1" s="1"/>
  <c r="M83" i="1"/>
  <c r="O28" i="1"/>
  <c r="T26" i="1"/>
  <c r="T115" i="1"/>
  <c r="T213" i="1"/>
  <c r="Q63" i="1"/>
  <c r="T135" i="1"/>
  <c r="O138" i="1"/>
  <c r="T72" i="1"/>
  <c r="T62" i="1"/>
  <c r="T114" i="1"/>
  <c r="T112" i="1"/>
  <c r="T227" i="1"/>
  <c r="T266" i="1"/>
  <c r="E94" i="17"/>
  <c r="E100" i="17" s="1"/>
  <c r="C169" i="17"/>
  <c r="D169" i="17" s="1"/>
  <c r="O237" i="1" s="1"/>
  <c r="D100" i="17"/>
  <c r="T73" i="1"/>
  <c r="Q138" i="1"/>
  <c r="T85" i="1"/>
  <c r="T50" i="1"/>
  <c r="T74" i="1"/>
  <c r="T113" i="1"/>
  <c r="O80" i="1"/>
  <c r="T226" i="1"/>
  <c r="P118" i="1"/>
  <c r="E233" i="1"/>
  <c r="H20" i="1"/>
  <c r="Q257" i="1"/>
  <c r="T255" i="1"/>
  <c r="O257" i="1"/>
  <c r="N205" i="1"/>
  <c r="J206" i="1"/>
  <c r="U206" i="1" s="1"/>
  <c r="U205" i="1"/>
  <c r="T264" i="1"/>
  <c r="P63" i="1"/>
  <c r="T52" i="1"/>
  <c r="K217" i="1"/>
  <c r="T191" i="1"/>
  <c r="T75" i="1"/>
  <c r="C42" i="17"/>
  <c r="F35" i="17"/>
  <c r="F37" i="17"/>
  <c r="F33" i="17"/>
  <c r="T102" i="1"/>
  <c r="Q118" i="1"/>
  <c r="T106" i="1"/>
  <c r="T77" i="1"/>
  <c r="T224" i="1"/>
  <c r="M31" i="1"/>
  <c r="N49" i="1"/>
  <c r="J54" i="1"/>
  <c r="U54" i="1" s="1"/>
  <c r="U49" i="1"/>
  <c r="T37" i="1"/>
  <c r="T268" i="1"/>
  <c r="T137" i="1"/>
  <c r="F31" i="17"/>
  <c r="T93" i="1"/>
  <c r="T42" i="1"/>
  <c r="T238" i="1"/>
  <c r="T222" i="1"/>
  <c r="E7" i="27"/>
  <c r="E30" i="27" s="1"/>
  <c r="E32" i="27" s="1"/>
  <c r="Q21" i="1"/>
  <c r="T21" i="1" s="1"/>
  <c r="T20" i="1"/>
  <c r="T256" i="1"/>
  <c r="T51" i="1"/>
  <c r="D151" i="17"/>
  <c r="D152" i="17"/>
  <c r="D153" i="17"/>
  <c r="D149" i="17"/>
  <c r="T223" i="1"/>
  <c r="T66" i="1"/>
  <c r="O67" i="1"/>
  <c r="T67" i="1" s="1"/>
  <c r="N41" i="1"/>
  <c r="J46" i="1"/>
  <c r="U46" i="1" s="1"/>
  <c r="U41" i="1"/>
  <c r="T79" i="1"/>
  <c r="T76" i="1"/>
  <c r="T70" i="1"/>
  <c r="N89" i="1"/>
  <c r="J96" i="1"/>
  <c r="U96" i="1" s="1"/>
  <c r="U89" i="1"/>
  <c r="R118" i="1"/>
  <c r="T242" i="1"/>
  <c r="J210" i="1"/>
  <c r="K210" i="1"/>
  <c r="H233" i="1"/>
  <c r="T189" i="1"/>
  <c r="T143" i="1"/>
  <c r="T190" i="1"/>
  <c r="N148" i="1"/>
  <c r="U148" i="1"/>
  <c r="T197" i="1"/>
  <c r="M142" i="1"/>
  <c r="N83" i="1"/>
  <c r="J86" i="1"/>
  <c r="U86" i="1" s="1"/>
  <c r="U83" i="1"/>
  <c r="R28" i="1"/>
  <c r="Q28" i="1"/>
  <c r="R63" i="1"/>
  <c r="T61" i="1"/>
  <c r="O63" i="1"/>
  <c r="J217" i="1" l="1"/>
  <c r="M217" i="1" s="1"/>
  <c r="J219" i="1"/>
  <c r="H21" i="26"/>
  <c r="H23" i="26" s="1"/>
  <c r="H21" i="16"/>
  <c r="H23" i="16" s="1"/>
  <c r="H21" i="28"/>
  <c r="H23" i="28" s="1"/>
  <c r="H21" i="27"/>
  <c r="H23" i="27" s="1"/>
  <c r="K155" i="1"/>
  <c r="T80" i="1"/>
  <c r="N210" i="1"/>
  <c r="U210" i="1"/>
  <c r="R169" i="1"/>
  <c r="R165" i="1"/>
  <c r="R163" i="1"/>
  <c r="R162" i="1"/>
  <c r="R164" i="1"/>
  <c r="E42" i="17"/>
  <c r="J168" i="1"/>
  <c r="J167" i="1"/>
  <c r="J172" i="1"/>
  <c r="J152" i="1"/>
  <c r="J131" i="1"/>
  <c r="J201" i="1"/>
  <c r="J185" i="1"/>
  <c r="J154" i="1"/>
  <c r="J150" i="1"/>
  <c r="J151" i="1"/>
  <c r="J153" i="1"/>
  <c r="J193" i="1"/>
  <c r="J173" i="1"/>
  <c r="J170" i="1"/>
  <c r="J229" i="1"/>
  <c r="J166" i="1"/>
  <c r="J269" i="1"/>
  <c r="J200" i="1"/>
  <c r="J149" i="1"/>
  <c r="K240" i="1"/>
  <c r="E108" i="17"/>
  <c r="E110" i="17" s="1"/>
  <c r="T118" i="1"/>
  <c r="R89" i="1"/>
  <c r="R96" i="1" s="1"/>
  <c r="O89" i="1"/>
  <c r="P89" i="1"/>
  <c r="P96" i="1" s="1"/>
  <c r="N96" i="1"/>
  <c r="Q89" i="1"/>
  <c r="Q96" i="1" s="1"/>
  <c r="Q83" i="1"/>
  <c r="Q86" i="1" s="1"/>
  <c r="N86" i="1"/>
  <c r="R83" i="1"/>
  <c r="R86" i="1" s="1"/>
  <c r="O83" i="1"/>
  <c r="P83" i="1"/>
  <c r="P86" i="1" s="1"/>
  <c r="M210" i="1"/>
  <c r="Q163" i="1"/>
  <c r="Q162" i="1"/>
  <c r="Q165" i="1"/>
  <c r="Q164" i="1"/>
  <c r="Q169" i="1"/>
  <c r="Q49" i="1"/>
  <c r="Q54" i="1" s="1"/>
  <c r="R49" i="1"/>
  <c r="R54" i="1" s="1"/>
  <c r="O49" i="1"/>
  <c r="P49" i="1"/>
  <c r="P54" i="1" s="1"/>
  <c r="N54" i="1"/>
  <c r="R205" i="1"/>
  <c r="R206" i="1" s="1"/>
  <c r="O205" i="1"/>
  <c r="P205" i="1"/>
  <c r="P206" i="1" s="1"/>
  <c r="N206" i="1"/>
  <c r="Q205" i="1"/>
  <c r="Q206" i="1" s="1"/>
  <c r="J237" i="1"/>
  <c r="F100" i="17"/>
  <c r="D128" i="1"/>
  <c r="H127" i="1"/>
  <c r="E127" i="1"/>
  <c r="E128" i="1" s="1"/>
  <c r="F128" i="17"/>
  <c r="Q31" i="1"/>
  <c r="Q38" i="1" s="1"/>
  <c r="R31" i="1"/>
  <c r="R38" i="1" s="1"/>
  <c r="O31" i="1"/>
  <c r="N38" i="1"/>
  <c r="P31" i="1"/>
  <c r="P38" i="1" s="1"/>
  <c r="D104" i="17"/>
  <c r="D132" i="17"/>
  <c r="E23" i="17"/>
  <c r="J214" i="1"/>
  <c r="J221" i="1"/>
  <c r="J220" i="1"/>
  <c r="J232" i="1"/>
  <c r="J260" i="1"/>
  <c r="J177" i="1"/>
  <c r="J218" i="1"/>
  <c r="J230" i="1"/>
  <c r="P164" i="1"/>
  <c r="P162" i="1"/>
  <c r="P169" i="1"/>
  <c r="P165" i="1"/>
  <c r="P163" i="1"/>
  <c r="B47" i="4"/>
  <c r="B49" i="4" s="1"/>
  <c r="B52" i="4" s="1"/>
  <c r="R48" i="4" s="1"/>
  <c r="Z48" i="4" s="1"/>
  <c r="K21" i="1"/>
  <c r="J21" i="1"/>
  <c r="D175" i="17"/>
  <c r="E140" i="17"/>
  <c r="E282" i="1" s="1"/>
  <c r="K282" i="1" s="1"/>
  <c r="U38" i="1"/>
  <c r="K202" i="1"/>
  <c r="P148" i="1"/>
  <c r="Q148" i="1"/>
  <c r="R148" i="1"/>
  <c r="T63" i="1"/>
  <c r="K233" i="1"/>
  <c r="R41" i="1"/>
  <c r="R46" i="1" s="1"/>
  <c r="O41" i="1"/>
  <c r="P41" i="1"/>
  <c r="P46" i="1" s="1"/>
  <c r="Q41" i="1"/>
  <c r="Q46" i="1" s="1"/>
  <c r="N46" i="1"/>
  <c r="E150" i="17"/>
  <c r="O148" i="1" s="1"/>
  <c r="D154" i="17"/>
  <c r="N217" i="1"/>
  <c r="U217" i="1"/>
  <c r="T257" i="1"/>
  <c r="C175" i="17"/>
  <c r="K237" i="1"/>
  <c r="T138" i="1"/>
  <c r="T28" i="1"/>
  <c r="O142" i="1"/>
  <c r="P142" i="1"/>
  <c r="P145" i="1" s="1"/>
  <c r="Q142" i="1"/>
  <c r="Q145" i="1" s="1"/>
  <c r="R142" i="1"/>
  <c r="R145" i="1" s="1"/>
  <c r="N145" i="1"/>
  <c r="J171" i="1"/>
  <c r="K171" i="1" s="1"/>
  <c r="K174" i="1" s="1"/>
  <c r="H174" i="1"/>
  <c r="K132" i="1"/>
  <c r="X74" i="4" l="1"/>
  <c r="P74" i="4"/>
  <c r="D158" i="1"/>
  <c r="R74" i="4"/>
  <c r="K243" i="1"/>
  <c r="J233" i="1"/>
  <c r="U233" i="1" s="1"/>
  <c r="N232" i="1"/>
  <c r="U232" i="1"/>
  <c r="M232" i="1"/>
  <c r="T89" i="1"/>
  <c r="O96" i="1"/>
  <c r="T96" i="1" s="1"/>
  <c r="N269" i="1"/>
  <c r="U269" i="1"/>
  <c r="M269" i="1"/>
  <c r="J270" i="1"/>
  <c r="U270" i="1" s="1"/>
  <c r="N173" i="1"/>
  <c r="U173" i="1"/>
  <c r="M173" i="1"/>
  <c r="N150" i="1"/>
  <c r="U150" i="1"/>
  <c r="M150" i="1"/>
  <c r="N131" i="1"/>
  <c r="U131" i="1"/>
  <c r="M131" i="1"/>
  <c r="N167" i="1"/>
  <c r="U167" i="1"/>
  <c r="M167" i="1"/>
  <c r="R217" i="1"/>
  <c r="P217" i="1"/>
  <c r="O217" i="1"/>
  <c r="Q217" i="1"/>
  <c r="T148" i="1"/>
  <c r="N220" i="1"/>
  <c r="U220" i="1"/>
  <c r="M220" i="1"/>
  <c r="J127" i="1"/>
  <c r="M127" i="1" s="1"/>
  <c r="H128" i="1"/>
  <c r="N237" i="1"/>
  <c r="T237" i="1" s="1"/>
  <c r="U237" i="1"/>
  <c r="M237" i="1"/>
  <c r="T205" i="1"/>
  <c r="O206" i="1"/>
  <c r="T206" i="1" s="1"/>
  <c r="O54" i="1"/>
  <c r="T54" i="1" s="1"/>
  <c r="T49" i="1"/>
  <c r="O86" i="1"/>
  <c r="T86" i="1" s="1"/>
  <c r="T83" i="1"/>
  <c r="N166" i="1"/>
  <c r="U166" i="1"/>
  <c r="M166" i="1"/>
  <c r="J174" i="1"/>
  <c r="U174" i="1" s="1"/>
  <c r="N193" i="1"/>
  <c r="U193" i="1"/>
  <c r="M193" i="1"/>
  <c r="J194" i="1"/>
  <c r="U194" i="1" s="1"/>
  <c r="N154" i="1"/>
  <c r="U154" i="1"/>
  <c r="M154" i="1"/>
  <c r="N152" i="1"/>
  <c r="U152" i="1"/>
  <c r="M152" i="1"/>
  <c r="N168" i="1"/>
  <c r="U168" i="1"/>
  <c r="M168" i="1"/>
  <c r="T142" i="1"/>
  <c r="O145" i="1"/>
  <c r="T145" i="1" s="1"/>
  <c r="K251" i="1"/>
  <c r="K252" i="1" s="1"/>
  <c r="N230" i="1"/>
  <c r="U230" i="1"/>
  <c r="M230" i="1"/>
  <c r="C179" i="17"/>
  <c r="J240" i="1"/>
  <c r="J243" i="1" s="1"/>
  <c r="D108" i="17"/>
  <c r="N177" i="1"/>
  <c r="J178" i="1"/>
  <c r="U178" i="1" s="1"/>
  <c r="U177" i="1"/>
  <c r="M177" i="1"/>
  <c r="N221" i="1"/>
  <c r="U221" i="1"/>
  <c r="M221" i="1"/>
  <c r="N149" i="1"/>
  <c r="U149" i="1"/>
  <c r="M149" i="1"/>
  <c r="J155" i="1"/>
  <c r="U155" i="1" s="1"/>
  <c r="N229" i="1"/>
  <c r="U229" i="1"/>
  <c r="M229" i="1"/>
  <c r="N153" i="1"/>
  <c r="U153" i="1"/>
  <c r="M153" i="1"/>
  <c r="N185" i="1"/>
  <c r="J186" i="1"/>
  <c r="U186" i="1" s="1"/>
  <c r="U185" i="1"/>
  <c r="M185" i="1"/>
  <c r="N172" i="1"/>
  <c r="U172" i="1"/>
  <c r="M172" i="1"/>
  <c r="J132" i="1"/>
  <c r="U132" i="1" s="1"/>
  <c r="N218" i="1"/>
  <c r="U218" i="1"/>
  <c r="M218" i="1"/>
  <c r="N171" i="1"/>
  <c r="U171" i="1"/>
  <c r="M171" i="1"/>
  <c r="O165" i="1"/>
  <c r="T165" i="1" s="1"/>
  <c r="O169" i="1"/>
  <c r="T169" i="1" s="1"/>
  <c r="O163" i="1"/>
  <c r="T163" i="1" s="1"/>
  <c r="O162" i="1"/>
  <c r="O164" i="1"/>
  <c r="T164" i="1" s="1"/>
  <c r="O46" i="1"/>
  <c r="T46" i="1" s="1"/>
  <c r="T41" i="1"/>
  <c r="J251" i="1"/>
  <c r="U21" i="1"/>
  <c r="N260" i="1"/>
  <c r="J261" i="1"/>
  <c r="U261" i="1" s="1"/>
  <c r="U260" i="1"/>
  <c r="M260" i="1"/>
  <c r="N214" i="1"/>
  <c r="U214" i="1"/>
  <c r="M214" i="1"/>
  <c r="C203" i="17"/>
  <c r="D138" i="17"/>
  <c r="T31" i="1"/>
  <c r="O38" i="1"/>
  <c r="N200" i="1"/>
  <c r="U200" i="1"/>
  <c r="M200" i="1"/>
  <c r="J202" i="1"/>
  <c r="U202" i="1" s="1"/>
  <c r="N170" i="1"/>
  <c r="U170" i="1"/>
  <c r="M170" i="1"/>
  <c r="N151" i="1"/>
  <c r="U151" i="1"/>
  <c r="M151" i="1"/>
  <c r="N201" i="1"/>
  <c r="U201" i="1"/>
  <c r="M201" i="1"/>
  <c r="N219" i="1"/>
  <c r="U219" i="1"/>
  <c r="M219" i="1"/>
  <c r="Q210" i="1"/>
  <c r="R210" i="1"/>
  <c r="O210" i="1"/>
  <c r="P210" i="1"/>
  <c r="Z74" i="4" l="1"/>
  <c r="U243" i="1"/>
  <c r="D159" i="1"/>
  <c r="D276" i="1" s="1"/>
  <c r="E158" i="1"/>
  <c r="E159" i="1" s="1"/>
  <c r="E276" i="1" s="1"/>
  <c r="H158" i="1"/>
  <c r="T217" i="1"/>
  <c r="Q150" i="1"/>
  <c r="R150" i="1"/>
  <c r="O150" i="1"/>
  <c r="P150" i="1"/>
  <c r="R232" i="1"/>
  <c r="P232" i="1"/>
  <c r="O232" i="1"/>
  <c r="Q232" i="1"/>
  <c r="Q218" i="1"/>
  <c r="O218" i="1"/>
  <c r="P218" i="1"/>
  <c r="R218" i="1"/>
  <c r="Q229" i="1"/>
  <c r="O229" i="1"/>
  <c r="P229" i="1"/>
  <c r="R229" i="1"/>
  <c r="O230" i="1"/>
  <c r="Q230" i="1"/>
  <c r="R230" i="1"/>
  <c r="P230" i="1"/>
  <c r="N240" i="1"/>
  <c r="N243" i="1" s="1"/>
  <c r="U240" i="1"/>
  <c r="M240" i="1"/>
  <c r="P154" i="1"/>
  <c r="Q154" i="1"/>
  <c r="R154" i="1"/>
  <c r="O154" i="1"/>
  <c r="O193" i="1"/>
  <c r="P193" i="1"/>
  <c r="P194" i="1" s="1"/>
  <c r="Q193" i="1"/>
  <c r="Q194" i="1" s="1"/>
  <c r="R193" i="1"/>
  <c r="R194" i="1" s="1"/>
  <c r="N194" i="1"/>
  <c r="P166" i="1"/>
  <c r="Q166" i="1"/>
  <c r="R166" i="1"/>
  <c r="O166" i="1"/>
  <c r="N174" i="1"/>
  <c r="R131" i="1"/>
  <c r="P131" i="1"/>
  <c r="O131" i="1"/>
  <c r="Q131" i="1"/>
  <c r="O201" i="1"/>
  <c r="P201" i="1"/>
  <c r="Q201" i="1"/>
  <c r="R201" i="1"/>
  <c r="O260" i="1"/>
  <c r="N261" i="1"/>
  <c r="P260" i="1"/>
  <c r="P261" i="1" s="1"/>
  <c r="Q260" i="1"/>
  <c r="Q261" i="1" s="1"/>
  <c r="R260" i="1"/>
  <c r="R261" i="1" s="1"/>
  <c r="T162" i="1"/>
  <c r="F108" i="17"/>
  <c r="D110" i="17"/>
  <c r="T210" i="1"/>
  <c r="O171" i="1"/>
  <c r="P171" i="1" s="1"/>
  <c r="P200" i="1"/>
  <c r="Q200" i="1"/>
  <c r="R200" i="1"/>
  <c r="O200" i="1"/>
  <c r="N202" i="1"/>
  <c r="O177" i="1"/>
  <c r="P177" i="1"/>
  <c r="P178" i="1" s="1"/>
  <c r="N178" i="1"/>
  <c r="Q177" i="1"/>
  <c r="Q178" i="1" s="1"/>
  <c r="R177" i="1"/>
  <c r="R178" i="1" s="1"/>
  <c r="N127" i="1"/>
  <c r="J128" i="1"/>
  <c r="U127" i="1"/>
  <c r="O167" i="1"/>
  <c r="P167" i="1"/>
  <c r="Q167" i="1"/>
  <c r="R167" i="1"/>
  <c r="Q214" i="1"/>
  <c r="R214" i="1"/>
  <c r="O214" i="1"/>
  <c r="P214" i="1"/>
  <c r="R149" i="1"/>
  <c r="O149" i="1"/>
  <c r="P149" i="1"/>
  <c r="Q149" i="1"/>
  <c r="N155" i="1"/>
  <c r="P219" i="1"/>
  <c r="R219" i="1"/>
  <c r="O219" i="1"/>
  <c r="Q219" i="1"/>
  <c r="F138" i="17"/>
  <c r="D140" i="17"/>
  <c r="Q153" i="1"/>
  <c r="R153" i="1"/>
  <c r="O153" i="1"/>
  <c r="P153" i="1"/>
  <c r="O170" i="1"/>
  <c r="P170" i="1"/>
  <c r="Q170" i="1"/>
  <c r="R170" i="1"/>
  <c r="D203" i="17"/>
  <c r="D209" i="17" s="1"/>
  <c r="D211" i="17" s="1"/>
  <c r="O282" i="1" s="1"/>
  <c r="E203" i="17"/>
  <c r="E209" i="17" s="1"/>
  <c r="E211" i="17" s="1"/>
  <c r="P282" i="1" s="1"/>
  <c r="F203" i="17"/>
  <c r="F209" i="17" s="1"/>
  <c r="F211" i="17" s="1"/>
  <c r="Q282" i="1" s="1"/>
  <c r="E9" i="27" s="1"/>
  <c r="G203" i="17"/>
  <c r="G209" i="17" s="1"/>
  <c r="G211" i="17" s="1"/>
  <c r="R282" i="1" s="1"/>
  <c r="E9" i="28" s="1"/>
  <c r="C209" i="17"/>
  <c r="C211" i="17" s="1"/>
  <c r="N132" i="1"/>
  <c r="R172" i="1"/>
  <c r="O172" i="1"/>
  <c r="P172" i="1"/>
  <c r="Q172" i="1"/>
  <c r="P185" i="1"/>
  <c r="P186" i="1" s="1"/>
  <c r="N186" i="1"/>
  <c r="Q185" i="1"/>
  <c r="Q186" i="1" s="1"/>
  <c r="R185" i="1"/>
  <c r="R186" i="1" s="1"/>
  <c r="O185" i="1"/>
  <c r="Q221" i="1"/>
  <c r="O221" i="1"/>
  <c r="P221" i="1"/>
  <c r="R221" i="1"/>
  <c r="E179" i="17"/>
  <c r="F179" i="17"/>
  <c r="G179" i="17"/>
  <c r="D179" i="17"/>
  <c r="C183" i="17"/>
  <c r="C185" i="17" s="1"/>
  <c r="R152" i="1"/>
  <c r="O152" i="1"/>
  <c r="P152" i="1"/>
  <c r="Q152" i="1"/>
  <c r="N233" i="1"/>
  <c r="O151" i="1"/>
  <c r="P151" i="1"/>
  <c r="Q151" i="1"/>
  <c r="R151" i="1"/>
  <c r="T38" i="1"/>
  <c r="N251" i="1"/>
  <c r="J252" i="1"/>
  <c r="U252" i="1" s="1"/>
  <c r="U251" i="1"/>
  <c r="M251" i="1"/>
  <c r="R168" i="1"/>
  <c r="O168" i="1"/>
  <c r="P168" i="1"/>
  <c r="Q168" i="1"/>
  <c r="O220" i="1"/>
  <c r="Q220" i="1"/>
  <c r="P220" i="1"/>
  <c r="R220" i="1"/>
  <c r="Q173" i="1"/>
  <c r="R173" i="1"/>
  <c r="O173" i="1"/>
  <c r="P173" i="1"/>
  <c r="Q269" i="1"/>
  <c r="Q270" i="1" s="1"/>
  <c r="P269" i="1"/>
  <c r="P270" i="1" s="1"/>
  <c r="R269" i="1"/>
  <c r="R270" i="1" s="1"/>
  <c r="O269" i="1"/>
  <c r="N270" i="1"/>
  <c r="D280" i="1" l="1"/>
  <c r="E280" i="1"/>
  <c r="P132" i="1"/>
  <c r="R132" i="1"/>
  <c r="H159" i="1"/>
  <c r="J158" i="1"/>
  <c r="K158" i="1"/>
  <c r="K159" i="1" s="1"/>
  <c r="T152" i="1"/>
  <c r="T167" i="1"/>
  <c r="Q202" i="1"/>
  <c r="Q233" i="1"/>
  <c r="T173" i="1"/>
  <c r="P233" i="1"/>
  <c r="Q132" i="1"/>
  <c r="R233" i="1"/>
  <c r="T229" i="1"/>
  <c r="T218" i="1"/>
  <c r="T220" i="1"/>
  <c r="T168" i="1"/>
  <c r="P240" i="1"/>
  <c r="P243" i="1" s="1"/>
  <c r="E183" i="17"/>
  <c r="E185" i="17" s="1"/>
  <c r="T172" i="1"/>
  <c r="E9" i="16"/>
  <c r="F140" i="17"/>
  <c r="D282" i="1"/>
  <c r="J282" i="1" s="1"/>
  <c r="N282" i="1" s="1"/>
  <c r="P155" i="1"/>
  <c r="T214" i="1"/>
  <c r="U128" i="1"/>
  <c r="T200" i="1"/>
  <c r="O202" i="1"/>
  <c r="T131" i="1"/>
  <c r="T166" i="1"/>
  <c r="T193" i="1"/>
  <c r="O194" i="1"/>
  <c r="T194" i="1" s="1"/>
  <c r="T269" i="1"/>
  <c r="O270" i="1"/>
  <c r="T270" i="1" s="1"/>
  <c r="T151" i="1"/>
  <c r="O240" i="1"/>
  <c r="D183" i="17"/>
  <c r="D185" i="17" s="1"/>
  <c r="O186" i="1"/>
  <c r="T186" i="1" s="1"/>
  <c r="T185" i="1"/>
  <c r="T153" i="1"/>
  <c r="T149" i="1"/>
  <c r="O155" i="1"/>
  <c r="R127" i="1"/>
  <c r="R128" i="1" s="1"/>
  <c r="P127" i="1"/>
  <c r="P128" i="1" s="1"/>
  <c r="N128" i="1"/>
  <c r="O127" i="1"/>
  <c r="Q127" i="1"/>
  <c r="Q128" i="1" s="1"/>
  <c r="R202" i="1"/>
  <c r="T260" i="1"/>
  <c r="O261" i="1"/>
  <c r="T261" i="1" s="1"/>
  <c r="T201" i="1"/>
  <c r="R174" i="1"/>
  <c r="T154" i="1"/>
  <c r="T232" i="1"/>
  <c r="T150" i="1"/>
  <c r="R240" i="1"/>
  <c r="R243" i="1" s="1"/>
  <c r="G183" i="17"/>
  <c r="G185" i="17" s="1"/>
  <c r="Q174" i="1"/>
  <c r="O132" i="1"/>
  <c r="R155" i="1"/>
  <c r="T177" i="1"/>
  <c r="O178" i="1"/>
  <c r="T178" i="1" s="1"/>
  <c r="T171" i="1"/>
  <c r="C285" i="1"/>
  <c r="R251" i="1"/>
  <c r="R252" i="1" s="1"/>
  <c r="O251" i="1"/>
  <c r="P251" i="1"/>
  <c r="P252" i="1" s="1"/>
  <c r="Q251" i="1"/>
  <c r="Q252" i="1" s="1"/>
  <c r="N252" i="1"/>
  <c r="Q240" i="1"/>
  <c r="Q243" i="1" s="1"/>
  <c r="F183" i="17"/>
  <c r="F185" i="17" s="1"/>
  <c r="T221" i="1"/>
  <c r="E9" i="26"/>
  <c r="T170" i="1"/>
  <c r="T219" i="1"/>
  <c r="Q155" i="1"/>
  <c r="P202" i="1"/>
  <c r="O233" i="1"/>
  <c r="O174" i="1"/>
  <c r="P174" i="1"/>
  <c r="T230" i="1"/>
  <c r="T132" i="1" l="1"/>
  <c r="N158" i="1"/>
  <c r="J159" i="1"/>
  <c r="U158" i="1"/>
  <c r="M158" i="1"/>
  <c r="T233" i="1"/>
  <c r="T240" i="1"/>
  <c r="O243" i="1"/>
  <c r="T174" i="1"/>
  <c r="O128" i="1"/>
  <c r="T127" i="1"/>
  <c r="T155" i="1"/>
  <c r="T202" i="1"/>
  <c r="O252" i="1"/>
  <c r="T252" i="1" s="1"/>
  <c r="T251" i="1"/>
  <c r="T243" i="1" l="1"/>
  <c r="U159" i="1"/>
  <c r="N159" i="1"/>
  <c r="P158" i="1"/>
  <c r="P159" i="1" s="1"/>
  <c r="Q158" i="1"/>
  <c r="Q159" i="1" s="1"/>
  <c r="R158" i="1"/>
  <c r="R159" i="1" s="1"/>
  <c r="O158" i="1"/>
  <c r="T128" i="1"/>
  <c r="O159" i="1" l="1"/>
  <c r="T158" i="1"/>
  <c r="T159" i="1" l="1"/>
  <c r="C9" i="32" l="1"/>
  <c r="B37" i="32" l="1"/>
  <c r="B39" i="32" s="1"/>
  <c r="B42" i="31" s="1"/>
  <c r="G99" i="1" s="1"/>
  <c r="C22" i="32"/>
  <c r="D22" i="32" s="1"/>
  <c r="G103" i="1" l="1"/>
  <c r="G276" i="1" s="1"/>
  <c r="H99" i="1"/>
  <c r="J99" i="1" l="1"/>
  <c r="K99" i="1"/>
  <c r="K103" i="1" s="1"/>
  <c r="K276" i="1" s="1"/>
  <c r="H103" i="1"/>
  <c r="H276" i="1" s="1"/>
  <c r="G280" i="1"/>
  <c r="M99" i="1" l="1"/>
  <c r="H278" i="1"/>
  <c r="H280" i="1"/>
  <c r="K280" i="1"/>
  <c r="K278" i="1"/>
  <c r="N99" i="1"/>
  <c r="J103" i="1"/>
  <c r="J276" i="1" s="1"/>
  <c r="U99" i="1"/>
  <c r="U103" i="1" l="1"/>
  <c r="O99" i="1"/>
  <c r="O103" i="1" s="1"/>
  <c r="O276" i="1" s="1"/>
  <c r="P99" i="1"/>
  <c r="P103" i="1" s="1"/>
  <c r="P276" i="1" s="1"/>
  <c r="N103" i="1"/>
  <c r="N276" i="1" s="1"/>
  <c r="R99" i="1"/>
  <c r="R103" i="1" s="1"/>
  <c r="R276" i="1" s="1"/>
  <c r="Q99" i="1"/>
  <c r="Q103" i="1" s="1"/>
  <c r="Q276" i="1" s="1"/>
  <c r="P280" i="1" l="1"/>
  <c r="P278" i="1"/>
  <c r="E8" i="26"/>
  <c r="O278" i="1"/>
  <c r="O280" i="1"/>
  <c r="E8" i="28"/>
  <c r="R278" i="1"/>
  <c r="R280" i="1"/>
  <c r="T99" i="1"/>
  <c r="Q280" i="1"/>
  <c r="Q278" i="1"/>
  <c r="E8" i="27"/>
  <c r="T103" i="1"/>
  <c r="J278" i="1"/>
  <c r="J280" i="1"/>
  <c r="U7" i="27" l="1"/>
  <c r="V7" i="27" s="1"/>
  <c r="U5" i="27"/>
  <c r="V5" i="27" s="1"/>
  <c r="U6" i="27"/>
  <c r="V6" i="27" s="1"/>
  <c r="U8" i="27"/>
  <c r="V8" i="27" s="1"/>
  <c r="U8" i="26"/>
  <c r="V8" i="26" s="1"/>
  <c r="U6" i="26"/>
  <c r="V6" i="26" s="1"/>
  <c r="U7" i="26"/>
  <c r="V7" i="26" s="1"/>
  <c r="U5" i="26"/>
  <c r="V5" i="26" s="1"/>
  <c r="E8" i="16"/>
  <c r="N278" i="1"/>
  <c r="N280" i="1"/>
  <c r="T276" i="1"/>
  <c r="U5" i="28"/>
  <c r="V5" i="28" s="1"/>
  <c r="U6" i="28"/>
  <c r="V6" i="28" s="1"/>
  <c r="U8" i="28"/>
  <c r="V8" i="28" s="1"/>
  <c r="U7" i="28"/>
  <c r="V7" i="28" s="1"/>
  <c r="E10" i="26" l="1"/>
  <c r="E12" i="26" s="1"/>
  <c r="AJ29" i="26"/>
  <c r="W5" i="26"/>
  <c r="X5" i="26" s="1"/>
  <c r="Y5" i="26" s="1"/>
  <c r="AA5" i="26" s="1"/>
  <c r="AB5" i="26" s="1"/>
  <c r="AC5" i="26" s="1"/>
  <c r="W8" i="27"/>
  <c r="X8" i="27" s="1"/>
  <c r="Y8" i="27" s="1"/>
  <c r="AA8" i="27" s="1"/>
  <c r="AB8" i="27" s="1"/>
  <c r="AC8" i="27" s="1"/>
  <c r="AJ32" i="27"/>
  <c r="AJ32" i="28"/>
  <c r="W8" i="28"/>
  <c r="X8" i="28" s="1"/>
  <c r="Y8" i="28" s="1"/>
  <c r="AA8" i="28" s="1"/>
  <c r="AB8" i="28" s="1"/>
  <c r="AC8" i="28" s="1"/>
  <c r="AJ31" i="26"/>
  <c r="W7" i="26"/>
  <c r="X7" i="26" s="1"/>
  <c r="Y7" i="26" s="1"/>
  <c r="AA7" i="26" s="1"/>
  <c r="AB7" i="26" s="1"/>
  <c r="AC7" i="26" s="1"/>
  <c r="W6" i="27"/>
  <c r="X6" i="27" s="1"/>
  <c r="Y6" i="27" s="1"/>
  <c r="AA6" i="27" s="1"/>
  <c r="AB6" i="27" s="1"/>
  <c r="AC6" i="27" s="1"/>
  <c r="AJ30" i="27"/>
  <c r="AJ31" i="28"/>
  <c r="W7" i="28"/>
  <c r="X7" i="28" s="1"/>
  <c r="Y7" i="28" s="1"/>
  <c r="AA7" i="28" s="1"/>
  <c r="AB7" i="28" s="1"/>
  <c r="AC7" i="28" s="1"/>
  <c r="AJ30" i="28"/>
  <c r="W6" i="28"/>
  <c r="X6" i="28" s="1"/>
  <c r="Y6" i="28" s="1"/>
  <c r="AA6" i="28" s="1"/>
  <c r="AB6" i="28" s="1"/>
  <c r="AC6" i="28" s="1"/>
  <c r="W6" i="26"/>
  <c r="X6" i="26" s="1"/>
  <c r="Y6" i="26" s="1"/>
  <c r="AA6" i="26" s="1"/>
  <c r="AB6" i="26" s="1"/>
  <c r="AC6" i="26" s="1"/>
  <c r="AJ30" i="26"/>
  <c r="AJ29" i="27"/>
  <c r="E10" i="27"/>
  <c r="E12" i="27" s="1"/>
  <c r="W5" i="27"/>
  <c r="X5" i="27" s="1"/>
  <c r="Y5" i="27" s="1"/>
  <c r="AA5" i="27" s="1"/>
  <c r="AB5" i="27" s="1"/>
  <c r="AC5" i="27" s="1"/>
  <c r="E10" i="28"/>
  <c r="E12" i="28" s="1"/>
  <c r="AJ29" i="28"/>
  <c r="W5" i="28"/>
  <c r="X5" i="28" s="1"/>
  <c r="Y5" i="28" s="1"/>
  <c r="AA5" i="28" s="1"/>
  <c r="AB5" i="28" s="1"/>
  <c r="AC5" i="28" s="1"/>
  <c r="U8" i="16"/>
  <c r="V8" i="16" s="1"/>
  <c r="U7" i="16"/>
  <c r="V7" i="16" s="1"/>
  <c r="U5" i="16"/>
  <c r="V5" i="16" s="1"/>
  <c r="U6" i="16"/>
  <c r="V6" i="16" s="1"/>
  <c r="W8" i="26"/>
  <c r="X8" i="26" s="1"/>
  <c r="Y8" i="26" s="1"/>
  <c r="AA8" i="26" s="1"/>
  <c r="AB8" i="26" s="1"/>
  <c r="AC8" i="26" s="1"/>
  <c r="AJ32" i="26"/>
  <c r="AJ31" i="27"/>
  <c r="W7" i="27"/>
  <c r="X7" i="27" s="1"/>
  <c r="Y7" i="27" s="1"/>
  <c r="AA7" i="27" s="1"/>
  <c r="AB7" i="27" s="1"/>
  <c r="AC7" i="27" s="1"/>
  <c r="AF8" i="26" l="1"/>
  <c r="AJ23" i="26" s="1"/>
  <c r="AD8" i="26"/>
  <c r="W8" i="16"/>
  <c r="X8" i="16" s="1"/>
  <c r="Y8" i="16" s="1"/>
  <c r="AA8" i="16" s="1"/>
  <c r="AB8" i="16" s="1"/>
  <c r="AC8" i="16" s="1"/>
  <c r="AJ32" i="16"/>
  <c r="AF5" i="27"/>
  <c r="AJ20" i="27" s="1"/>
  <c r="AD5" i="27"/>
  <c r="AF6" i="26"/>
  <c r="AJ21" i="26" s="1"/>
  <c r="AD6" i="26"/>
  <c r="AF8" i="27"/>
  <c r="AJ23" i="27" s="1"/>
  <c r="AD8" i="27"/>
  <c r="AF7" i="27"/>
  <c r="AJ22" i="27" s="1"/>
  <c r="AD7" i="27"/>
  <c r="AJ30" i="16"/>
  <c r="W6" i="16"/>
  <c r="X6" i="16" s="1"/>
  <c r="Y6" i="16" s="1"/>
  <c r="AA6" i="16" s="1"/>
  <c r="AB6" i="16" s="1"/>
  <c r="AC6" i="16" s="1"/>
  <c r="AF5" i="28"/>
  <c r="AJ20" i="28" s="1"/>
  <c r="AD5" i="28"/>
  <c r="AF6" i="28"/>
  <c r="AJ21" i="28" s="1"/>
  <c r="AD6" i="28"/>
  <c r="AF8" i="28"/>
  <c r="AJ23" i="28" s="1"/>
  <c r="AD8" i="28"/>
  <c r="AF5" i="26"/>
  <c r="AJ20" i="26" s="1"/>
  <c r="AD5" i="26"/>
  <c r="W5" i="16"/>
  <c r="X5" i="16" s="1"/>
  <c r="Y5" i="16" s="1"/>
  <c r="AA5" i="16" s="1"/>
  <c r="AB5" i="16" s="1"/>
  <c r="AC5" i="16" s="1"/>
  <c r="AJ29" i="16"/>
  <c r="E10" i="16"/>
  <c r="E12" i="16" s="1"/>
  <c r="AF6" i="27"/>
  <c r="AJ21" i="27" s="1"/>
  <c r="AD6" i="27"/>
  <c r="W7" i="16"/>
  <c r="X7" i="16" s="1"/>
  <c r="Y7" i="16" s="1"/>
  <c r="AA7" i="16" s="1"/>
  <c r="AB7" i="16" s="1"/>
  <c r="AC7" i="16" s="1"/>
  <c r="AJ31" i="16"/>
  <c r="AF7" i="28"/>
  <c r="AJ22" i="28" s="1"/>
  <c r="AD7" i="28"/>
  <c r="AF7" i="26"/>
  <c r="AJ22" i="26" s="1"/>
  <c r="AD7" i="26"/>
  <c r="AF7" i="16" l="1"/>
  <c r="AJ22" i="16" s="1"/>
  <c r="AD7" i="16"/>
  <c r="AE5" i="28"/>
  <c r="AJ14" i="28" s="1"/>
  <c r="V11" i="28"/>
  <c r="AJ38" i="28"/>
  <c r="V13" i="27"/>
  <c r="AE7" i="27"/>
  <c r="AJ16" i="27" s="1"/>
  <c r="AJ40" i="27"/>
  <c r="AJ39" i="26"/>
  <c r="V12" i="26"/>
  <c r="AE6" i="26"/>
  <c r="AJ15" i="26" s="1"/>
  <c r="AF8" i="16"/>
  <c r="AJ23" i="16" s="1"/>
  <c r="AD8" i="16"/>
  <c r="V12" i="27"/>
  <c r="AJ39" i="27"/>
  <c r="AE6" i="27"/>
  <c r="AJ15" i="27" s="1"/>
  <c r="AF5" i="16"/>
  <c r="AJ20" i="16" s="1"/>
  <c r="AD5" i="16"/>
  <c r="AF6" i="16"/>
  <c r="AJ21" i="16" s="1"/>
  <c r="AD6" i="16"/>
  <c r="AE8" i="27"/>
  <c r="AJ17" i="27" s="1"/>
  <c r="V14" i="27"/>
  <c r="AJ41" i="27"/>
  <c r="V11" i="27"/>
  <c r="AE5" i="27"/>
  <c r="AJ14" i="27" s="1"/>
  <c r="AJ38" i="27"/>
  <c r="V14" i="26"/>
  <c r="AE8" i="26"/>
  <c r="AJ17" i="26" s="1"/>
  <c r="AJ41" i="26"/>
  <c r="AE7" i="26"/>
  <c r="AJ16" i="26" s="1"/>
  <c r="AJ40" i="26"/>
  <c r="V13" i="26"/>
  <c r="V14" i="28"/>
  <c r="AE8" i="28"/>
  <c r="AJ17" i="28" s="1"/>
  <c r="AJ41" i="28"/>
  <c r="V13" i="28"/>
  <c r="AJ40" i="28"/>
  <c r="AE7" i="28"/>
  <c r="AJ16" i="28" s="1"/>
  <c r="AJ38" i="26"/>
  <c r="AE5" i="26"/>
  <c r="AJ14" i="26" s="1"/>
  <c r="V11" i="26"/>
  <c r="AE6" i="28"/>
  <c r="AJ15" i="28" s="1"/>
  <c r="AJ39" i="28"/>
  <c r="V12" i="28"/>
  <c r="W11" i="26" l="1"/>
  <c r="X11" i="26" s="1"/>
  <c r="Y11" i="26" s="1"/>
  <c r="AA11" i="26" s="1"/>
  <c r="AB11" i="26" s="1"/>
  <c r="AC11" i="26" s="1"/>
  <c r="AK29" i="26"/>
  <c r="W14" i="28"/>
  <c r="X14" i="28" s="1"/>
  <c r="Y14" i="28" s="1"/>
  <c r="AA14" i="28" s="1"/>
  <c r="AB14" i="28" s="1"/>
  <c r="AC14" i="28" s="1"/>
  <c r="AK32" i="28"/>
  <c r="AJ28" i="27"/>
  <c r="AJ19" i="27"/>
  <c r="AJ37" i="27"/>
  <c r="V14" i="16"/>
  <c r="AE8" i="16"/>
  <c r="AJ17" i="16" s="1"/>
  <c r="AJ41" i="16"/>
  <c r="W13" i="28"/>
  <c r="X13" i="28" s="1"/>
  <c r="Y13" i="28" s="1"/>
  <c r="AA13" i="28" s="1"/>
  <c r="AB13" i="28" s="1"/>
  <c r="AC13" i="28" s="1"/>
  <c r="AK31" i="28"/>
  <c r="AK31" i="26"/>
  <c r="W13" i="26"/>
  <c r="X13" i="26" s="1"/>
  <c r="Y13" i="26" s="1"/>
  <c r="AA13" i="26" s="1"/>
  <c r="AB13" i="26" s="1"/>
  <c r="AC13" i="26" s="1"/>
  <c r="W11" i="27"/>
  <c r="X11" i="27" s="1"/>
  <c r="Y11" i="27" s="1"/>
  <c r="AA11" i="27" s="1"/>
  <c r="AB11" i="27" s="1"/>
  <c r="AC11" i="27" s="1"/>
  <c r="AK29" i="27"/>
  <c r="AJ39" i="16"/>
  <c r="V12" i="16"/>
  <c r="AE6" i="16"/>
  <c r="AJ15" i="16" s="1"/>
  <c r="AK29" i="28"/>
  <c r="W11" i="28"/>
  <c r="X11" i="28" s="1"/>
  <c r="Y11" i="28" s="1"/>
  <c r="AA11" i="28" s="1"/>
  <c r="AB11" i="28" s="1"/>
  <c r="AC11" i="28" s="1"/>
  <c r="W12" i="28"/>
  <c r="X12" i="28" s="1"/>
  <c r="Y12" i="28" s="1"/>
  <c r="AA12" i="28" s="1"/>
  <c r="AB12" i="28" s="1"/>
  <c r="AC12" i="28" s="1"/>
  <c r="AK30" i="28"/>
  <c r="AK32" i="26"/>
  <c r="W14" i="26"/>
  <c r="X14" i="26" s="1"/>
  <c r="Y14" i="26" s="1"/>
  <c r="AA14" i="26" s="1"/>
  <c r="AB14" i="26" s="1"/>
  <c r="AC14" i="26" s="1"/>
  <c r="AE7" i="16"/>
  <c r="AJ16" i="16" s="1"/>
  <c r="AJ40" i="16"/>
  <c r="V13" i="16"/>
  <c r="AJ19" i="28"/>
  <c r="AJ28" i="28"/>
  <c r="AJ37" i="28"/>
  <c r="AJ19" i="26"/>
  <c r="AJ37" i="26"/>
  <c r="AJ28" i="26"/>
  <c r="W14" i="27"/>
  <c r="X14" i="27" s="1"/>
  <c r="Y14" i="27" s="1"/>
  <c r="AA14" i="27" s="1"/>
  <c r="AB14" i="27" s="1"/>
  <c r="AC14" i="27" s="1"/>
  <c r="AK32" i="27"/>
  <c r="V11" i="16"/>
  <c r="AE5" i="16"/>
  <c r="AJ14" i="16" s="1"/>
  <c r="AJ38" i="16"/>
  <c r="W12" i="27"/>
  <c r="X12" i="27" s="1"/>
  <c r="Y12" i="27" s="1"/>
  <c r="AA12" i="27" s="1"/>
  <c r="AB12" i="27" s="1"/>
  <c r="AC12" i="27" s="1"/>
  <c r="AK30" i="27"/>
  <c r="AK30" i="26"/>
  <c r="W12" i="26"/>
  <c r="X12" i="26" s="1"/>
  <c r="Y12" i="26" s="1"/>
  <c r="AA12" i="26" s="1"/>
  <c r="AB12" i="26" s="1"/>
  <c r="AC12" i="26" s="1"/>
  <c r="W13" i="27"/>
  <c r="X13" i="27" s="1"/>
  <c r="Y13" i="27" s="1"/>
  <c r="AA13" i="27" s="1"/>
  <c r="AB13" i="27" s="1"/>
  <c r="AC13" i="27" s="1"/>
  <c r="AK31" i="27"/>
  <c r="AF13" i="27" l="1"/>
  <c r="AK22" i="27" s="1"/>
  <c r="AD13" i="27"/>
  <c r="AF12" i="27"/>
  <c r="AK21" i="27" s="1"/>
  <c r="AD12" i="27"/>
  <c r="W13" i="16"/>
  <c r="X13" i="16" s="1"/>
  <c r="Y13" i="16" s="1"/>
  <c r="AA13" i="16" s="1"/>
  <c r="AB13" i="16" s="1"/>
  <c r="AC13" i="16" s="1"/>
  <c r="AK31" i="16"/>
  <c r="W14" i="16"/>
  <c r="X14" i="16" s="1"/>
  <c r="Y14" i="16" s="1"/>
  <c r="AA14" i="16" s="1"/>
  <c r="AB14" i="16" s="1"/>
  <c r="AC14" i="16" s="1"/>
  <c r="AK32" i="16"/>
  <c r="AF14" i="27"/>
  <c r="AK23" i="27" s="1"/>
  <c r="AD14" i="27"/>
  <c r="AF11" i="27"/>
  <c r="AK20" i="27" s="1"/>
  <c r="AD11" i="27"/>
  <c r="AF13" i="28"/>
  <c r="AK22" i="28" s="1"/>
  <c r="AD13" i="28"/>
  <c r="AF14" i="28"/>
  <c r="AK23" i="28" s="1"/>
  <c r="AD14" i="28"/>
  <c r="AJ19" i="16"/>
  <c r="AJ28" i="16"/>
  <c r="AJ37" i="16"/>
  <c r="AF13" i="26"/>
  <c r="AK22" i="26" s="1"/>
  <c r="AD13" i="26"/>
  <c r="AF12" i="26"/>
  <c r="AK21" i="26" s="1"/>
  <c r="AD12" i="26"/>
  <c r="AF12" i="28"/>
  <c r="AK21" i="28" s="1"/>
  <c r="AD12" i="28"/>
  <c r="W12" i="16"/>
  <c r="X12" i="16" s="1"/>
  <c r="Y12" i="16" s="1"/>
  <c r="AA12" i="16" s="1"/>
  <c r="AB12" i="16" s="1"/>
  <c r="AC12" i="16" s="1"/>
  <c r="AK30" i="16"/>
  <c r="W11" i="16"/>
  <c r="X11" i="16" s="1"/>
  <c r="Y11" i="16" s="1"/>
  <c r="AA11" i="16" s="1"/>
  <c r="AB11" i="16" s="1"/>
  <c r="AC11" i="16" s="1"/>
  <c r="AK29" i="16"/>
  <c r="AF14" i="26"/>
  <c r="AK23" i="26" s="1"/>
  <c r="AD14" i="26"/>
  <c r="AF11" i="28"/>
  <c r="AK20" i="28" s="1"/>
  <c r="AD11" i="28"/>
  <c r="AF11" i="26"/>
  <c r="AK20" i="26" s="1"/>
  <c r="AD11" i="26"/>
  <c r="AK39" i="26" l="1"/>
  <c r="V18" i="26"/>
  <c r="AE12" i="26"/>
  <c r="AK15" i="26" s="1"/>
  <c r="AF11" i="16"/>
  <c r="AK20" i="16" s="1"/>
  <c r="AD11" i="16"/>
  <c r="AE14" i="28"/>
  <c r="AK17" i="28" s="1"/>
  <c r="AK41" i="28"/>
  <c r="V20" i="28"/>
  <c r="AE11" i="26"/>
  <c r="AK14" i="26" s="1"/>
  <c r="AK38" i="26"/>
  <c r="V17" i="26"/>
  <c r="AE13" i="28"/>
  <c r="AK16" i="28" s="1"/>
  <c r="AK40" i="28"/>
  <c r="V19" i="28"/>
  <c r="V20" i="27"/>
  <c r="AE14" i="27"/>
  <c r="AK17" i="27" s="1"/>
  <c r="AK41" i="27"/>
  <c r="AK40" i="27"/>
  <c r="V19" i="27"/>
  <c r="AE13" i="27"/>
  <c r="AK16" i="27" s="1"/>
  <c r="V17" i="27"/>
  <c r="AK38" i="27"/>
  <c r="AE11" i="27"/>
  <c r="AK14" i="27" s="1"/>
  <c r="AK39" i="27"/>
  <c r="AE12" i="27"/>
  <c r="AK15" i="27" s="1"/>
  <c r="V18" i="27"/>
  <c r="V20" i="26"/>
  <c r="AK41" i="26"/>
  <c r="AE14" i="26"/>
  <c r="AK17" i="26" s="1"/>
  <c r="AF14" i="16"/>
  <c r="AK23" i="16" s="1"/>
  <c r="AD14" i="16"/>
  <c r="AF12" i="16"/>
  <c r="AK21" i="16" s="1"/>
  <c r="AD12" i="16"/>
  <c r="V17" i="28"/>
  <c r="AE11" i="28"/>
  <c r="AK14" i="28" s="1"/>
  <c r="AK38" i="28"/>
  <c r="AE12" i="28"/>
  <c r="AK15" i="28" s="1"/>
  <c r="V18" i="28"/>
  <c r="AK39" i="28"/>
  <c r="AK40" i="26"/>
  <c r="V19" i="26"/>
  <c r="AE13" i="26"/>
  <c r="AK16" i="26" s="1"/>
  <c r="AF13" i="16"/>
  <c r="AK22" i="16" s="1"/>
  <c r="AD13" i="16"/>
  <c r="W18" i="28" l="1"/>
  <c r="X18" i="28" s="1"/>
  <c r="Y18" i="28" s="1"/>
  <c r="AA18" i="28" s="1"/>
  <c r="AB18" i="28" s="1"/>
  <c r="AC18" i="28" s="1"/>
  <c r="AL30" i="28"/>
  <c r="AE13" i="16"/>
  <c r="AK16" i="16" s="1"/>
  <c r="V19" i="16"/>
  <c r="AK40" i="16"/>
  <c r="AK28" i="27"/>
  <c r="AK37" i="27"/>
  <c r="AK19" i="27"/>
  <c r="W20" i="28"/>
  <c r="X20" i="28" s="1"/>
  <c r="Y20" i="28" s="1"/>
  <c r="AA20" i="28" s="1"/>
  <c r="AB20" i="28" s="1"/>
  <c r="AC20" i="28" s="1"/>
  <c r="AL32" i="28"/>
  <c r="V20" i="16"/>
  <c r="AK41" i="16"/>
  <c r="AE14" i="16"/>
  <c r="AK17" i="16" s="1"/>
  <c r="AL32" i="26"/>
  <c r="W20" i="26"/>
  <c r="X20" i="26" s="1"/>
  <c r="Y20" i="26" s="1"/>
  <c r="AA20" i="26" s="1"/>
  <c r="AB20" i="26" s="1"/>
  <c r="AC20" i="26" s="1"/>
  <c r="W19" i="27"/>
  <c r="X19" i="27" s="1"/>
  <c r="Y19" i="27" s="1"/>
  <c r="AA19" i="27" s="1"/>
  <c r="AB19" i="27" s="1"/>
  <c r="AC19" i="27" s="1"/>
  <c r="AL31" i="27"/>
  <c r="W20" i="27"/>
  <c r="X20" i="27" s="1"/>
  <c r="Y20" i="27" s="1"/>
  <c r="AA20" i="27" s="1"/>
  <c r="AB20" i="27" s="1"/>
  <c r="AC20" i="27" s="1"/>
  <c r="AL32" i="27"/>
  <c r="W17" i="26"/>
  <c r="X17" i="26" s="1"/>
  <c r="Y17" i="26" s="1"/>
  <c r="AA17" i="26" s="1"/>
  <c r="AB17" i="26" s="1"/>
  <c r="AC17" i="26" s="1"/>
  <c r="AL29" i="26"/>
  <c r="AK37" i="26"/>
  <c r="AK19" i="26"/>
  <c r="AK28" i="26"/>
  <c r="W17" i="28"/>
  <c r="X17" i="28" s="1"/>
  <c r="Y17" i="28" s="1"/>
  <c r="AA17" i="28" s="1"/>
  <c r="AB17" i="28" s="1"/>
  <c r="AC17" i="28" s="1"/>
  <c r="AL29" i="28"/>
  <c r="W18" i="27"/>
  <c r="X18" i="27" s="1"/>
  <c r="Y18" i="27" s="1"/>
  <c r="AA18" i="27" s="1"/>
  <c r="AB18" i="27" s="1"/>
  <c r="AC18" i="27" s="1"/>
  <c r="AL30" i="27"/>
  <c r="W19" i="28"/>
  <c r="X19" i="28" s="1"/>
  <c r="Y19" i="28" s="1"/>
  <c r="AA19" i="28" s="1"/>
  <c r="AB19" i="28" s="1"/>
  <c r="AC19" i="28" s="1"/>
  <c r="AL31" i="28"/>
  <c r="AK19" i="28"/>
  <c r="AK28" i="28"/>
  <c r="AK37" i="28"/>
  <c r="AL30" i="26"/>
  <c r="W18" i="26"/>
  <c r="X18" i="26" s="1"/>
  <c r="Y18" i="26" s="1"/>
  <c r="AA18" i="26" s="1"/>
  <c r="AB18" i="26" s="1"/>
  <c r="AC18" i="26" s="1"/>
  <c r="AL31" i="26"/>
  <c r="W19" i="26"/>
  <c r="X19" i="26" s="1"/>
  <c r="Y19" i="26" s="1"/>
  <c r="AA19" i="26" s="1"/>
  <c r="AB19" i="26" s="1"/>
  <c r="AC19" i="26" s="1"/>
  <c r="AE12" i="16"/>
  <c r="AK15" i="16" s="1"/>
  <c r="AK39" i="16"/>
  <c r="V18" i="16"/>
  <c r="W17" i="27"/>
  <c r="X17" i="27" s="1"/>
  <c r="Y17" i="27" s="1"/>
  <c r="AA17" i="27" s="1"/>
  <c r="AB17" i="27" s="1"/>
  <c r="AC17" i="27" s="1"/>
  <c r="AL29" i="27"/>
  <c r="AK38" i="16"/>
  <c r="AE11" i="16"/>
  <c r="AK14" i="16" s="1"/>
  <c r="V17" i="16"/>
  <c r="AF17" i="27" l="1"/>
  <c r="AL20" i="27" s="1"/>
  <c r="AD17" i="27"/>
  <c r="AF19" i="27"/>
  <c r="AL22" i="27" s="1"/>
  <c r="AD19" i="27"/>
  <c r="AL31" i="16"/>
  <c r="W19" i="16"/>
  <c r="X19" i="16" s="1"/>
  <c r="Y19" i="16" s="1"/>
  <c r="AA19" i="16" s="1"/>
  <c r="AB19" i="16" s="1"/>
  <c r="AC19" i="16" s="1"/>
  <c r="W17" i="16"/>
  <c r="X17" i="16" s="1"/>
  <c r="Y17" i="16" s="1"/>
  <c r="AA17" i="16" s="1"/>
  <c r="AB17" i="16" s="1"/>
  <c r="AC17" i="16" s="1"/>
  <c r="AL29" i="16"/>
  <c r="AL30" i="16"/>
  <c r="W18" i="16"/>
  <c r="X18" i="16" s="1"/>
  <c r="Y18" i="16" s="1"/>
  <c r="AA18" i="16" s="1"/>
  <c r="AB18" i="16" s="1"/>
  <c r="AC18" i="16" s="1"/>
  <c r="AF17" i="26"/>
  <c r="AL20" i="26" s="1"/>
  <c r="AD17" i="26"/>
  <c r="AF18" i="26"/>
  <c r="AL21" i="26" s="1"/>
  <c r="AD18" i="26"/>
  <c r="AF18" i="27"/>
  <c r="AL21" i="27" s="1"/>
  <c r="AD18" i="27"/>
  <c r="AF20" i="26"/>
  <c r="AL23" i="26" s="1"/>
  <c r="AD20" i="26"/>
  <c r="AL32" i="16"/>
  <c r="W20" i="16"/>
  <c r="X20" i="16" s="1"/>
  <c r="Y20" i="16" s="1"/>
  <c r="AA20" i="16" s="1"/>
  <c r="AB20" i="16" s="1"/>
  <c r="AC20" i="16" s="1"/>
  <c r="AK28" i="16"/>
  <c r="AK37" i="16"/>
  <c r="AK19" i="16"/>
  <c r="AF20" i="27"/>
  <c r="AL23" i="27" s="1"/>
  <c r="AD20" i="27"/>
  <c r="AF19" i="26"/>
  <c r="AL22" i="26" s="1"/>
  <c r="AD19" i="26"/>
  <c r="AF19" i="28"/>
  <c r="AL22" i="28" s="1"/>
  <c r="AD19" i="28"/>
  <c r="AF17" i="28"/>
  <c r="AL20" i="28" s="1"/>
  <c r="AD17" i="28"/>
  <c r="AF20" i="28"/>
  <c r="AL23" i="28" s="1"/>
  <c r="AD20" i="28"/>
  <c r="AF18" i="28"/>
  <c r="AL21" i="28" s="1"/>
  <c r="AD18" i="28"/>
  <c r="AF18" i="16" l="1"/>
  <c r="AL21" i="16" s="1"/>
  <c r="AD18" i="16"/>
  <c r="AE20" i="28"/>
  <c r="AL17" i="28" s="1"/>
  <c r="V26" i="28"/>
  <c r="AL41" i="28"/>
  <c r="AF20" i="16"/>
  <c r="AL23" i="16" s="1"/>
  <c r="AD20" i="16"/>
  <c r="V24" i="27"/>
  <c r="AE18" i="27"/>
  <c r="AL15" i="27" s="1"/>
  <c r="AL39" i="27"/>
  <c r="AE17" i="26"/>
  <c r="AL14" i="26" s="1"/>
  <c r="AL38" i="26"/>
  <c r="V23" i="26"/>
  <c r="AE19" i="27"/>
  <c r="AL16" i="27" s="1"/>
  <c r="AL40" i="27"/>
  <c r="V25" i="27"/>
  <c r="AF17" i="16"/>
  <c r="AL20" i="16" s="1"/>
  <c r="AD17" i="16"/>
  <c r="AE18" i="28"/>
  <c r="AL15" i="28" s="1"/>
  <c r="AL39" i="28"/>
  <c r="V24" i="28"/>
  <c r="AF19" i="16"/>
  <c r="AL22" i="16" s="1"/>
  <c r="AD19" i="16"/>
  <c r="V23" i="27"/>
  <c r="AE17" i="27"/>
  <c r="AL14" i="27" s="1"/>
  <c r="AL38" i="27"/>
  <c r="AE17" i="28"/>
  <c r="AL14" i="28" s="1"/>
  <c r="V23" i="28"/>
  <c r="AL38" i="28"/>
  <c r="AE19" i="26"/>
  <c r="AL16" i="26" s="1"/>
  <c r="V25" i="26"/>
  <c r="AL40" i="26"/>
  <c r="AE20" i="26"/>
  <c r="AL17" i="26" s="1"/>
  <c r="V26" i="26"/>
  <c r="AL41" i="26"/>
  <c r="AE18" i="26"/>
  <c r="AL15" i="26" s="1"/>
  <c r="V24" i="26"/>
  <c r="AL39" i="26"/>
  <c r="V25" i="28"/>
  <c r="AE19" i="28"/>
  <c r="AL16" i="28" s="1"/>
  <c r="AL40" i="28"/>
  <c r="V26" i="27"/>
  <c r="AL41" i="27"/>
  <c r="AE20" i="27"/>
  <c r="AL17" i="27" s="1"/>
  <c r="AM32" i="27" l="1"/>
  <c r="W26" i="27"/>
  <c r="X26" i="27" s="1"/>
  <c r="Y26" i="27" s="1"/>
  <c r="AA26" i="27" s="1"/>
  <c r="AB26" i="27" s="1"/>
  <c r="AC26" i="27" s="1"/>
  <c r="AL28" i="26"/>
  <c r="AL37" i="26"/>
  <c r="AL19" i="26"/>
  <c r="AE17" i="16"/>
  <c r="AL14" i="16" s="1"/>
  <c r="V23" i="16"/>
  <c r="AL38" i="16"/>
  <c r="AL37" i="27"/>
  <c r="AL19" i="27"/>
  <c r="AL28" i="27"/>
  <c r="W23" i="28"/>
  <c r="X23" i="28" s="1"/>
  <c r="Y23" i="28" s="1"/>
  <c r="AA23" i="28" s="1"/>
  <c r="AB23" i="28" s="1"/>
  <c r="AC23" i="28" s="1"/>
  <c r="AM29" i="28"/>
  <c r="W23" i="27"/>
  <c r="X23" i="27" s="1"/>
  <c r="Y23" i="27" s="1"/>
  <c r="AA23" i="27" s="1"/>
  <c r="AB23" i="27" s="1"/>
  <c r="AC23" i="27" s="1"/>
  <c r="AM29" i="27"/>
  <c r="W25" i="27"/>
  <c r="X25" i="27" s="1"/>
  <c r="Y25" i="27" s="1"/>
  <c r="AA25" i="27" s="1"/>
  <c r="AB25" i="27" s="1"/>
  <c r="AC25" i="27" s="1"/>
  <c r="AM31" i="27"/>
  <c r="AM30" i="27"/>
  <c r="W24" i="27"/>
  <c r="X24" i="27" s="1"/>
  <c r="Y24" i="27" s="1"/>
  <c r="AA24" i="27" s="1"/>
  <c r="AB24" i="27" s="1"/>
  <c r="AC24" i="27" s="1"/>
  <c r="AM32" i="28"/>
  <c r="W26" i="28"/>
  <c r="X26" i="28" s="1"/>
  <c r="Y26" i="28" s="1"/>
  <c r="AA26" i="28" s="1"/>
  <c r="AB26" i="28" s="1"/>
  <c r="AC26" i="28" s="1"/>
  <c r="AM31" i="26"/>
  <c r="W25" i="26"/>
  <c r="X25" i="26" s="1"/>
  <c r="Y25" i="26" s="1"/>
  <c r="AA25" i="26" s="1"/>
  <c r="AB25" i="26" s="1"/>
  <c r="AC25" i="26" s="1"/>
  <c r="V26" i="16"/>
  <c r="AL41" i="16"/>
  <c r="AE20" i="16"/>
  <c r="AL17" i="16" s="1"/>
  <c r="AL28" i="28"/>
  <c r="AL37" i="28"/>
  <c r="AL19" i="28"/>
  <c r="AM31" i="28"/>
  <c r="W25" i="28"/>
  <c r="X25" i="28" s="1"/>
  <c r="Y25" i="28" s="1"/>
  <c r="AA25" i="28" s="1"/>
  <c r="AB25" i="28" s="1"/>
  <c r="AC25" i="28" s="1"/>
  <c r="AL40" i="16"/>
  <c r="V25" i="16"/>
  <c r="AE19" i="16"/>
  <c r="AL16" i="16" s="1"/>
  <c r="AM32" i="26"/>
  <c r="W26" i="26"/>
  <c r="X26" i="26" s="1"/>
  <c r="Y26" i="26" s="1"/>
  <c r="AA26" i="26" s="1"/>
  <c r="AB26" i="26" s="1"/>
  <c r="AC26" i="26" s="1"/>
  <c r="V24" i="16"/>
  <c r="AE18" i="16"/>
  <c r="AL15" i="16" s="1"/>
  <c r="AL39" i="16"/>
  <c r="W24" i="26"/>
  <c r="X24" i="26" s="1"/>
  <c r="Y24" i="26" s="1"/>
  <c r="AA24" i="26" s="1"/>
  <c r="AB24" i="26" s="1"/>
  <c r="AC24" i="26" s="1"/>
  <c r="AM30" i="26"/>
  <c r="AM30" i="28"/>
  <c r="W24" i="28"/>
  <c r="X24" i="28" s="1"/>
  <c r="Y24" i="28" s="1"/>
  <c r="AA24" i="28" s="1"/>
  <c r="AB24" i="28" s="1"/>
  <c r="AC24" i="28" s="1"/>
  <c r="W23" i="26"/>
  <c r="X23" i="26" s="1"/>
  <c r="Y23" i="26" s="1"/>
  <c r="AA23" i="26" s="1"/>
  <c r="AB23" i="26" s="1"/>
  <c r="AC23" i="26" s="1"/>
  <c r="AM29" i="26"/>
  <c r="AF23" i="27" l="1"/>
  <c r="AM20" i="27" s="1"/>
  <c r="AD23" i="27"/>
  <c r="AF24" i="26"/>
  <c r="AM21" i="26" s="1"/>
  <c r="AD24" i="26"/>
  <c r="AF25" i="27"/>
  <c r="AM22" i="27" s="1"/>
  <c r="AD25" i="27"/>
  <c r="AF23" i="28"/>
  <c r="AM20" i="28" s="1"/>
  <c r="AD23" i="28"/>
  <c r="AL19" i="16"/>
  <c r="AL37" i="16"/>
  <c r="AL28" i="16"/>
  <c r="AF23" i="26"/>
  <c r="AM20" i="26" s="1"/>
  <c r="AD23" i="26"/>
  <c r="AF26" i="26"/>
  <c r="AM23" i="26" s="1"/>
  <c r="AD26" i="26"/>
  <c r="AM32" i="16"/>
  <c r="W26" i="16"/>
  <c r="X26" i="16" s="1"/>
  <c r="Y26" i="16" s="1"/>
  <c r="AA26" i="16" s="1"/>
  <c r="AB26" i="16" s="1"/>
  <c r="AC26" i="16" s="1"/>
  <c r="AF24" i="28"/>
  <c r="AM21" i="28" s="1"/>
  <c r="AD24" i="28"/>
  <c r="AF25" i="28"/>
  <c r="AM22" i="28" s="1"/>
  <c r="AD25" i="28"/>
  <c r="AF25" i="26"/>
  <c r="AM22" i="26" s="1"/>
  <c r="AD25" i="26"/>
  <c r="AF24" i="27"/>
  <c r="AM21" i="27" s="1"/>
  <c r="AD24" i="27"/>
  <c r="W23" i="16"/>
  <c r="X23" i="16" s="1"/>
  <c r="Y23" i="16" s="1"/>
  <c r="AA23" i="16" s="1"/>
  <c r="AB23" i="16" s="1"/>
  <c r="AC23" i="16" s="1"/>
  <c r="AM29" i="16"/>
  <c r="AF26" i="27"/>
  <c r="AM23" i="27" s="1"/>
  <c r="AD26" i="27"/>
  <c r="W24" i="16"/>
  <c r="X24" i="16" s="1"/>
  <c r="Y24" i="16" s="1"/>
  <c r="AA24" i="16" s="1"/>
  <c r="AB24" i="16" s="1"/>
  <c r="AC24" i="16" s="1"/>
  <c r="AM30" i="16"/>
  <c r="W25" i="16"/>
  <c r="X25" i="16" s="1"/>
  <c r="Y25" i="16" s="1"/>
  <c r="AA25" i="16" s="1"/>
  <c r="AB25" i="16" s="1"/>
  <c r="AC25" i="16" s="1"/>
  <c r="AM31" i="16"/>
  <c r="AF26" i="28"/>
  <c r="AM23" i="28" s="1"/>
  <c r="AD26" i="28"/>
  <c r="AM41" i="27" l="1"/>
  <c r="V32" i="27"/>
  <c r="AE26" i="27"/>
  <c r="AM17" i="27" s="1"/>
  <c r="AM39" i="27"/>
  <c r="V30" i="27"/>
  <c r="AE24" i="27"/>
  <c r="AM15" i="27" s="1"/>
  <c r="AF26" i="16"/>
  <c r="AM23" i="16" s="1"/>
  <c r="AD26" i="16"/>
  <c r="AM38" i="26"/>
  <c r="V29" i="26"/>
  <c r="AE23" i="26"/>
  <c r="AM14" i="26" s="1"/>
  <c r="AF25" i="16"/>
  <c r="AM22" i="16" s="1"/>
  <c r="AD25" i="16"/>
  <c r="AM38" i="28"/>
  <c r="V29" i="28"/>
  <c r="AE23" i="28"/>
  <c r="AM14" i="28" s="1"/>
  <c r="V30" i="26"/>
  <c r="AM39" i="26"/>
  <c r="AE24" i="26"/>
  <c r="AM15" i="26" s="1"/>
  <c r="AM41" i="28"/>
  <c r="AE26" i="28"/>
  <c r="AM17" i="28" s="1"/>
  <c r="V32" i="28"/>
  <c r="V31" i="26"/>
  <c r="AM40" i="26"/>
  <c r="AE25" i="26"/>
  <c r="AM16" i="26" s="1"/>
  <c r="AE24" i="28"/>
  <c r="AM15" i="28" s="1"/>
  <c r="V30" i="28"/>
  <c r="AM39" i="28"/>
  <c r="AE26" i="26"/>
  <c r="AM17" i="26" s="1"/>
  <c r="AM41" i="26"/>
  <c r="V32" i="26"/>
  <c r="AF24" i="16"/>
  <c r="AM21" i="16" s="1"/>
  <c r="AD24" i="16"/>
  <c r="AF23" i="16"/>
  <c r="AM20" i="16" s="1"/>
  <c r="AD23" i="16"/>
  <c r="AE25" i="27"/>
  <c r="AM16" i="27" s="1"/>
  <c r="V31" i="27"/>
  <c r="AM40" i="27"/>
  <c r="V29" i="27"/>
  <c r="AE23" i="27"/>
  <c r="AM14" i="27" s="1"/>
  <c r="AM38" i="27"/>
  <c r="V31" i="28"/>
  <c r="AM40" i="28"/>
  <c r="AE25" i="28"/>
  <c r="AM16" i="28" s="1"/>
  <c r="AN31" i="27" l="1"/>
  <c r="W31" i="27"/>
  <c r="X31" i="27" s="1"/>
  <c r="Y31" i="27" s="1"/>
  <c r="AA31" i="27" s="1"/>
  <c r="AB31" i="27" s="1"/>
  <c r="AC31" i="27" s="1"/>
  <c r="V30" i="16"/>
  <c r="AM39" i="16"/>
  <c r="AE24" i="16"/>
  <c r="AM15" i="16" s="1"/>
  <c r="AM37" i="26"/>
  <c r="AM19" i="26"/>
  <c r="AM28" i="26"/>
  <c r="AM41" i="16"/>
  <c r="V32" i="16"/>
  <c r="AE26" i="16"/>
  <c r="AM17" i="16" s="1"/>
  <c r="AN31" i="28"/>
  <c r="W31" i="28"/>
  <c r="X31" i="28" s="1"/>
  <c r="Y31" i="28" s="1"/>
  <c r="AA31" i="28" s="1"/>
  <c r="AB31" i="28" s="1"/>
  <c r="AC31" i="28" s="1"/>
  <c r="W29" i="27"/>
  <c r="X29" i="27" s="1"/>
  <c r="Y29" i="27" s="1"/>
  <c r="AA29" i="27" s="1"/>
  <c r="AB29" i="27" s="1"/>
  <c r="AC29" i="27" s="1"/>
  <c r="AN29" i="27"/>
  <c r="AM38" i="16"/>
  <c r="AE23" i="16"/>
  <c r="AM14" i="16" s="1"/>
  <c r="V29" i="16"/>
  <c r="AN32" i="26"/>
  <c r="W32" i="26"/>
  <c r="X32" i="26" s="1"/>
  <c r="Y32" i="26" s="1"/>
  <c r="AA32" i="26" s="1"/>
  <c r="AB32" i="26" s="1"/>
  <c r="AC32" i="26" s="1"/>
  <c r="W30" i="28"/>
  <c r="X30" i="28" s="1"/>
  <c r="Y30" i="28" s="1"/>
  <c r="AA30" i="28" s="1"/>
  <c r="AB30" i="28" s="1"/>
  <c r="AC30" i="28" s="1"/>
  <c r="AN30" i="28"/>
  <c r="W31" i="26"/>
  <c r="X31" i="26" s="1"/>
  <c r="Y31" i="26" s="1"/>
  <c r="AA31" i="26" s="1"/>
  <c r="AB31" i="26" s="1"/>
  <c r="AC31" i="26" s="1"/>
  <c r="AN31" i="26"/>
  <c r="AN29" i="28"/>
  <c r="W29" i="28"/>
  <c r="X29" i="28" s="1"/>
  <c r="Y29" i="28" s="1"/>
  <c r="AA29" i="28" s="1"/>
  <c r="AB29" i="28" s="1"/>
  <c r="AC29" i="28" s="1"/>
  <c r="AM37" i="27"/>
  <c r="AM28" i="27"/>
  <c r="AM19" i="27"/>
  <c r="W32" i="28"/>
  <c r="X32" i="28" s="1"/>
  <c r="Y32" i="28" s="1"/>
  <c r="AA32" i="28" s="1"/>
  <c r="AB32" i="28" s="1"/>
  <c r="AC32" i="28" s="1"/>
  <c r="AN32" i="28"/>
  <c r="AN29" i="26"/>
  <c r="W29" i="26"/>
  <c r="X29" i="26" s="1"/>
  <c r="Y29" i="26" s="1"/>
  <c r="AA29" i="26" s="1"/>
  <c r="AB29" i="26" s="1"/>
  <c r="AC29" i="26" s="1"/>
  <c r="AN32" i="27"/>
  <c r="W32" i="27"/>
  <c r="X32" i="27" s="1"/>
  <c r="Y32" i="27" s="1"/>
  <c r="AA32" i="27" s="1"/>
  <c r="AB32" i="27" s="1"/>
  <c r="AC32" i="27" s="1"/>
  <c r="AM37" i="28"/>
  <c r="AM19" i="28"/>
  <c r="AM28" i="28"/>
  <c r="W30" i="26"/>
  <c r="X30" i="26" s="1"/>
  <c r="Y30" i="26" s="1"/>
  <c r="AA30" i="26" s="1"/>
  <c r="AB30" i="26" s="1"/>
  <c r="AC30" i="26" s="1"/>
  <c r="AN30" i="26"/>
  <c r="AE25" i="16"/>
  <c r="AM16" i="16" s="1"/>
  <c r="V31" i="16"/>
  <c r="AM40" i="16"/>
  <c r="W30" i="27"/>
  <c r="X30" i="27" s="1"/>
  <c r="Y30" i="27" s="1"/>
  <c r="AA30" i="27" s="1"/>
  <c r="AB30" i="27" s="1"/>
  <c r="AC30" i="27" s="1"/>
  <c r="AN30" i="27"/>
  <c r="AM28" i="16" l="1"/>
  <c r="AM19" i="16"/>
  <c r="AM37" i="16"/>
  <c r="AF32" i="26"/>
  <c r="AN23" i="26" s="1"/>
  <c r="AD32" i="26"/>
  <c r="AF32" i="28"/>
  <c r="AN23" i="28" s="1"/>
  <c r="AD32" i="28"/>
  <c r="AF29" i="26"/>
  <c r="AN20" i="26" s="1"/>
  <c r="AD29" i="26"/>
  <c r="AF30" i="27"/>
  <c r="AN21" i="27" s="1"/>
  <c r="AD30" i="27"/>
  <c r="AF30" i="26"/>
  <c r="AN21" i="26" s="1"/>
  <c r="AD30" i="26"/>
  <c r="AF32" i="27"/>
  <c r="AN23" i="27" s="1"/>
  <c r="AD32" i="27"/>
  <c r="AF31" i="26"/>
  <c r="AN22" i="26" s="1"/>
  <c r="AD31" i="26"/>
  <c r="W30" i="16"/>
  <c r="X30" i="16" s="1"/>
  <c r="Y30" i="16" s="1"/>
  <c r="AA30" i="16" s="1"/>
  <c r="AB30" i="16" s="1"/>
  <c r="AC30" i="16" s="1"/>
  <c r="AN30" i="16"/>
  <c r="W31" i="16"/>
  <c r="X31" i="16" s="1"/>
  <c r="Y31" i="16" s="1"/>
  <c r="AA31" i="16" s="1"/>
  <c r="AB31" i="16" s="1"/>
  <c r="AC31" i="16" s="1"/>
  <c r="AN31" i="16"/>
  <c r="AF29" i="28"/>
  <c r="AN20" i="28" s="1"/>
  <c r="AD29" i="28"/>
  <c r="W29" i="16"/>
  <c r="X29" i="16" s="1"/>
  <c r="Y29" i="16" s="1"/>
  <c r="AA29" i="16" s="1"/>
  <c r="AB29" i="16" s="1"/>
  <c r="AC29" i="16" s="1"/>
  <c r="AN29" i="16"/>
  <c r="AF29" i="27"/>
  <c r="AN20" i="27" s="1"/>
  <c r="AD29" i="27"/>
  <c r="W32" i="16"/>
  <c r="X32" i="16" s="1"/>
  <c r="Y32" i="16" s="1"/>
  <c r="AA32" i="16" s="1"/>
  <c r="AB32" i="16" s="1"/>
  <c r="AC32" i="16" s="1"/>
  <c r="AN32" i="16"/>
  <c r="AF31" i="27"/>
  <c r="AN22" i="27" s="1"/>
  <c r="AD31" i="27"/>
  <c r="AF30" i="28"/>
  <c r="AN21" i="28" s="1"/>
  <c r="AD30" i="28"/>
  <c r="AF31" i="28"/>
  <c r="AN22" i="28" s="1"/>
  <c r="AD31" i="28"/>
  <c r="AF29" i="16" l="1"/>
  <c r="AN20" i="16" s="1"/>
  <c r="AD29" i="16"/>
  <c r="AF32" i="16"/>
  <c r="AN23" i="16" s="1"/>
  <c r="AD32" i="16"/>
  <c r="AF31" i="16"/>
  <c r="AN22" i="16" s="1"/>
  <c r="AD31" i="16"/>
  <c r="AN40" i="28"/>
  <c r="AE31" i="28"/>
  <c r="AN16" i="28" s="1"/>
  <c r="V37" i="28"/>
  <c r="AN40" i="27"/>
  <c r="AE31" i="27"/>
  <c r="AN16" i="27" s="1"/>
  <c r="V37" i="27"/>
  <c r="V35" i="27"/>
  <c r="AE29" i="27"/>
  <c r="AN14" i="27" s="1"/>
  <c r="AN38" i="27"/>
  <c r="AN38" i="28"/>
  <c r="AE29" i="28"/>
  <c r="AN14" i="28" s="1"/>
  <c r="V35" i="28"/>
  <c r="AN41" i="27"/>
  <c r="AE32" i="27"/>
  <c r="AN17" i="27" s="1"/>
  <c r="V38" i="27"/>
  <c r="AE30" i="27"/>
  <c r="AN15" i="27" s="1"/>
  <c r="V36" i="27"/>
  <c r="AN39" i="27"/>
  <c r="AE32" i="28"/>
  <c r="AN17" i="28" s="1"/>
  <c r="V38" i="28"/>
  <c r="AN41" i="28"/>
  <c r="AF30" i="16"/>
  <c r="AN21" i="16" s="1"/>
  <c r="AD30" i="16"/>
  <c r="V36" i="28"/>
  <c r="AN39" i="28"/>
  <c r="AE30" i="28"/>
  <c r="AN15" i="28" s="1"/>
  <c r="AN40" i="26"/>
  <c r="V37" i="26"/>
  <c r="AE31" i="26"/>
  <c r="AN16" i="26" s="1"/>
  <c r="AN39" i="26"/>
  <c r="V36" i="26"/>
  <c r="AE30" i="26"/>
  <c r="AN15" i="26" s="1"/>
  <c r="AE29" i="26"/>
  <c r="AN14" i="26" s="1"/>
  <c r="AN38" i="26"/>
  <c r="V35" i="26"/>
  <c r="V38" i="26"/>
  <c r="AE32" i="26"/>
  <c r="AN17" i="26" s="1"/>
  <c r="AN41" i="26"/>
  <c r="V38" i="16" l="1"/>
  <c r="AE32" i="16"/>
  <c r="AN17" i="16" s="1"/>
  <c r="AN41" i="16"/>
  <c r="AN28" i="27"/>
  <c r="AN19" i="27"/>
  <c r="AN37" i="27"/>
  <c r="W37" i="27"/>
  <c r="X37" i="27" s="1"/>
  <c r="Y37" i="27" s="1"/>
  <c r="AA37" i="27" s="1"/>
  <c r="AB37" i="27" s="1"/>
  <c r="AC37" i="27" s="1"/>
  <c r="AO31" i="27"/>
  <c r="AN28" i="26"/>
  <c r="AN37" i="26"/>
  <c r="AN19" i="26"/>
  <c r="W36" i="27"/>
  <c r="X36" i="27" s="1"/>
  <c r="Y36" i="27" s="1"/>
  <c r="AA36" i="27" s="1"/>
  <c r="AB36" i="27" s="1"/>
  <c r="AC36" i="27" s="1"/>
  <c r="AO30" i="27"/>
  <c r="AO32" i="26"/>
  <c r="W38" i="26"/>
  <c r="X38" i="26" s="1"/>
  <c r="Y38" i="26" s="1"/>
  <c r="AA38" i="26" s="1"/>
  <c r="AB38" i="26" s="1"/>
  <c r="AC38" i="26" s="1"/>
  <c r="AO31" i="26"/>
  <c r="W37" i="26"/>
  <c r="X37" i="26" s="1"/>
  <c r="Y37" i="26" s="1"/>
  <c r="AA37" i="26" s="1"/>
  <c r="AB37" i="26" s="1"/>
  <c r="AC37" i="26" s="1"/>
  <c r="AO30" i="28"/>
  <c r="W36" i="28"/>
  <c r="X36" i="28" s="1"/>
  <c r="Y36" i="28" s="1"/>
  <c r="AA36" i="28" s="1"/>
  <c r="AB36" i="28" s="1"/>
  <c r="AC36" i="28" s="1"/>
  <c r="W38" i="28"/>
  <c r="X38" i="28" s="1"/>
  <c r="Y38" i="28" s="1"/>
  <c r="AA38" i="28" s="1"/>
  <c r="AB38" i="28" s="1"/>
  <c r="AC38" i="28" s="1"/>
  <c r="AO32" i="28"/>
  <c r="W35" i="28"/>
  <c r="X35" i="28" s="1"/>
  <c r="Y35" i="28" s="1"/>
  <c r="AA35" i="28" s="1"/>
  <c r="AB35" i="28" s="1"/>
  <c r="AC35" i="28" s="1"/>
  <c r="AO29" i="28"/>
  <c r="V37" i="16"/>
  <c r="AE31" i="16"/>
  <c r="AN16" i="16" s="1"/>
  <c r="AN40" i="16"/>
  <c r="AN38" i="16"/>
  <c r="V35" i="16"/>
  <c r="AE29" i="16"/>
  <c r="AN14" i="16" s="1"/>
  <c r="W35" i="26"/>
  <c r="X35" i="26" s="1"/>
  <c r="Y35" i="26" s="1"/>
  <c r="AA35" i="26" s="1"/>
  <c r="AB35" i="26" s="1"/>
  <c r="AC35" i="26" s="1"/>
  <c r="AO29" i="26"/>
  <c r="W36" i="26"/>
  <c r="X36" i="26" s="1"/>
  <c r="Y36" i="26" s="1"/>
  <c r="AA36" i="26" s="1"/>
  <c r="AB36" i="26" s="1"/>
  <c r="AC36" i="26" s="1"/>
  <c r="AO30" i="26"/>
  <c r="AN39" i="16"/>
  <c r="AE30" i="16"/>
  <c r="AN15" i="16" s="1"/>
  <c r="V36" i="16"/>
  <c r="AN37" i="28"/>
  <c r="AN19" i="28"/>
  <c r="AN28" i="28"/>
  <c r="AO32" i="27"/>
  <c r="W38" i="27"/>
  <c r="X38" i="27" s="1"/>
  <c r="Y38" i="27" s="1"/>
  <c r="AA38" i="27" s="1"/>
  <c r="AB38" i="27" s="1"/>
  <c r="AC38" i="27" s="1"/>
  <c r="AO29" i="27"/>
  <c r="W35" i="27"/>
  <c r="X35" i="27" s="1"/>
  <c r="Y35" i="27" s="1"/>
  <c r="AA35" i="27" s="1"/>
  <c r="AB35" i="27" s="1"/>
  <c r="AC35" i="27" s="1"/>
  <c r="W37" i="28"/>
  <c r="X37" i="28" s="1"/>
  <c r="Y37" i="28" s="1"/>
  <c r="AA37" i="28" s="1"/>
  <c r="AB37" i="28" s="1"/>
  <c r="AC37" i="28" s="1"/>
  <c r="AO31" i="28"/>
  <c r="AF37" i="28" l="1"/>
  <c r="AO22" i="28" s="1"/>
  <c r="AD37" i="28"/>
  <c r="AO30" i="16"/>
  <c r="W36" i="16"/>
  <c r="X36" i="16" s="1"/>
  <c r="Y36" i="16" s="1"/>
  <c r="AA36" i="16" s="1"/>
  <c r="AB36" i="16" s="1"/>
  <c r="AC36" i="16" s="1"/>
  <c r="AF36" i="26"/>
  <c r="AO21" i="26" s="1"/>
  <c r="AD36" i="26"/>
  <c r="W35" i="16"/>
  <c r="X35" i="16" s="1"/>
  <c r="Y35" i="16" s="1"/>
  <c r="AA35" i="16" s="1"/>
  <c r="AB35" i="16" s="1"/>
  <c r="AC35" i="16" s="1"/>
  <c r="AO29" i="16"/>
  <c r="AO31" i="16"/>
  <c r="W37" i="16"/>
  <c r="X37" i="16" s="1"/>
  <c r="Y37" i="16" s="1"/>
  <c r="AA37" i="16" s="1"/>
  <c r="AB37" i="16" s="1"/>
  <c r="AC37" i="16" s="1"/>
  <c r="AF38" i="28"/>
  <c r="AO23" i="28" s="1"/>
  <c r="AD38" i="28"/>
  <c r="AF36" i="27"/>
  <c r="AO21" i="27" s="1"/>
  <c r="AD36" i="27"/>
  <c r="AF38" i="27"/>
  <c r="AO23" i="27" s="1"/>
  <c r="AD38" i="27"/>
  <c r="AF35" i="27"/>
  <c r="AO20" i="27" s="1"/>
  <c r="AD35" i="27"/>
  <c r="AF36" i="28"/>
  <c r="AO21" i="28" s="1"/>
  <c r="AD36" i="28"/>
  <c r="AF38" i="26"/>
  <c r="AO23" i="26" s="1"/>
  <c r="AD38" i="26"/>
  <c r="AF37" i="27"/>
  <c r="AO22" i="27" s="1"/>
  <c r="AD37" i="27"/>
  <c r="AF35" i="26"/>
  <c r="AO20" i="26" s="1"/>
  <c r="AD35" i="26"/>
  <c r="AF35" i="28"/>
  <c r="AO20" i="28" s="1"/>
  <c r="AD35" i="28"/>
  <c r="AN19" i="16"/>
  <c r="AN37" i="16"/>
  <c r="AN28" i="16"/>
  <c r="AF37" i="26"/>
  <c r="AO22" i="26" s="1"/>
  <c r="AD37" i="26"/>
  <c r="W38" i="16"/>
  <c r="X38" i="16" s="1"/>
  <c r="Y38" i="16" s="1"/>
  <c r="AA38" i="16" s="1"/>
  <c r="AB38" i="16" s="1"/>
  <c r="AC38" i="16" s="1"/>
  <c r="AO32" i="16"/>
  <c r="AF38" i="16" l="1"/>
  <c r="AO23" i="16" s="1"/>
  <c r="AD38" i="16"/>
  <c r="AE35" i="28"/>
  <c r="AO14" i="28" s="1"/>
  <c r="V41" i="28"/>
  <c r="AO38" i="28"/>
  <c r="AE36" i="28"/>
  <c r="AO15" i="28" s="1"/>
  <c r="V42" i="28"/>
  <c r="AO39" i="28"/>
  <c r="AO38" i="27"/>
  <c r="AE35" i="27"/>
  <c r="AO14" i="27" s="1"/>
  <c r="V41" i="27"/>
  <c r="AO41" i="28"/>
  <c r="V44" i="28"/>
  <c r="AE38" i="28"/>
  <c r="AO17" i="28" s="1"/>
  <c r="AF36" i="16"/>
  <c r="AO21" i="16" s="1"/>
  <c r="AD36" i="16"/>
  <c r="V43" i="26"/>
  <c r="AE37" i="26"/>
  <c r="AO16" i="26" s="1"/>
  <c r="AO40" i="26"/>
  <c r="AF35" i="16"/>
  <c r="AO20" i="16" s="1"/>
  <c r="AD35" i="16"/>
  <c r="V41" i="26"/>
  <c r="AE35" i="26"/>
  <c r="AO14" i="26" s="1"/>
  <c r="AO38" i="26"/>
  <c r="AO40" i="27"/>
  <c r="V43" i="27"/>
  <c r="AE37" i="27"/>
  <c r="AO16" i="27" s="1"/>
  <c r="V44" i="26"/>
  <c r="AE38" i="26"/>
  <c r="AO17" i="26" s="1"/>
  <c r="AO41" i="26"/>
  <c r="AE38" i="27"/>
  <c r="AO17" i="27" s="1"/>
  <c r="AO41" i="27"/>
  <c r="V44" i="27"/>
  <c r="V42" i="27"/>
  <c r="AO39" i="27"/>
  <c r="AE36" i="27"/>
  <c r="AO15" i="27" s="1"/>
  <c r="AF37" i="16"/>
  <c r="AO22" i="16" s="1"/>
  <c r="AD37" i="16"/>
  <c r="AO39" i="26"/>
  <c r="AE36" i="26"/>
  <c r="AO15" i="26" s="1"/>
  <c r="V42" i="26"/>
  <c r="V43" i="28"/>
  <c r="AO40" i="28"/>
  <c r="AE37" i="28"/>
  <c r="AO16" i="28" s="1"/>
  <c r="AO37" i="26" l="1"/>
  <c r="AO28" i="26"/>
  <c r="AO19" i="26"/>
  <c r="AP32" i="26"/>
  <c r="W44" i="26"/>
  <c r="X44" i="26" s="1"/>
  <c r="Y44" i="26" s="1"/>
  <c r="AA44" i="26" s="1"/>
  <c r="AB44" i="26" s="1"/>
  <c r="AC44" i="26" s="1"/>
  <c r="AO37" i="28"/>
  <c r="AO19" i="28"/>
  <c r="AO28" i="28"/>
  <c r="AO37" i="27"/>
  <c r="AO19" i="27"/>
  <c r="AO28" i="27"/>
  <c r="W43" i="26"/>
  <c r="X43" i="26" s="1"/>
  <c r="Y43" i="26" s="1"/>
  <c r="AA43" i="26" s="1"/>
  <c r="AB43" i="26" s="1"/>
  <c r="AC43" i="26" s="1"/>
  <c r="AP31" i="26"/>
  <c r="W44" i="28"/>
  <c r="X44" i="28" s="1"/>
  <c r="Y44" i="28" s="1"/>
  <c r="AA44" i="28" s="1"/>
  <c r="AB44" i="28" s="1"/>
  <c r="AC44" i="28" s="1"/>
  <c r="AP32" i="28"/>
  <c r="AP31" i="28"/>
  <c r="W43" i="28"/>
  <c r="X43" i="28" s="1"/>
  <c r="Y43" i="28" s="1"/>
  <c r="AA43" i="28" s="1"/>
  <c r="AB43" i="28" s="1"/>
  <c r="AC43" i="28" s="1"/>
  <c r="V43" i="16"/>
  <c r="AE37" i="16"/>
  <c r="AO16" i="16" s="1"/>
  <c r="AO40" i="16"/>
  <c r="W42" i="27"/>
  <c r="X42" i="27" s="1"/>
  <c r="Y42" i="27" s="1"/>
  <c r="AA42" i="27" s="1"/>
  <c r="AB42" i="27" s="1"/>
  <c r="AC42" i="27" s="1"/>
  <c r="AP30" i="27"/>
  <c r="W43" i="27"/>
  <c r="X43" i="27" s="1"/>
  <c r="Y43" i="27" s="1"/>
  <c r="AA43" i="27" s="1"/>
  <c r="AB43" i="27" s="1"/>
  <c r="AC43" i="27" s="1"/>
  <c r="AP31" i="27"/>
  <c r="AP29" i="26"/>
  <c r="W41" i="26"/>
  <c r="X41" i="26" s="1"/>
  <c r="Y41" i="26" s="1"/>
  <c r="AA41" i="26" s="1"/>
  <c r="AB41" i="26" s="1"/>
  <c r="AC41" i="26" s="1"/>
  <c r="AE36" i="16"/>
  <c r="AO15" i="16" s="1"/>
  <c r="AO39" i="16"/>
  <c r="V42" i="16"/>
  <c r="W41" i="28"/>
  <c r="X41" i="28" s="1"/>
  <c r="Y41" i="28" s="1"/>
  <c r="AA41" i="28" s="1"/>
  <c r="AB41" i="28" s="1"/>
  <c r="AC41" i="28" s="1"/>
  <c r="AP29" i="28"/>
  <c r="AO41" i="16"/>
  <c r="AE38" i="16"/>
  <c r="AO17" i="16" s="1"/>
  <c r="V44" i="16"/>
  <c r="AP30" i="26"/>
  <c r="W42" i="26"/>
  <c r="X42" i="26" s="1"/>
  <c r="Y42" i="26" s="1"/>
  <c r="AA42" i="26" s="1"/>
  <c r="AB42" i="26" s="1"/>
  <c r="AC42" i="26" s="1"/>
  <c r="W44" i="27"/>
  <c r="X44" i="27" s="1"/>
  <c r="Y44" i="27" s="1"/>
  <c r="AA44" i="27" s="1"/>
  <c r="AB44" i="27" s="1"/>
  <c r="AC44" i="27" s="1"/>
  <c r="AP32" i="27"/>
  <c r="AE35" i="16"/>
  <c r="AO14" i="16" s="1"/>
  <c r="AO38" i="16"/>
  <c r="V41" i="16"/>
  <c r="W41" i="27"/>
  <c r="X41" i="27" s="1"/>
  <c r="Y41" i="27" s="1"/>
  <c r="AA41" i="27" s="1"/>
  <c r="AB41" i="27" s="1"/>
  <c r="AC41" i="27" s="1"/>
  <c r="AP29" i="27"/>
  <c r="W42" i="28"/>
  <c r="X42" i="28" s="1"/>
  <c r="Y42" i="28" s="1"/>
  <c r="AA42" i="28" s="1"/>
  <c r="AB42" i="28" s="1"/>
  <c r="AC42" i="28" s="1"/>
  <c r="AP30" i="28"/>
  <c r="AF42" i="27" l="1"/>
  <c r="AP21" i="27" s="1"/>
  <c r="AD42" i="27"/>
  <c r="AF42" i="28"/>
  <c r="AP21" i="28" s="1"/>
  <c r="AD42" i="28"/>
  <c r="AF42" i="26"/>
  <c r="AP21" i="26" s="1"/>
  <c r="AD42" i="26"/>
  <c r="AF43" i="26"/>
  <c r="AP22" i="26" s="1"/>
  <c r="AD43" i="26"/>
  <c r="W41" i="16"/>
  <c r="X41" i="16" s="1"/>
  <c r="Y41" i="16" s="1"/>
  <c r="AA41" i="16" s="1"/>
  <c r="AB41" i="16" s="1"/>
  <c r="AC41" i="16" s="1"/>
  <c r="AP29" i="16"/>
  <c r="AO28" i="16"/>
  <c r="AO19" i="16"/>
  <c r="AO37" i="16"/>
  <c r="AF43" i="27"/>
  <c r="AP22" i="27" s="1"/>
  <c r="AD43" i="27"/>
  <c r="AF41" i="27"/>
  <c r="AP20" i="27" s="1"/>
  <c r="AD41" i="27"/>
  <c r="W44" i="16"/>
  <c r="X44" i="16" s="1"/>
  <c r="Y44" i="16" s="1"/>
  <c r="AA44" i="16" s="1"/>
  <c r="AB44" i="16" s="1"/>
  <c r="AC44" i="16" s="1"/>
  <c r="AP32" i="16"/>
  <c r="AF41" i="28"/>
  <c r="AP20" i="28" s="1"/>
  <c r="AD41" i="28"/>
  <c r="AF41" i="26"/>
  <c r="AP20" i="26" s="1"/>
  <c r="AD41" i="26"/>
  <c r="W43" i="16"/>
  <c r="X43" i="16" s="1"/>
  <c r="Y43" i="16" s="1"/>
  <c r="AA43" i="16" s="1"/>
  <c r="AB43" i="16" s="1"/>
  <c r="AC43" i="16" s="1"/>
  <c r="AP31" i="16"/>
  <c r="AF44" i="28"/>
  <c r="AP23" i="28" s="1"/>
  <c r="AD44" i="28"/>
  <c r="AF44" i="27"/>
  <c r="AP23" i="27" s="1"/>
  <c r="AD44" i="27"/>
  <c r="AP30" i="16"/>
  <c r="W42" i="16"/>
  <c r="X42" i="16" s="1"/>
  <c r="Y42" i="16" s="1"/>
  <c r="AA42" i="16" s="1"/>
  <c r="AB42" i="16" s="1"/>
  <c r="AC42" i="16" s="1"/>
  <c r="AF43" i="28"/>
  <c r="AP22" i="28" s="1"/>
  <c r="AD43" i="28"/>
  <c r="AF44" i="26"/>
  <c r="AP23" i="26" s="1"/>
  <c r="AD44" i="26"/>
  <c r="AF43" i="16" l="1"/>
  <c r="AP22" i="16" s="1"/>
  <c r="AD43" i="16"/>
  <c r="AP40" i="26"/>
  <c r="AE43" i="26"/>
  <c r="AP16" i="26" s="1"/>
  <c r="V49" i="26"/>
  <c r="AE42" i="28"/>
  <c r="AP15" i="28" s="1"/>
  <c r="AP39" i="28"/>
  <c r="V48" i="28"/>
  <c r="V47" i="28"/>
  <c r="AE41" i="28"/>
  <c r="AP14" i="28" s="1"/>
  <c r="AP38" i="28"/>
  <c r="AE43" i="28"/>
  <c r="AP16" i="28" s="1"/>
  <c r="AP40" i="28"/>
  <c r="V49" i="28"/>
  <c r="V50" i="27"/>
  <c r="AE44" i="27"/>
  <c r="AP17" i="27" s="1"/>
  <c r="AP41" i="27"/>
  <c r="V47" i="27"/>
  <c r="AP38" i="27"/>
  <c r="AE41" i="27"/>
  <c r="AP14" i="27" s="1"/>
  <c r="V50" i="26"/>
  <c r="AP41" i="26"/>
  <c r="AE44" i="26"/>
  <c r="AP17" i="26" s="1"/>
  <c r="AF42" i="16"/>
  <c r="AP21" i="16" s="1"/>
  <c r="AD42" i="16"/>
  <c r="AE44" i="28"/>
  <c r="AP17" i="28" s="1"/>
  <c r="V50" i="28"/>
  <c r="AP41" i="28"/>
  <c r="AP38" i="26"/>
  <c r="V47" i="26"/>
  <c r="AE41" i="26"/>
  <c r="AP14" i="26" s="1"/>
  <c r="AE43" i="27"/>
  <c r="AP16" i="27" s="1"/>
  <c r="V49" i="27"/>
  <c r="AP40" i="27"/>
  <c r="AF44" i="16"/>
  <c r="AP23" i="16" s="1"/>
  <c r="AD44" i="16"/>
  <c r="V48" i="26"/>
  <c r="AP39" i="26"/>
  <c r="AE42" i="26"/>
  <c r="AP15" i="26" s="1"/>
  <c r="V48" i="27"/>
  <c r="AE42" i="27"/>
  <c r="AP15" i="27" s="1"/>
  <c r="AP39" i="27"/>
  <c r="AF41" i="16"/>
  <c r="AP20" i="16" s="1"/>
  <c r="AD41" i="16"/>
  <c r="W48" i="27" l="1"/>
  <c r="X48" i="27" s="1"/>
  <c r="Y48" i="27" s="1"/>
  <c r="AA48" i="27" s="1"/>
  <c r="AB48" i="27" s="1"/>
  <c r="AC48" i="27" s="1"/>
  <c r="AQ30" i="27"/>
  <c r="AP19" i="27"/>
  <c r="AP37" i="27"/>
  <c r="AP28" i="27"/>
  <c r="W48" i="28"/>
  <c r="X48" i="28" s="1"/>
  <c r="Y48" i="28" s="1"/>
  <c r="AA48" i="28" s="1"/>
  <c r="AB48" i="28" s="1"/>
  <c r="AC48" i="28" s="1"/>
  <c r="AQ30" i="28"/>
  <c r="AP37" i="26"/>
  <c r="AP19" i="26"/>
  <c r="AP28" i="26"/>
  <c r="V47" i="16"/>
  <c r="AE41" i="16"/>
  <c r="AP14" i="16" s="1"/>
  <c r="AP38" i="16"/>
  <c r="W50" i="27"/>
  <c r="X50" i="27" s="1"/>
  <c r="Y50" i="27" s="1"/>
  <c r="AA50" i="27" s="1"/>
  <c r="AB50" i="27" s="1"/>
  <c r="AC50" i="27" s="1"/>
  <c r="AQ32" i="27"/>
  <c r="AQ29" i="26"/>
  <c r="W47" i="26"/>
  <c r="X47" i="26" s="1"/>
  <c r="Y47" i="26" s="1"/>
  <c r="AA47" i="26" s="1"/>
  <c r="AB47" i="26" s="1"/>
  <c r="AC47" i="26" s="1"/>
  <c r="AP19" i="28"/>
  <c r="AP37" i="28"/>
  <c r="AP28" i="28"/>
  <c r="W47" i="27"/>
  <c r="X47" i="27" s="1"/>
  <c r="Y47" i="27" s="1"/>
  <c r="AA47" i="27" s="1"/>
  <c r="AB47" i="27" s="1"/>
  <c r="AC47" i="27" s="1"/>
  <c r="AQ29" i="27"/>
  <c r="W49" i="28"/>
  <c r="X49" i="28" s="1"/>
  <c r="Y49" i="28" s="1"/>
  <c r="AA49" i="28" s="1"/>
  <c r="AB49" i="28" s="1"/>
  <c r="AC49" i="28" s="1"/>
  <c r="AQ31" i="28"/>
  <c r="AP40" i="16"/>
  <c r="V49" i="16"/>
  <c r="AE43" i="16"/>
  <c r="AP16" i="16" s="1"/>
  <c r="AP41" i="16"/>
  <c r="V50" i="16"/>
  <c r="AE44" i="16"/>
  <c r="AP17" i="16" s="1"/>
  <c r="W50" i="28"/>
  <c r="X50" i="28" s="1"/>
  <c r="Y50" i="28" s="1"/>
  <c r="AA50" i="28" s="1"/>
  <c r="AB50" i="28" s="1"/>
  <c r="AC50" i="28" s="1"/>
  <c r="AQ32" i="28"/>
  <c r="AQ30" i="26"/>
  <c r="W48" i="26"/>
  <c r="X48" i="26" s="1"/>
  <c r="Y48" i="26" s="1"/>
  <c r="AA48" i="26" s="1"/>
  <c r="AB48" i="26" s="1"/>
  <c r="AC48" i="26" s="1"/>
  <c r="W49" i="27"/>
  <c r="X49" i="27" s="1"/>
  <c r="Y49" i="27" s="1"/>
  <c r="AA49" i="27" s="1"/>
  <c r="AB49" i="27" s="1"/>
  <c r="AC49" i="27" s="1"/>
  <c r="AQ31" i="27"/>
  <c r="AE42" i="16"/>
  <c r="AP15" i="16" s="1"/>
  <c r="V48" i="16"/>
  <c r="AP39" i="16"/>
  <c r="W50" i="26"/>
  <c r="X50" i="26" s="1"/>
  <c r="Y50" i="26" s="1"/>
  <c r="AA50" i="26" s="1"/>
  <c r="AB50" i="26" s="1"/>
  <c r="AC50" i="26" s="1"/>
  <c r="AQ32" i="26"/>
  <c r="AQ29" i="28"/>
  <c r="W47" i="28"/>
  <c r="X47" i="28" s="1"/>
  <c r="Y47" i="28" s="1"/>
  <c r="AA47" i="28" s="1"/>
  <c r="AB47" i="28" s="1"/>
  <c r="AC47" i="28" s="1"/>
  <c r="W49" i="26"/>
  <c r="X49" i="26" s="1"/>
  <c r="Y49" i="26" s="1"/>
  <c r="AA49" i="26" s="1"/>
  <c r="AB49" i="26" s="1"/>
  <c r="AC49" i="26" s="1"/>
  <c r="AQ31" i="26"/>
  <c r="AF49" i="26" l="1"/>
  <c r="AQ22" i="26" s="1"/>
  <c r="AD49" i="26"/>
  <c r="AF49" i="27"/>
  <c r="AQ22" i="27" s="1"/>
  <c r="AD49" i="27"/>
  <c r="AF49" i="28"/>
  <c r="AQ22" i="28" s="1"/>
  <c r="AD49" i="28"/>
  <c r="W47" i="16"/>
  <c r="X47" i="16" s="1"/>
  <c r="Y47" i="16" s="1"/>
  <c r="AA47" i="16" s="1"/>
  <c r="AB47" i="16" s="1"/>
  <c r="AC47" i="16" s="1"/>
  <c r="AQ29" i="16"/>
  <c r="AF50" i="26"/>
  <c r="AQ23" i="26" s="1"/>
  <c r="AD50" i="26"/>
  <c r="AF47" i="28"/>
  <c r="AQ20" i="28" s="1"/>
  <c r="AD47" i="28"/>
  <c r="AF50" i="28"/>
  <c r="AQ23" i="28" s="1"/>
  <c r="AD50" i="28"/>
  <c r="AP28" i="16"/>
  <c r="AP37" i="16"/>
  <c r="AP19" i="16"/>
  <c r="W48" i="16"/>
  <c r="X48" i="16" s="1"/>
  <c r="Y48" i="16" s="1"/>
  <c r="AA48" i="16" s="1"/>
  <c r="AB48" i="16" s="1"/>
  <c r="AC48" i="16" s="1"/>
  <c r="AQ30" i="16"/>
  <c r="AF48" i="26"/>
  <c r="AQ21" i="26" s="1"/>
  <c r="AD48" i="26"/>
  <c r="W49" i="16"/>
  <c r="X49" i="16" s="1"/>
  <c r="Y49" i="16" s="1"/>
  <c r="AA49" i="16" s="1"/>
  <c r="AB49" i="16" s="1"/>
  <c r="AC49" i="16" s="1"/>
  <c r="AQ31" i="16"/>
  <c r="AF50" i="27"/>
  <c r="AQ23" i="27" s="1"/>
  <c r="AD50" i="27"/>
  <c r="AF48" i="28"/>
  <c r="AQ21" i="28" s="1"/>
  <c r="AD48" i="28"/>
  <c r="W50" i="16"/>
  <c r="X50" i="16" s="1"/>
  <c r="Y50" i="16" s="1"/>
  <c r="AA50" i="16" s="1"/>
  <c r="AB50" i="16" s="1"/>
  <c r="AC50" i="16" s="1"/>
  <c r="AQ32" i="16"/>
  <c r="AF47" i="27"/>
  <c r="AQ20" i="27" s="1"/>
  <c r="AD47" i="27"/>
  <c r="AF47" i="26"/>
  <c r="AQ20" i="26" s="1"/>
  <c r="AD47" i="26"/>
  <c r="AF48" i="27"/>
  <c r="AQ21" i="27" s="1"/>
  <c r="AD48" i="27"/>
  <c r="AF50" i="16" l="1"/>
  <c r="AQ23" i="16" s="1"/>
  <c r="AD50" i="16"/>
  <c r="V53" i="28"/>
  <c r="AE47" i="28"/>
  <c r="AQ14" i="28" s="1"/>
  <c r="AQ38" i="28"/>
  <c r="V53" i="27"/>
  <c r="AQ38" i="27"/>
  <c r="AE47" i="27"/>
  <c r="AQ14" i="27" s="1"/>
  <c r="AQ41" i="27"/>
  <c r="V56" i="27"/>
  <c r="AE50" i="27"/>
  <c r="AQ17" i="27" s="1"/>
  <c r="V53" i="26"/>
  <c r="AQ38" i="26"/>
  <c r="AE47" i="26"/>
  <c r="AQ14" i="26" s="1"/>
  <c r="V55" i="28"/>
  <c r="AQ40" i="28"/>
  <c r="AE49" i="28"/>
  <c r="AQ16" i="28" s="1"/>
  <c r="AE48" i="27"/>
  <c r="AQ15" i="27" s="1"/>
  <c r="AQ39" i="27"/>
  <c r="V54" i="27"/>
  <c r="AQ39" i="28"/>
  <c r="V54" i="28"/>
  <c r="AE48" i="28"/>
  <c r="AQ15" i="28" s="1"/>
  <c r="AF49" i="16"/>
  <c r="AQ22" i="16" s="1"/>
  <c r="AD49" i="16"/>
  <c r="AF48" i="16"/>
  <c r="AQ21" i="16" s="1"/>
  <c r="AD48" i="16"/>
  <c r="AE50" i="28"/>
  <c r="AQ17" i="28" s="1"/>
  <c r="V56" i="28"/>
  <c r="AQ41" i="28"/>
  <c r="V56" i="26"/>
  <c r="AQ41" i="26"/>
  <c r="AE50" i="26"/>
  <c r="AQ17" i="26" s="1"/>
  <c r="AQ40" i="27"/>
  <c r="AE49" i="27"/>
  <c r="AQ16" i="27" s="1"/>
  <c r="V55" i="27"/>
  <c r="AQ40" i="26"/>
  <c r="V55" i="26"/>
  <c r="AE49" i="26"/>
  <c r="AQ16" i="26" s="1"/>
  <c r="AQ39" i="26"/>
  <c r="AE48" i="26"/>
  <c r="AQ15" i="26" s="1"/>
  <c r="V54" i="26"/>
  <c r="AF47" i="16"/>
  <c r="AQ20" i="16" s="1"/>
  <c r="AD47" i="16"/>
  <c r="V53" i="16" l="1"/>
  <c r="AQ38" i="16"/>
  <c r="AE47" i="16"/>
  <c r="AQ14" i="16" s="1"/>
  <c r="W54" i="26"/>
  <c r="X54" i="26" s="1"/>
  <c r="Y54" i="26" s="1"/>
  <c r="AA54" i="26" s="1"/>
  <c r="AB54" i="26" s="1"/>
  <c r="AC54" i="26" s="1"/>
  <c r="AR30" i="26"/>
  <c r="AR31" i="26"/>
  <c r="W55" i="26"/>
  <c r="X55" i="26" s="1"/>
  <c r="Y55" i="26" s="1"/>
  <c r="AA55" i="26" s="1"/>
  <c r="AB55" i="26" s="1"/>
  <c r="AC55" i="26" s="1"/>
  <c r="AR30" i="27"/>
  <c r="W54" i="27"/>
  <c r="X54" i="27" s="1"/>
  <c r="Y54" i="27" s="1"/>
  <c r="AA54" i="27" s="1"/>
  <c r="AB54" i="27" s="1"/>
  <c r="AC54" i="27" s="1"/>
  <c r="AR29" i="26"/>
  <c r="W53" i="26"/>
  <c r="X53" i="26" s="1"/>
  <c r="Y53" i="26" s="1"/>
  <c r="AA53" i="26" s="1"/>
  <c r="AB53" i="26" s="1"/>
  <c r="AC53" i="26" s="1"/>
  <c r="AR32" i="28"/>
  <c r="W56" i="28"/>
  <c r="X56" i="28" s="1"/>
  <c r="Y56" i="28" s="1"/>
  <c r="AA56" i="28" s="1"/>
  <c r="AB56" i="28" s="1"/>
  <c r="AC56" i="28" s="1"/>
  <c r="AQ40" i="16"/>
  <c r="AE49" i="16"/>
  <c r="AQ16" i="16" s="1"/>
  <c r="V55" i="16"/>
  <c r="AR31" i="28"/>
  <c r="W55" i="28"/>
  <c r="X55" i="28" s="1"/>
  <c r="Y55" i="28" s="1"/>
  <c r="AA55" i="28" s="1"/>
  <c r="AB55" i="28" s="1"/>
  <c r="AC55" i="28" s="1"/>
  <c r="AQ19" i="27"/>
  <c r="AQ37" i="27"/>
  <c r="AQ28" i="27"/>
  <c r="AR29" i="28"/>
  <c r="W53" i="28"/>
  <c r="X53" i="28" s="1"/>
  <c r="Y53" i="28" s="1"/>
  <c r="AA53" i="28" s="1"/>
  <c r="AB53" i="28" s="1"/>
  <c r="AC53" i="28" s="1"/>
  <c r="W55" i="27"/>
  <c r="X55" i="27" s="1"/>
  <c r="Y55" i="27" s="1"/>
  <c r="AA55" i="27" s="1"/>
  <c r="AB55" i="27" s="1"/>
  <c r="AC55" i="27" s="1"/>
  <c r="AR31" i="27"/>
  <c r="AQ19" i="28"/>
  <c r="AQ37" i="28"/>
  <c r="AQ28" i="28"/>
  <c r="AR30" i="28"/>
  <c r="W54" i="28"/>
  <c r="X54" i="28" s="1"/>
  <c r="Y54" i="28" s="1"/>
  <c r="AA54" i="28" s="1"/>
  <c r="AB54" i="28" s="1"/>
  <c r="AC54" i="28" s="1"/>
  <c r="AR32" i="27"/>
  <c r="W56" i="27"/>
  <c r="X56" i="27" s="1"/>
  <c r="Y56" i="27" s="1"/>
  <c r="AA56" i="27" s="1"/>
  <c r="AB56" i="27" s="1"/>
  <c r="AC56" i="27" s="1"/>
  <c r="W53" i="27"/>
  <c r="X53" i="27" s="1"/>
  <c r="Y53" i="27" s="1"/>
  <c r="AA53" i="27" s="1"/>
  <c r="AB53" i="27" s="1"/>
  <c r="AC53" i="27" s="1"/>
  <c r="AR29" i="27"/>
  <c r="AQ41" i="16"/>
  <c r="V56" i="16"/>
  <c r="AE50" i="16"/>
  <c r="AQ17" i="16" s="1"/>
  <c r="AQ37" i="26"/>
  <c r="AQ19" i="26"/>
  <c r="AQ28" i="26"/>
  <c r="W56" i="26"/>
  <c r="X56" i="26" s="1"/>
  <c r="Y56" i="26" s="1"/>
  <c r="AA56" i="26" s="1"/>
  <c r="AB56" i="26" s="1"/>
  <c r="AC56" i="26" s="1"/>
  <c r="AR32" i="26"/>
  <c r="AQ39" i="16"/>
  <c r="AE48" i="16"/>
  <c r="AQ15" i="16" s="1"/>
  <c r="V54" i="16"/>
  <c r="AF55" i="27" l="1"/>
  <c r="AR22" i="27" s="1"/>
  <c r="AD55" i="27"/>
  <c r="W55" i="16"/>
  <c r="X55" i="16" s="1"/>
  <c r="Y55" i="16" s="1"/>
  <c r="AA55" i="16" s="1"/>
  <c r="AB55" i="16" s="1"/>
  <c r="AC55" i="16" s="1"/>
  <c r="AR31" i="16"/>
  <c r="AF54" i="26"/>
  <c r="AR21" i="26" s="1"/>
  <c r="AD54" i="26"/>
  <c r="AF56" i="27"/>
  <c r="AR23" i="27" s="1"/>
  <c r="AD56" i="27"/>
  <c r="AQ37" i="16"/>
  <c r="AQ19" i="16"/>
  <c r="AQ28" i="16"/>
  <c r="AF53" i="26"/>
  <c r="AR20" i="26" s="1"/>
  <c r="AD53" i="26"/>
  <c r="AF55" i="26"/>
  <c r="AR22" i="26" s="1"/>
  <c r="AD55" i="26"/>
  <c r="AF54" i="28"/>
  <c r="AR21" i="28" s="1"/>
  <c r="AD54" i="28"/>
  <c r="AR32" i="16"/>
  <c r="W56" i="16"/>
  <c r="X56" i="16" s="1"/>
  <c r="Y56" i="16" s="1"/>
  <c r="AA56" i="16" s="1"/>
  <c r="AB56" i="16" s="1"/>
  <c r="AC56" i="16" s="1"/>
  <c r="AF53" i="28"/>
  <c r="AR20" i="28" s="1"/>
  <c r="AD53" i="28"/>
  <c r="AF55" i="28"/>
  <c r="AR22" i="28" s="1"/>
  <c r="AD55" i="28"/>
  <c r="AR30" i="16"/>
  <c r="W54" i="16"/>
  <c r="X54" i="16" s="1"/>
  <c r="Y54" i="16" s="1"/>
  <c r="AA54" i="16" s="1"/>
  <c r="AB54" i="16" s="1"/>
  <c r="AC54" i="16" s="1"/>
  <c r="AF56" i="26"/>
  <c r="AR23" i="26" s="1"/>
  <c r="AD56" i="26"/>
  <c r="AF53" i="27"/>
  <c r="AR20" i="27" s="1"/>
  <c r="AD53" i="27"/>
  <c r="AF56" i="28"/>
  <c r="AR23" i="28" s="1"/>
  <c r="AD56" i="28"/>
  <c r="AF54" i="27"/>
  <c r="AR21" i="27" s="1"/>
  <c r="AD54" i="27"/>
  <c r="AR29" i="16"/>
  <c r="W53" i="16"/>
  <c r="X53" i="16" s="1"/>
  <c r="Y53" i="16" s="1"/>
  <c r="AA53" i="16" s="1"/>
  <c r="AB53" i="16" s="1"/>
  <c r="AC53" i="16" s="1"/>
  <c r="AE56" i="27" l="1"/>
  <c r="AR17" i="27" s="1"/>
  <c r="AR41" i="27"/>
  <c r="AF54" i="16"/>
  <c r="AR21" i="16" s="1"/>
  <c r="AD54" i="16"/>
  <c r="AE55" i="26"/>
  <c r="AR16" i="26" s="1"/>
  <c r="AR40" i="26"/>
  <c r="AF55" i="16"/>
  <c r="AR22" i="16" s="1"/>
  <c r="AD55" i="16"/>
  <c r="AF53" i="16"/>
  <c r="AR20" i="16" s="1"/>
  <c r="AD53" i="16"/>
  <c r="AE56" i="28"/>
  <c r="AR17" i="28" s="1"/>
  <c r="AR41" i="28"/>
  <c r="AE53" i="27"/>
  <c r="AR14" i="27" s="1"/>
  <c r="AR38" i="27"/>
  <c r="AE53" i="28"/>
  <c r="AR14" i="28" s="1"/>
  <c r="AR38" i="28"/>
  <c r="AE54" i="26"/>
  <c r="AR15" i="26" s="1"/>
  <c r="AR39" i="26"/>
  <c r="AE55" i="27"/>
  <c r="AR16" i="27" s="1"/>
  <c r="AR40" i="27"/>
  <c r="AE54" i="27"/>
  <c r="AR15" i="27" s="1"/>
  <c r="AR39" i="27"/>
  <c r="AR41" i="26"/>
  <c r="AE56" i="26"/>
  <c r="AR17" i="26" s="1"/>
  <c r="AE55" i="28"/>
  <c r="AR16" i="28" s="1"/>
  <c r="AR40" i="28"/>
  <c r="AF56" i="16"/>
  <c r="AR23" i="16" s="1"/>
  <c r="AD56" i="16"/>
  <c r="AE54" i="28"/>
  <c r="AR15" i="28" s="1"/>
  <c r="AR39" i="28"/>
  <c r="AR38" i="26"/>
  <c r="AE53" i="26"/>
  <c r="AR14" i="26" s="1"/>
  <c r="AE54" i="16" l="1"/>
  <c r="AR15" i="16" s="1"/>
  <c r="AR39" i="16"/>
  <c r="AE55" i="16"/>
  <c r="AR16" i="16" s="1"/>
  <c r="AR40" i="16"/>
  <c r="AE56" i="16"/>
  <c r="AR17" i="16" s="1"/>
  <c r="AR41" i="16"/>
  <c r="AR38" i="16"/>
  <c r="AE53" i="16"/>
  <c r="AR14" i="16" s="1"/>
  <c r="AR19" i="28"/>
  <c r="AR28" i="28"/>
  <c r="AR37" i="28"/>
  <c r="AJ44" i="28" s="1"/>
  <c r="AR28" i="26"/>
  <c r="AR37" i="26"/>
  <c r="AJ44" i="26" s="1"/>
  <c r="AR19" i="26"/>
  <c r="AR37" i="27"/>
  <c r="AJ44" i="27" s="1"/>
  <c r="AR28" i="27"/>
  <c r="AR19" i="27"/>
  <c r="E11" i="27" l="1"/>
  <c r="AJ35" i="27"/>
  <c r="AR28" i="16"/>
  <c r="AR37" i="16"/>
  <c r="AJ44" i="16" s="1"/>
  <c r="AR19" i="16"/>
  <c r="AJ26" i="26"/>
  <c r="H15" i="26"/>
  <c r="H25" i="26" s="1"/>
  <c r="E6" i="26" s="1"/>
  <c r="E11" i="28"/>
  <c r="AJ35" i="28"/>
  <c r="AJ35" i="26"/>
  <c r="E11" i="26"/>
  <c r="AJ26" i="27"/>
  <c r="H15" i="27"/>
  <c r="H25" i="27" s="1"/>
  <c r="E6" i="27" s="1"/>
  <c r="E34" i="27" s="1"/>
  <c r="E36" i="27" s="1"/>
  <c r="AJ26" i="28"/>
  <c r="H15" i="28"/>
  <c r="H25" i="28" s="1"/>
  <c r="E6" i="28" s="1"/>
  <c r="T5" i="23" l="1"/>
  <c r="F3" i="22"/>
  <c r="W194" i="23"/>
  <c r="W196" i="23"/>
  <c r="W195" i="23"/>
  <c r="E11" i="16"/>
  <c r="AJ35" i="16"/>
  <c r="J6" i="28"/>
  <c r="U5" i="23" s="1"/>
  <c r="U47" i="23" s="1"/>
  <c r="W47" i="23" s="1"/>
  <c r="E5" i="28"/>
  <c r="J6" i="26"/>
  <c r="E5" i="26"/>
  <c r="E34" i="26"/>
  <c r="E36" i="26" s="1"/>
  <c r="E5" i="27"/>
  <c r="J6" i="27"/>
  <c r="AJ26" i="16"/>
  <c r="H15" i="16"/>
  <c r="H25" i="16" s="1"/>
  <c r="E6" i="16" s="1"/>
  <c r="Y196" i="23" l="1"/>
  <c r="Z196" i="23" s="1"/>
  <c r="AA196" i="23" s="1"/>
  <c r="Z47" i="23"/>
  <c r="F4" i="22"/>
  <c r="D70" i="22" s="1"/>
  <c r="D67" i="22"/>
  <c r="T42" i="23"/>
  <c r="W42" i="23" s="1"/>
  <c r="S5" i="23"/>
  <c r="S17" i="23" s="1"/>
  <c r="W17" i="23" s="1"/>
  <c r="Z17" i="23" s="1"/>
  <c r="F2" i="22"/>
  <c r="Y47" i="23"/>
  <c r="W49" i="23"/>
  <c r="W50" i="23" s="1"/>
  <c r="J6" i="16"/>
  <c r="E5" i="16"/>
  <c r="Y42" i="23" l="1"/>
  <c r="W44" i="23"/>
  <c r="Z42" i="23"/>
  <c r="Z44" i="23" s="1"/>
  <c r="F67" i="22"/>
  <c r="F70" i="22"/>
  <c r="S95" i="23"/>
  <c r="S127" i="23"/>
  <c r="W127" i="23" s="1"/>
  <c r="Z127" i="23" s="1"/>
  <c r="S35" i="23"/>
  <c r="W35" i="23" s="1"/>
  <c r="Z35" i="23" s="1"/>
  <c r="S90" i="23"/>
  <c r="S119" i="23"/>
  <c r="W119" i="23" s="1"/>
  <c r="Z119" i="23" s="1"/>
  <c r="S115" i="23"/>
  <c r="S86" i="23"/>
  <c r="S157" i="23"/>
  <c r="S69" i="23"/>
  <c r="S101" i="23"/>
  <c r="W101" i="23" s="1"/>
  <c r="Z101" i="23" s="1"/>
  <c r="S31" i="23"/>
  <c r="W31" i="23" s="1"/>
  <c r="Z31" i="23" s="1"/>
  <c r="S87" i="23"/>
  <c r="S61" i="23"/>
  <c r="S92" i="23"/>
  <c r="W92" i="23" s="1"/>
  <c r="Z92" i="23" s="1"/>
  <c r="S110" i="23"/>
  <c r="S153" i="23"/>
  <c r="S125" i="23"/>
  <c r="S133" i="23"/>
  <c r="S98" i="23"/>
  <c r="W98" i="23" s="1"/>
  <c r="Z98" i="23" s="1"/>
  <c r="S14" i="23"/>
  <c r="W14" i="23" s="1"/>
  <c r="Z14" i="23" s="1"/>
  <c r="S171" i="23"/>
  <c r="S37" i="23"/>
  <c r="S136" i="23"/>
  <c r="W136" i="23" s="1"/>
  <c r="Z136" i="23" s="1"/>
  <c r="S73" i="23"/>
  <c r="S152" i="23"/>
  <c r="S150" i="23"/>
  <c r="W150" i="23" s="1"/>
  <c r="Z150" i="23" s="1"/>
  <c r="S75" i="23"/>
  <c r="W75" i="23" s="1"/>
  <c r="Z75" i="23" s="1"/>
  <c r="S104" i="23"/>
  <c r="W104" i="23" s="1"/>
  <c r="Z104" i="23" s="1"/>
  <c r="S165" i="23"/>
  <c r="W165" i="23" s="1"/>
  <c r="Z165" i="23" s="1"/>
  <c r="S126" i="23"/>
  <c r="S60" i="23"/>
  <c r="W60" i="23" s="1"/>
  <c r="Z60" i="23" s="1"/>
  <c r="S166" i="23"/>
  <c r="W166" i="23" s="1"/>
  <c r="Z166" i="23" s="1"/>
  <c r="S91" i="23"/>
  <c r="S76" i="23"/>
  <c r="S100" i="23"/>
  <c r="W100" i="23" s="1"/>
  <c r="Z100" i="23" s="1"/>
  <c r="S84" i="23"/>
  <c r="W84" i="23" s="1"/>
  <c r="Z84" i="23" s="1"/>
  <c r="S66" i="23"/>
  <c r="W66" i="23" s="1"/>
  <c r="Z66" i="23" s="1"/>
  <c r="S137" i="23"/>
  <c r="S151" i="23"/>
  <c r="S20" i="23"/>
  <c r="W20" i="23" s="1"/>
  <c r="Z20" i="23" s="1"/>
  <c r="S70" i="23"/>
  <c r="S64" i="23"/>
  <c r="S80" i="23"/>
  <c r="S117" i="23"/>
  <c r="W117" i="23" s="1"/>
  <c r="Z117" i="23" s="1"/>
  <c r="S58" i="23"/>
  <c r="W58" i="23" s="1"/>
  <c r="Z58" i="23" s="1"/>
  <c r="S85" i="23"/>
  <c r="S102" i="23"/>
  <c r="W102" i="23" s="1"/>
  <c r="Z102" i="23" s="1"/>
  <c r="S129" i="23"/>
  <c r="W129" i="23" s="1"/>
  <c r="Z129" i="23" s="1"/>
  <c r="S13" i="23"/>
  <c r="S56" i="23"/>
  <c r="S74" i="23"/>
  <c r="W74" i="23" s="1"/>
  <c r="Z74" i="23" s="1"/>
  <c r="S36" i="23"/>
  <c r="S146" i="23"/>
  <c r="W146" i="23" s="1"/>
  <c r="Z146" i="23" s="1"/>
  <c r="S147" i="23"/>
  <c r="S123" i="23"/>
  <c r="S72" i="23"/>
  <c r="W72" i="23" s="1"/>
  <c r="Z72" i="23" s="1"/>
  <c r="S121" i="23"/>
  <c r="W121" i="23" s="1"/>
  <c r="Z121" i="23" s="1"/>
  <c r="S83" i="23"/>
  <c r="W83" i="23" s="1"/>
  <c r="Z83" i="23" s="1"/>
  <c r="S124" i="23"/>
  <c r="W124" i="23" s="1"/>
  <c r="Z124" i="23" s="1"/>
  <c r="S34" i="23"/>
  <c r="S138" i="23"/>
  <c r="W138" i="23" s="1"/>
  <c r="Z138" i="23" s="1"/>
  <c r="S107" i="23"/>
  <c r="W107" i="23" s="1"/>
  <c r="Z107" i="23" s="1"/>
  <c r="S172" i="23"/>
  <c r="W172" i="23" s="1"/>
  <c r="S184" i="23"/>
  <c r="Y184" i="23" s="1"/>
  <c r="S96" i="23"/>
  <c r="S135" i="23"/>
  <c r="S81" i="23"/>
  <c r="S12" i="23"/>
  <c r="W12" i="23" s="1"/>
  <c r="Z12" i="23" s="1"/>
  <c r="S26" i="23"/>
  <c r="S82" i="23"/>
  <c r="S55" i="23"/>
  <c r="W55" i="23" s="1"/>
  <c r="Z55" i="23" s="1"/>
  <c r="S139" i="23"/>
  <c r="W139" i="23" s="1"/>
  <c r="S103" i="23"/>
  <c r="W103" i="23" s="1"/>
  <c r="Z103" i="23" s="1"/>
  <c r="S161" i="23"/>
  <c r="W161" i="23" s="1"/>
  <c r="Z161" i="23" s="1"/>
  <c r="S159" i="23"/>
  <c r="W159" i="23" s="1"/>
  <c r="Z159" i="23" s="1"/>
  <c r="S106" i="23"/>
  <c r="W106" i="23" s="1"/>
  <c r="Z106" i="23" s="1"/>
  <c r="S63" i="23"/>
  <c r="W63" i="23" s="1"/>
  <c r="Z63" i="23" s="1"/>
  <c r="S160" i="23"/>
  <c r="S105" i="23"/>
  <c r="S155" i="23"/>
  <c r="W155" i="23" s="1"/>
  <c r="Z155" i="23" s="1"/>
  <c r="S62" i="23"/>
  <c r="W62" i="23" s="1"/>
  <c r="Z62" i="23" s="1"/>
  <c r="S33" i="23"/>
  <c r="S29" i="23"/>
  <c r="S24" i="23"/>
  <c r="S22" i="23"/>
  <c r="S114" i="23"/>
  <c r="S93" i="23"/>
  <c r="S11" i="23"/>
  <c r="S148" i="23"/>
  <c r="S132" i="23"/>
  <c r="W132" i="23" s="1"/>
  <c r="Z132" i="23" s="1"/>
  <c r="S99" i="23"/>
  <c r="W99" i="23" s="1"/>
  <c r="Z99" i="23" s="1"/>
  <c r="S108" i="23"/>
  <c r="S158" i="23"/>
  <c r="W158" i="23" s="1"/>
  <c r="Z158" i="23" s="1"/>
  <c r="S68" i="23"/>
  <c r="S163" i="23"/>
  <c r="W163" i="23" s="1"/>
  <c r="Z163" i="23" s="1"/>
  <c r="S32" i="23"/>
  <c r="S18" i="23"/>
  <c r="W18" i="23" s="1"/>
  <c r="Z18" i="23" s="1"/>
  <c r="S21" i="23"/>
  <c r="S170" i="23"/>
  <c r="S30" i="23"/>
  <c r="W30" i="23" s="1"/>
  <c r="Z30" i="23" s="1"/>
  <c r="S154" i="23"/>
  <c r="W154" i="23" s="1"/>
  <c r="Z154" i="23" s="1"/>
  <c r="S94" i="23"/>
  <c r="W94" i="23" s="1"/>
  <c r="Z94" i="23" s="1"/>
  <c r="S168" i="23"/>
  <c r="S122" i="23"/>
  <c r="W122" i="23" s="1"/>
  <c r="Z122" i="23" s="1"/>
  <c r="S111" i="23"/>
  <c r="S78" i="23"/>
  <c r="S57" i="23"/>
  <c r="W57" i="23" s="1"/>
  <c r="Z57" i="23" s="1"/>
  <c r="S23" i="23"/>
  <c r="W23" i="23" s="1"/>
  <c r="Z23" i="23" s="1"/>
  <c r="S28" i="23"/>
  <c r="S79" i="23"/>
  <c r="S112" i="23"/>
  <c r="W112" i="23" s="1"/>
  <c r="Z112" i="23" s="1"/>
  <c r="S162" i="23"/>
  <c r="S77" i="23"/>
  <c r="S97" i="23"/>
  <c r="S120" i="23"/>
  <c r="W120" i="23" s="1"/>
  <c r="Z120" i="23" s="1"/>
  <c r="S15" i="23"/>
  <c r="W15" i="23" s="1"/>
  <c r="Z15" i="23" s="1"/>
  <c r="S113" i="23"/>
  <c r="S130" i="23"/>
  <c r="W130" i="23" s="1"/>
  <c r="Z130" i="23" s="1"/>
  <c r="S149" i="23"/>
  <c r="W149" i="23" s="1"/>
  <c r="Z149" i="23" s="1"/>
  <c r="S25" i="23"/>
  <c r="W25" i="23" s="1"/>
  <c r="Z25" i="23" s="1"/>
  <c r="S16" i="23"/>
  <c r="W16" i="23" s="1"/>
  <c r="Z16" i="23" s="1"/>
  <c r="S128" i="23"/>
  <c r="W128" i="23" s="1"/>
  <c r="Z128" i="23" s="1"/>
  <c r="S54" i="23"/>
  <c r="W54" i="23" s="1"/>
  <c r="Z54" i="23" s="1"/>
  <c r="S65" i="23"/>
  <c r="S116" i="23"/>
  <c r="S27" i="23"/>
  <c r="W27" i="23" s="1"/>
  <c r="Z27" i="23" s="1"/>
  <c r="S59" i="23"/>
  <c r="W59" i="23" s="1"/>
  <c r="Z59" i="23" s="1"/>
  <c r="S169" i="23"/>
  <c r="S167" i="23"/>
  <c r="S88" i="23"/>
  <c r="S19" i="23"/>
  <c r="W19" i="23" s="1"/>
  <c r="Z19" i="23" s="1"/>
  <c r="S118" i="23"/>
  <c r="S109" i="23"/>
  <c r="W109" i="23" s="1"/>
  <c r="Z109" i="23" s="1"/>
  <c r="S164" i="23"/>
  <c r="S156" i="23"/>
  <c r="S131" i="23"/>
  <c r="S71" i="23"/>
  <c r="S67" i="23"/>
  <c r="S134" i="23"/>
  <c r="S89" i="23"/>
  <c r="D29" i="22"/>
  <c r="F29" i="22" s="1"/>
  <c r="D33" i="22"/>
  <c r="F33" i="22" s="1"/>
  <c r="D42" i="22"/>
  <c r="F42" i="22" s="1"/>
  <c r="D52" i="22"/>
  <c r="F52" i="22" s="1"/>
  <c r="D58" i="22"/>
  <c r="D62" i="22"/>
  <c r="F62" i="22" s="1"/>
  <c r="D74" i="22"/>
  <c r="F74" i="22" s="1"/>
  <c r="D80" i="22"/>
  <c r="F80" i="22" s="1"/>
  <c r="D84" i="22"/>
  <c r="F84" i="22" s="1"/>
  <c r="D90" i="22"/>
  <c r="F90" i="22" s="1"/>
  <c r="D94" i="22"/>
  <c r="F94" i="22" s="1"/>
  <c r="D100" i="22"/>
  <c r="F100" i="22" s="1"/>
  <c r="D106" i="22"/>
  <c r="F106" i="22" s="1"/>
  <c r="D114" i="22"/>
  <c r="F114" i="22" s="1"/>
  <c r="D120" i="22"/>
  <c r="F120" i="22" s="1"/>
  <c r="D130" i="22"/>
  <c r="F130" i="22" s="1"/>
  <c r="D141" i="22"/>
  <c r="F141" i="22" s="1"/>
  <c r="D154" i="22"/>
  <c r="F154" i="22" s="1"/>
  <c r="D161" i="22"/>
  <c r="F161" i="22" s="1"/>
  <c r="D165" i="22"/>
  <c r="F165" i="22" s="1"/>
  <c r="D173" i="22"/>
  <c r="F173" i="22" s="1"/>
  <c r="D179" i="22"/>
  <c r="F179" i="22" s="1"/>
  <c r="D189" i="22"/>
  <c r="F189" i="22" s="1"/>
  <c r="D193" i="22"/>
  <c r="F193" i="22" s="1"/>
  <c r="D199" i="22"/>
  <c r="D205" i="22"/>
  <c r="F205" i="22" s="1"/>
  <c r="D209" i="22"/>
  <c r="F209" i="22" s="1"/>
  <c r="D216" i="22"/>
  <c r="F216" i="22" s="1"/>
  <c r="D222" i="22"/>
  <c r="F222" i="22" s="1"/>
  <c r="D230" i="22"/>
  <c r="F230" i="22" s="1"/>
  <c r="D238" i="22"/>
  <c r="F238" i="22" s="1"/>
  <c r="D247" i="22"/>
  <c r="F247" i="22" s="1"/>
  <c r="D254" i="22"/>
  <c r="F254" i="22" s="1"/>
  <c r="D258" i="22"/>
  <c r="F258" i="22" s="1"/>
  <c r="D264" i="22"/>
  <c r="F264" i="22" s="1"/>
  <c r="D267" i="22"/>
  <c r="F267" i="22" s="1"/>
  <c r="D272" i="22"/>
  <c r="F272" i="22" s="1"/>
  <c r="D279" i="22"/>
  <c r="F279" i="22" s="1"/>
  <c r="D286" i="22"/>
  <c r="F286" i="22" s="1"/>
  <c r="D293" i="22"/>
  <c r="F293" i="22" s="1"/>
  <c r="D300" i="22"/>
  <c r="F300" i="22" s="1"/>
  <c r="D306" i="22"/>
  <c r="F306" i="22" s="1"/>
  <c r="D311" i="22"/>
  <c r="F311" i="22" s="1"/>
  <c r="D316" i="22"/>
  <c r="F316" i="22" s="1"/>
  <c r="D321" i="22"/>
  <c r="F321" i="22" s="1"/>
  <c r="D328" i="22"/>
  <c r="F328" i="22" s="1"/>
  <c r="D332" i="22"/>
  <c r="F332" i="22" s="1"/>
  <c r="D17" i="22"/>
  <c r="F17" i="22" s="1"/>
  <c r="D30" i="22"/>
  <c r="F30" i="22" s="1"/>
  <c r="D38" i="22"/>
  <c r="F38" i="22" s="1"/>
  <c r="D43" i="22"/>
  <c r="F43" i="22" s="1"/>
  <c r="D53" i="22"/>
  <c r="F53" i="22" s="1"/>
  <c r="D59" i="22"/>
  <c r="F59" i="22" s="1"/>
  <c r="D63" i="22"/>
  <c r="F63" i="22" s="1"/>
  <c r="D75" i="22"/>
  <c r="F75" i="22" s="1"/>
  <c r="D81" i="22"/>
  <c r="F81" i="22" s="1"/>
  <c r="D87" i="22"/>
  <c r="F87" i="22" s="1"/>
  <c r="D91" i="22"/>
  <c r="F91" i="22" s="1"/>
  <c r="D97" i="22"/>
  <c r="F97" i="22" s="1"/>
  <c r="D103" i="22"/>
  <c r="F103" i="22" s="1"/>
  <c r="D109" i="22"/>
  <c r="F109" i="22" s="1"/>
  <c r="D117" i="22"/>
  <c r="F117" i="22" s="1"/>
  <c r="D125" i="22"/>
  <c r="F125" i="22" s="1"/>
  <c r="D131" i="22"/>
  <c r="F131" i="22" s="1"/>
  <c r="D136" i="22"/>
  <c r="F136" i="22" s="1"/>
  <c r="D142" i="22"/>
  <c r="F142" i="22" s="1"/>
  <c r="D149" i="22"/>
  <c r="F149" i="22" s="1"/>
  <c r="D155" i="22"/>
  <c r="F155" i="22" s="1"/>
  <c r="D162" i="22"/>
  <c r="F162" i="22" s="1"/>
  <c r="D167" i="22"/>
  <c r="F167" i="22" s="1"/>
  <c r="D174" i="22"/>
  <c r="F174" i="22" s="1"/>
  <c r="F183" i="22"/>
  <c r="D190" i="22"/>
  <c r="F190" i="22" s="1"/>
  <c r="D194" i="22"/>
  <c r="F194" i="22" s="1"/>
  <c r="D200" i="22"/>
  <c r="F200" i="22" s="1"/>
  <c r="D206" i="22"/>
  <c r="F206" i="22" s="1"/>
  <c r="D210" i="22"/>
  <c r="F210" i="22" s="1"/>
  <c r="D217" i="22"/>
  <c r="F217" i="22" s="1"/>
  <c r="D225" i="22"/>
  <c r="F225" i="22" s="1"/>
  <c r="D231" i="22"/>
  <c r="F231" i="22" s="1"/>
  <c r="D242" i="22"/>
  <c r="F242" i="22" s="1"/>
  <c r="D248" i="22"/>
  <c r="F248" i="22" s="1"/>
  <c r="D255" i="22"/>
  <c r="F255" i="22" s="1"/>
  <c r="D259" i="22"/>
  <c r="F259" i="22" s="1"/>
  <c r="D265" i="22"/>
  <c r="F265" i="22" s="1"/>
  <c r="D269" i="22"/>
  <c r="F269" i="22" s="1"/>
  <c r="D273" i="22"/>
  <c r="F273" i="22" s="1"/>
  <c r="D282" i="22"/>
  <c r="F282" i="22" s="1"/>
  <c r="D290" i="22"/>
  <c r="F290" i="22" s="1"/>
  <c r="D297" i="22"/>
  <c r="F297" i="22" s="1"/>
  <c r="D303" i="22"/>
  <c r="F303" i="22" s="1"/>
  <c r="D317" i="22"/>
  <c r="F317" i="22" s="1"/>
  <c r="D322" i="22"/>
  <c r="F322" i="22" s="1"/>
  <c r="D329" i="22"/>
  <c r="F329" i="22" s="1"/>
  <c r="D334" i="22"/>
  <c r="F334" i="22" s="1"/>
  <c r="D11" i="22"/>
  <c r="F11" i="22" s="1"/>
  <c r="D23" i="22"/>
  <c r="F23" i="22" s="1"/>
  <c r="D31" i="22"/>
  <c r="F31" i="22" s="1"/>
  <c r="D39" i="22"/>
  <c r="F39" i="22" s="1"/>
  <c r="D46" i="22"/>
  <c r="F46" i="22" s="1"/>
  <c r="D54" i="22"/>
  <c r="F54" i="22" s="1"/>
  <c r="D60" i="22"/>
  <c r="F60" i="22" s="1"/>
  <c r="D64" i="22"/>
  <c r="F64" i="22" s="1"/>
  <c r="D78" i="22"/>
  <c r="F78" i="22" s="1"/>
  <c r="D82" i="22"/>
  <c r="F82" i="22" s="1"/>
  <c r="D88" i="22"/>
  <c r="F88" i="22" s="1"/>
  <c r="D92" i="22"/>
  <c r="F92" i="22" s="1"/>
  <c r="D98" i="22"/>
  <c r="F98" i="22" s="1"/>
  <c r="D104" i="22"/>
  <c r="F104" i="22" s="1"/>
  <c r="D110" i="22"/>
  <c r="F110" i="22" s="1"/>
  <c r="D118" i="22"/>
  <c r="F118" i="22" s="1"/>
  <c r="D126" i="22"/>
  <c r="F126" i="22" s="1"/>
  <c r="D132" i="22"/>
  <c r="F132" i="22" s="1"/>
  <c r="D145" i="22"/>
  <c r="F145" i="22" s="1"/>
  <c r="D156" i="22"/>
  <c r="F156" i="22" s="1"/>
  <c r="D163" i="22"/>
  <c r="F163" i="22" s="1"/>
  <c r="D168" i="22"/>
  <c r="F168" i="22" s="1"/>
  <c r="D175" i="22"/>
  <c r="F175" i="22" s="1"/>
  <c r="F184" i="22"/>
  <c r="D191" i="22"/>
  <c r="F191" i="22" s="1"/>
  <c r="D197" i="22"/>
  <c r="F197" i="22" s="1"/>
  <c r="D201" i="22"/>
  <c r="F201" i="22" s="1"/>
  <c r="D207" i="22"/>
  <c r="F207" i="22" s="1"/>
  <c r="D214" i="22"/>
  <c r="F214" i="22" s="1"/>
  <c r="D218" i="22"/>
  <c r="F218" i="22" s="1"/>
  <c r="D223" i="22"/>
  <c r="F223" i="22" s="1"/>
  <c r="D228" i="22"/>
  <c r="F228" i="22" s="1"/>
  <c r="D232" i="22"/>
  <c r="F232" i="22" s="1"/>
  <c r="D243" i="22"/>
  <c r="F243" i="22" s="1"/>
  <c r="D249" i="22"/>
  <c r="F249" i="22" s="1"/>
  <c r="D256" i="22"/>
  <c r="F256" i="22" s="1"/>
  <c r="D262" i="22"/>
  <c r="F262" i="22" s="1"/>
  <c r="D266" i="22"/>
  <c r="F266" i="22" s="1"/>
  <c r="D270" i="22"/>
  <c r="F270" i="22" s="1"/>
  <c r="D274" i="22"/>
  <c r="F274" i="22" s="1"/>
  <c r="D283" i="22"/>
  <c r="F283" i="22" s="1"/>
  <c r="D291" i="22"/>
  <c r="F291" i="22" s="1"/>
  <c r="D298" i="22"/>
  <c r="F298" i="22" s="1"/>
  <c r="D304" i="22"/>
  <c r="F304" i="22" s="1"/>
  <c r="D310" i="22"/>
  <c r="F310" i="22" s="1"/>
  <c r="D312" i="22"/>
  <c r="F312" i="22" s="1"/>
  <c r="D318" i="22"/>
  <c r="F318" i="22" s="1"/>
  <c r="D326" i="22"/>
  <c r="F326" i="22" s="1"/>
  <c r="D330" i="22"/>
  <c r="F330" i="22" s="1"/>
  <c r="D335" i="22"/>
  <c r="F335" i="22" s="1"/>
  <c r="D28" i="22"/>
  <c r="F28" i="22" s="1"/>
  <c r="D32" i="22"/>
  <c r="F32" i="22" s="1"/>
  <c r="D49" i="22"/>
  <c r="F49" i="22" s="1"/>
  <c r="D57" i="22"/>
  <c r="F57" i="22" s="1"/>
  <c r="D61" i="22"/>
  <c r="F61" i="22" s="1"/>
  <c r="D73" i="22"/>
  <c r="F73" i="22" s="1"/>
  <c r="D79" i="22"/>
  <c r="F79" i="22" s="1"/>
  <c r="D83" i="22"/>
  <c r="F83" i="22" s="1"/>
  <c r="D89" i="22"/>
  <c r="F89" i="22" s="1"/>
  <c r="D93" i="22"/>
  <c r="F93" i="22" s="1"/>
  <c r="D99" i="22"/>
  <c r="F99" i="22" s="1"/>
  <c r="D105" i="22"/>
  <c r="F105" i="22" s="1"/>
  <c r="D113" i="22"/>
  <c r="F113" i="22" s="1"/>
  <c r="D119" i="22"/>
  <c r="F119" i="22" s="1"/>
  <c r="D127" i="22"/>
  <c r="F127" i="22" s="1"/>
  <c r="D137" i="22"/>
  <c r="F137" i="22" s="1"/>
  <c r="D146" i="22"/>
  <c r="F146" i="22" s="1"/>
  <c r="D160" i="22"/>
  <c r="F160" i="22" s="1"/>
  <c r="D164" i="22"/>
  <c r="F164" i="22" s="1"/>
  <c r="D169" i="22"/>
  <c r="F169" i="22" s="1"/>
  <c r="D178" i="22"/>
  <c r="F178" i="22" s="1"/>
  <c r="F185" i="22"/>
  <c r="D192" i="22"/>
  <c r="F192" i="22" s="1"/>
  <c r="D198" i="22"/>
  <c r="D202" i="22"/>
  <c r="F202" i="22" s="1"/>
  <c r="D208" i="22"/>
  <c r="F208" i="22" s="1"/>
  <c r="D215" i="22"/>
  <c r="F215" i="22" s="1"/>
  <c r="D221" i="22"/>
  <c r="F221" i="22" s="1"/>
  <c r="D224" i="22"/>
  <c r="F224" i="22" s="1"/>
  <c r="D229" i="22"/>
  <c r="F229" i="22" s="1"/>
  <c r="D235" i="22"/>
  <c r="F235" i="22" s="1"/>
  <c r="D244" i="22"/>
  <c r="F244" i="22" s="1"/>
  <c r="D251" i="22"/>
  <c r="F251" i="22" s="1"/>
  <c r="D257" i="22"/>
  <c r="F257" i="22" s="1"/>
  <c r="D263" i="22"/>
  <c r="F263" i="22" s="1"/>
  <c r="D271" i="22"/>
  <c r="F271" i="22" s="1"/>
  <c r="D278" i="22"/>
  <c r="F278" i="22" s="1"/>
  <c r="D285" i="22"/>
  <c r="F285" i="22" s="1"/>
  <c r="D292" i="22"/>
  <c r="F292" i="22" s="1"/>
  <c r="D299" i="22"/>
  <c r="F299" i="22" s="1"/>
  <c r="D305" i="22"/>
  <c r="F305" i="22" s="1"/>
  <c r="D319" i="22"/>
  <c r="F319" i="22" s="1"/>
  <c r="D327" i="22"/>
  <c r="F327" i="22" s="1"/>
  <c r="D331" i="22"/>
  <c r="F331" i="22" s="1"/>
  <c r="D313" i="22"/>
  <c r="F313" i="22" s="1"/>
  <c r="D24" i="22"/>
  <c r="F24" i="22" s="1"/>
  <c r="D20" i="22"/>
  <c r="F20" i="22" s="1"/>
  <c r="D150" i="22"/>
  <c r="F150" i="22" s="1"/>
  <c r="D14" i="22"/>
  <c r="F14" i="22" s="1"/>
  <c r="D135" i="22"/>
  <c r="F135" i="22" s="1"/>
  <c r="Z49" i="23"/>
  <c r="Y49" i="23"/>
  <c r="Y103" i="23"/>
  <c r="Y18" i="23"/>
  <c r="Y44" i="23"/>
  <c r="Y165" i="23"/>
  <c r="Y172" i="23"/>
  <c r="Z172" i="23" s="1"/>
  <c r="Y74" i="23"/>
  <c r="Y94" i="23"/>
  <c r="Y138" i="23"/>
  <c r="Y146" i="23"/>
  <c r="Y120" i="23"/>
  <c r="Y149" i="23"/>
  <c r="Y58" i="23"/>
  <c r="Y102" i="23"/>
  <c r="Y127" i="23"/>
  <c r="Y66" i="23"/>
  <c r="Y119" i="23"/>
  <c r="Y121" i="23"/>
  <c r="Y83" i="23"/>
  <c r="Y124" i="23"/>
  <c r="Y31" i="23"/>
  <c r="Y107" i="23"/>
  <c r="Y17" i="23"/>
  <c r="Y27" i="23" l="1"/>
  <c r="Y161" i="23"/>
  <c r="Y130" i="23"/>
  <c r="Y132" i="23"/>
  <c r="Y150" i="23"/>
  <c r="Y92" i="23"/>
  <c r="Y128" i="23"/>
  <c r="Y101" i="23"/>
  <c r="Y195" i="23"/>
  <c r="Z195" i="23" s="1"/>
  <c r="AA195" i="23" s="1"/>
  <c r="W45" i="23"/>
  <c r="Y12" i="23"/>
  <c r="Y155" i="23"/>
  <c r="Y109" i="23"/>
  <c r="Y16" i="23"/>
  <c r="Y154" i="23"/>
  <c r="Y89" i="23"/>
  <c r="W89" i="23"/>
  <c r="Z89" i="23" s="1"/>
  <c r="Y131" i="23"/>
  <c r="W131" i="23"/>
  <c r="Z131" i="23" s="1"/>
  <c r="Y118" i="23"/>
  <c r="W118" i="23"/>
  <c r="Z118" i="23" s="1"/>
  <c r="Y169" i="23"/>
  <c r="W169" i="23"/>
  <c r="Z169" i="23" s="1"/>
  <c r="Y65" i="23"/>
  <c r="W65" i="23"/>
  <c r="Z65" i="23" s="1"/>
  <c r="Y162" i="23"/>
  <c r="W162" i="23"/>
  <c r="Z162" i="23" s="1"/>
  <c r="Y32" i="23"/>
  <c r="W32" i="23"/>
  <c r="Z32" i="23" s="1"/>
  <c r="Y108" i="23"/>
  <c r="W108" i="23"/>
  <c r="Z108" i="23" s="1"/>
  <c r="Y11" i="23"/>
  <c r="W11" i="23"/>
  <c r="Z11" i="23" s="1"/>
  <c r="Y24" i="23"/>
  <c r="W24" i="23"/>
  <c r="Z24" i="23" s="1"/>
  <c r="Y34" i="23"/>
  <c r="W34" i="23"/>
  <c r="Z34" i="23" s="1"/>
  <c r="Y36" i="23"/>
  <c r="W36" i="23"/>
  <c r="Z36" i="23" s="1"/>
  <c r="Y73" i="23"/>
  <c r="W73" i="23"/>
  <c r="Z73" i="23" s="1"/>
  <c r="Y153" i="23"/>
  <c r="W153" i="23"/>
  <c r="Z153" i="23" s="1"/>
  <c r="Y87" i="23"/>
  <c r="W87" i="23"/>
  <c r="Z87" i="23" s="1"/>
  <c r="Y157" i="23"/>
  <c r="W157" i="23"/>
  <c r="Z157" i="23" s="1"/>
  <c r="Y90" i="23"/>
  <c r="W90" i="23"/>
  <c r="Z90" i="23" s="1"/>
  <c r="Y134" i="23"/>
  <c r="W134" i="23"/>
  <c r="Z134" i="23" s="1"/>
  <c r="Y156" i="23"/>
  <c r="W156" i="23"/>
  <c r="Z156" i="23" s="1"/>
  <c r="Y168" i="23"/>
  <c r="W168" i="23"/>
  <c r="Z168" i="23" s="1"/>
  <c r="Y170" i="23"/>
  <c r="W170" i="23"/>
  <c r="Z170" i="23" s="1"/>
  <c r="Y93" i="23"/>
  <c r="W93" i="23"/>
  <c r="Z93" i="23" s="1"/>
  <c r="Y29" i="23"/>
  <c r="W29" i="23"/>
  <c r="Z29" i="23" s="1"/>
  <c r="Y105" i="23"/>
  <c r="W105" i="23"/>
  <c r="Z105" i="23" s="1"/>
  <c r="Y81" i="23"/>
  <c r="W81" i="23"/>
  <c r="Z81" i="23" s="1"/>
  <c r="Y123" i="23"/>
  <c r="W123" i="23"/>
  <c r="Z123" i="23" s="1"/>
  <c r="Y80" i="23"/>
  <c r="W80" i="23"/>
  <c r="Z80" i="23" s="1"/>
  <c r="Y151" i="23"/>
  <c r="W151" i="23"/>
  <c r="Z151" i="23" s="1"/>
  <c r="Y110" i="23"/>
  <c r="W110" i="23"/>
  <c r="Z110" i="23" s="1"/>
  <c r="Y86" i="23"/>
  <c r="W86" i="23"/>
  <c r="Z86" i="23" s="1"/>
  <c r="Y67" i="23"/>
  <c r="W67" i="23"/>
  <c r="Z67" i="23" s="1"/>
  <c r="Y164" i="23"/>
  <c r="W164" i="23"/>
  <c r="Z164" i="23" s="1"/>
  <c r="Y88" i="23"/>
  <c r="W88" i="23"/>
  <c r="Z88" i="23" s="1"/>
  <c r="Y97" i="23"/>
  <c r="W97" i="23"/>
  <c r="Z97" i="23" s="1"/>
  <c r="Y79" i="23"/>
  <c r="W79" i="23"/>
  <c r="Z79" i="23" s="1"/>
  <c r="Y78" i="23"/>
  <c r="W78" i="23"/>
  <c r="Z78" i="23" s="1"/>
  <c r="Y21" i="23"/>
  <c r="W21" i="23"/>
  <c r="Z21" i="23" s="1"/>
  <c r="Y68" i="23"/>
  <c r="W68" i="23"/>
  <c r="Z68" i="23" s="1"/>
  <c r="Y114" i="23"/>
  <c r="W114" i="23"/>
  <c r="Z114" i="23" s="1"/>
  <c r="Y33" i="23"/>
  <c r="W33" i="23"/>
  <c r="Z33" i="23" s="1"/>
  <c r="Y160" i="23"/>
  <c r="W160" i="23"/>
  <c r="Z160" i="23" s="1"/>
  <c r="Y82" i="23"/>
  <c r="W82" i="23"/>
  <c r="Z82" i="23" s="1"/>
  <c r="Y135" i="23"/>
  <c r="W135" i="23"/>
  <c r="Z135" i="23" s="1"/>
  <c r="Y147" i="23"/>
  <c r="W147" i="23"/>
  <c r="Z147" i="23" s="1"/>
  <c r="Y56" i="23"/>
  <c r="W56" i="23"/>
  <c r="Z56" i="23" s="1"/>
  <c r="Y85" i="23"/>
  <c r="W85" i="23"/>
  <c r="Z85" i="23" s="1"/>
  <c r="Y64" i="23"/>
  <c r="W64" i="23"/>
  <c r="Z64" i="23" s="1"/>
  <c r="Y137" i="23"/>
  <c r="W137" i="23"/>
  <c r="Z137" i="23" s="1"/>
  <c r="Y76" i="23"/>
  <c r="W76" i="23"/>
  <c r="Z76" i="23" s="1"/>
  <c r="Y126" i="23"/>
  <c r="W126" i="23"/>
  <c r="Z126" i="23" s="1"/>
  <c r="Y37" i="23"/>
  <c r="W37" i="23"/>
  <c r="Z37" i="23" s="1"/>
  <c r="Y133" i="23"/>
  <c r="W133" i="23"/>
  <c r="Z133" i="23" s="1"/>
  <c r="Y115" i="23"/>
  <c r="W115" i="23"/>
  <c r="Z115" i="23" s="1"/>
  <c r="Y71" i="23"/>
  <c r="W71" i="23"/>
  <c r="Z71" i="23" s="1"/>
  <c r="Y167" i="23"/>
  <c r="W167" i="23"/>
  <c r="Z167" i="23" s="1"/>
  <c r="Y116" i="23"/>
  <c r="W116" i="23"/>
  <c r="Z116" i="23" s="1"/>
  <c r="Y113" i="23"/>
  <c r="W113" i="23"/>
  <c r="Z113" i="23" s="1"/>
  <c r="Y77" i="23"/>
  <c r="W77" i="23"/>
  <c r="Z77" i="23" s="1"/>
  <c r="Y28" i="23"/>
  <c r="W28" i="23"/>
  <c r="Z28" i="23" s="1"/>
  <c r="Y111" i="23"/>
  <c r="W111" i="23"/>
  <c r="Z111" i="23" s="1"/>
  <c r="Y148" i="23"/>
  <c r="W148" i="23"/>
  <c r="Z148" i="23" s="1"/>
  <c r="Y22" i="23"/>
  <c r="W22" i="23"/>
  <c r="Z22" i="23" s="1"/>
  <c r="Y26" i="23"/>
  <c r="W26" i="23"/>
  <c r="Z26" i="23" s="1"/>
  <c r="Y96" i="23"/>
  <c r="W96" i="23"/>
  <c r="Z96" i="23" s="1"/>
  <c r="Y13" i="23"/>
  <c r="W13" i="23"/>
  <c r="Z13" i="23" s="1"/>
  <c r="Y70" i="23"/>
  <c r="W70" i="23"/>
  <c r="Z70" i="23" s="1"/>
  <c r="Y91" i="23"/>
  <c r="W91" i="23"/>
  <c r="Z91" i="23" s="1"/>
  <c r="Y152" i="23"/>
  <c r="W152" i="23"/>
  <c r="Z152" i="23" s="1"/>
  <c r="Y171" i="23"/>
  <c r="W171" i="23"/>
  <c r="Z171" i="23" s="1"/>
  <c r="Y125" i="23"/>
  <c r="W125" i="23"/>
  <c r="Z125" i="23" s="1"/>
  <c r="Y61" i="23"/>
  <c r="W61" i="23"/>
  <c r="Z61" i="23" s="1"/>
  <c r="Y69" i="23"/>
  <c r="W69" i="23"/>
  <c r="Z69" i="23" s="1"/>
  <c r="Y95" i="23"/>
  <c r="W95" i="23"/>
  <c r="Z95" i="23" s="1"/>
  <c r="W184" i="23"/>
  <c r="W186" i="23" s="1"/>
  <c r="Y117" i="23"/>
  <c r="Y20" i="23"/>
  <c r="Y129" i="23"/>
  <c r="Y139" i="23"/>
  <c r="Z139" i="23" s="1"/>
  <c r="Y14" i="23"/>
  <c r="Y23" i="23"/>
  <c r="Y106" i="23"/>
  <c r="F198" i="22"/>
  <c r="F199" i="22"/>
  <c r="Y19" i="23"/>
  <c r="Y98" i="23"/>
  <c r="Y59" i="23"/>
  <c r="Y100" i="23"/>
  <c r="Y75" i="23"/>
  <c r="Y35" i="23"/>
  <c r="Y60" i="23"/>
  <c r="Y55" i="23"/>
  <c r="Y57" i="23"/>
  <c r="Y163" i="23"/>
  <c r="Y54" i="23"/>
  <c r="Y99" i="23"/>
  <c r="Y112" i="23"/>
  <c r="Y159" i="23"/>
  <c r="Y136" i="23"/>
  <c r="Y158" i="23"/>
  <c r="Y63" i="23"/>
  <c r="Y62" i="23"/>
  <c r="Y84" i="23"/>
  <c r="Y25" i="23"/>
  <c r="Y15" i="23"/>
  <c r="Y30" i="23"/>
  <c r="Y122" i="23"/>
  <c r="Y72" i="23"/>
  <c r="Y104" i="23"/>
  <c r="Y166" i="23"/>
  <c r="F58" i="22"/>
  <c r="Y186" i="23"/>
  <c r="Z184" i="23"/>
  <c r="Z186" i="23" s="1"/>
  <c r="Z174" i="23" l="1"/>
  <c r="Y174" i="23"/>
  <c r="W174" i="23"/>
  <c r="W175" i="23" s="1"/>
  <c r="W141" i="23"/>
  <c r="W142" i="23" s="1"/>
  <c r="Z39" i="23"/>
  <c r="Z141" i="23"/>
  <c r="Y141" i="23"/>
  <c r="Y39" i="23"/>
  <c r="W39" i="23"/>
  <c r="W40" i="23" s="1"/>
  <c r="Y194" i="23" l="1"/>
  <c r="Z194" i="23" s="1"/>
  <c r="AA194" i="23" s="1"/>
  <c r="Y188" i="23"/>
  <c r="Z188" i="23"/>
  <c r="W188" i="23"/>
</calcChain>
</file>

<file path=xl/comments1.xml><?xml version="1.0" encoding="utf-8"?>
<comments xmlns="http://schemas.openxmlformats.org/spreadsheetml/2006/main">
  <authors>
    <author>Heather Garland</author>
  </authors>
  <commentList>
    <comment ref="B95" authorId="0">
      <text>
        <r>
          <rPr>
            <b/>
            <sz val="9"/>
            <color indexed="81"/>
            <rFont val="Tahoma"/>
            <family val="2"/>
          </rPr>
          <t>Heather Garland:</t>
        </r>
        <r>
          <rPr>
            <sz val="9"/>
            <color indexed="81"/>
            <rFont val="Tahoma"/>
            <family val="2"/>
          </rPr>
          <t xml:space="preserve">
Reclassed to allocate on material tons, not route hours.</t>
        </r>
      </text>
    </comment>
    <comment ref="L246" authorId="0">
      <text>
        <r>
          <rPr>
            <b/>
            <sz val="9"/>
            <color indexed="81"/>
            <rFont val="Tahoma"/>
            <family val="2"/>
          </rPr>
          <t>Heather Garland:</t>
        </r>
        <r>
          <rPr>
            <sz val="9"/>
            <color indexed="81"/>
            <rFont val="Tahoma"/>
            <family val="2"/>
          </rPr>
          <t xml:space="preserve">
Yakima Indian Nation Taxes/Fees - non-reg only.</t>
        </r>
      </text>
    </comment>
  </commentList>
</comments>
</file>

<file path=xl/comments10.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1.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2.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2.xml><?xml version="1.0" encoding="utf-8"?>
<comments xmlns="http://schemas.openxmlformats.org/spreadsheetml/2006/main">
  <authors>
    <author>Heather Garland</author>
  </authors>
  <commentList>
    <comment ref="E29" authorId="0">
      <text>
        <r>
          <rPr>
            <b/>
            <sz val="9"/>
            <color indexed="81"/>
            <rFont val="Tahoma"/>
            <family val="2"/>
          </rPr>
          <t>Heather Garland:</t>
        </r>
        <r>
          <rPr>
            <sz val="9"/>
            <color indexed="81"/>
            <rFont val="Tahoma"/>
            <family val="2"/>
          </rPr>
          <t xml:space="preserve">
Recycling proceeds revenue cannot be decreased, therefore the LG % must be grossed up by this amount to ensure the full decrease is realized.  The revenue decrease is proofed out on the Price Out.</t>
        </r>
      </text>
    </comment>
  </commentList>
</comments>
</file>

<file path=xl/comments3.xml><?xml version="1.0" encoding="utf-8"?>
<comments xmlns="http://schemas.openxmlformats.org/spreadsheetml/2006/main">
  <authors>
    <author>WCNX</author>
  </authors>
  <commentList>
    <comment ref="B1" authorId="0">
      <text>
        <r>
          <rPr>
            <b/>
            <sz val="8"/>
            <color indexed="81"/>
            <rFont val="Tahoma"/>
            <family val="2"/>
          </rPr>
          <t>WCNX:</t>
        </r>
        <r>
          <rPr>
            <sz val="8"/>
            <color indexed="81"/>
            <rFont val="Tahoma"/>
            <family val="2"/>
          </rPr>
          <t xml:space="preserve">
Includes the Bill Areas: Yakima County, Grand View, Granger, Moxee, Selah, Toppenish, Union Gap, Yakima City
</t>
        </r>
      </text>
    </comment>
  </commentList>
</comments>
</file>

<file path=xl/comments4.xml><?xml version="1.0" encoding="utf-8"?>
<comments xmlns="http://schemas.openxmlformats.org/spreadsheetml/2006/main">
  <authors>
    <author>Jennifer Bergheim</author>
  </authors>
  <commentList>
    <comment ref="N7" authorId="0">
      <text>
        <r>
          <rPr>
            <b/>
            <sz val="9"/>
            <color indexed="81"/>
            <rFont val="Tahoma"/>
            <family val="2"/>
          </rPr>
          <t>Jennifer Bergheim:</t>
        </r>
        <r>
          <rPr>
            <sz val="9"/>
            <color indexed="81"/>
            <rFont val="Tahoma"/>
            <family val="2"/>
          </rPr>
          <t xml:space="preserve">
This column represents driver safety bonuses and customer service tooty bonuses. 7/15/16</t>
        </r>
      </text>
    </comment>
    <comment ref="P126" authorId="0">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5.xml><?xml version="1.0" encoding="utf-8"?>
<comments xmlns="http://schemas.openxmlformats.org/spreadsheetml/2006/main">
  <authors>
    <author>Heather Garland</author>
  </authors>
  <commentList>
    <comment ref="B61" authorId="0">
      <text>
        <r>
          <rPr>
            <b/>
            <sz val="9"/>
            <color indexed="81"/>
            <rFont val="Tahoma"/>
            <family val="2"/>
          </rPr>
          <t>Heather Garland:</t>
        </r>
        <r>
          <rPr>
            <sz val="9"/>
            <color indexed="81"/>
            <rFont val="Tahoma"/>
            <family val="2"/>
          </rPr>
          <t xml:space="preserve">
YWS gives discounted disposal to some of it's contract customers (non-UTC), and also provides free disposal for city clean-ups.  This expense is included on the disposal log (figures above) and in disposal expense (40101), but is not included in pass-through (31005)revenue because it was never billed it to the customers.</t>
        </r>
      </text>
    </comment>
  </commentList>
</comments>
</file>

<file path=xl/comments6.xml><?xml version="1.0" encoding="utf-8"?>
<comments xmlns="http://schemas.openxmlformats.org/spreadsheetml/2006/main">
  <authors>
    <author>Lindsay Waldram</author>
  </authors>
  <commentList>
    <comment ref="K6" authorId="0">
      <text>
        <r>
          <rPr>
            <b/>
            <sz val="9"/>
            <color indexed="81"/>
            <rFont val="Tahoma"/>
            <family val="2"/>
          </rPr>
          <t>Lindsay Waldram:</t>
        </r>
        <r>
          <rPr>
            <sz val="9"/>
            <color indexed="81"/>
            <rFont val="Tahoma"/>
            <family val="2"/>
          </rPr>
          <t xml:space="preserve">
Calculated by using the hourly wage mutiplied by the hours and number of days worked.  Wages were provided by the field.</t>
        </r>
      </text>
    </comment>
    <comment ref="K11" authorId="0">
      <text>
        <r>
          <rPr>
            <b/>
            <sz val="9"/>
            <color indexed="81"/>
            <rFont val="Tahoma"/>
            <family val="2"/>
          </rPr>
          <t xml:space="preserve">Lindsay Waldram:
</t>
        </r>
        <r>
          <rPr>
            <sz val="9"/>
            <color indexed="81"/>
            <rFont val="Tahoma"/>
            <family val="2"/>
          </rPr>
          <t>Calculated by using the hourly wage mutiplied by the hours and number of days worked.  Wages were provided by the field.</t>
        </r>
      </text>
    </comment>
  </commentList>
</comments>
</file>

<file path=xl/comments7.xml><?xml version="1.0" encoding="utf-8"?>
<comments xmlns="http://schemas.openxmlformats.org/spreadsheetml/2006/main">
  <authors>
    <author>Heather Garland</author>
  </authors>
  <commentList>
    <comment ref="C23" authorId="0">
      <text>
        <r>
          <rPr>
            <b/>
            <sz val="9"/>
            <color indexed="81"/>
            <rFont val="Tahoma"/>
            <family val="2"/>
          </rPr>
          <t>Heather Garland:</t>
        </r>
        <r>
          <rPr>
            <sz val="9"/>
            <color indexed="81"/>
            <rFont val="Tahoma"/>
            <family val="2"/>
          </rPr>
          <t xml:space="preserve">
From external payroll document. Support can be provided upon request.</t>
        </r>
      </text>
    </comment>
  </commentList>
</comments>
</file>

<file path=xl/comments8.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9.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sharedStrings.xml><?xml version="1.0" encoding="utf-8"?>
<sst xmlns="http://schemas.openxmlformats.org/spreadsheetml/2006/main" count="7440" uniqueCount="2557">
  <si>
    <t>Yakima Waste Systems, Inc G-89</t>
  </si>
  <si>
    <t>Consolidated Income Statement</t>
  </si>
  <si>
    <t>UNADJUSTED</t>
  </si>
  <si>
    <t>RESTATING</t>
  </si>
  <si>
    <t>ADJUSTED</t>
  </si>
  <si>
    <t>PRO FORMA</t>
  </si>
  <si>
    <t>FINAL</t>
  </si>
  <si>
    <t>ALLOCATED</t>
  </si>
  <si>
    <t>TOTAL</t>
  </si>
  <si>
    <t>REGULATED</t>
  </si>
  <si>
    <t xml:space="preserve">REGULATED </t>
  </si>
  <si>
    <t>ADJUSTMENTS</t>
  </si>
  <si>
    <t>Reference</t>
  </si>
  <si>
    <t>NON-REGULATED</t>
  </si>
  <si>
    <t>Allocator</t>
  </si>
  <si>
    <t>PACKER ROUTES</t>
  </si>
  <si>
    <t>RO ROUTES</t>
  </si>
  <si>
    <t>RECYCLE ROUTES</t>
  </si>
  <si>
    <t>YW ROUTES</t>
  </si>
  <si>
    <t>Check $</t>
  </si>
  <si>
    <t>Check %</t>
  </si>
  <si>
    <t>Revenue:</t>
  </si>
  <si>
    <t>Residential</t>
  </si>
  <si>
    <t>RS-1</t>
  </si>
  <si>
    <t>Actual</t>
  </si>
  <si>
    <t>Recycling</t>
  </si>
  <si>
    <t>Yard Waste</t>
  </si>
  <si>
    <t xml:space="preserve">Commercial </t>
  </si>
  <si>
    <t>Drop Box</t>
  </si>
  <si>
    <t>Pass Thru</t>
  </si>
  <si>
    <t>Commercial Recycling</t>
  </si>
  <si>
    <t>Recycling Material</t>
  </si>
  <si>
    <t>Service Charge</t>
  </si>
  <si>
    <t>P-Card Rebate</t>
  </si>
  <si>
    <t>Total</t>
  </si>
  <si>
    <t>Expenses:</t>
  </si>
  <si>
    <t>Building Supplies</t>
  </si>
  <si>
    <t>Rt Hrs</t>
  </si>
  <si>
    <t>Rt Hrs, (LOB)</t>
  </si>
  <si>
    <t>Repair-Shop, Bldg</t>
  </si>
  <si>
    <t>Wages Mechanics</t>
  </si>
  <si>
    <t>Salaries</t>
  </si>
  <si>
    <t>Wages-Regular</t>
  </si>
  <si>
    <t>RS-5</t>
  </si>
  <si>
    <t>Wages-OT</t>
  </si>
  <si>
    <t>Safety Bonus</t>
  </si>
  <si>
    <t>Other Bonus</t>
  </si>
  <si>
    <t>Vacation Pay</t>
  </si>
  <si>
    <t>Sick Pay</t>
  </si>
  <si>
    <t>Wages Container Mechanics</t>
  </si>
  <si>
    <t>Wages Regular</t>
  </si>
  <si>
    <t>Wages O.T.</t>
  </si>
  <si>
    <t>Holiday Pay</t>
  </si>
  <si>
    <t>Parts &amp; Materials</t>
  </si>
  <si>
    <t>Operating Supplies</t>
  </si>
  <si>
    <t>Equipment &amp; Maint Rep</t>
  </si>
  <si>
    <t>Total Parts &amp; Materials</t>
  </si>
  <si>
    <t>Outside Repair</t>
  </si>
  <si>
    <t>Accident Repair</t>
  </si>
  <si>
    <t>Damage Paid by District</t>
  </si>
  <si>
    <t>Ins Claims Repairs</t>
  </si>
  <si>
    <t>Tires &amp; Tubes</t>
  </si>
  <si>
    <t xml:space="preserve">Other Maint </t>
  </si>
  <si>
    <t>Contract Labor</t>
  </si>
  <si>
    <t>Uniforms</t>
  </si>
  <si>
    <t>Communications</t>
  </si>
  <si>
    <t>Equip/Vehicle Rental</t>
  </si>
  <si>
    <t>Towing</t>
  </si>
  <si>
    <t>Misc, Trk Pressure Washing</t>
  </si>
  <si>
    <t>Safety &amp; Training</t>
  </si>
  <si>
    <t>Equipment and Maint Repair</t>
  </si>
  <si>
    <t>Outside Repairs</t>
  </si>
  <si>
    <t>Allocated Exp In - District</t>
  </si>
  <si>
    <t>Freight</t>
  </si>
  <si>
    <t>Drive Cam Fees</t>
  </si>
  <si>
    <t>Wages-Supervisor</t>
  </si>
  <si>
    <t>Salaries-Supervisor</t>
  </si>
  <si>
    <t>Other Bonus/Commission - Non-Safety</t>
  </si>
  <si>
    <t>Driver Wages</t>
  </si>
  <si>
    <t>Wages OT</t>
  </si>
  <si>
    <t>Wages MRF</t>
  </si>
  <si>
    <t>Mat Tns</t>
  </si>
  <si>
    <t>Total Driver Wages</t>
  </si>
  <si>
    <t>Fuel &amp; Oil</t>
  </si>
  <si>
    <t>Fuel Expense</t>
  </si>
  <si>
    <t>Urea Additive</t>
  </si>
  <si>
    <t>Oil and Grease</t>
  </si>
  <si>
    <t>Total Fuel and Oil</t>
  </si>
  <si>
    <t>Other Collection Exp</t>
  </si>
  <si>
    <t>Brokerage Cost-Mat Transp</t>
  </si>
  <si>
    <t>Brokerage - Interco</t>
  </si>
  <si>
    <t>Miscellaneous</t>
  </si>
  <si>
    <t>Equipment Vehicle Rental</t>
  </si>
  <si>
    <t>Other Prof Fees</t>
  </si>
  <si>
    <t>Penalties &amp; Violations</t>
  </si>
  <si>
    <t>Dump Fee and Charges</t>
  </si>
  <si>
    <t>Disposal Landfill</t>
  </si>
  <si>
    <t>RS-2</t>
  </si>
  <si>
    <t>DF Sched</t>
  </si>
  <si>
    <t>DF Sch</t>
  </si>
  <si>
    <t>Actual Billed</t>
  </si>
  <si>
    <t>Sales</t>
  </si>
  <si>
    <t>WUTC Fee</t>
  </si>
  <si>
    <t>UTC Fee</t>
  </si>
  <si>
    <t>RS-7</t>
  </si>
  <si>
    <t>Revenue</t>
  </si>
  <si>
    <t>Advertising Expense</t>
  </si>
  <si>
    <t>Advertising and Promotions</t>
  </si>
  <si>
    <t>Cust Inv'd</t>
  </si>
  <si>
    <t>Cust Cnt, (LOB)</t>
  </si>
  <si>
    <t>Advertising</t>
  </si>
  <si>
    <t>Advertising Exp</t>
  </si>
  <si>
    <t>Public Liability</t>
  </si>
  <si>
    <t>Self Insurance Premium</t>
  </si>
  <si>
    <t>Current Year Claims</t>
  </si>
  <si>
    <t>Prior Year Claims</t>
  </si>
  <si>
    <t>Workmen's Comp</t>
  </si>
  <si>
    <t>WC Current Year Claims</t>
  </si>
  <si>
    <t>WC Prior Year Claims</t>
  </si>
  <si>
    <t>WC Premium</t>
  </si>
  <si>
    <t>Bond Exp-WC</t>
  </si>
  <si>
    <t>Salaries - Office</t>
  </si>
  <si>
    <t>Vacation</t>
  </si>
  <si>
    <t>Sick Leave</t>
  </si>
  <si>
    <t>Salaries-Office</t>
  </si>
  <si>
    <t>Management Fee</t>
  </si>
  <si>
    <t>Corp OH Allocation</t>
  </si>
  <si>
    <t>RS-8</t>
  </si>
  <si>
    <t>Office &amp; Other Expense</t>
  </si>
  <si>
    <t>Office Supplies and Equip</t>
  </si>
  <si>
    <t>Postage</t>
  </si>
  <si>
    <t>Security Services</t>
  </si>
  <si>
    <t>Bldg &amp; Property Maint</t>
  </si>
  <si>
    <t>Office Supplies</t>
  </si>
  <si>
    <t>Bank Charges</t>
  </si>
  <si>
    <t>Payroll Processing Fee</t>
  </si>
  <si>
    <t>Data Processing</t>
  </si>
  <si>
    <t>Customer Notification</t>
  </si>
  <si>
    <t>Cust</t>
  </si>
  <si>
    <t>Computer Supplies</t>
  </si>
  <si>
    <t>Credit and Collection</t>
  </si>
  <si>
    <t>Office &amp; Other Exp</t>
  </si>
  <si>
    <t>Legal &amp; Accounting</t>
  </si>
  <si>
    <t>Legal</t>
  </si>
  <si>
    <t>Cust Cnt</t>
  </si>
  <si>
    <t>Utilities</t>
  </si>
  <si>
    <t>Communication</t>
  </si>
  <si>
    <t>Employee Welfare</t>
  </si>
  <si>
    <t>Group Insurance</t>
  </si>
  <si>
    <t>RS-6</t>
  </si>
  <si>
    <t>Pension</t>
  </si>
  <si>
    <t>Bad Debt</t>
  </si>
  <si>
    <t>Bad Debt Provision</t>
  </si>
  <si>
    <t>RS-9</t>
  </si>
  <si>
    <t>BD</t>
  </si>
  <si>
    <t>Bad Debts</t>
  </si>
  <si>
    <t>Other General Expenses</t>
  </si>
  <si>
    <t>Empl &amp; Commun Activ</t>
  </si>
  <si>
    <t>School Tuition</t>
  </si>
  <si>
    <t>Meals &amp; Entertainment</t>
  </si>
  <si>
    <t>Employee Comm Activity</t>
  </si>
  <si>
    <t>WCN Training</t>
  </si>
  <si>
    <t>RS-4</t>
  </si>
  <si>
    <t>Employee Relocation</t>
  </si>
  <si>
    <t>Contributions</t>
  </si>
  <si>
    <t>Political Contribution</t>
  </si>
  <si>
    <t>Alloc Exp In Distr</t>
  </si>
  <si>
    <t>Cell Phones</t>
  </si>
  <si>
    <t>Dues &amp; Subscriptions</t>
  </si>
  <si>
    <t>Club Dues</t>
  </si>
  <si>
    <t>Travel</t>
  </si>
  <si>
    <t>Entertainment</t>
  </si>
  <si>
    <t>Excursion Meetings</t>
  </si>
  <si>
    <t>Lodging</t>
  </si>
  <si>
    <t>Travel Auto</t>
  </si>
  <si>
    <t>Credit Card Fees</t>
  </si>
  <si>
    <t>Sponshorships</t>
  </si>
  <si>
    <t>External Recruiter Fees</t>
  </si>
  <si>
    <t>Recruitment Travel Expenses</t>
  </si>
  <si>
    <t>Other Professional Fees</t>
  </si>
  <si>
    <t>Computer Software</t>
  </si>
  <si>
    <t>Coffee Bar</t>
  </si>
  <si>
    <t>Permits</t>
  </si>
  <si>
    <t>Trade Shows</t>
  </si>
  <si>
    <t>Depreciation, Amortization &amp; Sale of Assets</t>
  </si>
  <si>
    <t>Depreciation Trks</t>
  </si>
  <si>
    <t>Depr</t>
  </si>
  <si>
    <t>Alloc Depr</t>
  </si>
  <si>
    <t>Depreciation Cont, DB</t>
  </si>
  <si>
    <t>Depreciation Service</t>
  </si>
  <si>
    <t>Depreciation Shop</t>
  </si>
  <si>
    <t>Depreciation Office</t>
  </si>
  <si>
    <t>Buildings (Structures)</t>
  </si>
  <si>
    <t>Amortization</t>
  </si>
  <si>
    <t>Sale of Asset</t>
  </si>
  <si>
    <t>Operating Tax &amp; Licensing</t>
  </si>
  <si>
    <t>Rebate &amp; Rev Sharing</t>
  </si>
  <si>
    <t>Other Taxes</t>
  </si>
  <si>
    <t>Operating Tax &amp; Lic</t>
  </si>
  <si>
    <t>State Excise Tax</t>
  </si>
  <si>
    <t>Taxes &amp; Pass Thru Fees</t>
  </si>
  <si>
    <t>Vehicle Licenses</t>
  </si>
  <si>
    <t>Licenses</t>
  </si>
  <si>
    <t>Property Tax</t>
  </si>
  <si>
    <t>Payroll Taxes</t>
  </si>
  <si>
    <t>MRF</t>
  </si>
  <si>
    <t>Rent-Land, Structures</t>
  </si>
  <si>
    <t>Long Term Contr Amort</t>
  </si>
  <si>
    <t>Total Amort</t>
  </si>
  <si>
    <t>Operating Ratio</t>
  </si>
  <si>
    <t>Net Income (Loss)</t>
  </si>
  <si>
    <t>Average Investment</t>
  </si>
  <si>
    <t>FINANCIALS</t>
  </si>
  <si>
    <t>Acct</t>
  </si>
  <si>
    <t>AcctName</t>
  </si>
  <si>
    <t>Act(-2)</t>
  </si>
  <si>
    <t>Act(-1)</t>
  </si>
  <si>
    <t>Act</t>
  </si>
  <si>
    <t>Waste Connections, Inc.</t>
  </si>
  <si>
    <t>2195</t>
  </si>
  <si>
    <t/>
  </si>
  <si>
    <t>System:</t>
  </si>
  <si>
    <t>2017-06</t>
  </si>
  <si>
    <t>Hauling Revenue - Roll Off Permanent</t>
  </si>
  <si>
    <t>[!DetailRow]</t>
  </si>
  <si>
    <t>Hauling Revenue - Roll Off Rental</t>
  </si>
  <si>
    <t>Corporate Roll Off Disposal Charge</t>
  </si>
  <si>
    <t>Hauling Revenue - Roll Off Extras</t>
  </si>
  <si>
    <t>Hauling Revenue - Residential MSW</t>
  </si>
  <si>
    <t>Hauling Revenue - Residential MSW Extras</t>
  </si>
  <si>
    <t>Hauling Revenue - Residential Recycling</t>
  </si>
  <si>
    <t>Hauling Revenue - Residential Composting</t>
  </si>
  <si>
    <t>Hauling Revenue - Commercial FEL</t>
  </si>
  <si>
    <t>Hauling Revenue - Commercial FEL Extras</t>
  </si>
  <si>
    <t>Hauling Revenue - Commercial REL Extras</t>
  </si>
  <si>
    <t>Hauling Revenue - Commercial Recycling F</t>
  </si>
  <si>
    <t>Hauling Revenue</t>
  </si>
  <si>
    <t>Transfer and MRF</t>
  </si>
  <si>
    <t>Proceeds - Metal</t>
  </si>
  <si>
    <t>Proceeds - Other Recyclables</t>
  </si>
  <si>
    <t>Proceeds - Commingled</t>
  </si>
  <si>
    <t>Recycling Proceeds</t>
  </si>
  <si>
    <t>Landfill Revenue</t>
  </si>
  <si>
    <t>Intermodal</t>
  </si>
  <si>
    <t>Other Revenue</t>
  </si>
  <si>
    <t>P-Card Rebate Revenue</t>
  </si>
  <si>
    <t>Disposal</t>
  </si>
  <si>
    <t>MRF Processing</t>
  </si>
  <si>
    <t>Brokerage Cost</t>
  </si>
  <si>
    <t>Brokerage Cost Intercompany</t>
  </si>
  <si>
    <t>Rebates and Revenue Sharing</t>
  </si>
  <si>
    <t>Taxes and Pass Thru Fees</t>
  </si>
  <si>
    <t>WUTC Taxes</t>
  </si>
  <si>
    <t>Brok. and Taxes</t>
  </si>
  <si>
    <t>Cost of Materials</t>
  </si>
  <si>
    <t>Other Expense</t>
  </si>
  <si>
    <t>Rev Reductions</t>
  </si>
  <si>
    <t>Net Revenue</t>
  </si>
  <si>
    <t>Safety Bonuses</t>
  </si>
  <si>
    <t>Safety and Training</t>
  </si>
  <si>
    <t>Pension and Profit Sharing</t>
  </si>
  <si>
    <t>Labor</t>
  </si>
  <si>
    <t>Truck Fixed</t>
  </si>
  <si>
    <t>Parts and Materials</t>
  </si>
  <si>
    <t>Tires</t>
  </si>
  <si>
    <t>Urea Additive Expense</t>
  </si>
  <si>
    <t>Towing Expense</t>
  </si>
  <si>
    <t>Office Supply and Equip</t>
  </si>
  <si>
    <t>Costs Awaiting Capitalization</t>
  </si>
  <si>
    <t>Truck Variable</t>
  </si>
  <si>
    <t>Container Exp</t>
  </si>
  <si>
    <t>Meal and Entertainment</t>
  </si>
  <si>
    <t>Superv. Ex</t>
  </si>
  <si>
    <t>Bldg &amp; Property</t>
  </si>
  <si>
    <t>Drive Cam &amp; Routing SW Fees</t>
  </si>
  <si>
    <t>Property Taxes</t>
  </si>
  <si>
    <t>Penalties and Violations</t>
  </si>
  <si>
    <t>Bonds Expense</t>
  </si>
  <si>
    <t>Other Operating</t>
  </si>
  <si>
    <t>Closure Exp</t>
  </si>
  <si>
    <t>A&amp;L - Current Year Claims</t>
  </si>
  <si>
    <t>A&amp;L - Prior Year Claims</t>
  </si>
  <si>
    <t>WC - Current Year Claims</t>
  </si>
  <si>
    <t>WC - Prior Year Claims</t>
  </si>
  <si>
    <t>Damages paid by District</t>
  </si>
  <si>
    <t>Insurance claim repairs</t>
  </si>
  <si>
    <t>Workers Comp Prem</t>
  </si>
  <si>
    <t>Insurance Exp</t>
  </si>
  <si>
    <t>Gain/Loss on Sale of Asset</t>
  </si>
  <si>
    <t>G/L on Ops</t>
  </si>
  <si>
    <t>Cost of Ops</t>
  </si>
  <si>
    <t>Gross Profit</t>
  </si>
  <si>
    <t>Sales Exp</t>
  </si>
  <si>
    <t>Political Contributions</t>
  </si>
  <si>
    <t>Union Pension</t>
  </si>
  <si>
    <t>Cellular Telephone</t>
  </si>
  <si>
    <t>Dues and Subscriptions</t>
  </si>
  <si>
    <t>Excursions Meetings</t>
  </si>
  <si>
    <t>Travel - Auto</t>
  </si>
  <si>
    <t>Meals</t>
  </si>
  <si>
    <t>Meals with Customers</t>
  </si>
  <si>
    <t>Sponsorships</t>
  </si>
  <si>
    <t>Recruitment Advertising &amp; Expenses</t>
  </si>
  <si>
    <t>Payroll Processing Fees</t>
  </si>
  <si>
    <t>G&amp;A</t>
  </si>
  <si>
    <t>Corporate Overhead Allocation In</t>
  </si>
  <si>
    <t>Corp Overhead</t>
  </si>
  <si>
    <t>Total SG&amp;A</t>
  </si>
  <si>
    <t>EBITDA</t>
  </si>
  <si>
    <t>Watch list EBITDA</t>
  </si>
  <si>
    <t>Depreciation</t>
  </si>
  <si>
    <t>Airspace Amort</t>
  </si>
  <si>
    <t>Long Term Contract Amort</t>
  </si>
  <si>
    <t>Intangible Amort</t>
  </si>
  <si>
    <t>Total DDA</t>
  </si>
  <si>
    <t>EBIT From Ops</t>
  </si>
  <si>
    <t>IS Interest</t>
  </si>
  <si>
    <t>Interest Exp</t>
  </si>
  <si>
    <t>IS Interest Income</t>
  </si>
  <si>
    <t>Interest Income</t>
  </si>
  <si>
    <t>IS OtherIncExp</t>
  </si>
  <si>
    <t>Other Inc/Exp</t>
  </si>
  <si>
    <t>NI b/ Taxes &amp; Extra</t>
  </si>
  <si>
    <t>Extra. Items</t>
  </si>
  <si>
    <t>NI b/ Taxes</t>
  </si>
  <si>
    <t>IS Taxes</t>
  </si>
  <si>
    <t>Taxes</t>
  </si>
  <si>
    <t>Net Income</t>
  </si>
  <si>
    <t>IS NoncontrollingExp</t>
  </si>
  <si>
    <t>Non Controlling Int</t>
  </si>
  <si>
    <t>Net Income Attrib</t>
  </si>
  <si>
    <t>[Leftovers]</t>
  </si>
  <si>
    <t>Data Not Included</t>
  </si>
  <si>
    <t>Check</t>
  </si>
  <si>
    <t>Income Statement</t>
  </si>
  <si>
    <t>BS Cash</t>
  </si>
  <si>
    <t>Local Depository Account</t>
  </si>
  <si>
    <t>Local Petty Cash Account</t>
  </si>
  <si>
    <t>Local Depository</t>
  </si>
  <si>
    <t>Proceeds from Sale of Assets</t>
  </si>
  <si>
    <t>Contra Proceeds from Sale of Assets</t>
  </si>
  <si>
    <t>Pay</t>
  </si>
  <si>
    <t>Pay IC - KUBRA Payments</t>
  </si>
  <si>
    <t>Pay ICT Inter District Receipts</t>
  </si>
  <si>
    <t>Refunds - Customer</t>
  </si>
  <si>
    <t>EFT Pymt Clearing</t>
  </si>
  <si>
    <t>Credit Card Pymt Clearing</t>
  </si>
  <si>
    <t>Check &amp; Cash Pymt Clearing</t>
  </si>
  <si>
    <t>Cash</t>
  </si>
  <si>
    <t>BS AR</t>
  </si>
  <si>
    <t>Trade A/R Desert Micro</t>
  </si>
  <si>
    <t>Trade A/R Desert Micro Receipts</t>
  </si>
  <si>
    <t>Unbilled Trade A/R</t>
  </si>
  <si>
    <t>Other Trade A/R</t>
  </si>
  <si>
    <t>Other A/R</t>
  </si>
  <si>
    <t>Provision for Bad Debts</t>
  </si>
  <si>
    <t>Bad Debt Write Offs</t>
  </si>
  <si>
    <t>Bad Debt Collected</t>
  </si>
  <si>
    <t>A/R</t>
  </si>
  <si>
    <t>BS Inventory</t>
  </si>
  <si>
    <t>Inventory Parts</t>
  </si>
  <si>
    <t>Inventory Diesel</t>
  </si>
  <si>
    <t>Inventory Oil and Lube</t>
  </si>
  <si>
    <t>Inventory Container</t>
  </si>
  <si>
    <t>Inventory Tires</t>
  </si>
  <si>
    <t>Inventory</t>
  </si>
  <si>
    <t>BS Prepaid</t>
  </si>
  <si>
    <t>Prepaid Licenses and Permits</t>
  </si>
  <si>
    <t>Prepaid Insurance</t>
  </si>
  <si>
    <t>Prepaid Vehicle Use Tax</t>
  </si>
  <si>
    <t>Prepaid Property Tax</t>
  </si>
  <si>
    <t>Prepaid Advertising</t>
  </si>
  <si>
    <t>Prepaid Other</t>
  </si>
  <si>
    <t>Prepaids</t>
  </si>
  <si>
    <t>BS Current Def Asset</t>
  </si>
  <si>
    <t>Curr Deferred</t>
  </si>
  <si>
    <t>Current Assets</t>
  </si>
  <si>
    <t>BS Fixed Asset</t>
  </si>
  <si>
    <t>Acquisition Land</t>
  </si>
  <si>
    <t>Sale/Disposition Land</t>
  </si>
  <si>
    <t>Cap Ex Land Improvement</t>
  </si>
  <si>
    <t>Depre Expense Land Improv</t>
  </si>
  <si>
    <t>Cap Ex Heavy Equipment</t>
  </si>
  <si>
    <t>Depre Exp Heavy Equipment</t>
  </si>
  <si>
    <t>Cap Ex Trucks</t>
  </si>
  <si>
    <t>Acquisitions Trucks</t>
  </si>
  <si>
    <t>Transfer/Reclass Trucks</t>
  </si>
  <si>
    <t>Sale/Disposition Trucks</t>
  </si>
  <si>
    <t>Depre Exp Trucks</t>
  </si>
  <si>
    <t>Cap Ex Container</t>
  </si>
  <si>
    <t>Acquisition Container</t>
  </si>
  <si>
    <t>Transfer/Reclass Container</t>
  </si>
  <si>
    <t>Sale/Disposition Container</t>
  </si>
  <si>
    <t>Depre Exp Container</t>
  </si>
  <si>
    <t>Transfer/Reclass AD Container</t>
  </si>
  <si>
    <t>Sale/Disposition AD Container</t>
  </si>
  <si>
    <t>Cap Ex Shop Equipment</t>
  </si>
  <si>
    <t>Acquisition Shop Equipment</t>
  </si>
  <si>
    <t>Transfer/Reclass Shop Equipment</t>
  </si>
  <si>
    <t>Depre Exp Shop Equipment</t>
  </si>
  <si>
    <t>Transfer/Reclass AD Shop Equipment</t>
  </si>
  <si>
    <t>Cap Ex Building</t>
  </si>
  <si>
    <t>Acquisition Building</t>
  </si>
  <si>
    <t>Depre Exp Building</t>
  </si>
  <si>
    <t>Cap Ex Office Equipment</t>
  </si>
  <si>
    <t>Depre Exp Office Equipment</t>
  </si>
  <si>
    <t>Cap Ex Computer Equipment</t>
  </si>
  <si>
    <t>Transfer/Reclass Computer Equipment</t>
  </si>
  <si>
    <t>Depre Exp Computer Equipment</t>
  </si>
  <si>
    <t>Transfer/Reclass AD Computer Equipment</t>
  </si>
  <si>
    <t>Cap Ex Accruals</t>
  </si>
  <si>
    <t>Cap Ex Construction in Process</t>
  </si>
  <si>
    <t>Fixed Assets</t>
  </si>
  <si>
    <t>BS Notes</t>
  </si>
  <si>
    <t>Notes Rec.</t>
  </si>
  <si>
    <t>BS Goodwill</t>
  </si>
  <si>
    <t>Acquisition Goodwill</t>
  </si>
  <si>
    <t>Transfer/Reclass Goodwill</t>
  </si>
  <si>
    <t>Goodwill</t>
  </si>
  <si>
    <t>BS Intangible</t>
  </si>
  <si>
    <t>Transfer/Reclass Customer List</t>
  </si>
  <si>
    <t>Amort Expense Customer List</t>
  </si>
  <si>
    <t>Transfer/Reclass Amort Customer List</t>
  </si>
  <si>
    <t>Transfer/Reclass Long Term Contracts</t>
  </si>
  <si>
    <t>Amort Expense Long Term Contracts</t>
  </si>
  <si>
    <t>Transfer/Reclass Amort Long Term Contrac</t>
  </si>
  <si>
    <t>Acquisition Indefinite Lived Intangibles</t>
  </si>
  <si>
    <t>Intangibles</t>
  </si>
  <si>
    <t>BS Deposits</t>
  </si>
  <si>
    <t>Deposits</t>
  </si>
  <si>
    <t>BS Restricted</t>
  </si>
  <si>
    <t>Restricted Funds</t>
  </si>
  <si>
    <t>BS Other Assets</t>
  </si>
  <si>
    <t>Other Assets</t>
  </si>
  <si>
    <t>BS Loan Fees</t>
  </si>
  <si>
    <t>Loan Fees</t>
  </si>
  <si>
    <t>BS Intercompany</t>
  </si>
  <si>
    <t>Intercompany Corporate</t>
  </si>
  <si>
    <t>Investment Corporate</t>
  </si>
  <si>
    <t>Intercompany</t>
  </si>
  <si>
    <t>Total Assets</t>
  </si>
  <si>
    <t>BS Current LTD</t>
  </si>
  <si>
    <t>Curr Portion LTD</t>
  </si>
  <si>
    <t>BS AP</t>
  </si>
  <si>
    <t>AP - Accrued</t>
  </si>
  <si>
    <t>AP - Accrued CAPEX</t>
  </si>
  <si>
    <t>AP - Accrued Procurement Card</t>
  </si>
  <si>
    <t>AP - Sales Tax</t>
  </si>
  <si>
    <t>AP - Other</t>
  </si>
  <si>
    <t>Pass Thru Taxes</t>
  </si>
  <si>
    <t>WUTC Tax Payable</t>
  </si>
  <si>
    <t>AP - Other Taxes</t>
  </si>
  <si>
    <t>A/P</t>
  </si>
  <si>
    <t>BS Unearned Revenue</t>
  </si>
  <si>
    <t>Unearned Revenue</t>
  </si>
  <si>
    <t>Unearned Rev</t>
  </si>
  <si>
    <t>BS Accrued Liabilities</t>
  </si>
  <si>
    <t>Accrued Liabilities Wages Commissions</t>
  </si>
  <si>
    <t>Vacation Accrual</t>
  </si>
  <si>
    <t>Accrued Liabilities Safety Bonus</t>
  </si>
  <si>
    <t>Accrued Liabilities Ins. - Workers Comp</t>
  </si>
  <si>
    <t>Accrued Liabilities - Property Tax</t>
  </si>
  <si>
    <t>Accrued Liabilities - UP Tracker</t>
  </si>
  <si>
    <t>Accrued Liab</t>
  </si>
  <si>
    <t>Current Liab</t>
  </si>
  <si>
    <t>BS LTD</t>
  </si>
  <si>
    <t>LTD</t>
  </si>
  <si>
    <t>BS Overdraft</t>
  </si>
  <si>
    <t>Overdraft</t>
  </si>
  <si>
    <t>BS Other LTD</t>
  </si>
  <si>
    <t>Other LTD</t>
  </si>
  <si>
    <t>BS Deferred Taxes</t>
  </si>
  <si>
    <t>Deferred Taxes</t>
  </si>
  <si>
    <t>BS NonControlling</t>
  </si>
  <si>
    <t>Minority Int</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</si>
  <si>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</si>
  <si>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</si>
  <si>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</si>
  <si>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</si>
  <si>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</si>
  <si>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</si>
  <si>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</si>
  <si>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</si>
  <si>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</si>
  <si>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</si>
  <si>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</si>
  <si>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</si>
  <si>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</si>
  <si>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RE</t>
  </si>
  <si>
    <t>Retained Earnings</t>
  </si>
  <si>
    <t>Total Liab &amp; Equity</t>
  </si>
  <si>
    <t>BS Balance</t>
  </si>
  <si>
    <t>Balance Sheet</t>
  </si>
  <si>
    <t>Note:  The source of this data is WCI's financial reporting system.  The data cannot be further linked.</t>
  </si>
  <si>
    <t>Restating Adjustments</t>
  </si>
  <si>
    <t>RS-1: Restate Revenue to Billing Records</t>
  </si>
  <si>
    <t>Restating Adjustment Summary</t>
  </si>
  <si>
    <t>RS-3</t>
  </si>
  <si>
    <t>Revenue Adjustments</t>
  </si>
  <si>
    <t>Disposal Increase</t>
  </si>
  <si>
    <t>OH Adjustments</t>
  </si>
  <si>
    <t>Unallowable Expenses</t>
  </si>
  <si>
    <t>Restate Raises</t>
  </si>
  <si>
    <t>Adjust Deprec to UTC Method</t>
  </si>
  <si>
    <t>Adjust Bad Debt</t>
  </si>
  <si>
    <t xml:space="preserve">City Contract/Non-Reg </t>
  </si>
  <si>
    <t>Total Revenue per Billing</t>
  </si>
  <si>
    <t>Per IS</t>
  </si>
  <si>
    <t>Difference</t>
  </si>
  <si>
    <t>Building/Grounds Repair</t>
  </si>
  <si>
    <t>Gross Up Factors</t>
  </si>
  <si>
    <t>Rate Increase</t>
  </si>
  <si>
    <t>B&amp;O tax</t>
  </si>
  <si>
    <t>WUTC fees</t>
  </si>
  <si>
    <t>Pass Through</t>
  </si>
  <si>
    <t>Disposal Incineration</t>
  </si>
  <si>
    <t>Factor</t>
  </si>
  <si>
    <t>Disposal Transfer</t>
  </si>
  <si>
    <t>Reclass Pass-Through</t>
  </si>
  <si>
    <t>Processing Fees</t>
  </si>
  <si>
    <t>RS-3: Region &amp; Corp OH Adjustments</t>
  </si>
  <si>
    <t>Corporate OH Adjust:</t>
  </si>
  <si>
    <t>Adjusted OH %</t>
  </si>
  <si>
    <t>Region OH Adjust:</t>
  </si>
  <si>
    <t>Per Calc</t>
  </si>
  <si>
    <t>Adjust</t>
  </si>
  <si>
    <t>RS-4: Remove Unallowable Expenses</t>
  </si>
  <si>
    <t>Franchise Fees</t>
  </si>
  <si>
    <t>Remove</t>
  </si>
  <si>
    <t>46900</t>
  </si>
  <si>
    <t>Wages</t>
  </si>
  <si>
    <t>Drivers</t>
  </si>
  <si>
    <t>Mechanics</t>
  </si>
  <si>
    <t>Supervisors</t>
  </si>
  <si>
    <t>Adjustment</t>
  </si>
  <si>
    <t>Regulated Revenue</t>
  </si>
  <si>
    <t>Test Period Fees</t>
  </si>
  <si>
    <t>PER IS</t>
  </si>
  <si>
    <t>46800</t>
  </si>
  <si>
    <t>Per UTC</t>
  </si>
  <si>
    <t>Bad Debt:</t>
  </si>
  <si>
    <t>Write-off</t>
  </si>
  <si>
    <t>Bad Debt % for LG</t>
  </si>
  <si>
    <t>Beginning test period</t>
  </si>
  <si>
    <t>Ending test period</t>
  </si>
  <si>
    <t>Recovery</t>
  </si>
  <si>
    <t>Actual write-off expense</t>
  </si>
  <si>
    <t>46700</t>
  </si>
  <si>
    <t>Taxes Allocation In</t>
  </si>
  <si>
    <t>District:</t>
  </si>
  <si>
    <t>*</t>
  </si>
  <si>
    <t>Subsystem:</t>
  </si>
  <si>
    <t>Company:</t>
  </si>
  <si>
    <t>Corp</t>
  </si>
  <si>
    <t>Types:</t>
  </si>
  <si>
    <t>Period 1</t>
  </si>
  <si>
    <t>YTD 12</t>
  </si>
  <si>
    <t>Period 2</t>
  </si>
  <si>
    <t>Closed Year Balance Sheet Period:</t>
  </si>
  <si>
    <t>Current Year Balance Sheet Period:</t>
  </si>
  <si>
    <t>Note:  Report below is from WCI's financial reporting system and cannot be linked.</t>
  </si>
  <si>
    <t>12 Months</t>
  </si>
  <si>
    <t>Ended</t>
  </si>
  <si>
    <t>12/31/2016</t>
  </si>
  <si>
    <t>IS SECELIM Revenue</t>
  </si>
  <si>
    <t>Revenues</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</si>
  <si>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</si>
  <si>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</si>
  <si>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</si>
  <si>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</si>
  <si>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</si>
  <si>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</si>
  <si>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</si>
  <si>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</si>
  <si>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</si>
  <si>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OpDisposal,!91005</t>
  </si>
  <si>
    <t xml:space="preserve">     Loss on sale of operations/assets</t>
  </si>
  <si>
    <t xml:space="preserve">     Loss on prior office leases</t>
  </si>
  <si>
    <t>Income from operations</t>
  </si>
  <si>
    <t>Interest expense</t>
  </si>
  <si>
    <t>Interest income</t>
  </si>
  <si>
    <t>Other income (expense), net</t>
  </si>
  <si>
    <t>IS FX Gain Loss</t>
  </si>
  <si>
    <t>Foreign Transaction Exchange (Gain) and Loss</t>
  </si>
  <si>
    <t>Income before tax provision</t>
  </si>
  <si>
    <t>Income tax provision</t>
  </si>
  <si>
    <t>Net income</t>
  </si>
  <si>
    <t xml:space="preserve">Less: net income attributable to </t>
  </si>
  <si>
    <t xml:space="preserve">   noncontrolling interests</t>
  </si>
  <si>
    <t>Net income attributable to WCN</t>
  </si>
  <si>
    <t>In Districts:</t>
  </si>
  <si>
    <t xml:space="preserve">Balance Sheet </t>
  </si>
  <si>
    <t>December</t>
  </si>
  <si>
    <t>2016</t>
  </si>
  <si>
    <t>Assets</t>
  </si>
  <si>
    <t>Current assets:</t>
  </si>
  <si>
    <t>Cash and equivalents</t>
  </si>
  <si>
    <t>Accounts receivable</t>
  </si>
  <si>
    <t>Current deferred tax assets</t>
  </si>
  <si>
    <t>Prepaid expenses</t>
  </si>
  <si>
    <t>Total current assets</t>
  </si>
  <si>
    <t>Property and equipment</t>
  </si>
  <si>
    <t>Intangible assets</t>
  </si>
  <si>
    <t>Restricted assets</t>
  </si>
  <si>
    <t>BS Notes,BS Other Assets,BS Deposits,BS LOC Loan Fees</t>
  </si>
  <si>
    <t>Other assets</t>
  </si>
  <si>
    <t>Liabilities and Equity</t>
  </si>
  <si>
    <t>Current liabilities:</t>
  </si>
  <si>
    <t>Accounts payable</t>
  </si>
  <si>
    <t>Book overdraft</t>
  </si>
  <si>
    <t>Accrued liabilities</t>
  </si>
  <si>
    <t>BS ST Contingent Considerations</t>
  </si>
  <si>
    <t>ST Contingent Considerations</t>
  </si>
  <si>
    <t>Deferred revenue</t>
  </si>
  <si>
    <t>Current portion of long-term debt</t>
  </si>
  <si>
    <t>Total current liabilities</t>
  </si>
  <si>
    <t>BS LTD,BS Loan Fees</t>
  </si>
  <si>
    <t>Long-term debt</t>
  </si>
  <si>
    <t>BS LT Contingent Considerations</t>
  </si>
  <si>
    <t>LT Contingent Considerations</t>
  </si>
  <si>
    <t>Deferred income taxes</t>
  </si>
  <si>
    <t>Other long-term liabilities</t>
  </si>
  <si>
    <t>Total liabilities</t>
  </si>
  <si>
    <t>Equity:</t>
  </si>
  <si>
    <t>Common stock</t>
  </si>
  <si>
    <t>Additional paid-in capital</t>
  </si>
  <si>
    <t>Entity equity</t>
  </si>
  <si>
    <t>Deferred stock compensation</t>
  </si>
  <si>
    <t>Treasury stock</t>
  </si>
  <si>
    <t>BS CTA</t>
  </si>
  <si>
    <t>Cumulative Translation Adjustment</t>
  </si>
  <si>
    <t>Retained earnings</t>
  </si>
  <si>
    <t>Accumulated other comprehensive income</t>
  </si>
  <si>
    <t>Total Waste Connections' equity</t>
  </si>
  <si>
    <t>BS Noncontrolling</t>
  </si>
  <si>
    <t>Noncontrolling interests</t>
  </si>
  <si>
    <t>Total equity</t>
  </si>
  <si>
    <t>Debt to Equity Ratio</t>
  </si>
  <si>
    <t>Debt</t>
  </si>
  <si>
    <t>Equity</t>
  </si>
  <si>
    <t>Total Debt &amp; Equity</t>
  </si>
  <si>
    <t>Interest as a % of Debt</t>
  </si>
  <si>
    <t>Interest Expense</t>
  </si>
  <si>
    <t>101*</t>
  </si>
  <si>
    <t>Income Statement Detail - Eliminated</t>
  </si>
  <si>
    <t>Adjusted</t>
  </si>
  <si>
    <t>12-Months</t>
  </si>
  <si>
    <t>Adjust Out</t>
  </si>
  <si>
    <t>Non-Allowable</t>
  </si>
  <si>
    <t>Termination Pay</t>
  </si>
  <si>
    <t>Property and Liability Insurance</t>
  </si>
  <si>
    <t>RM Fixed Costs</t>
  </si>
  <si>
    <t>Deferred Comp Earnings</t>
  </si>
  <si>
    <t>Corp Allocated Bonus</t>
  </si>
  <si>
    <t>Corp PR Tax</t>
  </si>
  <si>
    <t>Corporate Office Relocation</t>
  </si>
  <si>
    <t>Plane Parts &amp; Materials</t>
  </si>
  <si>
    <t>Aircraft Lubricants &amp; Consumables</t>
  </si>
  <si>
    <t>Real Estate Rentals</t>
  </si>
  <si>
    <t>Registration Fees</t>
  </si>
  <si>
    <t>Outside Storages</t>
  </si>
  <si>
    <t>Accounting Professional Fees</t>
  </si>
  <si>
    <t>Acquisition Cost Write Off</t>
  </si>
  <si>
    <t>Directors and Officers Insurance</t>
  </si>
  <si>
    <t>Board of Directors Fees</t>
  </si>
  <si>
    <t>Board of Directors Expense Report</t>
  </si>
  <si>
    <t xml:space="preserve">     Total Corporate G&amp;A Expenses</t>
  </si>
  <si>
    <t xml:space="preserve">     Total Waste Connections eliminated revenues</t>
  </si>
  <si>
    <t>Airplane depreciation, as removed on prior rate cases, TG-170036/170037.</t>
  </si>
  <si>
    <t>Remove non-regulated operating assets and R360 assets in TG-130501 and TG-130502</t>
  </si>
  <si>
    <t>Yakima Regulated</t>
  </si>
  <si>
    <t>Reclass to off-set to operating expense</t>
  </si>
  <si>
    <t>UTC Account</t>
  </si>
  <si>
    <t>FullAcct</t>
  </si>
  <si>
    <t>date_applied</t>
  </si>
  <si>
    <t>balance_usd</t>
  </si>
  <si>
    <t>balance_cad</t>
  </si>
  <si>
    <t>currencycode</t>
  </si>
  <si>
    <t>Journal</t>
  </si>
  <si>
    <t>pstd</t>
  </si>
  <si>
    <t>journal_description</t>
  </si>
  <si>
    <t>User</t>
  </si>
  <si>
    <t>TypeCode</t>
  </si>
  <si>
    <t>vendor_code</t>
  </si>
  <si>
    <t>OneTime</t>
  </si>
  <si>
    <t>Description</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</si>
  <si>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</si>
  <si>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</si>
  <si>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</si>
  <si>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</si>
  <si>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</si>
  <si>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</si>
  <si>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</si>
  <si>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</si>
  <si>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</si>
  <si>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</si>
  <si>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</si>
  <si>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</si>
  <si>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</si>
  <si>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</si>
  <si>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</si>
  <si>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</si>
  <si>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</si>
  <si>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</si>
  <si>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</si>
  <si>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</si>
  <si>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</si>
  <si>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</si>
  <si>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</si>
  <si>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</si>
  <si>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</si>
  <si>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</si>
  <si>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</si>
  <si>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</si>
  <si>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</si>
  <si>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</si>
  <si>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</si>
  <si>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FromMonth:</t>
  </si>
  <si>
    <t>ToMonth:</t>
  </si>
  <si>
    <t>Current Month:</t>
  </si>
  <si>
    <t>Journal Entry Query Tool</t>
  </si>
  <si>
    <t>NOTE: Ctrl+Shift+J to pull data</t>
  </si>
  <si>
    <t>v.4.6</t>
  </si>
  <si>
    <t>Date Range:</t>
  </si>
  <si>
    <t>Other Criteria</t>
  </si>
  <si>
    <t>From:</t>
  </si>
  <si>
    <t>2016-07</t>
  </si>
  <si>
    <t>Districts:</t>
  </si>
  <si>
    <t>Vendor Code:</t>
  </si>
  <si>
    <t>To:</t>
  </si>
  <si>
    <t>Accts:</t>
  </si>
  <si>
    <t>70095</t>
  </si>
  <si>
    <t>Amount From:</t>
  </si>
  <si>
    <t>Amount To:</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</si>
  <si>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</si>
  <si>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</si>
  <si>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</si>
  <si>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</si>
  <si>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</si>
  <si>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</si>
  <si>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</si>
  <si>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</si>
  <si>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</si>
  <si>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</si>
  <si>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</si>
  <si>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</si>
  <si>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</si>
  <si>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</si>
  <si>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</si>
  <si>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</si>
  <si>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</si>
  <si>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</si>
  <si>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</si>
  <si>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</si>
  <si>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</si>
  <si>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</si>
  <si>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</si>
  <si>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</si>
  <si>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</si>
  <si>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</si>
  <si>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</si>
  <si>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</si>
  <si>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</si>
  <si>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</si>
  <si>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</si>
  <si>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</si>
  <si>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</si>
  <si>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</si>
  <si>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</si>
  <si>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</si>
  <si>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</si>
  <si>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</si>
  <si>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</si>
  <si>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</si>
  <si>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</si>
  <si>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</si>
  <si>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</si>
  <si>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</si>
  <si>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</si>
  <si>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</si>
  <si>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</si>
  <si>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70095-2195-000-00</t>
  </si>
  <si>
    <t>USD</t>
  </si>
  <si>
    <t>JRNLWA00339381</t>
  </si>
  <si>
    <t>P</t>
  </si>
  <si>
    <t>From Voucher Posting.</t>
  </si>
  <si>
    <t>JeffS</t>
  </si>
  <si>
    <t>0/JE IC</t>
  </si>
  <si>
    <t>2195CHERBST</t>
  </si>
  <si>
    <t>CARL TROY HERBST</t>
  </si>
  <si>
    <t>6/1-6/30/2016</t>
  </si>
  <si>
    <t>VO03999471</t>
  </si>
  <si>
    <t>JRNL00805797</t>
  </si>
  <si>
    <t>wci_wa</t>
  </si>
  <si>
    <t>JRNLWA00338493</t>
  </si>
  <si>
    <t>PCARD ACCRUAL WESTERN JUNE 201</t>
  </si>
  <si>
    <t>HeatherWe</t>
  </si>
  <si>
    <t>DAIRY QUEEN YAKIMA, ~ HERBST-Western</t>
  </si>
  <si>
    <t>JRNL00803394</t>
  </si>
  <si>
    <t>JRNL00803433</t>
  </si>
  <si>
    <t>OXFORD SUITES, ~ HERBST-Western</t>
  </si>
  <si>
    <t>JRNLWA00339037</t>
  </si>
  <si>
    <t>OPEX14- AP and Exp Report Accr</t>
  </si>
  <si>
    <t>AdamJo</t>
  </si>
  <si>
    <t>2195CHERBST : Gatorade and Muffins</t>
  </si>
  <si>
    <t>JRNL00804236</t>
  </si>
  <si>
    <t>JRNL00804304</t>
  </si>
  <si>
    <t>2195CHERBST : Snacks and Drinks for driv</t>
  </si>
  <si>
    <t>2195CHERBST : Lunch with Tyler Noble</t>
  </si>
  <si>
    <t>JRNLWA00339591</t>
  </si>
  <si>
    <t>RosemaryS</t>
  </si>
  <si>
    <t>2195PETTY</t>
  </si>
  <si>
    <t>PETTY CASH</t>
  </si>
  <si>
    <t>June Petty cash</t>
  </si>
  <si>
    <t>PO-2195-16-01515</t>
  </si>
  <si>
    <t>VO04006696</t>
  </si>
  <si>
    <t>JRNL00806568</t>
  </si>
  <si>
    <t>JRNLWA00339837</t>
  </si>
  <si>
    <t>PCARD ACTIVITY WESTERN JULY 20</t>
  </si>
  <si>
    <t>DAIRY QUEEN YAKIMA~HERBST</t>
  </si>
  <si>
    <t>JRNL00806933</t>
  </si>
  <si>
    <t>GREATER YAKIMA CHAMBER OF~HERBST</t>
  </si>
  <si>
    <t>JRNLWA00340471</t>
  </si>
  <si>
    <t>2195PETTY : July Petty cash</t>
  </si>
  <si>
    <t>JRNL00808135</t>
  </si>
  <si>
    <t>JRNLWA00340232</t>
  </si>
  <si>
    <t>July Petty cash</t>
  </si>
  <si>
    <t>PO-2195-16-01602</t>
  </si>
  <si>
    <t>VO04011841</t>
  </si>
  <si>
    <t>JRNL00807845</t>
  </si>
  <si>
    <t>JRNLWA00340580</t>
  </si>
  <si>
    <t>JRNL00808236</t>
  </si>
  <si>
    <t>JRNLWA00341467</t>
  </si>
  <si>
    <t>PCard Activity August -Western</t>
  </si>
  <si>
    <t>GREATER YAKIMA CHAMBER OF~CHRISTIE HERBS</t>
  </si>
  <si>
    <t>JRNL00811137</t>
  </si>
  <si>
    <t>JRNLWA00342047</t>
  </si>
  <si>
    <t>2195PETTY : August petty cash</t>
  </si>
  <si>
    <t>JRNL00812583</t>
  </si>
  <si>
    <t>JRNLWA00342388</t>
  </si>
  <si>
    <t>August petty cash</t>
  </si>
  <si>
    <t>PO-2195-16-01825</t>
  </si>
  <si>
    <t>VO04054999</t>
  </si>
  <si>
    <t>JRNL00813647</t>
  </si>
  <si>
    <t>JRNLWA00342159</t>
  </si>
  <si>
    <t>JRNL00812607</t>
  </si>
  <si>
    <t>JRNLWA00342982</t>
  </si>
  <si>
    <t>Pcard Activity September - Wes</t>
  </si>
  <si>
    <t>JRNL00815172</t>
  </si>
  <si>
    <t>JRNLWA00343139</t>
  </si>
  <si>
    <t>Reverse Pcard Activity Septemb</t>
  </si>
  <si>
    <t>JRNL00815464</t>
  </si>
  <si>
    <t>JRNLWA00343140</t>
  </si>
  <si>
    <t>Corrected Pcard Activity Septe</t>
  </si>
  <si>
    <t>JRNL00815465</t>
  </si>
  <si>
    <t>JRNLWA00343451</t>
  </si>
  <si>
    <t>MaribelV</t>
  </si>
  <si>
    <t>212KOV : Troy Herbst &amp; Rob Garcia</t>
  </si>
  <si>
    <t>JRNL00816376</t>
  </si>
  <si>
    <t>JRNLWA00343902</t>
  </si>
  <si>
    <t>212KOV</t>
  </si>
  <si>
    <t>KEITH KOVALENKO</t>
  </si>
  <si>
    <t>VO04075779</t>
  </si>
  <si>
    <t>JRNL00817068</t>
  </si>
  <si>
    <t>JRNLWA00343462</t>
  </si>
  <si>
    <t>JRNL00816386</t>
  </si>
  <si>
    <t>JRNLWA00344851</t>
  </si>
  <si>
    <t>OPEX 13- P Card Accrual</t>
  </si>
  <si>
    <t>WM SUPERCENTER #2269~JESSE DEAUX</t>
  </si>
  <si>
    <t>JRNL00819663</t>
  </si>
  <si>
    <t>CENTRAL WASHINGTON RANGE~JESSE DEAUX</t>
  </si>
  <si>
    <t>JRNLWA00344876</t>
  </si>
  <si>
    <t>JRNL00819763</t>
  </si>
  <si>
    <t>JRNLWA00345917</t>
  </si>
  <si>
    <t>Pcard Activity November - West</t>
  </si>
  <si>
    <t>JRNL00822449</t>
  </si>
  <si>
    <t>JRNLWA00347038</t>
  </si>
  <si>
    <t>212WASHREFUS</t>
  </si>
  <si>
    <t>WASHINGTON REFUSE &amp; RECYCLING ASSOC</t>
  </si>
  <si>
    <t>INV# 13158 - CHRISTMAS WRRA MEMBERS FULL</t>
  </si>
  <si>
    <t>PO-2111-16-05967</t>
  </si>
  <si>
    <t>VO04149099</t>
  </si>
  <si>
    <t>JRNL00825312</t>
  </si>
  <si>
    <t>JRNLWA00347046</t>
  </si>
  <si>
    <t>12/1-12/31/16</t>
  </si>
  <si>
    <t>VO04149514</t>
  </si>
  <si>
    <t>JRNL00825324</t>
  </si>
  <si>
    <t>JRNLWA00347450</t>
  </si>
  <si>
    <t>PCard Activity December - West</t>
  </si>
  <si>
    <t>JRNL00826292</t>
  </si>
  <si>
    <t>XOCHIMILCO TEQUILA BAR~CHRISTIE HERBST</t>
  </si>
  <si>
    <t>JRNLWA00347857</t>
  </si>
  <si>
    <t>WM SUPERCENTER #2269~CHRISTIE HERBST</t>
  </si>
  <si>
    <t>JRNL00827295</t>
  </si>
  <si>
    <t>YV PIPPINS BASEBALL~CHRISTIE HERBST</t>
  </si>
  <si>
    <t>JRNLWA00348511</t>
  </si>
  <si>
    <t>2195RGARCIA</t>
  </si>
  <si>
    <t>ROBERT GARCIA</t>
  </si>
  <si>
    <t>12/1/16-12/31/16</t>
  </si>
  <si>
    <t>VO04170273</t>
  </si>
  <si>
    <t>JRNL00828425</t>
  </si>
  <si>
    <t>JRNLWA00347903</t>
  </si>
  <si>
    <t>JRNL00827352</t>
  </si>
  <si>
    <t>JRNLWA00349054</t>
  </si>
  <si>
    <t>PCard Activity January- Wester</t>
  </si>
  <si>
    <t>JRNL00830275</t>
  </si>
  <si>
    <t>JRNLWA00349312</t>
  </si>
  <si>
    <t>JRNL00831138</t>
  </si>
  <si>
    <t>CLASSIC INDUSTRIAL~CHRISTIE HERBST</t>
  </si>
  <si>
    <t>JRNLWA00349479</t>
  </si>
  <si>
    <t>MISC6: Allocate EAP expenses t</t>
  </si>
  <si>
    <t>Allocate EAP expenses to districts</t>
  </si>
  <si>
    <t>JRNL00831499</t>
  </si>
  <si>
    <t>JRNLWA00350057</t>
  </si>
  <si>
    <t>Petty cash Sept-Dec 2016</t>
  </si>
  <si>
    <t>Sept-Dec 2016</t>
  </si>
  <si>
    <t>PO-2195-17-00322</t>
  </si>
  <si>
    <t>VO04201656</t>
  </si>
  <si>
    <t>JRNL00832627</t>
  </si>
  <si>
    <t>JRNLWA00349325</t>
  </si>
  <si>
    <t>JRNL00831171</t>
  </si>
  <si>
    <t>JRNLWA00349566</t>
  </si>
  <si>
    <t>JRNL00831620</t>
  </si>
  <si>
    <t>JRNLWA00350488</t>
  </si>
  <si>
    <t>PCard Activity February - West</t>
  </si>
  <si>
    <t>JRNL00833894</t>
  </si>
  <si>
    <t>BEST BUY      00008318~CHRISTIE HERBST</t>
  </si>
  <si>
    <t>CABELA'S RETAIL 040~CHRISTIE HERBST</t>
  </si>
  <si>
    <t>WAL-MART #2269~CHRISTIE HERBST</t>
  </si>
  <si>
    <t>VISTAPR VISTAPRINT.COM~CHRISTIE HERBST</t>
  </si>
  <si>
    <t>FRED-MEYER #0486~CHRISTIE HERBST</t>
  </si>
  <si>
    <t>WRAY'S CHALET~CHRISTIE HERBST</t>
  </si>
  <si>
    <t>OWENS CYCLE INC~CHRISTIE HERBST</t>
  </si>
  <si>
    <t>TARGET        00007609~CHRISTIE HERBST</t>
  </si>
  <si>
    <t>KIMMEL ATHLETIC SUPPLY~CHRISTIE HERBST</t>
  </si>
  <si>
    <t>DICK'S SPORTING GOODS~CHRISTIE HERBST</t>
  </si>
  <si>
    <t>PARTY CITY #969~CHRISTIE HERBST</t>
  </si>
  <si>
    <t>JRNLWA00350835</t>
  </si>
  <si>
    <t>MISC3: Allocate EAP expenses t</t>
  </si>
  <si>
    <t>JRNL00834719</t>
  </si>
  <si>
    <t>JRNLWA00350895</t>
  </si>
  <si>
    <t>JRNL00835123</t>
  </si>
  <si>
    <t>MINDA LANES~CHRISTIE HERBST</t>
  </si>
  <si>
    <t>JBLM-LEW YAKIMA FIRE RT~CHRISTIE HERBST</t>
  </si>
  <si>
    <t>JRNLWA00351081</t>
  </si>
  <si>
    <t>2195CHHERBST : Dinner for employees - Ol</t>
  </si>
  <si>
    <t>JRNL00835421</t>
  </si>
  <si>
    <t>PCARD : PO 00293 : Classic Industrial Su</t>
  </si>
  <si>
    <t>JRNLWA00351460</t>
  </si>
  <si>
    <t>2195CHHERBST</t>
  </si>
  <si>
    <t>CHRISTIE HERBST</t>
  </si>
  <si>
    <t>02/01-02/28/2017</t>
  </si>
  <si>
    <t>VO04223446</t>
  </si>
  <si>
    <t>JRNL00835944</t>
  </si>
  <si>
    <t>JRNLWA00350901</t>
  </si>
  <si>
    <t>JRNL00835208</t>
  </si>
  <si>
    <t>JRNLWA00351194</t>
  </si>
  <si>
    <t>JRNL00835589</t>
  </si>
  <si>
    <t>JRNLWA00351880</t>
  </si>
  <si>
    <t>PCard Activity March - Western</t>
  </si>
  <si>
    <t>JRNL00837651</t>
  </si>
  <si>
    <t>JRNLWA00352304</t>
  </si>
  <si>
    <t>JRNL00838851</t>
  </si>
  <si>
    <t>DESIGNS LIMITED~CHRISTIE HERBST</t>
  </si>
  <si>
    <t>NOR CAL EMBROIDERY AND NO~CHRISTIE HERBS</t>
  </si>
  <si>
    <t>JRNLWA00352349</t>
  </si>
  <si>
    <t>JRNL00838884</t>
  </si>
  <si>
    <t>JRNLWA00353598</t>
  </si>
  <si>
    <t>PCard Activity April - Western</t>
  </si>
  <si>
    <t>JRNL00841892</t>
  </si>
  <si>
    <t>JRNLWA00354946</t>
  </si>
  <si>
    <t>April 2017 petty cash</t>
  </si>
  <si>
    <t>PO-2195-17-01105</t>
  </si>
  <si>
    <t>VO04307918</t>
  </si>
  <si>
    <t>JRNL00845484</t>
  </si>
  <si>
    <t>JRNLWA00355229</t>
  </si>
  <si>
    <t>Pcard Activity May - Western</t>
  </si>
  <si>
    <t>C&amp;C SMART FOOD52305745~CHRISTIE HERBST</t>
  </si>
  <si>
    <t>JRNL00845802</t>
  </si>
  <si>
    <t>PIZZA HUT 24448~CHRISTIE HERBST</t>
  </si>
  <si>
    <t>DOMINO'S 7170~CHRISTIE HERBST</t>
  </si>
  <si>
    <t>WM SUPERCENTER #5078~CHRISTIE HERBST</t>
  </si>
  <si>
    <t>JRNLWA00355646</t>
  </si>
  <si>
    <t>2195CHERBST : lunch for employees</t>
  </si>
  <si>
    <t>JRNL00846891</t>
  </si>
  <si>
    <t>JRNLWA00355523</t>
  </si>
  <si>
    <t>05/01-05/31/2017</t>
  </si>
  <si>
    <t>VO04309490</t>
  </si>
  <si>
    <t>JRNL00846678</t>
  </si>
  <si>
    <t>JRNLWA00355843</t>
  </si>
  <si>
    <t>JRNL00846929</t>
  </si>
  <si>
    <t>End of List</t>
  </si>
  <si>
    <t>Row Labels</t>
  </si>
  <si>
    <t>Sum of Amount USD</t>
  </si>
  <si>
    <t>Grand Total</t>
  </si>
  <si>
    <t>70195</t>
  </si>
  <si>
    <t>70195-2195-000-00</t>
  </si>
  <si>
    <t>JRNLWA00339227</t>
  </si>
  <si>
    <t>25WRRA</t>
  </si>
  <si>
    <t>July WRRA Invoice</t>
  </si>
  <si>
    <t>PO-2000-16-00267</t>
  </si>
  <si>
    <t>VO03988345</t>
  </si>
  <si>
    <t>JRNL00805088</t>
  </si>
  <si>
    <t>JRNLWA00339406</t>
  </si>
  <si>
    <t>WRRA July Regular Dues</t>
  </si>
  <si>
    <t>PO-2000-16-00297</t>
  </si>
  <si>
    <t>VO04001758</t>
  </si>
  <si>
    <t>JRNL00805974</t>
  </si>
  <si>
    <t>JRNLWA00339592</t>
  </si>
  <si>
    <t>2195SELCOC</t>
  </si>
  <si>
    <t>SELAH CHAMBER OF COMMERCE</t>
  </si>
  <si>
    <t>Membership dues</t>
  </si>
  <si>
    <t>179-16 17</t>
  </si>
  <si>
    <t>PO-2195-16-01535</t>
  </si>
  <si>
    <t>VO04006776</t>
  </si>
  <si>
    <t>JRNL00806569</t>
  </si>
  <si>
    <t>JRNLWA00341931</t>
  </si>
  <si>
    <t>PO Log and Expense Report Accr</t>
  </si>
  <si>
    <t>25WRRA : PO 00655 : WASHINGTON REFUSE &amp;</t>
  </si>
  <si>
    <t>JRNL00812392</t>
  </si>
  <si>
    <t>JRNLWA00341470</t>
  </si>
  <si>
    <t>WRRA Regular Dues- August</t>
  </si>
  <si>
    <t>PO-2000-16-00655</t>
  </si>
  <si>
    <t>VO04041525</t>
  </si>
  <si>
    <t>JRNL00811210</t>
  </si>
  <si>
    <t>2195YAKCOC</t>
  </si>
  <si>
    <t>YAKIMA CHAMBER OF COMMERCE</t>
  </si>
  <si>
    <t>PO-2195-16-01801</t>
  </si>
  <si>
    <t>VO04054975</t>
  </si>
  <si>
    <t>JRNLWA00341983</t>
  </si>
  <si>
    <t>JRNL00812415</t>
  </si>
  <si>
    <t>JRNLWA00343211</t>
  </si>
  <si>
    <t>From Debit Memo Posting.</t>
  </si>
  <si>
    <t>DB00129661</t>
  </si>
  <si>
    <t>JRNL00815788</t>
  </si>
  <si>
    <t>JRNLWA00343209</t>
  </si>
  <si>
    <t>WRRA- Regular Dues</t>
  </si>
  <si>
    <t>PO-2000-16-01082</t>
  </si>
  <si>
    <t>VO04072005</t>
  </si>
  <si>
    <t>JRNL00815781</t>
  </si>
  <si>
    <t>JRNLWA00345399</t>
  </si>
  <si>
    <t>PO-2000-16-01433</t>
  </si>
  <si>
    <t>VO04105459</t>
  </si>
  <si>
    <t>JRNL00820783</t>
  </si>
  <si>
    <t>JRNLWA00346881</t>
  </si>
  <si>
    <t>WRRA- Regular Dues December</t>
  </si>
  <si>
    <t>PO-2000-16-01761</t>
  </si>
  <si>
    <t>VO04136728</t>
  </si>
  <si>
    <t>JRNL00824648</t>
  </si>
  <si>
    <t>JRNLWA00347005</t>
  </si>
  <si>
    <t>212AWB</t>
  </si>
  <si>
    <t>ASSOCIATION OF WASHINGTON BUSINESS</t>
  </si>
  <si>
    <t>Association of WA Business- Chamber of t</t>
  </si>
  <si>
    <t>PO-2000-16-01889</t>
  </si>
  <si>
    <t>VO04147787</t>
  </si>
  <si>
    <t>JRNL00825158</t>
  </si>
  <si>
    <t>IN  YAKIMA VALLEY VISITOR~CHRISTIE HERBS</t>
  </si>
  <si>
    <t>JRNLWA00348169</t>
  </si>
  <si>
    <t>WRRA Regular Dues- January</t>
  </si>
  <si>
    <t>PO-2000-17-00092</t>
  </si>
  <si>
    <t>VO04166261</t>
  </si>
  <si>
    <t>JRNL00827837</t>
  </si>
  <si>
    <t>JRNLWA00348665</t>
  </si>
  <si>
    <t>2195YNGC</t>
  </si>
  <si>
    <t>YAKAMA NATION GAMING COMMISSION</t>
  </si>
  <si>
    <t>2017 annual renewal fee</t>
  </si>
  <si>
    <t>2017 renewal</t>
  </si>
  <si>
    <t>PO-2195-17-00172</t>
  </si>
  <si>
    <t>VO04185180</t>
  </si>
  <si>
    <t>JRNL00829235</t>
  </si>
  <si>
    <t>JRNLWA00348841</t>
  </si>
  <si>
    <t>2195TOPCOC</t>
  </si>
  <si>
    <t>TOPPENISH CHAMBER OF COMMERCE</t>
  </si>
  <si>
    <t>2017 membership dues</t>
  </si>
  <si>
    <t>PO-2195-17-00253</t>
  </si>
  <si>
    <t>VO04191166</t>
  </si>
  <si>
    <t>JRNL00829889</t>
  </si>
  <si>
    <t>YAKIMA HERALD REPUBLIC~CHRISTIE HERBST</t>
  </si>
  <si>
    <t>JRNLWA00349476</t>
  </si>
  <si>
    <t>Opex 12- S LeMay PO Log</t>
  </si>
  <si>
    <t>PCARD : PO 00307 : THE CHRONICLE  : PCar</t>
  </si>
  <si>
    <t>JRNL00831494</t>
  </si>
  <si>
    <t>JRNLWA00348931</t>
  </si>
  <si>
    <t>WRRA Regular Dues- February</t>
  </si>
  <si>
    <t>PO-2000-17-00437</t>
  </si>
  <si>
    <t>VO04192647</t>
  </si>
  <si>
    <t>JRNL00830163</t>
  </si>
  <si>
    <t>JRNLWA00349564</t>
  </si>
  <si>
    <t>JRNL00831617</t>
  </si>
  <si>
    <t>THE CHRONICLE 2 GATEWA~TOM RUPERT</t>
  </si>
  <si>
    <t>JRNLWA00350516</t>
  </si>
  <si>
    <t>AWB Association of WA Business- 2017 Due</t>
  </si>
  <si>
    <t>PO-2000-17-00267</t>
  </si>
  <si>
    <t>VO04220208</t>
  </si>
  <si>
    <t>JRNL00833985</t>
  </si>
  <si>
    <t>JRNLWA00351492</t>
  </si>
  <si>
    <t>WRRA- Regular Dues March 2017</t>
  </si>
  <si>
    <t>PO-2000-17-00833</t>
  </si>
  <si>
    <t>VO04226137</t>
  </si>
  <si>
    <t>JRNL00836115</t>
  </si>
  <si>
    <t>JRNLWA00353071</t>
  </si>
  <si>
    <t>APRIL WRRA INVOICE</t>
  </si>
  <si>
    <t>PO-2000-17-01475</t>
  </si>
  <si>
    <t>VO04255529</t>
  </si>
  <si>
    <t>JRNL00840219</t>
  </si>
  <si>
    <t>JRNLWA00354681</t>
  </si>
  <si>
    <t>Regular Dues</t>
  </si>
  <si>
    <t>PO-2000-17-01877</t>
  </si>
  <si>
    <t>VO04292441</t>
  </si>
  <si>
    <t>JRNL00844227</t>
  </si>
  <si>
    <t>JRNLWA00357384</t>
  </si>
  <si>
    <t>25WRRA : WRRA Allocation, regular dues</t>
  </si>
  <si>
    <t>JRNL00851453</t>
  </si>
  <si>
    <t>Exclude</t>
  </si>
  <si>
    <t>X</t>
  </si>
  <si>
    <t xml:space="preserve">Exclude from Rate Filing = </t>
  </si>
  <si>
    <t>70255</t>
  </si>
  <si>
    <t>70255-2195-000-00</t>
  </si>
  <si>
    <t>JRNLWA00339322</t>
  </si>
  <si>
    <t>212TRANSUE</t>
  </si>
  <si>
    <t>C MICHAEL J TRANSUE</t>
  </si>
  <si>
    <t>LOBBYIST 06/16</t>
  </si>
  <si>
    <t>PO-2111-16-03439</t>
  </si>
  <si>
    <t>VO03995234</t>
  </si>
  <si>
    <t>JRNL00805558</t>
  </si>
  <si>
    <t>JRNLWA00338864</t>
  </si>
  <si>
    <t>Accrue Cameron Cole</t>
  </si>
  <si>
    <t>Accrue Cameron Cole  - June</t>
  </si>
  <si>
    <t>JRNL00804028</t>
  </si>
  <si>
    <t>JRNL00804072</t>
  </si>
  <si>
    <t>JRNLWA00340115</t>
  </si>
  <si>
    <t>N.Chambliss Pcard Accruals</t>
  </si>
  <si>
    <t>LIQUID NETWORX~NAMEN CHAMBLISS</t>
  </si>
  <si>
    <t>JRNL00807443</t>
  </si>
  <si>
    <t>JRNLWA00340460</t>
  </si>
  <si>
    <t>Cameron Cole Allocation</t>
  </si>
  <si>
    <t>Cameron Cole Allocation  - June</t>
  </si>
  <si>
    <t>JRNL00808109</t>
  </si>
  <si>
    <t>JRNLWA00340631</t>
  </si>
  <si>
    <t>Accrue LRQA</t>
  </si>
  <si>
    <t>Accrue LRQA  - July</t>
  </si>
  <si>
    <t>JRNL00808361</t>
  </si>
  <si>
    <t>JRNLWA00340790</t>
  </si>
  <si>
    <t>7/21/16-8/5/16</t>
  </si>
  <si>
    <t>VO04020633</t>
  </si>
  <si>
    <t>JRNL00809303</t>
  </si>
  <si>
    <t>JRNLWA00340973</t>
  </si>
  <si>
    <t>LOBBYIST</t>
  </si>
  <si>
    <t>VO04032639</t>
  </si>
  <si>
    <t>JRNL00809949</t>
  </si>
  <si>
    <t>JRNLWA00340132</t>
  </si>
  <si>
    <t>JRNL00807566</t>
  </si>
  <si>
    <t>JRNLWA00340671</t>
  </si>
  <si>
    <t>JRNL00808375</t>
  </si>
  <si>
    <t>JRNLWA00341247</t>
  </si>
  <si>
    <t>N. Chambliss PCard</t>
  </si>
  <si>
    <t>JRNL00810756</t>
  </si>
  <si>
    <t>JRNLWA00341866</t>
  </si>
  <si>
    <t>LRQA Allocation</t>
  </si>
  <si>
    <t>LRQA Allocation  - Q3</t>
  </si>
  <si>
    <t>JRNL00812154</t>
  </si>
  <si>
    <t>JRNLWA00341867</t>
  </si>
  <si>
    <t>Accrue Cameron Cole  - August</t>
  </si>
  <si>
    <t>JRNL00812155</t>
  </si>
  <si>
    <t>JRNLWA00342376</t>
  </si>
  <si>
    <t>LOBBYIST 08-16</t>
  </si>
  <si>
    <t>VO04053221</t>
  </si>
  <si>
    <t>JRNL00813581</t>
  </si>
  <si>
    <t>JRNLWA00341913</t>
  </si>
  <si>
    <t>JRNL00812295</t>
  </si>
  <si>
    <t>JRNLWA00343234</t>
  </si>
  <si>
    <t>Accrue LRQA  - Sep</t>
  </si>
  <si>
    <t>JRNL00815681</t>
  </si>
  <si>
    <t>JRNLWA00343262</t>
  </si>
  <si>
    <t>Accrue Cameron Cole  - September</t>
  </si>
  <si>
    <t>JRNL00815927</t>
  </si>
  <si>
    <t>JRNLWA00343322</t>
  </si>
  <si>
    <t>Cameron Cole Allocation  - September</t>
  </si>
  <si>
    <t>JRNL00816144</t>
  </si>
  <si>
    <t>JRNLWA00343700</t>
  </si>
  <si>
    <t>PO Log Accrual</t>
  </si>
  <si>
    <t>212TRANSUE : LOBBYIST</t>
  </si>
  <si>
    <t>JRNL00816518</t>
  </si>
  <si>
    <t>JRNLWA00343352</t>
  </si>
  <si>
    <t>VO04073489</t>
  </si>
  <si>
    <t>JRNL00816233</t>
  </si>
  <si>
    <t>JRNLWA00343251</t>
  </si>
  <si>
    <t>JRNL00815828</t>
  </si>
  <si>
    <t>JRNLWA00343276</t>
  </si>
  <si>
    <t>JRNL00815965</t>
  </si>
  <si>
    <t>JRNLWA00343773</t>
  </si>
  <si>
    <t>JRNL00816636</t>
  </si>
  <si>
    <t>JRNLWA00344972</t>
  </si>
  <si>
    <t>Accrue Cameron Cole  - October</t>
  </si>
  <si>
    <t>JRNL00819929</t>
  </si>
  <si>
    <t>JRNLWA00344973</t>
  </si>
  <si>
    <t>LRQA, Cameron Cole Allocation</t>
  </si>
  <si>
    <t>LRQA, Cameron Cole Allocation  - October</t>
  </si>
  <si>
    <t>JRNL00819930</t>
  </si>
  <si>
    <t>JRNLWA00345224</t>
  </si>
  <si>
    <t>212TRANSUE : PO 03439 : C MICHAEL J TRAN</t>
  </si>
  <si>
    <t>JRNL00820252</t>
  </si>
  <si>
    <t>JRNLWA00345494</t>
  </si>
  <si>
    <t>VO04114016</t>
  </si>
  <si>
    <t>JRNL00821281</t>
  </si>
  <si>
    <t>JRNLWA00344995</t>
  </si>
  <si>
    <t>JRNL00820038</t>
  </si>
  <si>
    <t>JRNLWA00345273</t>
  </si>
  <si>
    <t>JRNL00820417</t>
  </si>
  <si>
    <t>JRNLWA00346348</t>
  </si>
  <si>
    <t>Accrue Cameron Cole, LRQA</t>
  </si>
  <si>
    <t>Accrue Cameron Cole, LRQA  - November</t>
  </si>
  <si>
    <t>JRNL00823559</t>
  </si>
  <si>
    <t>JRNLWA00346519</t>
  </si>
  <si>
    <t>Exp 15 PO Log Accrual</t>
  </si>
  <si>
    <t>JRNL00823895</t>
  </si>
  <si>
    <t>JRNLWA00346834</t>
  </si>
  <si>
    <t>VO04131778</t>
  </si>
  <si>
    <t>JRNL00824413</t>
  </si>
  <si>
    <t>VO04149153</t>
  </si>
  <si>
    <t>JRNLWA00346357</t>
  </si>
  <si>
    <t>JRNL00823630</t>
  </si>
  <si>
    <t>JRNLWA00346567</t>
  </si>
  <si>
    <t>JRNL00823974</t>
  </si>
  <si>
    <t>JRNLWA00347802</t>
  </si>
  <si>
    <t>LRQA, Cameron Cole Allocation  - Novembe</t>
  </si>
  <si>
    <t>JRNL00827124</t>
  </si>
  <si>
    <t>ROBERTSHARP~CHRISTIE HERBST</t>
  </si>
  <si>
    <t>JRNLWA00349501</t>
  </si>
  <si>
    <t>JRNL00831540</t>
  </si>
  <si>
    <t>JRNLWA00349948</t>
  </si>
  <si>
    <t>LRQA, Cameron Cole Accrual</t>
  </si>
  <si>
    <t>LRQA, Cameron Cole Accrual  - January</t>
  </si>
  <si>
    <t>JRNL00832100</t>
  </si>
  <si>
    <t>JRNLWA00350072</t>
  </si>
  <si>
    <t>PO-2111-17-00634</t>
  </si>
  <si>
    <t>VO04202601</t>
  </si>
  <si>
    <t>JRNL00832667</t>
  </si>
  <si>
    <t>JRNLWA00349572</t>
  </si>
  <si>
    <t>JRNL00831631</t>
  </si>
  <si>
    <t>JRNLWA00349981</t>
  </si>
  <si>
    <t>JRNL00832154</t>
  </si>
  <si>
    <t>JRNLWA00350863</t>
  </si>
  <si>
    <t>LRQA, Cameron Cole Allocation  - Februar</t>
  </si>
  <si>
    <t>JRNL00834931</t>
  </si>
  <si>
    <t>JRNLWA00350864</t>
  </si>
  <si>
    <t>LRQA, Cameron Cole Accrual  - February</t>
  </si>
  <si>
    <t>JRNL00834932</t>
  </si>
  <si>
    <t>JRNLWA00351089</t>
  </si>
  <si>
    <t>JRNL00835452</t>
  </si>
  <si>
    <t>JRNLWA00351578</t>
  </si>
  <si>
    <t>VO04232949</t>
  </si>
  <si>
    <t>JRNL00836465</t>
  </si>
  <si>
    <t>JRNLWA00350869</t>
  </si>
  <si>
    <t>JRNL00834967</t>
  </si>
  <si>
    <t>JRNLWA00351197</t>
  </si>
  <si>
    <t>JRNL00835603</t>
  </si>
  <si>
    <t>JRNLWA00352346</t>
  </si>
  <si>
    <t>LRQA, Cameron Cole Allocation  - March</t>
  </si>
  <si>
    <t>JRNL00839028</t>
  </si>
  <si>
    <t>JRNLWA00352695</t>
  </si>
  <si>
    <t>LRQA, Cameron Cole Accrual  - March</t>
  </si>
  <si>
    <t>JRNL00839402</t>
  </si>
  <si>
    <t>JRNLWA00352708</t>
  </si>
  <si>
    <t>2017-03 Exp 15 PO Log Accrual</t>
  </si>
  <si>
    <t>212TRANSUE : PO 00634 : C MICHAEL J TRAN</t>
  </si>
  <si>
    <t>JRNL00839447</t>
  </si>
  <si>
    <t>JRNLWA00353117</t>
  </si>
  <si>
    <t>VO04260246</t>
  </si>
  <si>
    <t>JRNL00840484</t>
  </si>
  <si>
    <t>JRNLWA00352848</t>
  </si>
  <si>
    <t>JRNL00839598</t>
  </si>
  <si>
    <t>JRNLWA00352853</t>
  </si>
  <si>
    <t>JRNL00839614</t>
  </si>
  <si>
    <t>JRNLWA00353928</t>
  </si>
  <si>
    <t>LRQA, Cameron Cole Allocation  - April</t>
  </si>
  <si>
    <t>JRNL00842695</t>
  </si>
  <si>
    <t>JRNLWA00354218</t>
  </si>
  <si>
    <t>2017-04 Exp 15 PO Log Accrual</t>
  </si>
  <si>
    <t>JRNL00843230</t>
  </si>
  <si>
    <t>JRNLWA00354223</t>
  </si>
  <si>
    <t>LRQA, Cameron Cole Accrual  - April</t>
  </si>
  <si>
    <t>JRNL00843237</t>
  </si>
  <si>
    <t>JRNLWA00354710</t>
  </si>
  <si>
    <t>VO04295105</t>
  </si>
  <si>
    <t>JRNL00844365</t>
  </si>
  <si>
    <t>JRNLWA00354314</t>
  </si>
  <si>
    <t>JRNL00843338</t>
  </si>
  <si>
    <t>JRNLWA00354316</t>
  </si>
  <si>
    <t>JRNL00843340</t>
  </si>
  <si>
    <t>JRNLWA00355806</t>
  </si>
  <si>
    <t>LRQA, Cameron Cole Allocation  - May</t>
  </si>
  <si>
    <t>JRNL00847048</t>
  </si>
  <si>
    <t>JRNLWA00355808</t>
  </si>
  <si>
    <t>2017-05 Exp 15 PO Log Accrual</t>
  </si>
  <si>
    <t>JRNL00847053</t>
  </si>
  <si>
    <t>JRNLWA00355969</t>
  </si>
  <si>
    <t>LRQA, Cameron Cole Accrual  - May</t>
  </si>
  <si>
    <t>JRNL00847332</t>
  </si>
  <si>
    <t>JRNLWA00356173</t>
  </si>
  <si>
    <t>VO04317833</t>
  </si>
  <si>
    <t>JRNL00847868</t>
  </si>
  <si>
    <t>JRNLWA00355916</t>
  </si>
  <si>
    <t>JRNL00847169</t>
  </si>
  <si>
    <t>JRNLWA00355997</t>
  </si>
  <si>
    <t>JRNL00847359</t>
  </si>
  <si>
    <t>JRNLWA00356746</t>
  </si>
  <si>
    <t>LRQA, Cameron Cole Allocation  - June</t>
  </si>
  <si>
    <t>JRNL00850158</t>
  </si>
  <si>
    <t>JRNLWA00357085</t>
  </si>
  <si>
    <t>LRQA, Cameron Cole Accrual  - June</t>
  </si>
  <si>
    <t>JRNL00851196</t>
  </si>
  <si>
    <t>JRNLWA00357477</t>
  </si>
  <si>
    <t>2017-06 Exp 15 PO Log Accrual</t>
  </si>
  <si>
    <t>JRNL00851497</t>
  </si>
  <si>
    <t>Website Host</t>
  </si>
  <si>
    <t>XOCHIMILCO ~CHRISTIE HERBST</t>
  </si>
  <si>
    <t>Act_Unposted</t>
  </si>
  <si>
    <t>Staged</t>
  </si>
  <si>
    <t>Posted</t>
  </si>
  <si>
    <t>Unposted</t>
  </si>
  <si>
    <t>From Epicor - Current Mth Actual BS</t>
  </si>
  <si>
    <t>Three Month BS Trend (from Epicor)</t>
  </si>
  <si>
    <t>Current Mth</t>
  </si>
  <si>
    <t>Change from</t>
  </si>
  <si>
    <t>Prior Period</t>
  </si>
  <si>
    <t>BS LOC Loan Fees</t>
  </si>
  <si>
    <t>LOC Loan Fees</t>
  </si>
  <si>
    <t>BS ST Contengent Considerations</t>
  </si>
  <si>
    <t>ST Contingent</t>
  </si>
  <si>
    <t>BS LT Contengent Considerations</t>
  </si>
  <si>
    <t>LT Contingent</t>
  </si>
  <si>
    <t>Cumulative translation adjustment</t>
  </si>
  <si>
    <t>Management Compensation Allocation</t>
  </si>
  <si>
    <r>
      <rPr>
        <b/>
        <sz val="11"/>
        <rFont val="Calibri"/>
        <family val="2"/>
        <scheme val="minor"/>
      </rPr>
      <t>Note:</t>
    </r>
    <r>
      <rPr>
        <sz val="11"/>
        <rFont val="Calibri"/>
        <family val="2"/>
        <scheme val="minor"/>
      </rPr>
      <t xml:space="preserve"> The Division Vice President and Division Controller's home district for payroll purposes is 2010.  During the year their regular compensation is coded to district 2010 and then allocated out to each of their districts based on the percentages of revenue shown below via a Journal Entry.  Their other compensation is not allocated out to each of the districts during the year therefore that must be done manually for this rate filing.</t>
    </r>
  </si>
  <si>
    <t>District</t>
  </si>
  <si>
    <t>DVP/DivCon</t>
  </si>
  <si>
    <t>2010 - Vancouver Hauling</t>
  </si>
  <si>
    <t>2051 - CRC</t>
  </si>
  <si>
    <t>2053 - Triangle</t>
  </si>
  <si>
    <t>2120 - Empire Disposal</t>
  </si>
  <si>
    <t>2125 - Spokane Transfer</t>
  </si>
  <si>
    <t>2011 - OPF</t>
  </si>
  <si>
    <t>2025 - CRD</t>
  </si>
  <si>
    <t>2046 - EWSI</t>
  </si>
  <si>
    <t>2044 - The Dalles</t>
  </si>
  <si>
    <t>2045 - Hood River</t>
  </si>
  <si>
    <t>2195 - Yakima Waste</t>
  </si>
  <si>
    <t>Other Compensation</t>
  </si>
  <si>
    <t>2042 - Wasco</t>
  </si>
  <si>
    <t>2050 - Finley</t>
  </si>
  <si>
    <t>Yakima Waste Services, Inc.</t>
  </si>
  <si>
    <t>Yakima Allocation IN</t>
  </si>
  <si>
    <t>DVP/DivCon Comp Allocation In</t>
  </si>
  <si>
    <t>Adjust in Other Comp/Expense</t>
  </si>
  <si>
    <t xml:space="preserve">SOURCE: </t>
  </si>
  <si>
    <t>Terrace Heights</t>
  </si>
  <si>
    <t>Cheyne</t>
  </si>
  <si>
    <t>Lower Valley</t>
  </si>
  <si>
    <t>$</t>
  </si>
  <si>
    <t>Total Packer</t>
  </si>
  <si>
    <t>Total Pass Thru</t>
  </si>
  <si>
    <t>Total MSW Packer</t>
  </si>
  <si>
    <t>Yard waste</t>
  </si>
  <si>
    <t>Tons</t>
  </si>
  <si>
    <t>Disposal Schedule</t>
  </si>
  <si>
    <t>Monthly disposal logs - available upon request.  Data is not linked within Pro forma workbook to avoid external file linking errors.</t>
  </si>
  <si>
    <t>Regulated Tons</t>
  </si>
  <si>
    <t>Regulated $</t>
  </si>
  <si>
    <t>Non Reg Tons</t>
  </si>
  <si>
    <t>Non Reg $</t>
  </si>
  <si>
    <t>RO Reg Tons</t>
  </si>
  <si>
    <t xml:space="preserve"> RO Reg $</t>
  </si>
  <si>
    <t>RO Non Reg Tons</t>
  </si>
  <si>
    <t>RO Non Reg $</t>
  </si>
  <si>
    <t>TOTALS</t>
  </si>
  <si>
    <t>Reg $</t>
  </si>
  <si>
    <t>Total Reg MSW</t>
  </si>
  <si>
    <t>Total Reg RO MSW</t>
  </si>
  <si>
    <t>Total Non Reg MSW</t>
  </si>
  <si>
    <t>Total Non Reg RO MSW</t>
  </si>
  <si>
    <t>Total RO MSW</t>
  </si>
  <si>
    <t>Total Reg YW</t>
  </si>
  <si>
    <t>Total Non Reg YW</t>
  </si>
  <si>
    <t>Pass Through per GL</t>
  </si>
  <si>
    <t>Total Disposal per GL</t>
  </si>
  <si>
    <t>imm</t>
  </si>
  <si>
    <t>5-Month Adjust</t>
  </si>
  <si>
    <t>Spokane County Reg Packer Tons</t>
  </si>
  <si>
    <t>Packer Increase w/True-Up</t>
  </si>
  <si>
    <t>Reclass YW</t>
  </si>
  <si>
    <t>Increase per TG-161289</t>
  </si>
  <si>
    <t>RS-2: Adjust In 7 Months of Dump Fee Increase to normalize test period (2-1-2017 DF Increase in TG-161289) &amp; Reclass Pass-through</t>
  </si>
  <si>
    <t>!??!</t>
  </si>
  <si>
    <t>OP/RATIO</t>
  </si>
  <si>
    <t xml:space="preserve">      curve</t>
  </si>
  <si>
    <t>NEW IMPROVED LURITO - GALLAGHER FORMULA - Total Company</t>
  </si>
  <si>
    <t>FORMULAS</t>
  </si>
  <si>
    <t>1st Revenue</t>
  </si>
  <si>
    <t>1st Turnover</t>
  </si>
  <si>
    <t>M</t>
  </si>
  <si>
    <t>ROR</t>
  </si>
  <si>
    <t>ROE</t>
  </si>
  <si>
    <t>Adj ROE</t>
  </si>
  <si>
    <t>Pre Tax ROE</t>
  </si>
  <si>
    <t>Adj M</t>
  </si>
  <si>
    <t>Decision</t>
  </si>
  <si>
    <t xml:space="preserve">     lookup table</t>
  </si>
  <si>
    <t>!!!</t>
  </si>
  <si>
    <t>Revenue Requirement</t>
  </si>
  <si>
    <t>!!!&lt;--</t>
  </si>
  <si>
    <t xml:space="preserve"> 1. less than 50</t>
  </si>
  <si>
    <t>@EXP(5.72260-(.68367*@LN(T)))</t>
  </si>
  <si>
    <t>Revenue Deficiency</t>
  </si>
  <si>
    <t>Increase</t>
  </si>
  <si>
    <t xml:space="preserve"> 2. Between 50 and 125</t>
  </si>
  <si>
    <t>@EXP(5.70827-(.68367*@LN(T)))</t>
  </si>
  <si>
    <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</si>
  <si>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</si>
  <si>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</si>
  <si>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</si>
  <si>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</si>
  <si>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</si>
  <si>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</si>
  <si>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</si>
  <si>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</si>
  <si>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</si>
  <si>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</si>
  <si>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</si>
  <si>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</si>
  <si>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</si>
  <si>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</si>
  <si>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</si>
  <si>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</si>
  <si>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3rd Turnover</t>
  </si>
  <si>
    <t xml:space="preserve">Actual Debt Ratio </t>
  </si>
  <si>
    <t xml:space="preserve"> Conversion factor data:</t>
  </si>
  <si>
    <t>Actual Equity Ratio</t>
  </si>
  <si>
    <t xml:space="preserve"> B &amp; O Tax</t>
  </si>
  <si>
    <t>Actual Cost of Debt</t>
  </si>
  <si>
    <t xml:space="preserve"> WUTC Fee</t>
  </si>
  <si>
    <t>Basis Pts</t>
  </si>
  <si>
    <t>Corp OH</t>
  </si>
  <si>
    <t>Tax Rate</t>
  </si>
  <si>
    <t xml:space="preserve"> Bad Debts</t>
  </si>
  <si>
    <t>4th Turnover</t>
  </si>
  <si>
    <t>Revenue Sensitive</t>
  </si>
  <si>
    <t>Conversion Factor</t>
  </si>
  <si>
    <t>yes</t>
  </si>
  <si>
    <t>5th Turnover</t>
  </si>
  <si>
    <t>6th Turnover</t>
  </si>
  <si>
    <t>7th turnover</t>
  </si>
  <si>
    <t>8th turnover</t>
  </si>
  <si>
    <t>9th turnover</t>
  </si>
  <si>
    <t>Allowable In LG</t>
  </si>
  <si>
    <t>Sale of Asset (5 Acres of Granger Land)</t>
  </si>
  <si>
    <t>Yakima Waste Systems, Inc</t>
  </si>
  <si>
    <t xml:space="preserve">Allocation Ratios </t>
  </si>
  <si>
    <t>Customer Count:</t>
  </si>
  <si>
    <t>Regulated</t>
  </si>
  <si>
    <t>Non-Reg</t>
  </si>
  <si>
    <t>Regulated %</t>
  </si>
  <si>
    <t>Non-Regulated %</t>
  </si>
  <si>
    <t>Reg Only - LOS</t>
  </si>
  <si>
    <t>Commercial Container</t>
  </si>
  <si>
    <t>Roll-Off</t>
  </si>
  <si>
    <t>Commercial Recycl</t>
  </si>
  <si>
    <t>Reg-Non Reg %</t>
  </si>
  <si>
    <t>(Cust Cnt)</t>
  </si>
  <si>
    <t>Customers Billed (Cust Inv'd)</t>
  </si>
  <si>
    <t>(Cust Inv'd)</t>
  </si>
  <si>
    <t>Bad Debt (BD)</t>
  </si>
  <si>
    <t>Total Billing</t>
  </si>
  <si>
    <t xml:space="preserve">Total </t>
  </si>
  <si>
    <t xml:space="preserve"> </t>
  </si>
  <si>
    <t>Route Study - Average Weekly Hours</t>
  </si>
  <si>
    <t>Rt Hr (1)</t>
  </si>
  <si>
    <t>Route Hrs</t>
  </si>
  <si>
    <t>Non-Regulated</t>
  </si>
  <si>
    <t>Residential/Comm</t>
  </si>
  <si>
    <t>Roll-off</t>
  </si>
  <si>
    <t>Roll-off Comm Recyl</t>
  </si>
  <si>
    <t>Total Hours</t>
  </si>
  <si>
    <t>(Rt Hrs)</t>
  </si>
  <si>
    <t>Non-</t>
  </si>
  <si>
    <t>Depreciation:</t>
  </si>
  <si>
    <t>Packer Trucks</t>
  </si>
  <si>
    <t>Rt Hrs (1)</t>
  </si>
  <si>
    <t>RO Trucks</t>
  </si>
  <si>
    <t>Containers</t>
  </si>
  <si>
    <t>Automated Toters Garb</t>
  </si>
  <si>
    <t>Automated Rec Crts</t>
  </si>
  <si>
    <t>Automated YW Crts</t>
  </si>
  <si>
    <t>Service</t>
  </si>
  <si>
    <t>Shop</t>
  </si>
  <si>
    <t>Office</t>
  </si>
  <si>
    <t>Structure</t>
  </si>
  <si>
    <t>Structure MFR</t>
  </si>
  <si>
    <t>Leasehold Improvement</t>
  </si>
  <si>
    <t>Total Depreciation</t>
  </si>
  <si>
    <t xml:space="preserve"> Land</t>
  </si>
  <si>
    <t xml:space="preserve">  Land MFR</t>
  </si>
  <si>
    <t>Total Average Inv</t>
  </si>
  <si>
    <t>Line of Business Only:  (LOB)</t>
  </si>
  <si>
    <t>Ratios below are used to allocate regulated expenses into the correct line of business.</t>
  </si>
  <si>
    <t>Customers:</t>
  </si>
  <si>
    <t>Commercial</t>
  </si>
  <si>
    <t>Route Hours: (LOB)</t>
  </si>
  <si>
    <t>Pckr Rts</t>
  </si>
  <si>
    <t>RO Rts</t>
  </si>
  <si>
    <t>Recycl Rts</t>
  </si>
  <si>
    <t>YW</t>
  </si>
  <si>
    <t>Trucks</t>
  </si>
  <si>
    <t>Alloc Actual</t>
  </si>
  <si>
    <t>Rt Hrs (LOB)</t>
  </si>
  <si>
    <t>Cust Cnt (LOB)</t>
  </si>
  <si>
    <t xml:space="preserve">Total Depreciation </t>
  </si>
  <si>
    <t>Structure Garb Only</t>
  </si>
  <si>
    <t>Allocated Actual</t>
  </si>
  <si>
    <t>Total Average Investment</t>
  </si>
  <si>
    <t>Yakima Waste</t>
  </si>
  <si>
    <t>Depreciation &amp; Average Investment Summary</t>
  </si>
  <si>
    <t>Beginning</t>
  </si>
  <si>
    <t>Ending</t>
  </si>
  <si>
    <t>Average</t>
  </si>
  <si>
    <t>Cost</t>
  </si>
  <si>
    <t>Salvage</t>
  </si>
  <si>
    <t>Test Year</t>
  </si>
  <si>
    <t>Accum Depr</t>
  </si>
  <si>
    <t>Investment</t>
  </si>
  <si>
    <t>Garbage</t>
  </si>
  <si>
    <t>Recycling/Yard Waste</t>
  </si>
  <si>
    <t>Total Trucks</t>
  </si>
  <si>
    <t>Containers:</t>
  </si>
  <si>
    <t>Drop Boxes</t>
  </si>
  <si>
    <t>Automated Toter Garbage</t>
  </si>
  <si>
    <t>Automated Carts Recycl</t>
  </si>
  <si>
    <t>Automated Carts YW</t>
  </si>
  <si>
    <t>Total Cont, Carts,Totes</t>
  </si>
  <si>
    <t>Service Equipment</t>
  </si>
  <si>
    <t>Shop Equipment</t>
  </si>
  <si>
    <t>Office Equipment</t>
  </si>
  <si>
    <t>Structure-Hauling Only</t>
  </si>
  <si>
    <t>Land - Hauling</t>
  </si>
  <si>
    <t>Total Other</t>
  </si>
  <si>
    <t>Total Equipment</t>
  </si>
  <si>
    <t>Breakout of MRF Property Parcel</t>
  </si>
  <si>
    <t>sq. ft.</t>
  </si>
  <si>
    <t>acres</t>
  </si>
  <si>
    <t>Container storage area for garbage containers</t>
  </si>
  <si>
    <t>Garbage truck parking area</t>
  </si>
  <si>
    <t>MRF operations</t>
  </si>
  <si>
    <t>Total Hauling</t>
  </si>
  <si>
    <t>Notes</t>
  </si>
  <si>
    <t>Automated Toters Garb/Recycling</t>
  </si>
  <si>
    <t>Residential Garbage</t>
  </si>
  <si>
    <t>Structure - Hauling</t>
  </si>
  <si>
    <t>Universal Carts  - Recycle/Garbage</t>
  </si>
  <si>
    <t>Leasehold Improvements</t>
  </si>
  <si>
    <t>Category</t>
  </si>
  <si>
    <t>Region OH Calculation</t>
  </si>
  <si>
    <t>Jul-Dec 2016 %</t>
  </si>
  <si>
    <t>2017</t>
  </si>
  <si>
    <t>July 1, 2016 - June 30, 2017</t>
  </si>
  <si>
    <t>Jan-Jun 2017 %</t>
  </si>
  <si>
    <t>2015 Customer Count</t>
  </si>
  <si>
    <t>Allocation Percentage</t>
  </si>
  <si>
    <t>2016 Customer Count</t>
  </si>
  <si>
    <t>REGION G&amp;A STATEMENT</t>
  </si>
  <si>
    <t>Adjusted Region</t>
  </si>
  <si>
    <t>Allocation</t>
  </si>
  <si>
    <t>Unallowable</t>
  </si>
  <si>
    <t>OH Allocation</t>
  </si>
  <si>
    <t>Gifts to Customers</t>
  </si>
  <si>
    <t>Per GL</t>
  </si>
  <si>
    <t>(A)</t>
  </si>
  <si>
    <t>(A)  Immaterial variance</t>
  </si>
  <si>
    <t>check figure</t>
  </si>
  <si>
    <t>Increases per LG:</t>
  </si>
  <si>
    <t>Current</t>
  </si>
  <si>
    <t>Proposed</t>
  </si>
  <si>
    <t>Tariff</t>
  </si>
  <si>
    <t>Rate</t>
  </si>
  <si>
    <t>Rates</t>
  </si>
  <si>
    <t>Item 50, pg 16</t>
  </si>
  <si>
    <t>Returned check charge:</t>
  </si>
  <si>
    <t>Item 51, pg 17</t>
  </si>
  <si>
    <t xml:space="preserve">  Restart fees</t>
  </si>
  <si>
    <t>Item 52, pg 17</t>
  </si>
  <si>
    <t>Redelivery, toter, carts:</t>
  </si>
  <si>
    <t>Item 55, pg 18</t>
  </si>
  <si>
    <t xml:space="preserve"> Oversized can</t>
  </si>
  <si>
    <t>Item 60, pg 18</t>
  </si>
  <si>
    <t>Overtime charge per hr:</t>
  </si>
  <si>
    <t>Minimum</t>
  </si>
  <si>
    <t>Item 70, pg 19</t>
  </si>
  <si>
    <t>Return Trip:</t>
  </si>
  <si>
    <t>Cans</t>
  </si>
  <si>
    <t>Drum</t>
  </si>
  <si>
    <t>Bale</t>
  </si>
  <si>
    <t>Litter receptacle</t>
  </si>
  <si>
    <t>Toter</t>
  </si>
  <si>
    <t>Recycling container</t>
  </si>
  <si>
    <t>Item 80, pg 21</t>
  </si>
  <si>
    <t>Carry-Out:</t>
  </si>
  <si>
    <t>Residential:</t>
  </si>
  <si>
    <t>5-25 feet</t>
  </si>
  <si>
    <t>25- plus add</t>
  </si>
  <si>
    <t>Commercial:</t>
  </si>
  <si>
    <t>Drive-in:</t>
  </si>
  <si>
    <t>125-250 feet</t>
  </si>
  <si>
    <t>Item 90, pg 22</t>
  </si>
  <si>
    <t>Stairs - each step</t>
  </si>
  <si>
    <t>Overhead Obstruction</t>
  </si>
  <si>
    <t>Sunken</t>
  </si>
  <si>
    <t>Item 100, pg 23</t>
  </si>
  <si>
    <t xml:space="preserve"> Mini</t>
  </si>
  <si>
    <t xml:space="preserve"> 1 can</t>
  </si>
  <si>
    <t xml:space="preserve"> 2 can</t>
  </si>
  <si>
    <t xml:space="preserve"> 3 can</t>
  </si>
  <si>
    <t xml:space="preserve"> 4 can</t>
  </si>
  <si>
    <t xml:space="preserve"> 5 can</t>
  </si>
  <si>
    <t xml:space="preserve"> 6 can</t>
  </si>
  <si>
    <t>1 can per month</t>
  </si>
  <si>
    <t>Recycling:</t>
  </si>
  <si>
    <t>EOWR</t>
  </si>
  <si>
    <t>Yard Waste:</t>
  </si>
  <si>
    <t>EOWY</t>
  </si>
  <si>
    <t>Automated:</t>
  </si>
  <si>
    <t xml:space="preserve"> 48-gal</t>
  </si>
  <si>
    <t xml:space="preserve"> 64-gal</t>
  </si>
  <si>
    <t xml:space="preserve"> 96-gal</t>
  </si>
  <si>
    <t>Item 100, pg 24</t>
  </si>
  <si>
    <t>Roll Out</t>
  </si>
  <si>
    <t xml:space="preserve"> Occasional Extra</t>
  </si>
  <si>
    <t xml:space="preserve"> 48-gal additional unit</t>
  </si>
  <si>
    <t xml:space="preserve"> 64-gal additional unit</t>
  </si>
  <si>
    <t xml:space="preserve"> 96-gal additional unit</t>
  </si>
  <si>
    <t>Bag</t>
  </si>
  <si>
    <t>On Call</t>
  </si>
  <si>
    <t>Item 105, pg 27</t>
  </si>
  <si>
    <t xml:space="preserve"> 32-gal</t>
  </si>
  <si>
    <t xml:space="preserve"> 32-gal additional</t>
  </si>
  <si>
    <t>Special Pickup Charge:</t>
  </si>
  <si>
    <t>Minimum Charge:</t>
  </si>
  <si>
    <t>1 can</t>
  </si>
  <si>
    <t>Additional Unit</t>
  </si>
  <si>
    <t>Item 130, pg 28</t>
  </si>
  <si>
    <t>litter Receptacle</t>
  </si>
  <si>
    <t>Minimum Monthly Charge</t>
  </si>
  <si>
    <t>Item 150, pg 28</t>
  </si>
  <si>
    <t>Loose and Bulky</t>
  </si>
  <si>
    <t>Additional</t>
  </si>
  <si>
    <t>Carry Chrg</t>
  </si>
  <si>
    <t>Item 160, pg 29</t>
  </si>
  <si>
    <t>Single Rear Drive Axle:</t>
  </si>
  <si>
    <t>Truck and Driver:</t>
  </si>
  <si>
    <t>Non-packer</t>
  </si>
  <si>
    <t>Packer</t>
  </si>
  <si>
    <t>RO</t>
  </si>
  <si>
    <t>Each Extra Person:</t>
  </si>
  <si>
    <t>Tandem Rear Drive Axle:</t>
  </si>
  <si>
    <t>Item 205, pg 31</t>
  </si>
  <si>
    <t>Roll-Out:</t>
  </si>
  <si>
    <t>Container</t>
  </si>
  <si>
    <t>Over 25 fee</t>
  </si>
  <si>
    <t xml:space="preserve">Cart, Total </t>
  </si>
  <si>
    <t>Item 207, pg 32</t>
  </si>
  <si>
    <t>Excess Weight:</t>
  </si>
  <si>
    <t xml:space="preserve"> 1.25 yard</t>
  </si>
  <si>
    <t xml:space="preserve"> 1.5 yard</t>
  </si>
  <si>
    <t xml:space="preserve"> 3 yard </t>
  </si>
  <si>
    <t xml:space="preserve"> 4 yard </t>
  </si>
  <si>
    <t xml:space="preserve"> 6 yard </t>
  </si>
  <si>
    <t xml:space="preserve"> 8 yard </t>
  </si>
  <si>
    <t>Item 210, pg 33</t>
  </si>
  <si>
    <t>Washing:</t>
  </si>
  <si>
    <t>Per yard</t>
  </si>
  <si>
    <t>Minimum, 6 yard</t>
  </si>
  <si>
    <t>Carts/toter</t>
  </si>
  <si>
    <t>Redelivery:</t>
  </si>
  <si>
    <t>Up to 8 yard</t>
  </si>
  <si>
    <t>Over 8 yard</t>
  </si>
  <si>
    <t>Item 230, pg 34</t>
  </si>
  <si>
    <t>Disposal Fees:</t>
  </si>
  <si>
    <t>Refuse</t>
  </si>
  <si>
    <t>Mixed</t>
  </si>
  <si>
    <t>Item 240, pg 35</t>
  </si>
  <si>
    <t>Permanent Container Rent:</t>
  </si>
  <si>
    <t>Pickups:</t>
  </si>
  <si>
    <t xml:space="preserve">Special Pickups: </t>
  </si>
  <si>
    <t>Temporary:</t>
  </si>
  <si>
    <t>Container Delivery:</t>
  </si>
  <si>
    <t>Rent per Day:</t>
  </si>
  <si>
    <t xml:space="preserve"> 1.50 yard</t>
  </si>
  <si>
    <t>Unlocking/Unlatching:</t>
  </si>
  <si>
    <t>Per pickup</t>
  </si>
  <si>
    <t>Item 240, pg 36</t>
  </si>
  <si>
    <t>Per pickup:</t>
  </si>
  <si>
    <t>Special pickups:</t>
  </si>
  <si>
    <t>Item 245, pg 37</t>
  </si>
  <si>
    <t>Special Pickups</t>
  </si>
  <si>
    <t>Minimum charge;</t>
  </si>
  <si>
    <t>Special pickup, 1st unit</t>
  </si>
  <si>
    <t>Each additional unit</t>
  </si>
  <si>
    <t>Extra Unit</t>
  </si>
  <si>
    <t>Latching, Unlocking</t>
  </si>
  <si>
    <t>Drive-in</t>
  </si>
  <si>
    <t>Item 255, pg 38</t>
  </si>
  <si>
    <t>Each Pickup</t>
  </si>
  <si>
    <t xml:space="preserve"> 3 yard comp 4:1 com</t>
  </si>
  <si>
    <t xml:space="preserve"> 4 yard comp 4:1 com</t>
  </si>
  <si>
    <t>Special Pickup:</t>
  </si>
  <si>
    <t>Item 260, pg 39</t>
  </si>
  <si>
    <t>Permanent Rent;</t>
  </si>
  <si>
    <t>20 yard</t>
  </si>
  <si>
    <t>30 yard</t>
  </si>
  <si>
    <t>40 yard</t>
  </si>
  <si>
    <t>50 yard</t>
  </si>
  <si>
    <t>Hauls:</t>
  </si>
  <si>
    <t>First, Additional, Special</t>
  </si>
  <si>
    <t>Temporary Delivery Fee:</t>
  </si>
  <si>
    <t>Perm/Temp Drop Box</t>
  </si>
  <si>
    <t>Temporary DB (rent)</t>
  </si>
  <si>
    <t>Mileage</t>
  </si>
  <si>
    <t>Unlatch, Unlock</t>
  </si>
  <si>
    <t>Item 275, pg 40</t>
  </si>
  <si>
    <t>Customer owned comp</t>
  </si>
  <si>
    <t>10 yard - 18 yard</t>
  </si>
  <si>
    <t>25 yard</t>
  </si>
  <si>
    <t>35 yard</t>
  </si>
  <si>
    <t>36 yard</t>
  </si>
  <si>
    <t>40 yard - 50 yard</t>
  </si>
  <si>
    <t>Yakima Waste Systems, Inc. G-89</t>
  </si>
  <si>
    <t>Regulated Price Out</t>
  </si>
  <si>
    <t>Tariff Rate</t>
  </si>
  <si>
    <t>Tarriff Rate</t>
  </si>
  <si>
    <t>7/1/16-1/31/17</t>
  </si>
  <si>
    <t>2/1/17-6/30/17</t>
  </si>
  <si>
    <t>Service Code</t>
  </si>
  <si>
    <t>Service Code Description</t>
  </si>
  <si>
    <t>2/1/17 - 6/30/17</t>
  </si>
  <si>
    <t>Total Revenue</t>
  </si>
  <si>
    <t>Average Customers</t>
  </si>
  <si>
    <t>RESIDENTIAL SERVICES</t>
  </si>
  <si>
    <t>RESIDENTIAL GARBAGE</t>
  </si>
  <si>
    <t>RL020.0G1W001</t>
  </si>
  <si>
    <t>20 GL 1X WK 1</t>
  </si>
  <si>
    <t>RL032.0G1M001</t>
  </si>
  <si>
    <t>RL 32 GL 1X MO 1</t>
  </si>
  <si>
    <t>RL032.0G1W001</t>
  </si>
  <si>
    <t>RL 32 GL 1X WK 1</t>
  </si>
  <si>
    <t>RL032.0G1W002</t>
  </si>
  <si>
    <t>RL 32 GL 1X WK 2</t>
  </si>
  <si>
    <t>RL032.0G1W003</t>
  </si>
  <si>
    <t>RL 32 GL 1X WK 3</t>
  </si>
  <si>
    <t>RL032.0G1W004</t>
  </si>
  <si>
    <t>RL 32 GL 1X WK 4</t>
  </si>
  <si>
    <t>RL032.0G1W005</t>
  </si>
  <si>
    <t>RL 32 GL 1X WK 5</t>
  </si>
  <si>
    <t>RL032.0G1W006</t>
  </si>
  <si>
    <t>RL 32 GL 1X WK 6</t>
  </si>
  <si>
    <t>RL048.0G1W001</t>
  </si>
  <si>
    <t>RL 48 GL 1X WK 1</t>
  </si>
  <si>
    <t>RL064.0G1W001</t>
  </si>
  <si>
    <t>RL 64 GL 1X WK 1</t>
  </si>
  <si>
    <t>RL096.0G1W001</t>
  </si>
  <si>
    <t>RL 96 GL 1X WK 1</t>
  </si>
  <si>
    <t>RL32R-OC</t>
  </si>
  <si>
    <t>1 RL 32 GL ON CALL-RES</t>
  </si>
  <si>
    <t>EXTRA-RES</t>
  </si>
  <si>
    <t>EXTRA CAN, BAG, BOX - RES</t>
  </si>
  <si>
    <t>OS-RES</t>
  </si>
  <si>
    <t>OVERSIZE CAN - RES</t>
  </si>
  <si>
    <t>SUNKENCAN-RES</t>
  </si>
  <si>
    <t>SUNKEN CAN FEE - RES</t>
  </si>
  <si>
    <t>WI1-RES</t>
  </si>
  <si>
    <t>WALK IN 6-25' - RES</t>
  </si>
  <si>
    <t>WI2-RES</t>
  </si>
  <si>
    <t>WALK IN 26-50' - RES</t>
  </si>
  <si>
    <t>WI3-RES</t>
  </si>
  <si>
    <t>WALK IN 51-75' - RES</t>
  </si>
  <si>
    <t>WI4-RES</t>
  </si>
  <si>
    <t>WALK IN 76-100' - RES</t>
  </si>
  <si>
    <t>WI5-RES</t>
  </si>
  <si>
    <t>WALK IN 101-125' - RES</t>
  </si>
  <si>
    <t>DRIVEIN1-RES</t>
  </si>
  <si>
    <t xml:space="preserve">DRIVE IN 125-250' - RES </t>
  </si>
  <si>
    <t>DRIVE-IN1 RES MTHLY</t>
  </si>
  <si>
    <t>DRIVE IN 125-250' - RES MONTHLY</t>
  </si>
  <si>
    <t>DRIVEINEOW1-RES</t>
  </si>
  <si>
    <t>DRIVE IN 125-250' - RES EOW</t>
  </si>
  <si>
    <t>REDEL-RES</t>
  </si>
  <si>
    <t>REDELIVER FEE - RES</t>
  </si>
  <si>
    <t>REINSTATE-RES</t>
  </si>
  <si>
    <t>REINSTATE FEE - RES</t>
  </si>
  <si>
    <t>TRIP-RES</t>
  </si>
  <si>
    <t>TRIP FEE - RES</t>
  </si>
  <si>
    <t>TIME-RES</t>
  </si>
  <si>
    <t>TIME FEE 1 - RES</t>
  </si>
  <si>
    <t>TOTAL RESIDENTIAL GARBAGE</t>
  </si>
  <si>
    <t>RESIDENTIAL RECYCLING</t>
  </si>
  <si>
    <t>SL064.0GEO001REC</t>
  </si>
  <si>
    <t>SL 64 GL EOW RECYCLE 1</t>
  </si>
  <si>
    <t>TOTAL RESIDENTIAL RECYCLING</t>
  </si>
  <si>
    <t>RESIDENTIAL YARD WASTE</t>
  </si>
  <si>
    <t>SL096.0GEO001GW</t>
  </si>
  <si>
    <t>SL 96 GL EOW GREENWASTE 1</t>
  </si>
  <si>
    <t>TOTAL RESIDENTIAL YARD WASTE</t>
  </si>
  <si>
    <t>COMMERCIAL SERVICES</t>
  </si>
  <si>
    <t>COMMERCIAL GARBAGE</t>
  </si>
  <si>
    <t>FL001.5Y1W001</t>
  </si>
  <si>
    <t>1.5 YD 1X WK 1</t>
  </si>
  <si>
    <t>FL001.5Y2W001</t>
  </si>
  <si>
    <t>1.5 YD 2X WK 1</t>
  </si>
  <si>
    <t>FL001.5Y3W001</t>
  </si>
  <si>
    <t>1.5 YD 3X WK 1</t>
  </si>
  <si>
    <t>FL001.5Y5W001</t>
  </si>
  <si>
    <t>FL 1.5 YD 5X WK 1</t>
  </si>
  <si>
    <t>RL001.5Y1W001</t>
  </si>
  <si>
    <t>RL 1.5 YD 1X WK 1</t>
  </si>
  <si>
    <t>RL001.5Y2W001</t>
  </si>
  <si>
    <t>RL 1.5 YD 2X WK 1</t>
  </si>
  <si>
    <t>RL001.5Y3W001</t>
  </si>
  <si>
    <t>RL 1.5 YD 3X WK 1</t>
  </si>
  <si>
    <t>RL001.5Y5W001</t>
  </si>
  <si>
    <t>RL 1.5 YD 5X WK 1</t>
  </si>
  <si>
    <t>RL001.5YEO001</t>
  </si>
  <si>
    <t>RL 1.5 YD EOW 1</t>
  </si>
  <si>
    <t>FL003.0Y1W001</t>
  </si>
  <si>
    <t>3 YD 1X WK 1</t>
  </si>
  <si>
    <t>FL003.0Y2W001</t>
  </si>
  <si>
    <t>3 YD 2X WK 1</t>
  </si>
  <si>
    <t>FL003.0Y3W001</t>
  </si>
  <si>
    <t>3 YD 3X WK 1</t>
  </si>
  <si>
    <t>FL003.0Y5W001</t>
  </si>
  <si>
    <t>3 YD 5X WK 1</t>
  </si>
  <si>
    <t>FL004.0Y1W001</t>
  </si>
  <si>
    <t>4 YD 1X WK 1</t>
  </si>
  <si>
    <t>FL004.0Y2W001</t>
  </si>
  <si>
    <t>4 YD 2X WK 1</t>
  </si>
  <si>
    <t>FL004.0Y3W001</t>
  </si>
  <si>
    <t>4 YD 3X WK 1</t>
  </si>
  <si>
    <t>FL004.0Y4W001</t>
  </si>
  <si>
    <t>FL 4 YD 4X WK 1</t>
  </si>
  <si>
    <t>FL004.0Y5W001</t>
  </si>
  <si>
    <t>FL 4 YD 5X WK 1</t>
  </si>
  <si>
    <t>FL006.0Y1W001</t>
  </si>
  <si>
    <t>6 YD 1X WK 1</t>
  </si>
  <si>
    <t>FL006.0Y2W001</t>
  </si>
  <si>
    <t>6 YD 2X WK 1</t>
  </si>
  <si>
    <t>FL006.0Y3W001</t>
  </si>
  <si>
    <t>6 YD 3X WK 1</t>
  </si>
  <si>
    <t>FL006.0Y4W001</t>
  </si>
  <si>
    <t>6 YD 4X WK 1</t>
  </si>
  <si>
    <t>FL006.0Y5W001</t>
  </si>
  <si>
    <t>6 YD 5X WK 1</t>
  </si>
  <si>
    <t>FL008.0Y1W001</t>
  </si>
  <si>
    <t>FL 8 YD 1X WK 1</t>
  </si>
  <si>
    <t>FL008.0Y2W001</t>
  </si>
  <si>
    <t>FL 8 YD 2X WK 1</t>
  </si>
  <si>
    <t>FL008.0Y3W001</t>
  </si>
  <si>
    <t>FL 8 YD 3X WK 1</t>
  </si>
  <si>
    <t>FL004.0Y1W001CMP</t>
  </si>
  <si>
    <t>4 YD 1X WK COMP 1</t>
  </si>
  <si>
    <t>FL1.5TC-COMM</t>
  </si>
  <si>
    <t>FL 1.5 YD TEMP - COMM</t>
  </si>
  <si>
    <t>RL1.5TC-COMM</t>
  </si>
  <si>
    <t>RL TEMPORARY 1.5 YD-COMM</t>
  </si>
  <si>
    <t>FL3TC-COMM</t>
  </si>
  <si>
    <t>FL 3 YD TEMP - COMM</t>
  </si>
  <si>
    <t>FL4TC-COMM</t>
  </si>
  <si>
    <t>FL 4 YD TEMP - COMM</t>
  </si>
  <si>
    <t>FL6TC-COMM</t>
  </si>
  <si>
    <t>FL 6 YD TEMP - COMM</t>
  </si>
  <si>
    <t>RL032.0G1W001COMM</t>
  </si>
  <si>
    <t>RL 32 GL 1X WK COMM 1</t>
  </si>
  <si>
    <t>RL032.0G1W002COMM</t>
  </si>
  <si>
    <t>RL 32 GL 1X WK COMM 2</t>
  </si>
  <si>
    <t>RL032.0G1W003COMM</t>
  </si>
  <si>
    <t>RL 32 GL 1X WK COMM 3</t>
  </si>
  <si>
    <t>RL032.0G1W004COMM</t>
  </si>
  <si>
    <t>RL 32 GL 1X WK COMM 4</t>
  </si>
  <si>
    <t>RL032.0G1W005COMM</t>
  </si>
  <si>
    <t>32 GL 1X WK COMM 5</t>
  </si>
  <si>
    <t>RL048.0G1W001COMM</t>
  </si>
  <si>
    <t>RL 48 GL 1X WK COMM 1</t>
  </si>
  <si>
    <t>RL064.0G1W001COMM</t>
  </si>
  <si>
    <t>RL 64 GL 1X WK COMM 1</t>
  </si>
  <si>
    <t>RL096.0G1W001COMM</t>
  </si>
  <si>
    <t>RL 96 GL 1X WK COMM 1</t>
  </si>
  <si>
    <t>EP1.5-COMM</t>
  </si>
  <si>
    <t>EXTRA PICK UP 1.5 YD - CO</t>
  </si>
  <si>
    <t>EP3-COMM</t>
  </si>
  <si>
    <t>EXTRA PICK UP 3 YD - COMM</t>
  </si>
  <si>
    <t>EP4-COMM</t>
  </si>
  <si>
    <t>EXTRA PICK UP 4 YD - COMM</t>
  </si>
  <si>
    <t>EP6-COMM</t>
  </si>
  <si>
    <t>EXTRA PICK UP 6 YD - COMM</t>
  </si>
  <si>
    <t>EXTRA1TO4YD-COMM</t>
  </si>
  <si>
    <t>EXTRA PU 1 TO 4YD - COMM</t>
  </si>
  <si>
    <t>EXTRA5OVERYD-COMM</t>
  </si>
  <si>
    <t>EXTRA PU 5YD OVER - COMM</t>
  </si>
  <si>
    <t>EXTRA-COMM</t>
  </si>
  <si>
    <t>EXTRA CAN, BAG, BOX - COM</t>
  </si>
  <si>
    <t>OS-COMM</t>
  </si>
  <si>
    <t>OVERSIZE CAN - COMM</t>
  </si>
  <si>
    <t>DISP-COMM</t>
  </si>
  <si>
    <t>DISPOSAL FEE - COMM</t>
  </si>
  <si>
    <t>RENT1.5-COMM</t>
  </si>
  <si>
    <t>RENTAL FEE 1.5 YD COMM</t>
  </si>
  <si>
    <t>RENT3-COMM</t>
  </si>
  <si>
    <t>RENTAL FEE 3 YD COMM</t>
  </si>
  <si>
    <t>RENT4-COMM</t>
  </si>
  <si>
    <t>RENTAL FEE 4 YD COMM</t>
  </si>
  <si>
    <t>RENT6-COMM</t>
  </si>
  <si>
    <t>RENTAL FEE 6 YD COMM</t>
  </si>
  <si>
    <t>RENT8-COMM</t>
  </si>
  <si>
    <t>RENTAL FEE 8 YD COMM</t>
  </si>
  <si>
    <t>RENT1.5TEMP-COMM</t>
  </si>
  <si>
    <t xml:space="preserve">RENTAL FEE 1.5 YD TEMP - </t>
  </si>
  <si>
    <t>RENT3TEMP-COMM</t>
  </si>
  <si>
    <t>RENTAL FEE 3 YD TEMP - CO</t>
  </si>
  <si>
    <t>RENT4TEMP-COMM</t>
  </si>
  <si>
    <t>RENTAL FEE 4YD TEMP - COM</t>
  </si>
  <si>
    <t>RENT6TEMP-COMM</t>
  </si>
  <si>
    <t>RENTAL FEE 6 YD TEMP - CO</t>
  </si>
  <si>
    <t xml:space="preserve">DRIVEIN1-COMM </t>
  </si>
  <si>
    <t>DRIVE IN 125-250' - COMM</t>
  </si>
  <si>
    <t>ROLL-COMM</t>
  </si>
  <si>
    <t>ROLL OUT CHARGE - COMM</t>
  </si>
  <si>
    <t>WI1-COMM</t>
  </si>
  <si>
    <t>WALK IN 6-25' - COMM</t>
  </si>
  <si>
    <t>WI2-COMM</t>
  </si>
  <si>
    <t>WALK IN 26-50' - COMM</t>
  </si>
  <si>
    <t>WI4-COMM</t>
  </si>
  <si>
    <t>WALK IN 76-100' - COMM</t>
  </si>
  <si>
    <t>SUNKENCAN-COMM</t>
  </si>
  <si>
    <t>SUNKEN CAN FEE - COMM</t>
  </si>
  <si>
    <t>CLEAN-COMM</t>
  </si>
  <si>
    <t>CONTAINER CLEANING FEE -</t>
  </si>
  <si>
    <t>CLEAN1YD-COMM</t>
  </si>
  <si>
    <t>CONT CLEAN 1 YD - COMM</t>
  </si>
  <si>
    <t>CLEAN2OVERYD-COMM</t>
  </si>
  <si>
    <t>CONT CLEAN 2YD OVER - COM</t>
  </si>
  <si>
    <t>CLEANPU7UNDER-COMM</t>
  </si>
  <si>
    <t>CLEAN PICKUP 7YD UNDER-CO</t>
  </si>
  <si>
    <t>PUREDEL1-COMM</t>
  </si>
  <si>
    <t>PU/REDEL UP TO 8 YDS - COMM</t>
  </si>
  <si>
    <t>DEL1.5-COMM</t>
  </si>
  <si>
    <t>DELIVERY FEE 1.5YD - COMM</t>
  </si>
  <si>
    <t>DEL3-COMM</t>
  </si>
  <si>
    <t>DELIVERY FEE 3YD - COMM</t>
  </si>
  <si>
    <t>DEL4-COMM</t>
  </si>
  <si>
    <t>DELIVERY FEE 4YD - COMM</t>
  </si>
  <si>
    <t>DEL6-COMM</t>
  </si>
  <si>
    <t>DELIVERY FEE 6YD - COMM</t>
  </si>
  <si>
    <t>DELTEMP-COMM</t>
  </si>
  <si>
    <t>DELIVERY FEE TEMP-COMM</t>
  </si>
  <si>
    <t>REINSTATE-COMM</t>
  </si>
  <si>
    <t>REINSTATE FEE - COMM</t>
  </si>
  <si>
    <t>TIME-COMM</t>
  </si>
  <si>
    <t>TIME FEE 1 - COMM</t>
  </si>
  <si>
    <t>TRIP1-COMM</t>
  </si>
  <si>
    <t>TRIP FEE - COMM</t>
  </si>
  <si>
    <t>UNLATCH-COMM</t>
  </si>
  <si>
    <t>UNLATCHING FEE-COMM</t>
  </si>
  <si>
    <t>UNLCKC</t>
  </si>
  <si>
    <t>UNLOCKING FEE - COMM</t>
  </si>
  <si>
    <t>LCKC</t>
  </si>
  <si>
    <t>LOCK &amp; KEY FEE - COMM</t>
  </si>
  <si>
    <t>REDEL1.5-COMM</t>
  </si>
  <si>
    <t>REDELIVERY FEE 1.5 YD - COMM</t>
  </si>
  <si>
    <t>REDEL3-COMM</t>
  </si>
  <si>
    <t>REDELIVERY FEE 3 YD - COMM</t>
  </si>
  <si>
    <t>REDEL4-COMM</t>
  </si>
  <si>
    <t>REDELIVERY FEE 4 YD - COMM</t>
  </si>
  <si>
    <t>REDEL-COMM</t>
  </si>
  <si>
    <t>REDELIVER FEE LVL 1 - COM</t>
  </si>
  <si>
    <t>CARTREPL-COM</t>
  </si>
  <si>
    <t>CART REPLACEMENT - COMM</t>
  </si>
  <si>
    <t>ADJ-COM</t>
  </si>
  <si>
    <t>ADJUSTMENT COMMERCIAL</t>
  </si>
  <si>
    <t>TOTAL COMMERCIAL GARBAGE</t>
  </si>
  <si>
    <t>DROP BOX SERVICES</t>
  </si>
  <si>
    <t>DROP BOX HAULS/RENTAL</t>
  </si>
  <si>
    <t>HAUL20-RO</t>
  </si>
  <si>
    <t>HAUL 20 YD - RO</t>
  </si>
  <si>
    <t>HAUL30-RO</t>
  </si>
  <si>
    <t>HAUL 30 YD - RO</t>
  </si>
  <si>
    <t>HAUL40-RO</t>
  </si>
  <si>
    <t>HAUL 40 YD - RO</t>
  </si>
  <si>
    <t>HAUL50-RO</t>
  </si>
  <si>
    <t>HAUL 50 YD - RO</t>
  </si>
  <si>
    <t>HAUL10-CP</t>
  </si>
  <si>
    <t>HAUL 10-18YD COMP - RO</t>
  </si>
  <si>
    <t>HAUL20-CP</t>
  </si>
  <si>
    <t>COMPACTOR HAUL 20 YD - RO</t>
  </si>
  <si>
    <t>HAUL25-CP</t>
  </si>
  <si>
    <t>COMPACTOR HAUL 25 YD - RO</t>
  </si>
  <si>
    <t>HAUL30-CP</t>
  </si>
  <si>
    <t>COMPACTOR HAUL 30 YD</t>
  </si>
  <si>
    <t>HAUL35-CP</t>
  </si>
  <si>
    <t>COMPACTOR HAUL 35 YD - RO</t>
  </si>
  <si>
    <t>HAUL36-CP</t>
  </si>
  <si>
    <t>HAUL 36YD COMP - RO</t>
  </si>
  <si>
    <t>HAUL40-CP</t>
  </si>
  <si>
    <t>COMPACTOR HAUL 40 YD</t>
  </si>
  <si>
    <t>HAUL20TEMP-RO</t>
  </si>
  <si>
    <t>HAUL 20 YD TEMP - RO</t>
  </si>
  <si>
    <t>HAUL30TEMP-RO</t>
  </si>
  <si>
    <t>HAUL 30 YD TEMP - RO</t>
  </si>
  <si>
    <t>HAUL40TEMP-RO</t>
  </si>
  <si>
    <t>HAUL 40 YD TEMP - RO</t>
  </si>
  <si>
    <t>DEL-RO</t>
  </si>
  <si>
    <t>DELIVERY FEE - RO</t>
  </si>
  <si>
    <t>RENT20MO-RO</t>
  </si>
  <si>
    <t>RENTAL FEE 20 YD MONTHLY</t>
  </si>
  <si>
    <t>RENT30MO-RO</t>
  </si>
  <si>
    <t>RENTAL FEE 30 YD MONTHLY</t>
  </si>
  <si>
    <t>RENT40MO-RO</t>
  </si>
  <si>
    <t>RENTAL FEE 40 YD MONTHLY</t>
  </si>
  <si>
    <t>RENT20DAY-RO</t>
  </si>
  <si>
    <t>RENTAL FEE 20 YD DAILY</t>
  </si>
  <si>
    <t>RENT30DAY-RO</t>
  </si>
  <si>
    <t>RENTAL FEE 30 YD DAILY</t>
  </si>
  <si>
    <t>RENT40DAY-RO</t>
  </si>
  <si>
    <t>RENTAL FEE 40 YD DAILY</t>
  </si>
  <si>
    <t>CLEAN-RO</t>
  </si>
  <si>
    <t>CONT CLEANING FEE - RO</t>
  </si>
  <si>
    <t>CLEAN20-RO</t>
  </si>
  <si>
    <t>CLEANING FEE 20 YD - RO</t>
  </si>
  <si>
    <t>PUREDEL1-RO</t>
  </si>
  <si>
    <t>PU/REDEL OVER 8 YDS - RO</t>
  </si>
  <si>
    <t>MILE-RO</t>
  </si>
  <si>
    <t>MILEAGE FEE - RO</t>
  </si>
  <si>
    <t>TIME-RO</t>
  </si>
  <si>
    <t>TIME FEE - RO</t>
  </si>
  <si>
    <t>ADJ-RO</t>
  </si>
  <si>
    <t>ADJUSTMENT ROLL OFF</t>
  </si>
  <si>
    <t>TOTAL DROP BOX HAULS/RENTAL</t>
  </si>
  <si>
    <t>PASSTHROUGH DISPOSAL</t>
  </si>
  <si>
    <t>DISP-RO</t>
  </si>
  <si>
    <t>DISPOSAL CHARGE - RO</t>
  </si>
  <si>
    <t>TOTAL PASSTHROUGH DISPOSAL</t>
  </si>
  <si>
    <t>Service Charges</t>
  </si>
  <si>
    <t>ADJ-FIN</t>
  </si>
  <si>
    <t>ADJUSTMENT FINANCE CHARGE</t>
  </si>
  <si>
    <t>FINCHG</t>
  </si>
  <si>
    <t>FINANCE CHARGE</t>
  </si>
  <si>
    <t>RETCKC</t>
  </si>
  <si>
    <t>RETURN CHECK CHARGE</t>
  </si>
  <si>
    <t>TOTAL SERVICE CHARGES</t>
  </si>
  <si>
    <t>TOTAL REVENUE</t>
  </si>
  <si>
    <t>* not on meeks - calculated by staff</t>
  </si>
  <si>
    <t>Yards</t>
  </si>
  <si>
    <t>6 yd packer/compactor</t>
  </si>
  <si>
    <t>5 yd packer/compactor</t>
  </si>
  <si>
    <t>4 yd packer/compactor</t>
  </si>
  <si>
    <t>3 yd packer/compactor</t>
  </si>
  <si>
    <t>8 yd container</t>
  </si>
  <si>
    <t>6 yd container</t>
  </si>
  <si>
    <t>4 yd container</t>
  </si>
  <si>
    <t>3 yd container</t>
  </si>
  <si>
    <t>2 yd container</t>
  </si>
  <si>
    <t>1.5 yd container</t>
  </si>
  <si>
    <t>1 yd container</t>
  </si>
  <si>
    <t>Com'l</t>
  </si>
  <si>
    <t>Extras</t>
  </si>
  <si>
    <t>Once a month</t>
  </si>
  <si>
    <t>Supercan 90</t>
  </si>
  <si>
    <t>Supercan 60</t>
  </si>
  <si>
    <t>6 cans</t>
  </si>
  <si>
    <t>5 cans</t>
  </si>
  <si>
    <t>n/a</t>
  </si>
  <si>
    <t>Yds. Per ton</t>
  </si>
  <si>
    <t>4 cans</t>
  </si>
  <si>
    <t>Lbs. per ton</t>
  </si>
  <si>
    <t>3 cans</t>
  </si>
  <si>
    <t>2 cans</t>
  </si>
  <si>
    <t>20 gal minican</t>
  </si>
  <si>
    <t>Pounds per Pickup</t>
  </si>
  <si>
    <t>Res'l</t>
  </si>
  <si>
    <t>Meeks Weights</t>
  </si>
  <si>
    <t>Monthly (MG)</t>
  </si>
  <si>
    <t>Every Other Week (EOWG)</t>
  </si>
  <si>
    <t>Weekly Pickup (WG)</t>
  </si>
  <si>
    <t>2 Times per Week</t>
  </si>
  <si>
    <t>3 Times per Week</t>
  </si>
  <si>
    <t>4 Times per Week</t>
  </si>
  <si>
    <t>5 Times per Week</t>
  </si>
  <si>
    <t>7 unit</t>
  </si>
  <si>
    <t>6 units</t>
  </si>
  <si>
    <t>5 units</t>
  </si>
  <si>
    <t>4 units</t>
  </si>
  <si>
    <t>3 units</t>
  </si>
  <si>
    <t>2 units</t>
  </si>
  <si>
    <t>1 unit</t>
  </si>
  <si>
    <t>Monthly Factor</t>
  </si>
  <si>
    <t>Reference Sheet</t>
  </si>
  <si>
    <t>Land MRF</t>
  </si>
  <si>
    <t>Commercial (non-regulated)</t>
  </si>
  <si>
    <t>Mabton (non-regulated)</t>
  </si>
  <si>
    <t>Naches (non-regulated)</t>
  </si>
  <si>
    <t>Other (non-regulated)- BDI Tons</t>
  </si>
  <si>
    <t>Residential (regulated)</t>
  </si>
  <si>
    <t>Tieton (non-regulated)</t>
  </si>
  <si>
    <t>Reg</t>
  </si>
  <si>
    <t>Recycle Tons Processed at On-Site MRF (Mat Tns)</t>
  </si>
  <si>
    <t>Hours are from external workbook (Time Study), available upon request.</t>
  </si>
  <si>
    <t>Tons are from external workbook (Recycle Log), available upon request.</t>
  </si>
  <si>
    <t>Non-Reg Counts from external workbook (Price Out), submitted with this filing.</t>
  </si>
  <si>
    <t>Less: City Billed/Collected</t>
  </si>
  <si>
    <t>Yakima Waste Systems, Inc.</t>
  </si>
  <si>
    <t>Revenue Summary &amp; GL Recon - Year to Date</t>
  </si>
  <si>
    <t>Yakima Reg</t>
  </si>
  <si>
    <t>Indian Nation</t>
  </si>
  <si>
    <t xml:space="preserve">Zillah </t>
  </si>
  <si>
    <t>Tieton</t>
  </si>
  <si>
    <t>Sunnyside</t>
  </si>
  <si>
    <t>Naches</t>
  </si>
  <si>
    <t>Mabton</t>
  </si>
  <si>
    <t>Storage</t>
  </si>
  <si>
    <t>Reclass Sunnyside Resi/Comm Revenue</t>
  </si>
  <si>
    <t>Non Reg Total</t>
  </si>
  <si>
    <t>Resi MSW</t>
  </si>
  <si>
    <t>Resi Recycle</t>
  </si>
  <si>
    <t>Comm MSW</t>
  </si>
  <si>
    <t>MF MSW</t>
  </si>
  <si>
    <t>MF Recycling</t>
  </si>
  <si>
    <t>Roll Off MSW</t>
  </si>
  <si>
    <t>Roll Off Recycling</t>
  </si>
  <si>
    <t>Pass-Through</t>
  </si>
  <si>
    <t>City Billed/Collected Revenue (for bad debt calc)</t>
  </si>
  <si>
    <t>Revenue is from external workbook (Price Out), submitted with this filing.</t>
  </si>
  <si>
    <t>Packer &amp; Roll-off</t>
  </si>
  <si>
    <t>Annual Increase</t>
  </si>
  <si>
    <t>Annual Revenue</t>
  </si>
  <si>
    <t>Less Pass Through DF</t>
  </si>
  <si>
    <t>Actual Increase Percent</t>
  </si>
  <si>
    <t>Sum of Account Count</t>
  </si>
  <si>
    <t>Billarea</t>
  </si>
  <si>
    <t>COMM RECYCLE</t>
  </si>
  <si>
    <t>GRANDVIEW</t>
  </si>
  <si>
    <t>GRANGER</t>
  </si>
  <si>
    <t>MABTON</t>
  </si>
  <si>
    <t>MOXEE</t>
  </si>
  <si>
    <t>NACHES</t>
  </si>
  <si>
    <t>SELAH</t>
  </si>
  <si>
    <t>STORAGE</t>
  </si>
  <si>
    <t>SUNNYSIDE</t>
  </si>
  <si>
    <t>TIETON</t>
  </si>
  <si>
    <t>TOPPENISH</t>
  </si>
  <si>
    <t>UNION GAP</t>
  </si>
  <si>
    <t>YAKAMA IND NAT</t>
  </si>
  <si>
    <t>YAKIMA CITY</t>
  </si>
  <si>
    <t>YAKIMA COUNTY</t>
  </si>
  <si>
    <t>ZILLAH</t>
  </si>
  <si>
    <t>ROLL OFF</t>
  </si>
  <si>
    <t>HAUL20REC-RO</t>
  </si>
  <si>
    <t>HAUL30REC-RO</t>
  </si>
  <si>
    <t>HAUL40REC-RO</t>
  </si>
  <si>
    <t>HAULREC-CP</t>
  </si>
  <si>
    <t>RENT20REC-RO</t>
  </si>
  <si>
    <t>RENT30REC-RO</t>
  </si>
  <si>
    <t>STGRNT</t>
  </si>
  <si>
    <t>ROLL OFF Total</t>
  </si>
  <si>
    <t>Roll off customer count:</t>
  </si>
  <si>
    <t>Note:  This information was obtained from Route Manager.  Links have been broken to maintain data integrity.  Calculations are available upon request.</t>
  </si>
  <si>
    <t>Service Charge Allocation (LOB)</t>
  </si>
  <si>
    <t>Packer Routes</t>
  </si>
  <si>
    <t>RO Routes</t>
  </si>
  <si>
    <t>Test Period Ending 6-30-2017</t>
  </si>
  <si>
    <t>Mat tns</t>
  </si>
  <si>
    <t>REV</t>
  </si>
  <si>
    <t>Remove PY Workers Comp Credit - Not previously recovered in rates.</t>
  </si>
  <si>
    <t>RS-6: Adjust WUTC Fees to actual</t>
  </si>
  <si>
    <t>RS-7: Adjust depreciation to UTC methodology</t>
  </si>
  <si>
    <t>RS-8: Adjust Bad Debt to Actual</t>
  </si>
  <si>
    <t>RS-9: Restate In Other Wages/Expense</t>
  </si>
  <si>
    <t>RS-5; RS-9</t>
  </si>
  <si>
    <t>PRO-FORMA RAISES INTO EXPENSE BASE</t>
  </si>
  <si>
    <t>PR-1</t>
  </si>
  <si>
    <t>Restate Wage Increase:</t>
  </si>
  <si>
    <t>Drivers, less MRF</t>
  </si>
  <si>
    <t>Mechanics &amp; Container</t>
  </si>
  <si>
    <t>Supervisor</t>
  </si>
  <si>
    <t>Wage Increase Taxes:</t>
  </si>
  <si>
    <t>TOTAL PR-1</t>
  </si>
  <si>
    <t>PRO-FORMA KNOWN EXPENSE OF NOTIFYING CUSTOMERS OF RATE INCREASE</t>
  </si>
  <si>
    <t>PR-2</t>
  </si>
  <si>
    <t># of Cust</t>
  </si>
  <si>
    <t>Exp per Cust</t>
  </si>
  <si>
    <t>Expense</t>
  </si>
  <si>
    <t>Residential, Recycl, YW</t>
  </si>
  <si>
    <t>Commercial Cont</t>
  </si>
  <si>
    <t>PR-3</t>
  </si>
  <si>
    <t>Account #52142</t>
  </si>
  <si>
    <t>JULY PRO FORMA IN FUEL EXPENSE</t>
  </si>
  <si>
    <t>Amortize over 24 Months</t>
  </si>
  <si>
    <t>Packer % for LOB Alloc.</t>
  </si>
  <si>
    <t>Note:  Source data is from WCI's Financial Reporting System.  Live calculations are available upon request.</t>
  </si>
  <si>
    <t>2195 Yakima Waste Systems</t>
  </si>
  <si>
    <t xml:space="preserve">Fuel </t>
  </si>
  <si>
    <t>Gallons</t>
  </si>
  <si>
    <t>Avg Price/</t>
  </si>
  <si>
    <t>Used</t>
  </si>
  <si>
    <t>Gallon</t>
  </si>
  <si>
    <t>2017 Data</t>
  </si>
  <si>
    <t>2017 Pro forma Adjustment</t>
  </si>
  <si>
    <t>70149</t>
  </si>
  <si>
    <t>70149-2195-000-00</t>
  </si>
  <si>
    <t>JRNLWA00339462</t>
  </si>
  <si>
    <t>July 16 Overhead Allocation</t>
  </si>
  <si>
    <t>JRNL00806216</t>
  </si>
  <si>
    <t>70149-2195-000-01</t>
  </si>
  <si>
    <t>JRNLWA00350806</t>
  </si>
  <si>
    <t>Payroll F61-63 pp13-14</t>
  </si>
  <si>
    <t>OH OFFSET FOR COMPENSATION</t>
  </si>
  <si>
    <t>JRNL00834592</t>
  </si>
  <si>
    <t>JRNLWA00341096</t>
  </si>
  <si>
    <t>Aug 16 Overhead Allocation</t>
  </si>
  <si>
    <t>JRNL00810383</t>
  </si>
  <si>
    <t>JRNLWA00350807</t>
  </si>
  <si>
    <t>Payroll F61-63 pp15-16</t>
  </si>
  <si>
    <t>JRNL00834599</t>
  </si>
  <si>
    <t>JRNLWA00342636</t>
  </si>
  <si>
    <t>Sept 16 Overhead Allocation</t>
  </si>
  <si>
    <t>JRNL00814383</t>
  </si>
  <si>
    <t>JRNLWA00350808</t>
  </si>
  <si>
    <t>Payroll F61-63 pp17-18</t>
  </si>
  <si>
    <t>JRNL00834600</t>
  </si>
  <si>
    <t>JRNLWA00344221</t>
  </si>
  <si>
    <t>Oct 16 Overhead Allocation</t>
  </si>
  <si>
    <t>JRNL00818291</t>
  </si>
  <si>
    <t>JRNLWA00350809</t>
  </si>
  <si>
    <t>Payroll F61-63 pp19-20</t>
  </si>
  <si>
    <t>JRNL00834601</t>
  </si>
  <si>
    <t>JRNLWA00345607</t>
  </si>
  <si>
    <t>Nov 16 Overhead Allocation</t>
  </si>
  <si>
    <t>JRNL00821803</t>
  </si>
  <si>
    <t>JRNLWA00350810</t>
  </si>
  <si>
    <t>Payroll F61-63 pp21-22</t>
  </si>
  <si>
    <t>JRNL00834602</t>
  </si>
  <si>
    <t>JRNLWA00347125</t>
  </si>
  <si>
    <t>Dec 16 Overhead Allocation</t>
  </si>
  <si>
    <t>JRNL00825440</t>
  </si>
  <si>
    <t>JRNLWA00350811</t>
  </si>
  <si>
    <t>Payroll F61-63 pp23-24</t>
  </si>
  <si>
    <t>JRNL00834603</t>
  </si>
  <si>
    <t>JRNLWA00348738</t>
  </si>
  <si>
    <t>Jan 17 Overhead Allocation</t>
  </si>
  <si>
    <t>JRNL00829553</t>
  </si>
  <si>
    <t>JRNLWA00357957</t>
  </si>
  <si>
    <t>Payroll B2 pp1-2</t>
  </si>
  <si>
    <t>JoshuaV</t>
  </si>
  <si>
    <t>JRNL00852686</t>
  </si>
  <si>
    <t>JRNLWA00350216</t>
  </si>
  <si>
    <t>Feb 17 Overhead Allocation</t>
  </si>
  <si>
    <t>JRNL00833382</t>
  </si>
  <si>
    <t>JRNLWA00357958</t>
  </si>
  <si>
    <t>Payroll B2 pp3-4</t>
  </si>
  <si>
    <t>JRNL00852687</t>
  </si>
  <si>
    <t>JRNLWA00351741</t>
  </si>
  <si>
    <t>Mar 17 Overhead Allocation</t>
  </si>
  <si>
    <t>JRNL00837169</t>
  </si>
  <si>
    <t>JRNLWA00357959</t>
  </si>
  <si>
    <t>Payroll B2 pp5-6</t>
  </si>
  <si>
    <t>JRNL00852688</t>
  </si>
  <si>
    <t>JRNLWA00353317</t>
  </si>
  <si>
    <t>Apr 17 Overhead Allocation</t>
  </si>
  <si>
    <t>JRNL00841268</t>
  </si>
  <si>
    <t>JRNLWA00357960</t>
  </si>
  <si>
    <t>Payroll B2 pp7-8</t>
  </si>
  <si>
    <t>JRNL00852689</t>
  </si>
  <si>
    <t>JRNLWA00354851</t>
  </si>
  <si>
    <t>May 17 Overhead Allocation</t>
  </si>
  <si>
    <t>JRNL00845020</t>
  </si>
  <si>
    <t>JRNLWA00357961</t>
  </si>
  <si>
    <t>Payroll B2 pp9-10</t>
  </si>
  <si>
    <t>JRNL00852690</t>
  </si>
  <si>
    <t>JRNLWA00356398</t>
  </si>
  <si>
    <t>June 17 Overhead Allocation</t>
  </si>
  <si>
    <t>JRNL00848901</t>
  </si>
  <si>
    <t>JRNLWA00357962</t>
  </si>
  <si>
    <t>Payroll B2 pp11-12</t>
  </si>
  <si>
    <t>JRNL00852691</t>
  </si>
  <si>
    <t xml:space="preserve">Pro forma July increase in fuel expense to normalize rate prospectively. </t>
  </si>
  <si>
    <r>
      <rPr>
        <b/>
        <sz val="11"/>
        <color rgb="FFFF0000"/>
        <rFont val="Calibri"/>
        <family val="2"/>
        <scheme val="minor"/>
      </rPr>
      <t xml:space="preserve">(A) </t>
    </r>
    <r>
      <rPr>
        <sz val="11"/>
        <color theme="1"/>
        <rFont val="Calibri"/>
        <family val="2"/>
        <scheme val="minor"/>
      </rPr>
      <t>During the test year, Yakima Disposal was short on mechanics.  Mechanics from different Waste Connections locations traveled to Yakima to help them maintain their fleet.  This adjustment is for the wages and expenses attributed to Yakima Disposal for mechanic help they received.</t>
    </r>
  </si>
  <si>
    <t>Quote/Cost</t>
  </si>
  <si>
    <t>Amortize over 3 Years</t>
  </si>
  <si>
    <t>PRO FORMA IN FUEL EXPENSE ROOF REPAIR</t>
  </si>
  <si>
    <t>PR-4</t>
  </si>
  <si>
    <t>Note:  Revenue source data is from the billing system.  Links have been deleted to maintain data integrity.  Support is available upon request.</t>
  </si>
  <si>
    <t>Period</t>
  </si>
  <si>
    <t>FUEL EXPENSE</t>
  </si>
  <si>
    <t>July 1 -June 30, 2017 Data</t>
  </si>
  <si>
    <t>Note: Fuel data is from internal reports.  Links have been deleted to maintain data integrity.  Source data is available upon request.</t>
  </si>
  <si>
    <t>Wages-Mechanics</t>
  </si>
  <si>
    <t>Wages-Container Mechanic</t>
  </si>
  <si>
    <t>2195 Yakima Waste</t>
  </si>
  <si>
    <t>11/28/16 - 12/2/16</t>
  </si>
  <si>
    <t>Nick Fredrickson</t>
  </si>
  <si>
    <t>November</t>
  </si>
  <si>
    <t>October</t>
  </si>
  <si>
    <t>September</t>
  </si>
  <si>
    <t>August</t>
  </si>
  <si>
    <t>Austin Jenson</t>
  </si>
  <si>
    <t>7/11/16 - 7/15/16</t>
  </si>
  <si>
    <t>July</t>
  </si>
  <si>
    <t>Misc.</t>
  </si>
  <si>
    <t>Baggage Fees</t>
  </si>
  <si>
    <t>Flight</t>
  </si>
  <si>
    <t>Gas</t>
  </si>
  <si>
    <t>Car Rental</t>
  </si>
  <si>
    <t>Hotel</t>
  </si>
  <si>
    <t>Per Diem</t>
  </si>
  <si>
    <t>Travel Location</t>
  </si>
  <si>
    <t>Dates of Travel</t>
  </si>
  <si>
    <t>Employee</t>
  </si>
  <si>
    <t>A-Team Travel Expenditure - July - December 2016</t>
  </si>
  <si>
    <t>Yakima 2195</t>
  </si>
  <si>
    <t>Payroll Schedule</t>
  </si>
  <si>
    <t>Restatement/Pro forma Wage Adjustments</t>
  </si>
  <si>
    <t>Note:  Data below is from payroll registers.  Links have been broken to the source file to maintain data integrity.   Source documents are available upon request.</t>
  </si>
  <si>
    <t>Test Year Start Date:</t>
  </si>
  <si>
    <t>Raise Date:</t>
  </si>
  <si>
    <t>REGULAR</t>
  </si>
  <si>
    <t>OVERTIME</t>
  </si>
  <si>
    <t>VACATION/PTO</t>
  </si>
  <si>
    <t>HOLIDAY</t>
  </si>
  <si>
    <t>OTHER</t>
  </si>
  <si>
    <t>BONUS</t>
  </si>
  <si>
    <t># of Restatment Days</t>
  </si>
  <si>
    <t>District #</t>
  </si>
  <si>
    <t>EE #</t>
  </si>
  <si>
    <t>Name</t>
  </si>
  <si>
    <t>Job</t>
  </si>
  <si>
    <t>Hours</t>
  </si>
  <si>
    <t>Total Pay per Payroll Register</t>
  </si>
  <si>
    <t>Total Non-Wrk Hrs</t>
  </si>
  <si>
    <t>Total Route Hrs</t>
  </si>
  <si>
    <t>Wage Base</t>
  </si>
  <si>
    <t>Raise Date</t>
  </si>
  <si>
    <t>Raise %</t>
  </si>
  <si>
    <t>Restatement</t>
  </si>
  <si>
    <t>Proforma</t>
  </si>
  <si>
    <t>Drivers (50020)</t>
  </si>
  <si>
    <t>BROADIE, FREDDIE</t>
  </si>
  <si>
    <t>CASTRO, JAVIER</t>
  </si>
  <si>
    <t>R/C G</t>
  </si>
  <si>
    <t>SCHMOE, DAVID</t>
  </si>
  <si>
    <t>BETKER, SCOTT</t>
  </si>
  <si>
    <t>MARTINEZ, JOSE</t>
  </si>
  <si>
    <t>LEIFERMAN, MICHAEL</t>
  </si>
  <si>
    <t>MAYO, JOHN</t>
  </si>
  <si>
    <t>JIMENEZ, JOSE</t>
  </si>
  <si>
    <t>SANTIAGO, MOISES</t>
  </si>
  <si>
    <t>VALENCIA, SERGIO</t>
  </si>
  <si>
    <t>CAMACHO, MARCO</t>
  </si>
  <si>
    <t>ARGUELLO, SERVANDO</t>
  </si>
  <si>
    <t>STUBBS, JEFFERY</t>
  </si>
  <si>
    <t>ROARK, AARON</t>
  </si>
  <si>
    <t>POWERS, STEVEN</t>
  </si>
  <si>
    <t>FONSECA, DANIEL</t>
  </si>
  <si>
    <t>PONCE, VICTOR</t>
  </si>
  <si>
    <t>MEDINA, FELIX</t>
  </si>
  <si>
    <t>HERNANDEZ, CORNELIO</t>
  </si>
  <si>
    <t>GARCIA, JAVIER</t>
  </si>
  <si>
    <t>RODRIGUEZ, JOSE</t>
  </si>
  <si>
    <t>GARCIA, ANDRES</t>
  </si>
  <si>
    <t>DITOMMASO, MIKE</t>
  </si>
  <si>
    <t>ORTEGA, JUAN</t>
  </si>
  <si>
    <t>NOBLE, TYLER</t>
  </si>
  <si>
    <t>GRAHAM, PETER</t>
  </si>
  <si>
    <t>QUICK, FORREST</t>
  </si>
  <si>
    <t>STARTIN, RICHARD</t>
  </si>
  <si>
    <t>TREVINO, NOEL</t>
  </si>
  <si>
    <t>MARTINEZ, MIGUEL</t>
  </si>
  <si>
    <t>ORTEGA, JESUS</t>
  </si>
  <si>
    <t>BARRERA, HECTOR</t>
  </si>
  <si>
    <t>COLE, SEAN</t>
  </si>
  <si>
    <t>BASFORD, JERRY</t>
  </si>
  <si>
    <t>Resi Recycling</t>
  </si>
  <si>
    <t>MOORE, JOSH</t>
  </si>
  <si>
    <t>CASTRO, EDWARD</t>
  </si>
  <si>
    <t>TOTAL PACKER</t>
  </si>
  <si>
    <t>OUGH, TERRY</t>
  </si>
  <si>
    <t>BOSSERT, ROBERT</t>
  </si>
  <si>
    <t>SCHUSTER, RANDY</t>
  </si>
  <si>
    <t>GROTH, DARRICK</t>
  </si>
  <si>
    <t>GUNNIER, CHARLES</t>
  </si>
  <si>
    <t>BARNETT, GREGORY</t>
  </si>
  <si>
    <t>CARIDAD, RUBEN</t>
  </si>
  <si>
    <t>JOHNS, WILLIAM</t>
  </si>
  <si>
    <t>RAMIREZ, ISIDRO</t>
  </si>
  <si>
    <t>MUNOZ, RAYMOND</t>
  </si>
  <si>
    <t>FISH, BRYAN</t>
  </si>
  <si>
    <t>PATTERSON, DAMIEN</t>
  </si>
  <si>
    <t>TOTAL ROLLOFF</t>
  </si>
  <si>
    <t>TOTAL DRIVERS</t>
  </si>
  <si>
    <t>Mechanics Hourly/Salary (52010/52020)</t>
  </si>
  <si>
    <t>SPENCER, CHRISTIAN</t>
  </si>
  <si>
    <t>Mechanic</t>
  </si>
  <si>
    <t>GIL, JESUS</t>
  </si>
  <si>
    <t>GIRARD, JOHN</t>
  </si>
  <si>
    <t>BUSSEY, JOHN</t>
  </si>
  <si>
    <t>GUTIERREZ, ELIAS</t>
  </si>
  <si>
    <t>ROMAN, SALVADOR</t>
  </si>
  <si>
    <t>HUBBLE, CHRISTOPHER</t>
  </si>
  <si>
    <t>LUCENA, CHRISTOPHER</t>
  </si>
  <si>
    <t>DEAUX, JESSE</t>
  </si>
  <si>
    <t>MM</t>
  </si>
  <si>
    <t>CUEVAS, EDUARDO</t>
  </si>
  <si>
    <t>SANCHEZ, HECTOR</t>
  </si>
  <si>
    <t>Welder</t>
  </si>
  <si>
    <t>TOTAL MECHANICS</t>
  </si>
  <si>
    <t>G&amp;A (Salary 70010 - Hourly 70020 )</t>
  </si>
  <si>
    <t>BROOKES, BRIAN</t>
  </si>
  <si>
    <t>Controller</t>
  </si>
  <si>
    <t>KOVALENKO, KEITH</t>
  </si>
  <si>
    <t>DM</t>
  </si>
  <si>
    <t>ESTLE, ASHLIE</t>
  </si>
  <si>
    <t>CSR</t>
  </si>
  <si>
    <t>VILLANUEVA, CRISTAL</t>
  </si>
  <si>
    <t>FORTIER, MIKA</t>
  </si>
  <si>
    <t>SPENCE, ANNA</t>
  </si>
  <si>
    <t>LAGO, DEBORAH</t>
  </si>
  <si>
    <t>BROTHERTON, LAUREN</t>
  </si>
  <si>
    <t>KILLINGSWORTH, KENDRA</t>
  </si>
  <si>
    <t>WINTER, KATHLEEN</t>
  </si>
  <si>
    <t>HANSEN, DEBRA</t>
  </si>
  <si>
    <t>TRIPLETT, BRANDI</t>
  </si>
  <si>
    <t>WAGONER, TRINA</t>
  </si>
  <si>
    <t>ROYAL, SANDRA</t>
  </si>
  <si>
    <t>MOORE, NICOLE</t>
  </si>
  <si>
    <t>HERBST, CHRISTIE</t>
  </si>
  <si>
    <t>Office Manager</t>
  </si>
  <si>
    <t>TOTAL G&amp;A</t>
  </si>
  <si>
    <t>AYUNGUA, ROBERTO</t>
  </si>
  <si>
    <t>JENKINS, TONY</t>
  </si>
  <si>
    <t>TOTAL MRF</t>
  </si>
  <si>
    <t>Supervisor -  Salaried/Hourly 56010/56020</t>
  </si>
  <si>
    <t>GARCIA, ROBERT</t>
  </si>
  <si>
    <t>Ops Sup</t>
  </si>
  <si>
    <t>HERBST, CARL</t>
  </si>
  <si>
    <t>Ops Manager</t>
  </si>
  <si>
    <t>TOTAL SUPERVISOR</t>
  </si>
  <si>
    <t>GRAND TOTALS</t>
  </si>
  <si>
    <t>Reconciliation of Payroll Register to General Ledger</t>
  </si>
  <si>
    <t>DRIVER WAGES PER PR REGISTER</t>
  </si>
  <si>
    <t>Accruals</t>
  </si>
  <si>
    <t xml:space="preserve">   (See Driver GL Detail tab for Details)</t>
  </si>
  <si>
    <t>Misc -  Immaterial</t>
  </si>
  <si>
    <t>GL</t>
  </si>
  <si>
    <t>Other Bonuses</t>
  </si>
  <si>
    <t>(B)</t>
  </si>
  <si>
    <t>MECHANICS -  HOURLY &amp; SALARY PER PR REGISTER</t>
  </si>
  <si>
    <t>Accruals, A-Team Adjust in, Other Comp Adjust in</t>
  </si>
  <si>
    <t xml:space="preserve">   (See Detailed Schedule)</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</si>
  <si>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</si>
  <si>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</si>
  <si>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</si>
  <si>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</si>
  <si>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</si>
  <si>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</si>
  <si>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</si>
  <si>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</si>
  <si>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</si>
  <si>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</si>
  <si>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</si>
  <si>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</si>
  <si>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Accruals, Other Comp Adjust in</t>
  </si>
  <si>
    <t xml:space="preserve">   (See Supervisor GL Detail tab for Details)</t>
  </si>
  <si>
    <t>immaterial</t>
  </si>
  <si>
    <t>G&amp;A - SALARY &amp; HOURLY WAGES PER PR REGISTER</t>
  </si>
  <si>
    <t>Accruals, Division Payroll Alloc., Region OH Alloc., Other Comp Adjust In</t>
  </si>
  <si>
    <t xml:space="preserve">   (See G&amp;A GL Detail tab for Details)</t>
  </si>
  <si>
    <t>Tooty Bonuses</t>
  </si>
  <si>
    <t>MRF HOURLY WAGES PER PR REGISTER</t>
  </si>
  <si>
    <t>Total Difference to GL</t>
  </si>
  <si>
    <t>Tickmarks</t>
  </si>
  <si>
    <t xml:space="preserve">These differences are due to employees being put in different classifications for the rate filing than they were originally booked to the GL during the test year.  The sum of the differences nets to an immaterial overall difference. </t>
  </si>
  <si>
    <t>RS-5: Restate in raises that occurred during the test period so 12 months of the current wages are reflected in the rates.</t>
  </si>
  <si>
    <t>RS-5, RS-9</t>
  </si>
  <si>
    <t>Gross-Up LG Increase for Pass-through</t>
  </si>
  <si>
    <t>"A Team" Mechanic Help</t>
  </si>
  <si>
    <t>Per LG</t>
  </si>
  <si>
    <t>Per Price Out</t>
  </si>
  <si>
    <t>Gross-Up LG decrease for Recycle Proceeds</t>
  </si>
  <si>
    <t>2017-07</t>
  </si>
  <si>
    <t>52142</t>
  </si>
  <si>
    <t>52142-2195-000-00</t>
  </si>
  <si>
    <t>JRNLWA00356622</t>
  </si>
  <si>
    <t>2195YAKOIL</t>
  </si>
  <si>
    <t>YAKIMA OIL COMPANY</t>
  </si>
  <si>
    <t>Fuel for Yakima $2.40 Gallon @ 10,000 Ga</t>
  </si>
  <si>
    <t>PO-2195-17-01371</t>
  </si>
  <si>
    <t>VO04339888</t>
  </si>
  <si>
    <t>JRNL00849990</t>
  </si>
  <si>
    <t>2195ROADRU</t>
  </si>
  <si>
    <t>ROADRUNNER - PACIFIC PRIDE</t>
  </si>
  <si>
    <t>Monthly unleaded fuel</t>
  </si>
  <si>
    <t>17-1716201</t>
  </si>
  <si>
    <t>PO-2195-17-00064</t>
  </si>
  <si>
    <t>VO04339990</t>
  </si>
  <si>
    <t>17-1716901</t>
  </si>
  <si>
    <t>VO04339991</t>
  </si>
  <si>
    <t>JRNLWA00357778</t>
  </si>
  <si>
    <t>17-1717601</t>
  </si>
  <si>
    <t>VO04349423</t>
  </si>
  <si>
    <t>JRNL00851995</t>
  </si>
  <si>
    <t>17-1718301</t>
  </si>
  <si>
    <t>VO04349424</t>
  </si>
  <si>
    <t>JRNLWA00357917</t>
  </si>
  <si>
    <t>Fuel for Yakima $2.42 @ 10,000 Gallons 1</t>
  </si>
  <si>
    <t>PO-2195-17-01529</t>
  </si>
  <si>
    <t>VO04362698</t>
  </si>
  <si>
    <t>JRNL00852615</t>
  </si>
  <si>
    <t>Fuel for Granger 10,000 gals @ 2.45 gal</t>
  </si>
  <si>
    <t>PO-2195-17-01513</t>
  </si>
  <si>
    <t>VO04362700</t>
  </si>
  <si>
    <t>JRNLWA00357919</t>
  </si>
  <si>
    <t>Fuel for Yakima $2.45 gallon @ 10,000. 1</t>
  </si>
  <si>
    <t>PO-2195-17-01669</t>
  </si>
  <si>
    <t>VO04363108</t>
  </si>
  <si>
    <t>JRNL00852617</t>
  </si>
  <si>
    <t>S</t>
  </si>
  <si>
    <t>MISC1-Reverse Dup June AP Accrual</t>
  </si>
  <si>
    <t>BrianBr</t>
  </si>
  <si>
    <t>Rvrs Dup June AP Accrual</t>
  </si>
  <si>
    <t>MISC1</t>
  </si>
  <si>
    <t>WCI_WA</t>
  </si>
  <si>
    <t>JRNLWA00357180</t>
  </si>
  <si>
    <t>2195ROADRU : Monthly unleaded fuel</t>
  </si>
  <si>
    <t>JRNL00851363</t>
  </si>
  <si>
    <t>JRNL00851379</t>
  </si>
  <si>
    <t>2195YAKOIL : Fuel for Yakima $2.40 Gallo</t>
  </si>
  <si>
    <t>JRNLWA00357519</t>
  </si>
  <si>
    <t>OPEX14a- AP and Exp Report Acc</t>
  </si>
  <si>
    <t>JRNL00851475</t>
  </si>
  <si>
    <t>JRNL00851595</t>
  </si>
  <si>
    <t>JRNLWA00358100</t>
  </si>
  <si>
    <t>OPEX9-Rcrd Fuel Usage</t>
  </si>
  <si>
    <t>LCM Fuel Inv Adj- Yakima</t>
  </si>
  <si>
    <t>JRNL00852970</t>
  </si>
  <si>
    <t>Alloc Actual/Cust Cnt (LOB)</t>
  </si>
  <si>
    <t>As of June 30 2017</t>
  </si>
  <si>
    <t>Note:  Ratios below are used to allocate expenses between regulated &amp; non-regulated operations.</t>
  </si>
  <si>
    <t>Regulated/ Non-Regulated</t>
  </si>
  <si>
    <t>OK!: ReportDrill 'JE Lookup' Formula OK [jAction{}]</t>
  </si>
  <si>
    <t>OK!: ReportDrill 'I/C Originating JE' Formula OK [jAction{}]</t>
  </si>
  <si>
    <t>The roof of the office/shop partially collapsed due to snow this winter.  The roof will be repaired in September 2017.  Per WCI's accounting policy a roof repair cannot be capitalzed, so this will be fully expensed in 2017.  However, due to the infrequent nature of this expense, we have chosen to amortize this expense over 3 years in the filing which has historically been the filing frequency for Yakima Waste.</t>
  </si>
  <si>
    <t>Year Ended June 30, 2016</t>
  </si>
  <si>
    <t>NEW IMPROVED LURITO - GALLAGHER FORMULA - Garbage</t>
  </si>
  <si>
    <t>NEW IMPROVED LURITO - GALLAGHER FORMULA - Recycle</t>
  </si>
  <si>
    <t>NEW IMPROVED LURITO - GALLAGHER FORMULA - Yard Waste</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</si>
</sst>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General_)"/>
    <numFmt numFmtId="167" formatCode="&quot;$&quot;#,##0\ ;\(&quot;$&quot;#,##0\)"/>
    <numFmt numFmtId="168" formatCode="0.0%"/>
    <numFmt numFmtId="169" formatCode="0%;\(0%\);&quot;&quot;"/>
    <numFmt numFmtId="170" formatCode="m/d/yy\ h:mm\ AM/PM"/>
    <numFmt numFmtId="171" formatCode="_(* #,##0,_);_(* \(#,##0,\);_(* &quot;-&quot;??_);_(@_)"/>
    <numFmt numFmtId="172" formatCode="_(* #,##0.000000_);_(* \(#,##0.000000\);_(* &quot;-&quot;??_);_(@_)"/>
    <numFmt numFmtId="173" formatCode="0.0000%"/>
    <numFmt numFmtId="174" formatCode="0.000000"/>
    <numFmt numFmtId="175" formatCode="[$-409]mmm\-yy;@"/>
    <numFmt numFmtId="176" formatCode="_(* #,##0_);_(&quot;$&quot;* \(#,##0\);_(&quot;$&quot;* &quot;-&quot;??_);_(@_)"/>
    <numFmt numFmtId="177" formatCode="m/d/yy;@"/>
    <numFmt numFmtId="178" formatCode="&quot;$&quot;#,##0"/>
    <numFmt numFmtId="179" formatCode="#,##0.0000"/>
    <numFmt numFmtId="180" formatCode="#,##0.000"/>
    <numFmt numFmtId="181" formatCode="#,##0.000000"/>
    <numFmt numFmtId="182" formatCode="0.0"/>
    <numFmt numFmtId="183" formatCode="#,##0.0"/>
    <numFmt numFmtId="184" formatCode="mm\-yy;\-0;;@"/>
    <numFmt numFmtId="185" formatCode=".00#####;\-.00####;;@"/>
    <numFmt numFmtId="186" formatCode="&quot;$&quot;#,##0.00"/>
    <numFmt numFmtId="187" formatCode="_(&quot;$&quot;* #,##0.0000_);_(&quot;$&quot;* \(#,##0.0000\);_(&quot;$&quot;* &quot;-&quot;??_);_(@_)"/>
    <numFmt numFmtId="188" formatCode="0.00000000000000%"/>
    <numFmt numFmtId="189" formatCode="m/d/yy"/>
  </numFmts>
  <fonts count="19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sz val="10"/>
      <name val="Arial"/>
      <family val="2"/>
    </font>
    <font>
      <b/>
      <sz val="8"/>
      <name val="Arial"/>
      <family val="2"/>
    </font>
    <font>
      <sz val="8"/>
      <name val="Arial"/>
      <family val="2"/>
    </font>
    <font>
      <b/>
      <sz val="8"/>
      <color theme="0"/>
      <name val="Arial"/>
      <family val="2"/>
    </font>
    <font>
      <i/>
      <sz val="8"/>
      <color theme="0"/>
      <name val="Arial"/>
      <family val="2"/>
    </font>
    <font>
      <b/>
      <i/>
      <sz val="8"/>
      <color theme="0"/>
      <name val="Arial"/>
      <family val="2"/>
    </font>
    <font>
      <sz val="8"/>
      <color theme="0"/>
      <name val="Arial"/>
      <family val="2"/>
    </font>
    <font>
      <b/>
      <i/>
      <sz val="8"/>
      <name val="Arial"/>
      <family val="2"/>
    </font>
    <font>
      <sz val="12"/>
      <name val="Helv"/>
    </font>
    <font>
      <sz val="8"/>
      <color indexed="8"/>
      <name val="Arial"/>
      <family val="2"/>
    </font>
    <font>
      <b/>
      <sz val="8"/>
      <color indexed="8"/>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sz val="11"/>
      <color indexed="8"/>
      <name val="Arial"/>
      <family val="2"/>
    </font>
    <font>
      <sz val="12"/>
      <name val="CG Omega"/>
    </font>
    <font>
      <sz val="10"/>
      <color indexed="8"/>
      <name val="Arial"/>
      <family val="2"/>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8"/>
      <color indexed="61"/>
      <name val="Cambria"/>
      <family val="2"/>
    </font>
    <font>
      <b/>
      <sz val="18"/>
      <color indexed="56"/>
      <name val="Cambria"/>
      <family val="2"/>
    </font>
    <font>
      <b/>
      <sz val="18"/>
      <color indexed="62"/>
      <name val="Cambria"/>
      <family val="2"/>
    </font>
    <font>
      <b/>
      <sz val="11"/>
      <color indexed="8"/>
      <name val="Calibri"/>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i/>
      <sz val="10"/>
      <color indexed="8"/>
      <name val="Arial"/>
      <family val="2"/>
    </font>
    <font>
      <b/>
      <i/>
      <sz val="12"/>
      <color indexed="8"/>
      <name val="Arial"/>
      <family val="2"/>
    </font>
    <font>
      <b/>
      <sz val="11"/>
      <color rgb="FF0000FF"/>
      <name val="Calibri"/>
      <family val="2"/>
      <scheme val="minor"/>
    </font>
    <font>
      <sz val="11"/>
      <name val="Calibri"/>
      <family val="2"/>
      <scheme val="minor"/>
    </font>
    <font>
      <b/>
      <sz val="11"/>
      <name val="Calibri"/>
      <family val="2"/>
      <scheme val="minor"/>
    </font>
    <font>
      <b/>
      <u/>
      <sz val="11"/>
      <color theme="1"/>
      <name val="Calibri"/>
      <family val="2"/>
      <scheme val="minor"/>
    </font>
    <font>
      <sz val="11"/>
      <color indexed="8"/>
      <name val="Calibri"/>
      <family val="2"/>
      <scheme val="minor"/>
    </font>
    <font>
      <sz val="11"/>
      <color indexed="10"/>
      <name val="Calibri"/>
      <family val="2"/>
      <scheme val="minor"/>
    </font>
    <font>
      <b/>
      <sz val="9"/>
      <color indexed="81"/>
      <name val="Tahoma"/>
      <family val="2"/>
    </font>
    <font>
      <sz val="9"/>
      <color indexed="81"/>
      <name val="Tahoma"/>
      <family val="2"/>
    </font>
    <font>
      <b/>
      <sz val="11"/>
      <color rgb="FFFF0000"/>
      <name val="Calibri"/>
      <family val="2"/>
      <scheme val="minor"/>
    </font>
    <font>
      <b/>
      <u/>
      <sz val="11"/>
      <name val="Calibri"/>
      <family val="2"/>
      <scheme val="minor"/>
    </font>
    <font>
      <b/>
      <sz val="11"/>
      <color indexed="62"/>
      <name val="Calibri"/>
      <family val="2"/>
      <scheme val="minor"/>
    </font>
    <font>
      <strike/>
      <sz val="11"/>
      <name val="Calibri"/>
      <family val="2"/>
      <scheme val="minor"/>
    </font>
    <font>
      <sz val="9"/>
      <color theme="1"/>
      <name val="Calibri"/>
      <family val="2"/>
      <scheme val="minor"/>
    </font>
    <font>
      <b/>
      <sz val="9"/>
      <color theme="1"/>
      <name val="Calibri"/>
      <family val="2"/>
      <scheme val="minor"/>
    </font>
    <font>
      <b/>
      <sz val="14"/>
      <name val="Arial"/>
      <family val="2"/>
    </font>
    <font>
      <b/>
      <sz val="11"/>
      <color indexed="60"/>
      <name val="Arial"/>
      <family val="2"/>
    </font>
    <font>
      <i/>
      <sz val="10"/>
      <name val="Arial"/>
      <family val="2"/>
    </font>
    <font>
      <b/>
      <i/>
      <sz val="11"/>
      <color indexed="60"/>
      <name val="Arial"/>
      <family val="2"/>
    </font>
    <font>
      <sz val="10"/>
      <color indexed="30"/>
      <name val="Arial"/>
      <family val="2"/>
    </font>
    <font>
      <sz val="10"/>
      <color indexed="61"/>
      <name val="Arial"/>
      <family val="2"/>
    </font>
    <font>
      <b/>
      <sz val="8"/>
      <color indexed="81"/>
      <name val="Tahoma"/>
      <family val="2"/>
    </font>
    <font>
      <b/>
      <sz val="10"/>
      <color theme="1"/>
      <name val="Arial"/>
      <family val="2"/>
    </font>
    <font>
      <sz val="9"/>
      <name val="Arial"/>
      <family val="2"/>
    </font>
    <font>
      <b/>
      <sz val="10"/>
      <color rgb="FF3333FF"/>
      <name val="Arial"/>
      <family val="2"/>
    </font>
    <font>
      <sz val="12"/>
      <color rgb="FFFF0000"/>
      <name val="Arial"/>
      <family val="2"/>
    </font>
    <font>
      <b/>
      <sz val="9"/>
      <color indexed="16"/>
      <name val="Arial"/>
      <family val="2"/>
    </font>
    <font>
      <b/>
      <sz val="9"/>
      <color indexed="8"/>
      <name val="Arial"/>
      <family val="2"/>
    </font>
    <font>
      <b/>
      <sz val="9"/>
      <name val="Arial"/>
      <family val="2"/>
    </font>
    <font>
      <i/>
      <sz val="9"/>
      <color indexed="8"/>
      <name val="Arial"/>
      <family val="2"/>
    </font>
    <font>
      <b/>
      <sz val="11"/>
      <color theme="0"/>
      <name val="Calibri"/>
      <family val="2"/>
    </font>
    <font>
      <i/>
      <sz val="11"/>
      <color theme="1"/>
      <name val="Calibri"/>
      <family val="2"/>
      <scheme val="minor"/>
    </font>
    <font>
      <sz val="8"/>
      <name val="Comic Sans MS"/>
      <family val="4"/>
    </font>
    <font>
      <sz val="8"/>
      <color indexed="8"/>
      <name val="Calibri"/>
      <family val="2"/>
    </font>
    <font>
      <b/>
      <u/>
      <sz val="8"/>
      <name val="Comic Sans MS"/>
      <family val="4"/>
    </font>
    <font>
      <sz val="8"/>
      <color rgb="FFFF0000"/>
      <name val="Comic Sans MS"/>
      <family val="4"/>
    </font>
    <font>
      <b/>
      <sz val="8"/>
      <name val="Comic Sans MS"/>
      <family val="4"/>
    </font>
    <font>
      <b/>
      <sz val="9"/>
      <color theme="0"/>
      <name val="Arial"/>
      <family val="2"/>
    </font>
    <font>
      <i/>
      <sz val="9"/>
      <name val="Arial"/>
      <family val="2"/>
    </font>
    <font>
      <b/>
      <u/>
      <sz val="9"/>
      <name val="Arial"/>
      <family val="2"/>
    </font>
    <font>
      <sz val="9"/>
      <color indexed="10"/>
      <name val="Arial"/>
      <family val="2"/>
    </font>
    <font>
      <b/>
      <u/>
      <sz val="8"/>
      <name val="Arial"/>
      <family val="2"/>
    </font>
    <font>
      <sz val="8"/>
      <color indexed="81"/>
      <name val="Tahoma"/>
      <family val="2"/>
    </font>
    <font>
      <b/>
      <sz val="10"/>
      <color indexed="16"/>
      <name val="Arial"/>
      <family val="2"/>
    </font>
    <font>
      <b/>
      <sz val="10"/>
      <color indexed="10"/>
      <name val="Arial"/>
      <family val="2"/>
    </font>
    <font>
      <b/>
      <sz val="12"/>
      <color indexed="12"/>
      <name val="Times New Roman"/>
      <family val="1"/>
    </font>
    <font>
      <b/>
      <sz val="11"/>
      <color indexed="18"/>
      <name val="Britannic Bold"/>
      <family val="2"/>
    </font>
    <font>
      <sz val="12"/>
      <color theme="1"/>
      <name val="Calibri"/>
      <family val="2"/>
      <scheme val="minor"/>
    </font>
    <font>
      <b/>
      <sz val="10"/>
      <name val="Times New Roman"/>
      <family val="1"/>
    </font>
    <font>
      <sz val="10"/>
      <color indexed="10"/>
      <name val="Arial"/>
      <family val="2"/>
    </font>
    <font>
      <sz val="11"/>
      <color rgb="FFFF0000"/>
      <name val="Calibri"/>
      <family val="2"/>
      <scheme val="minor"/>
    </font>
    <font>
      <b/>
      <sz val="10"/>
      <name val="Calibri"/>
      <family val="2"/>
      <scheme val="minor"/>
    </font>
    <font>
      <sz val="10"/>
      <name val="Calibri"/>
      <family val="2"/>
      <scheme val="minor"/>
    </font>
    <font>
      <b/>
      <sz val="10"/>
      <color theme="0"/>
      <name val="Calibri"/>
      <family val="2"/>
      <scheme val="minor"/>
    </font>
    <font>
      <sz val="10"/>
      <color rgb="FFFF0000"/>
      <name val="Calibri"/>
      <family val="2"/>
      <scheme val="minor"/>
    </font>
    <font>
      <sz val="10"/>
      <color indexed="10"/>
      <name val="Calibri"/>
      <family val="2"/>
      <scheme val="minor"/>
    </font>
    <font>
      <b/>
      <sz val="10"/>
      <color indexed="10"/>
      <name val="Calibri"/>
      <family val="2"/>
      <scheme val="minor"/>
    </font>
    <font>
      <sz val="8"/>
      <name val="Helv"/>
    </font>
    <font>
      <b/>
      <sz val="8"/>
      <name val="Helv"/>
    </font>
    <font>
      <sz val="10"/>
      <name val="Helv"/>
    </font>
    <font>
      <sz val="10"/>
      <name val="SWISS"/>
    </font>
    <font>
      <b/>
      <sz val="10"/>
      <name val="Helv"/>
    </font>
    <font>
      <b/>
      <sz val="10"/>
      <name val="SWISS"/>
    </font>
    <font>
      <sz val="8"/>
      <name val="SWISS"/>
    </font>
    <font>
      <b/>
      <sz val="8"/>
      <name val="SWISS"/>
    </font>
    <font>
      <b/>
      <sz val="10"/>
      <color theme="1"/>
      <name val="Calibri"/>
      <family val="2"/>
      <scheme val="minor"/>
    </font>
    <font>
      <sz val="10"/>
      <color indexed="8"/>
      <name val="Calibri"/>
      <family val="2"/>
      <scheme val="minor"/>
    </font>
    <font>
      <i/>
      <sz val="10"/>
      <color indexed="8"/>
      <name val="Calibri"/>
      <family val="2"/>
      <scheme val="minor"/>
    </font>
    <font>
      <sz val="10"/>
      <color theme="1"/>
      <name val="Calibri"/>
      <family val="2"/>
      <scheme val="minor"/>
    </font>
    <font>
      <b/>
      <sz val="10"/>
      <color indexed="8"/>
      <name val="Calibri"/>
      <family val="2"/>
      <scheme val="minor"/>
    </font>
    <font>
      <b/>
      <sz val="10"/>
      <color indexed="50"/>
      <name val="Calibri"/>
      <family val="2"/>
      <scheme val="minor"/>
    </font>
    <font>
      <b/>
      <u/>
      <sz val="10"/>
      <color indexed="8"/>
      <name val="Calibri"/>
      <family val="2"/>
      <scheme val="minor"/>
    </font>
    <font>
      <i/>
      <sz val="10"/>
      <color rgb="FFFF0000"/>
      <name val="Calibri"/>
      <family val="2"/>
      <scheme val="minor"/>
    </font>
    <font>
      <i/>
      <sz val="12"/>
      <color indexed="8"/>
      <name val="Arial"/>
      <family val="2"/>
    </font>
    <font>
      <b/>
      <i/>
      <sz val="11"/>
      <color theme="1"/>
      <name val="Calibri"/>
      <family val="2"/>
      <scheme val="minor"/>
    </font>
    <font>
      <i/>
      <sz val="11"/>
      <name val="Calibri"/>
      <family val="2"/>
      <scheme val="minor"/>
    </font>
    <font>
      <b/>
      <i/>
      <sz val="11"/>
      <name val="Calibri"/>
      <family val="2"/>
      <scheme val="minor"/>
    </font>
    <font>
      <i/>
      <sz val="10"/>
      <color theme="1"/>
      <name val="Calibri"/>
      <family val="2"/>
      <scheme val="minor"/>
    </font>
    <font>
      <b/>
      <sz val="9"/>
      <color indexed="8"/>
      <name val="Calibri"/>
      <family val="2"/>
      <scheme val="minor"/>
    </font>
    <font>
      <b/>
      <u/>
      <sz val="9"/>
      <color indexed="8"/>
      <name val="Calibri"/>
      <family val="2"/>
      <scheme val="minor"/>
    </font>
    <font>
      <sz val="9"/>
      <color indexed="8"/>
      <name val="Calibri"/>
      <family val="2"/>
      <scheme val="minor"/>
    </font>
    <font>
      <b/>
      <sz val="9"/>
      <color theme="0"/>
      <name val="Calibri"/>
      <family val="2"/>
      <scheme val="minor"/>
    </font>
    <font>
      <sz val="9"/>
      <name val="Calibri"/>
      <family val="2"/>
      <scheme val="minor"/>
    </font>
    <font>
      <i/>
      <sz val="9"/>
      <name val="Calibri"/>
      <family val="2"/>
      <scheme val="minor"/>
    </font>
    <font>
      <b/>
      <sz val="9"/>
      <color rgb="FF0070C0"/>
      <name val="Calibri"/>
      <family val="2"/>
      <scheme val="minor"/>
    </font>
    <font>
      <b/>
      <sz val="9"/>
      <name val="Calibri"/>
      <family val="2"/>
      <scheme val="minor"/>
    </font>
    <font>
      <i/>
      <sz val="9"/>
      <color indexed="8"/>
      <name val="Calibri"/>
      <family val="2"/>
      <scheme val="minor"/>
    </font>
    <font>
      <i/>
      <sz val="9"/>
      <color theme="0"/>
      <name val="Calibri"/>
      <family val="2"/>
      <scheme val="minor"/>
    </font>
    <font>
      <sz val="9"/>
      <color theme="0"/>
      <name val="Calibri"/>
      <family val="2"/>
      <scheme val="minor"/>
    </font>
    <font>
      <i/>
      <u/>
      <sz val="9"/>
      <color indexed="8"/>
      <name val="Calibri"/>
      <family val="2"/>
      <scheme val="minor"/>
    </font>
    <font>
      <b/>
      <sz val="8"/>
      <name val="Calibri"/>
      <family val="2"/>
      <scheme val="minor"/>
    </font>
    <font>
      <sz val="8"/>
      <name val="Calibri"/>
      <family val="2"/>
      <scheme val="minor"/>
    </font>
    <font>
      <u val="singleAccounting"/>
      <sz val="8"/>
      <name val="Calibri"/>
      <family val="2"/>
      <scheme val="minor"/>
    </font>
    <font>
      <sz val="10"/>
      <name val="Arial"/>
      <family val="2"/>
    </font>
    <font>
      <b/>
      <sz val="9"/>
      <color rgb="FF0000FF"/>
      <name val="Calibri"/>
      <family val="2"/>
      <scheme val="minor"/>
    </font>
    <font>
      <b/>
      <i/>
      <sz val="8"/>
      <name val="Calibri"/>
      <family val="2"/>
      <scheme val="minor"/>
    </font>
    <font>
      <i/>
      <sz val="8"/>
      <name val="Calibri"/>
      <family val="2"/>
      <scheme val="minor"/>
    </font>
    <font>
      <sz val="12"/>
      <color rgb="FF2D2D2D"/>
      <name val="Calibri"/>
      <family val="2"/>
      <scheme val="minor"/>
    </font>
    <font>
      <b/>
      <sz val="12"/>
      <color theme="1"/>
      <name val="Calibri"/>
      <family val="2"/>
      <scheme val="minor"/>
    </font>
    <font>
      <b/>
      <sz val="20"/>
      <color theme="0"/>
      <name val="Calibri"/>
      <family val="2"/>
      <scheme val="minor"/>
    </font>
    <font>
      <sz val="11"/>
      <color theme="1"/>
      <name val="Century Gothic"/>
      <family val="2"/>
    </font>
    <font>
      <b/>
      <sz val="8"/>
      <color indexed="10"/>
      <name val="Arial"/>
      <family val="2"/>
    </font>
    <font>
      <sz val="8"/>
      <color rgb="FFFF0000"/>
      <name val="Arial"/>
      <family val="2"/>
    </font>
    <font>
      <b/>
      <sz val="8"/>
      <color rgb="FFFF0000"/>
      <name val="Arial"/>
      <family val="2"/>
    </font>
    <font>
      <i/>
      <sz val="8"/>
      <color rgb="FFFF0000"/>
      <name val="Arial"/>
      <family val="2"/>
    </font>
    <font>
      <b/>
      <u val="singleAccounting"/>
      <sz val="10"/>
      <color theme="1"/>
      <name val="Calibri"/>
      <family val="2"/>
      <scheme val="minor"/>
    </font>
    <font>
      <b/>
      <u/>
      <sz val="11"/>
      <color indexed="8"/>
      <name val="Calibri"/>
      <family val="2"/>
      <scheme val="minor"/>
    </font>
    <font>
      <b/>
      <sz val="11"/>
      <color indexed="8"/>
      <name val="Calibri"/>
      <family val="2"/>
      <scheme val="minor"/>
    </font>
    <font>
      <b/>
      <sz val="8"/>
      <color rgb="FF0000FF"/>
      <name val="Arial"/>
      <family val="2"/>
    </font>
    <font>
      <b/>
      <sz val="11"/>
      <color theme="0"/>
      <name val="Calibri"/>
      <family val="2"/>
      <scheme val="minor"/>
    </font>
    <font>
      <sz val="11"/>
      <color theme="0"/>
      <name val="Calibri"/>
      <family val="2"/>
      <scheme val="minor"/>
    </font>
    <font>
      <b/>
      <sz val="10"/>
      <color rgb="FFFF0000"/>
      <name val="Calibri"/>
      <family val="2"/>
      <scheme val="minor"/>
    </font>
  </fonts>
  <fills count="62">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theme="8" tint="0.59999389629810485"/>
        <bgColor indexed="64"/>
      </patternFill>
    </fill>
    <fill>
      <patternFill patternType="solid">
        <fgColor rgb="FF0070C0"/>
        <bgColor indexed="64"/>
      </patternFill>
    </fill>
    <fill>
      <patternFill patternType="solid">
        <fgColor indexed="42"/>
        <bgColor indexed="64"/>
      </patternFill>
    </fill>
    <fill>
      <patternFill patternType="solid">
        <fgColor indexed="47"/>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C99"/>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6" tint="0.59999389629810485"/>
        <bgColor indexed="64"/>
      </patternFill>
    </fill>
    <fill>
      <patternFill patternType="solid">
        <fgColor theme="4" tint="-0.249977111117893"/>
        <bgColor indexed="64"/>
      </patternFill>
    </fill>
    <fill>
      <patternFill patternType="solid">
        <fgColor rgb="FF00B0F0"/>
        <bgColor indexed="64"/>
      </patternFill>
    </fill>
    <fill>
      <patternFill patternType="solid">
        <fgColor indexed="42"/>
        <bgColor indexed="29"/>
      </patternFill>
    </fill>
    <fill>
      <patternFill patternType="solid">
        <fgColor rgb="FF336600"/>
        <bgColor indexed="64"/>
      </patternFill>
    </fill>
    <fill>
      <patternFill patternType="solid">
        <fgColor theme="4" tint="0.59999389629810485"/>
        <bgColor indexed="64"/>
      </patternFill>
    </fill>
    <fill>
      <patternFill patternType="solid">
        <fgColor rgb="FFFFFFCC"/>
        <bgColor indexed="64"/>
      </patternFill>
    </fill>
    <fill>
      <patternFill patternType="solid">
        <fgColor indexed="40"/>
        <bgColor indexed="64"/>
      </patternFill>
    </fill>
    <fill>
      <patternFill patternType="solid">
        <fgColor indexed="41"/>
        <bgColor indexed="64"/>
      </patternFill>
    </fill>
    <fill>
      <patternFill patternType="solid">
        <fgColor indexed="15"/>
        <bgColor indexed="64"/>
      </patternFill>
    </fill>
  </fills>
  <borders count="73">
    <border>
      <left/>
      <right/>
      <top/>
      <bottom/>
      <diagonal/>
    </border>
    <border>
      <left style="medium">
        <color theme="0"/>
      </left>
      <right/>
      <top style="medium">
        <color theme="0"/>
      </top>
      <bottom/>
      <diagonal/>
    </border>
    <border>
      <left/>
      <right style="medium">
        <color theme="0"/>
      </right>
      <top style="medium">
        <color theme="0"/>
      </top>
      <bottom/>
      <diagonal/>
    </border>
    <border>
      <left/>
      <right/>
      <top style="medium">
        <color theme="0"/>
      </top>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2"/>
      </left>
      <right style="medium">
        <color indexed="62"/>
      </right>
      <top style="medium">
        <color indexed="62"/>
      </top>
      <bottom style="medium">
        <color indexed="62"/>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double">
        <color indexed="64"/>
      </bottom>
      <diagonal/>
    </border>
    <border>
      <left style="thin">
        <color indexed="64"/>
      </left>
      <right/>
      <top style="medium">
        <color indexed="64"/>
      </top>
      <bottom/>
      <diagonal/>
    </border>
  </borders>
  <cellStyleXfs count="63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166" fontId="12" fillId="0" borderId="0"/>
    <xf numFmtId="43" fontId="4" fillId="0" borderId="0" applyFont="0" applyFill="0" applyBorder="0" applyAlignment="0" applyProtection="0"/>
    <xf numFmtId="0" fontId="4" fillId="0" borderId="0"/>
    <xf numFmtId="9" fontId="16" fillId="0" borderId="0" applyFont="0" applyFill="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9"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27" borderId="0" applyNumberFormat="0" applyBorder="0" applyAlignment="0" applyProtection="0"/>
    <xf numFmtId="0" fontId="17" fillId="1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25"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9" borderId="0" applyNumberFormat="0" applyBorder="0" applyAlignment="0" applyProtection="0"/>
    <xf numFmtId="0" fontId="17" fillId="3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5" borderId="0" applyNumberFormat="0" applyBorder="0" applyAlignment="0" applyProtection="0"/>
    <xf numFmtId="0" fontId="17" fillId="30" borderId="0" applyNumberFormat="0" applyBorder="0" applyAlignment="0" applyProtection="0"/>
    <xf numFmtId="41" fontId="4" fillId="0" borderId="0"/>
    <xf numFmtId="41" fontId="4" fillId="0" borderId="0"/>
    <xf numFmtId="41" fontId="4" fillId="0" borderId="0"/>
    <xf numFmtId="41" fontId="4" fillId="0" borderId="0"/>
    <xf numFmtId="0" fontId="18" fillId="14"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3" fontId="4" fillId="0" borderId="0"/>
    <xf numFmtId="3" fontId="4" fillId="0" borderId="0"/>
    <xf numFmtId="3" fontId="4" fillId="0" borderId="0"/>
    <xf numFmtId="3" fontId="4" fillId="0" borderId="0"/>
    <xf numFmtId="0" fontId="19" fillId="33" borderId="9" applyNumberFormat="0" applyAlignment="0" applyProtection="0"/>
    <xf numFmtId="0" fontId="19" fillId="33" borderId="9" applyNumberFormat="0" applyAlignment="0" applyProtection="0"/>
    <xf numFmtId="0" fontId="20" fillId="33" borderId="9" applyNumberFormat="0" applyAlignment="0" applyProtection="0"/>
    <xf numFmtId="0" fontId="19" fillId="9" borderId="9" applyNumberFormat="0" applyAlignment="0" applyProtection="0"/>
    <xf numFmtId="0" fontId="19" fillId="9" borderId="9" applyNumberFormat="0" applyAlignment="0" applyProtection="0"/>
    <xf numFmtId="0" fontId="21" fillId="33" borderId="9" applyNumberFormat="0" applyAlignment="0" applyProtection="0"/>
    <xf numFmtId="0" fontId="21" fillId="33" borderId="9" applyNumberFormat="0" applyAlignment="0" applyProtection="0"/>
    <xf numFmtId="0" fontId="22" fillId="34" borderId="10" applyNumberFormat="0" applyAlignment="0" applyProtection="0"/>
    <xf numFmtId="0" fontId="22" fillId="35" borderId="11" applyNumberFormat="0" applyAlignment="0" applyProtection="0"/>
    <xf numFmtId="0" fontId="4" fillId="36" borderId="0">
      <alignment horizontal="center"/>
    </xf>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alignment vertical="top"/>
    </xf>
    <xf numFmtId="43" fontId="1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xf numFmtId="3" fontId="26" fillId="0" borderId="0" applyFont="0" applyFill="0" applyBorder="0" applyAlignment="0" applyProtection="0"/>
    <xf numFmtId="0" fontId="27" fillId="0" borderId="0"/>
    <xf numFmtId="0" fontId="27" fillId="0" borderId="0"/>
    <xf numFmtId="0" fontId="28" fillId="37" borderId="12" applyAlignment="0">
      <alignment horizontal="right"/>
      <protection locked="0"/>
    </xf>
    <xf numFmtId="44" fontId="1"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167" fontId="26" fillId="0" borderId="0" applyFont="0" applyFill="0" applyBorder="0" applyAlignment="0" applyProtection="0"/>
    <xf numFmtId="0" fontId="30" fillId="38" borderId="0">
      <alignment horizontal="right"/>
      <protection locked="0"/>
    </xf>
    <xf numFmtId="14" fontId="4" fillId="0" borderId="0"/>
    <xf numFmtId="0" fontId="31" fillId="0" borderId="0" applyNumberFormat="0" applyFill="0" applyBorder="0" applyAlignment="0" applyProtection="0"/>
    <xf numFmtId="0" fontId="31" fillId="0" borderId="0" applyNumberFormat="0" applyFill="0" applyBorder="0" applyAlignment="0" applyProtection="0"/>
    <xf numFmtId="0" fontId="4" fillId="0" borderId="0"/>
    <xf numFmtId="2" fontId="30" fillId="38" borderId="0">
      <alignment horizontal="right"/>
      <protection locked="0"/>
    </xf>
    <xf numFmtId="1" fontId="4" fillId="0" borderId="0">
      <alignment horizontal="center"/>
    </xf>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2" fillId="2" borderId="0" applyNumberFormat="0" applyBorder="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7"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20" applyNumberFormat="0" applyFill="0" applyAlignment="0" applyProtection="0"/>
    <xf numFmtId="0" fontId="41" fillId="0" borderId="21" applyNumberFormat="0" applyFill="0" applyAlignment="0" applyProtection="0"/>
    <xf numFmtId="0" fontId="41" fillId="0" borderId="21"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39"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19" borderId="9" applyNumberFormat="0" applyAlignment="0" applyProtection="0"/>
    <xf numFmtId="0" fontId="46" fillId="10" borderId="9" applyNumberFormat="0" applyAlignment="0" applyProtection="0"/>
    <xf numFmtId="0" fontId="46" fillId="19" borderId="9" applyNumberFormat="0" applyAlignment="0" applyProtection="0"/>
    <xf numFmtId="3" fontId="47" fillId="39" borderId="0">
      <protection locked="0"/>
    </xf>
    <xf numFmtId="4" fontId="47" fillId="39" borderId="0">
      <protection locked="0"/>
    </xf>
    <xf numFmtId="0" fontId="48" fillId="0" borderId="23" applyNumberFormat="0" applyFill="0" applyAlignment="0" applyProtection="0"/>
    <xf numFmtId="0" fontId="48" fillId="0" borderId="23" applyNumberFormat="0" applyFill="0" applyAlignment="0" applyProtection="0"/>
    <xf numFmtId="0" fontId="49" fillId="0" borderId="24" applyNumberFormat="0" applyFill="0" applyAlignment="0" applyProtection="0"/>
    <xf numFmtId="0" fontId="48" fillId="0" borderId="23" applyNumberFormat="0" applyFill="0" applyAlignment="0" applyProtection="0"/>
    <xf numFmtId="0" fontId="50" fillId="0" borderId="25" applyNumberFormat="0" applyFill="0" applyAlignment="0" applyProtection="0"/>
    <xf numFmtId="0" fontId="51" fillId="19" borderId="0" applyNumberFormat="0" applyBorder="0" applyAlignment="0" applyProtection="0"/>
    <xf numFmtId="0" fontId="51" fillId="19" borderId="0" applyNumberFormat="0" applyBorder="0" applyAlignment="0" applyProtection="0"/>
    <xf numFmtId="0" fontId="52" fillId="19" borderId="0" applyNumberFormat="0" applyBorder="0" applyAlignment="0" applyProtection="0"/>
    <xf numFmtId="0" fontId="51" fillId="19" borderId="0" applyNumberFormat="0" applyBorder="0" applyAlignment="0" applyProtection="0"/>
    <xf numFmtId="0" fontId="53" fillId="19" borderId="0" applyNumberFormat="0" applyBorder="0" applyAlignment="0" applyProtection="0"/>
    <xf numFmtId="43" fontId="4" fillId="0" borderId="0"/>
    <xf numFmtId="0" fontId="12" fillId="0" borderId="0"/>
    <xf numFmtId="0" fontId="12" fillId="0" borderId="0"/>
    <xf numFmtId="0" fontId="12" fillId="0" borderId="0"/>
    <xf numFmtId="0" fontId="12" fillId="0" borderId="0"/>
    <xf numFmtId="0" fontId="12" fillId="0" borderId="0"/>
    <xf numFmtId="0" fontId="4" fillId="0" borderId="0"/>
    <xf numFmtId="0" fontId="16" fillId="0" borderId="0"/>
    <xf numFmtId="0" fontId="1" fillId="0" borderId="0"/>
    <xf numFmtId="0" fontId="16" fillId="0" borderId="0"/>
    <xf numFmtId="0" fontId="16" fillId="0" borderId="0"/>
    <xf numFmtId="0" fontId="4" fillId="0" borderId="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54" fillId="0" borderId="0"/>
    <xf numFmtId="0" fontId="16" fillId="0" borderId="0"/>
    <xf numFmtId="0" fontId="54" fillId="0" borderId="0"/>
    <xf numFmtId="0" fontId="4" fillId="0" borderId="0"/>
    <xf numFmtId="0" fontId="1" fillId="0" borderId="0"/>
    <xf numFmtId="0" fontId="54" fillId="0" borderId="0"/>
    <xf numFmtId="0" fontId="24" fillId="0" borderId="0"/>
    <xf numFmtId="0" fontId="16" fillId="0" borderId="0"/>
    <xf numFmtId="0" fontId="24" fillId="0" borderId="0"/>
    <xf numFmtId="0" fontId="4" fillId="0" borderId="0"/>
    <xf numFmtId="0" fontId="1" fillId="0" borderId="0"/>
    <xf numFmtId="0" fontId="24" fillId="0" borderId="0"/>
    <xf numFmtId="0" fontId="1" fillId="0" borderId="0"/>
    <xf numFmtId="0" fontId="16" fillId="0" borderId="0"/>
    <xf numFmtId="0" fontId="1" fillId="0" borderId="0"/>
    <xf numFmtId="0" fontId="4" fillId="0" borderId="0"/>
    <xf numFmtId="0" fontId="1" fillId="0" borderId="0"/>
    <xf numFmtId="0" fontId="16" fillId="0" borderId="0"/>
    <xf numFmtId="0" fontId="16" fillId="0" borderId="0"/>
    <xf numFmtId="0" fontId="4" fillId="0" borderId="0"/>
    <xf numFmtId="0" fontId="1" fillId="0" borderId="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166" fontId="12" fillId="0" borderId="0"/>
    <xf numFmtId="166" fontId="12"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alignment wrapText="1"/>
    </xf>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alignment wrapText="1"/>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1" fillId="0" borderId="0"/>
    <xf numFmtId="0" fontId="4" fillId="0" borderId="0"/>
    <xf numFmtId="0" fontId="1" fillId="0" borderId="0"/>
    <xf numFmtId="0" fontId="16" fillId="0" borderId="0"/>
    <xf numFmtId="0" fontId="16" fillId="0" borderId="0"/>
    <xf numFmtId="0" fontId="12" fillId="0" borderId="0"/>
    <xf numFmtId="166" fontId="12" fillId="0" borderId="0"/>
    <xf numFmtId="0" fontId="25" fillId="0" borderId="0">
      <alignment vertical="top"/>
    </xf>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16" fillId="0" borderId="0"/>
    <xf numFmtId="0" fontId="25" fillId="0" borderId="0">
      <alignment vertical="top"/>
    </xf>
    <xf numFmtId="0" fontId="25" fillId="0" borderId="0">
      <alignment vertical="top"/>
    </xf>
    <xf numFmtId="0" fontId="25" fillId="0" borderId="0">
      <alignment vertical="top"/>
    </xf>
    <xf numFmtId="0" fontId="16" fillId="0" borderId="0"/>
    <xf numFmtId="0" fontId="4"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37" fontId="55" fillId="40" borderId="0" applyFill="0"/>
    <xf numFmtId="0" fontId="4" fillId="0" borderId="0"/>
    <xf numFmtId="0" fontId="4" fillId="0" borderId="0"/>
    <xf numFmtId="0" fontId="16" fillId="15" borderId="26" applyNumberFormat="0" applyFont="0" applyAlignment="0" applyProtection="0"/>
    <xf numFmtId="0" fontId="16" fillId="15" borderId="26" applyNumberFormat="0" applyFont="0" applyAlignment="0" applyProtection="0"/>
    <xf numFmtId="0" fontId="25" fillId="15" borderId="26" applyNumberFormat="0" applyFont="0" applyAlignment="0" applyProtection="0"/>
    <xf numFmtId="0" fontId="6" fillId="15" borderId="26" applyNumberFormat="0" applyFont="0" applyAlignment="0" applyProtection="0"/>
    <xf numFmtId="0" fontId="6" fillId="15" borderId="26" applyNumberFormat="0" applyFont="0" applyAlignment="0" applyProtection="0"/>
    <xf numFmtId="0" fontId="12" fillId="15" borderId="26" applyNumberFormat="0" applyFont="0" applyAlignment="0" applyProtection="0"/>
    <xf numFmtId="0" fontId="12" fillId="15" borderId="26" applyNumberFormat="0" applyFont="0" applyAlignment="0" applyProtection="0"/>
    <xf numFmtId="168" fontId="56" fillId="0" borderId="0" applyNumberFormat="0"/>
    <xf numFmtId="0" fontId="39" fillId="33" borderId="27" applyNumberFormat="0" applyAlignment="0" applyProtection="0"/>
    <xf numFmtId="0" fontId="57" fillId="9" borderId="28" applyNumberFormat="0" applyAlignment="0" applyProtection="0"/>
    <xf numFmtId="0" fontId="57" fillId="33" borderId="28"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68" fontId="4" fillId="0" borderId="0" applyFont="0" applyFill="0" applyBorder="0" applyAlignment="0" applyProtection="0"/>
    <xf numFmtId="10" fontId="4" fillId="0" borderId="0" applyFont="0" applyFill="0" applyBorder="0" applyAlignment="0" applyProtection="0"/>
    <xf numFmtId="0" fontId="4" fillId="0" borderId="0"/>
    <xf numFmtId="0" fontId="4" fillId="0" borderId="0"/>
    <xf numFmtId="0" fontId="4" fillId="0" borderId="0"/>
    <xf numFmtId="0" fontId="4" fillId="0" borderId="0"/>
    <xf numFmtId="38" fontId="58" fillId="0" borderId="0" applyNumberFormat="0" applyFont="0" applyFill="0" applyBorder="0">
      <alignment horizontal="left" indent="4"/>
      <protection locked="0"/>
    </xf>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0" fontId="59" fillId="0" borderId="29">
      <alignment horizontal="center"/>
    </xf>
    <xf numFmtId="3" fontId="26" fillId="0" borderId="0" applyFont="0" applyFill="0" applyBorder="0" applyAlignment="0" applyProtection="0"/>
    <xf numFmtId="0" fontId="26" fillId="41" borderId="0" applyNumberFormat="0" applyFon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5" fillId="0" borderId="0">
      <alignment vertical="top"/>
    </xf>
    <xf numFmtId="0" fontId="25" fillId="0" borderId="0">
      <alignment vertical="top"/>
    </xf>
    <xf numFmtId="0" fontId="25" fillId="0" borderId="0" applyNumberFormat="0" applyBorder="0" applyAlignment="0"/>
    <xf numFmtId="37" fontId="61" fillId="0" borderId="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0" applyNumberFormat="0" applyFill="0" applyAlignment="0" applyProtection="0"/>
    <xf numFmtId="0" fontId="65" fillId="0" borderId="30" applyNumberFormat="0" applyFill="0" applyAlignment="0" applyProtection="0"/>
    <xf numFmtId="0" fontId="65" fillId="0" borderId="31"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3" applyNumberFormat="0" applyFill="0" applyAlignment="0" applyProtection="0"/>
    <xf numFmtId="0" fontId="65" fillId="0" borderId="33"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165" fontId="55" fillId="42" borderId="0" applyFont="0" applyFill="0" applyBorder="0" applyAlignment="0" applyProtection="0">
      <alignment wrapText="1"/>
    </xf>
    <xf numFmtId="43" fontId="1" fillId="0" borderId="0" applyFont="0" applyFill="0" applyBorder="0" applyAlignment="0" applyProtection="0"/>
    <xf numFmtId="166" fontId="12" fillId="0" borderId="0"/>
    <xf numFmtId="49" fontId="123" fillId="0" borderId="0" applyFill="0" applyBorder="0" applyAlignment="0" applyProtection="0"/>
    <xf numFmtId="0" fontId="124" fillId="0" borderId="6" applyBorder="0">
      <alignment horizontal="center" vertical="center" wrapText="1"/>
    </xf>
    <xf numFmtId="0" fontId="125" fillId="55" borderId="0" applyNumberFormat="0" applyBorder="0" applyAlignment="0" applyProtection="0">
      <alignment horizontal="center"/>
      <protection hidden="1"/>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124" fillId="0" borderId="6" applyBorder="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29" fillId="0" borderId="0"/>
    <xf numFmtId="0" fontId="4" fillId="0" borderId="0"/>
    <xf numFmtId="0" fontId="54" fillId="0" borderId="0"/>
    <xf numFmtId="0" fontId="54" fillId="0" borderId="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184" fontId="29" fillId="0" borderId="0">
      <alignment horizontal="center"/>
    </xf>
    <xf numFmtId="185" fontId="127" fillId="40" borderId="0" applyFill="0" applyBorder="0" applyProtection="0">
      <alignment horizontal="center"/>
      <protection hidden="1"/>
    </xf>
    <xf numFmtId="0" fontId="128" fillId="0" borderId="0">
      <alignment horizontal="center"/>
    </xf>
    <xf numFmtId="0" fontId="4" fillId="0" borderId="0"/>
    <xf numFmtId="166" fontId="12" fillId="0" borderId="0"/>
    <xf numFmtId="0" fontId="23" fillId="0" borderId="0"/>
    <xf numFmtId="0" fontId="17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1464">
    <xf numFmtId="0" fontId="0" fillId="0" borderId="0" xfId="0"/>
    <xf numFmtId="1" fontId="5" fillId="3" borderId="0" xfId="5" applyNumberFormat="1" applyFont="1" applyFill="1" applyBorder="1" applyAlignment="1">
      <alignment horizontal="left"/>
    </xf>
    <xf numFmtId="0" fontId="5" fillId="3" borderId="0" xfId="5" applyFont="1" applyFill="1" applyBorder="1"/>
    <xf numFmtId="3" fontId="6" fillId="3" borderId="0" xfId="5" applyNumberFormat="1" applyFont="1" applyFill="1" applyBorder="1"/>
    <xf numFmtId="37" fontId="5" fillId="3" borderId="0" xfId="5" applyNumberFormat="1" applyFont="1" applyFill="1" applyBorder="1" applyAlignment="1">
      <alignment horizontal="center"/>
    </xf>
    <xf numFmtId="37" fontId="6" fillId="3" borderId="0" xfId="5" applyNumberFormat="1" applyFont="1" applyFill="1" applyBorder="1" applyAlignment="1">
      <alignment horizontal="center"/>
    </xf>
    <xf numFmtId="37" fontId="6" fillId="3" borderId="0" xfId="5" applyNumberFormat="1" applyFont="1" applyFill="1" applyBorder="1"/>
    <xf numFmtId="0" fontId="6" fillId="3" borderId="0" xfId="5" applyFont="1" applyFill="1" applyBorder="1"/>
    <xf numFmtId="43" fontId="6" fillId="3" borderId="0" xfId="1" applyFont="1" applyFill="1" applyBorder="1"/>
    <xf numFmtId="0" fontId="5" fillId="3" borderId="0" xfId="5" applyFont="1" applyFill="1" applyBorder="1" applyAlignment="1"/>
    <xf numFmtId="3" fontId="5" fillId="3" borderId="0" xfId="0" applyNumberFormat="1" applyFont="1" applyFill="1" applyBorder="1" applyAlignment="1">
      <alignment horizontal="center"/>
    </xf>
    <xf numFmtId="37" fontId="5" fillId="3" borderId="0" xfId="0" applyNumberFormat="1" applyFont="1" applyFill="1" applyBorder="1" applyAlignment="1">
      <alignment horizontal="center"/>
    </xf>
    <xf numFmtId="0" fontId="5" fillId="3" borderId="0" xfId="5" applyFont="1" applyFill="1" applyBorder="1" applyAlignment="1">
      <alignment horizontal="center"/>
    </xf>
    <xf numFmtId="37" fontId="8" fillId="4" borderId="3" xfId="5" applyNumberFormat="1" applyFont="1" applyFill="1" applyBorder="1" applyAlignment="1">
      <alignment horizontal="center"/>
    </xf>
    <xf numFmtId="3" fontId="7" fillId="4" borderId="0" xfId="5" applyNumberFormat="1" applyFont="1" applyFill="1" applyBorder="1" applyAlignment="1">
      <alignment horizontal="center"/>
    </xf>
    <xf numFmtId="43" fontId="10" fillId="4" borderId="0" xfId="1" applyFont="1" applyFill="1" applyBorder="1"/>
    <xf numFmtId="0" fontId="10" fillId="4" borderId="0" xfId="5" applyFont="1" applyFill="1" applyBorder="1"/>
    <xf numFmtId="0" fontId="8" fillId="4" borderId="0" xfId="5" applyNumberFormat="1" applyFont="1" applyFill="1" applyBorder="1" applyAlignment="1">
      <alignment horizontal="center"/>
    </xf>
    <xf numFmtId="0" fontId="7" fillId="4" borderId="0" xfId="5" applyNumberFormat="1" applyFont="1" applyFill="1" applyBorder="1" applyAlignment="1">
      <alignment horizontal="center"/>
    </xf>
    <xf numFmtId="43" fontId="8" fillId="4" borderId="0" xfId="1" applyFont="1" applyFill="1" applyBorder="1"/>
    <xf numFmtId="0" fontId="8" fillId="4" borderId="0" xfId="5" applyFont="1" applyFill="1" applyBorder="1"/>
    <xf numFmtId="0" fontId="5" fillId="5" borderId="6" xfId="5" applyFont="1" applyFill="1" applyBorder="1"/>
    <xf numFmtId="0" fontId="5" fillId="5" borderId="7" xfId="5" applyFont="1" applyFill="1" applyBorder="1"/>
    <xf numFmtId="3" fontId="6" fillId="5" borderId="7" xfId="5" applyNumberFormat="1" applyFont="1" applyFill="1" applyBorder="1"/>
    <xf numFmtId="37" fontId="5" fillId="5" borderId="7" xfId="5" applyNumberFormat="1" applyFont="1" applyFill="1" applyBorder="1" applyAlignment="1">
      <alignment horizontal="center"/>
    </xf>
    <xf numFmtId="37" fontId="6" fillId="5" borderId="7" xfId="5" applyNumberFormat="1" applyFont="1" applyFill="1" applyBorder="1" applyAlignment="1">
      <alignment horizontal="center"/>
    </xf>
    <xf numFmtId="37" fontId="6" fillId="5" borderId="7" xfId="5" applyNumberFormat="1" applyFont="1" applyFill="1" applyBorder="1"/>
    <xf numFmtId="0" fontId="6" fillId="5" borderId="7" xfId="5" applyFont="1" applyFill="1" applyBorder="1"/>
    <xf numFmtId="0" fontId="5" fillId="5" borderId="7" xfId="5" applyFont="1" applyFill="1" applyBorder="1" applyAlignment="1">
      <alignment horizontal="center"/>
    </xf>
    <xf numFmtId="43" fontId="5" fillId="5" borderId="0" xfId="1" applyFont="1" applyFill="1" applyBorder="1" applyAlignment="1">
      <alignment horizontal="center"/>
    </xf>
    <xf numFmtId="0" fontId="6" fillId="5" borderId="0" xfId="5" applyFont="1" applyFill="1" applyBorder="1"/>
    <xf numFmtId="1" fontId="6" fillId="3" borderId="0" xfId="5" applyNumberFormat="1" applyFont="1" applyFill="1" applyBorder="1" applyAlignment="1">
      <alignment horizontal="right"/>
    </xf>
    <xf numFmtId="164" fontId="6" fillId="3" borderId="0" xfId="2" applyNumberFormat="1" applyFont="1" applyFill="1" applyBorder="1"/>
    <xf numFmtId="164" fontId="6" fillId="3" borderId="0" xfId="2" applyNumberFormat="1" applyFont="1" applyFill="1" applyBorder="1" applyAlignment="1">
      <alignment horizontal="right"/>
    </xf>
    <xf numFmtId="165" fontId="6" fillId="3" borderId="0" xfId="1" applyNumberFormat="1" applyFont="1" applyFill="1" applyBorder="1"/>
    <xf numFmtId="165" fontId="6" fillId="3" borderId="0" xfId="1" applyNumberFormat="1" applyFont="1" applyFill="1" applyBorder="1" applyAlignment="1">
      <alignment horizontal="right"/>
    </xf>
    <xf numFmtId="165" fontId="6" fillId="3" borderId="0" xfId="1" applyNumberFormat="1" applyFont="1" applyFill="1" applyBorder="1" applyAlignment="1">
      <alignment horizontal="center"/>
    </xf>
    <xf numFmtId="165" fontId="5" fillId="3" borderId="0" xfId="1" applyNumberFormat="1" applyFont="1" applyFill="1" applyBorder="1" applyAlignment="1">
      <alignment horizontal="center"/>
    </xf>
    <xf numFmtId="165" fontId="5" fillId="3" borderId="7" xfId="1" applyNumberFormat="1" applyFont="1" applyFill="1" applyBorder="1"/>
    <xf numFmtId="165" fontId="6" fillId="3" borderId="7" xfId="1" applyNumberFormat="1" applyFont="1" applyFill="1" applyBorder="1" applyAlignment="1">
      <alignment horizontal="center"/>
    </xf>
    <xf numFmtId="165" fontId="6" fillId="3" borderId="7" xfId="1" applyNumberFormat="1" applyFont="1" applyFill="1" applyBorder="1"/>
    <xf numFmtId="10" fontId="6" fillId="3" borderId="0" xfId="1" applyNumberFormat="1" applyFont="1" applyFill="1" applyBorder="1"/>
    <xf numFmtId="10" fontId="6" fillId="3" borderId="0" xfId="3" applyNumberFormat="1" applyFont="1" applyFill="1" applyBorder="1"/>
    <xf numFmtId="165" fontId="6" fillId="3" borderId="0" xfId="5" applyNumberFormat="1" applyFont="1" applyFill="1" applyBorder="1"/>
    <xf numFmtId="165" fontId="6" fillId="5" borderId="7" xfId="1" applyNumberFormat="1" applyFont="1" applyFill="1" applyBorder="1"/>
    <xf numFmtId="165" fontId="5" fillId="5" borderId="7" xfId="1" applyNumberFormat="1" applyFont="1" applyFill="1" applyBorder="1" applyAlignment="1">
      <alignment horizontal="center"/>
    </xf>
    <xf numFmtId="43" fontId="6" fillId="5" borderId="0" xfId="1" applyFont="1" applyFill="1" applyBorder="1"/>
    <xf numFmtId="165" fontId="6" fillId="5" borderId="0" xfId="5" applyNumberFormat="1" applyFont="1" applyFill="1" applyBorder="1"/>
    <xf numFmtId="0" fontId="11" fillId="6" borderId="0" xfId="5" applyFont="1" applyFill="1" applyBorder="1"/>
    <xf numFmtId="0" fontId="11" fillId="6" borderId="0" xfId="5" applyFont="1" applyFill="1" applyBorder="1" applyAlignment="1">
      <alignment horizontal="left"/>
    </xf>
    <xf numFmtId="165" fontId="6" fillId="6" borderId="0" xfId="1" applyNumberFormat="1" applyFont="1" applyFill="1" applyBorder="1"/>
    <xf numFmtId="165" fontId="5" fillId="6" borderId="0" xfId="1" applyNumberFormat="1" applyFont="1" applyFill="1" applyBorder="1" applyAlignment="1">
      <alignment horizontal="center"/>
    </xf>
    <xf numFmtId="37" fontId="6" fillId="6" borderId="0" xfId="5" applyNumberFormat="1" applyFont="1" applyFill="1" applyBorder="1" applyAlignment="1">
      <alignment horizontal="center"/>
    </xf>
    <xf numFmtId="0" fontId="6" fillId="6" borderId="0" xfId="5" applyFont="1" applyFill="1" applyBorder="1"/>
    <xf numFmtId="43" fontId="6" fillId="6" borderId="0" xfId="1" applyFont="1" applyFill="1" applyBorder="1"/>
    <xf numFmtId="165" fontId="6" fillId="6" borderId="0" xfId="5" applyNumberFormat="1" applyFont="1" applyFill="1" applyBorder="1"/>
    <xf numFmtId="1" fontId="6" fillId="3" borderId="0" xfId="6" applyNumberFormat="1" applyFont="1" applyFill="1" applyBorder="1" applyAlignment="1">
      <alignment horizontal="right"/>
    </xf>
    <xf numFmtId="166" fontId="6" fillId="3" borderId="0" xfId="6" applyFont="1" applyFill="1" applyBorder="1"/>
    <xf numFmtId="1" fontId="5" fillId="3" borderId="0" xfId="6" applyNumberFormat="1" applyFont="1" applyFill="1" applyBorder="1" applyAlignment="1">
      <alignment horizontal="right"/>
    </xf>
    <xf numFmtId="43" fontId="6" fillId="3" borderId="7" xfId="1" applyFont="1" applyFill="1" applyBorder="1"/>
    <xf numFmtId="165" fontId="6" fillId="3" borderId="7" xfId="5" applyNumberFormat="1" applyFont="1" applyFill="1" applyBorder="1"/>
    <xf numFmtId="165" fontId="5" fillId="3" borderId="0" xfId="1" applyNumberFormat="1" applyFont="1" applyFill="1" applyBorder="1"/>
    <xf numFmtId="165" fontId="6" fillId="3" borderId="0" xfId="7" applyNumberFormat="1" applyFont="1" applyFill="1" applyBorder="1" applyAlignment="1">
      <alignment horizontal="center"/>
    </xf>
    <xf numFmtId="1" fontId="11" fillId="6" borderId="0" xfId="5" applyNumberFormat="1" applyFont="1" applyFill="1" applyBorder="1" applyAlignment="1">
      <alignment horizontal="right"/>
    </xf>
    <xf numFmtId="1" fontId="13" fillId="3" borderId="0" xfId="8" quotePrefix="1" applyNumberFormat="1" applyFont="1" applyFill="1" applyBorder="1" applyAlignment="1">
      <alignment horizontal="right"/>
    </xf>
    <xf numFmtId="165" fontId="5" fillId="3" borderId="0" xfId="1" applyNumberFormat="1" applyFont="1" applyFill="1" applyBorder="1" applyAlignment="1">
      <alignment horizontal="right"/>
    </xf>
    <xf numFmtId="1" fontId="5" fillId="3" borderId="0" xfId="5" applyNumberFormat="1" applyFont="1" applyFill="1" applyBorder="1" applyAlignment="1">
      <alignment horizontal="right"/>
    </xf>
    <xf numFmtId="165" fontId="5" fillId="3" borderId="7" xfId="1" applyNumberFormat="1" applyFont="1" applyFill="1" applyBorder="1" applyAlignment="1">
      <alignment horizontal="right"/>
    </xf>
    <xf numFmtId="165" fontId="5" fillId="6" borderId="0" xfId="1" applyNumberFormat="1" applyFont="1" applyFill="1" applyBorder="1"/>
    <xf numFmtId="165" fontId="6" fillId="6" borderId="0" xfId="1" applyNumberFormat="1" applyFont="1" applyFill="1" applyBorder="1" applyAlignment="1">
      <alignment horizontal="right"/>
    </xf>
    <xf numFmtId="165" fontId="5" fillId="6" borderId="0" xfId="1" applyNumberFormat="1" applyFont="1" applyFill="1" applyBorder="1" applyAlignment="1">
      <alignment horizontal="right"/>
    </xf>
    <xf numFmtId="0" fontId="6" fillId="3" borderId="7" xfId="5" applyFont="1" applyFill="1" applyBorder="1"/>
    <xf numFmtId="166" fontId="5" fillId="3" borderId="0" xfId="6" applyFont="1" applyFill="1" applyBorder="1"/>
    <xf numFmtId="1" fontId="13" fillId="3" borderId="0" xfId="8" applyNumberFormat="1" applyFont="1" applyFill="1" applyBorder="1" applyAlignment="1">
      <alignment horizontal="right"/>
    </xf>
    <xf numFmtId="165" fontId="6" fillId="3" borderId="0" xfId="3" applyNumberFormat="1" applyFont="1" applyFill="1" applyBorder="1"/>
    <xf numFmtId="1" fontId="6" fillId="6" borderId="0" xfId="5" applyNumberFormat="1" applyFont="1" applyFill="1" applyBorder="1" applyAlignment="1">
      <alignment horizontal="right"/>
    </xf>
    <xf numFmtId="165" fontId="5" fillId="3" borderId="0" xfId="7" applyNumberFormat="1" applyFont="1" applyFill="1" applyBorder="1"/>
    <xf numFmtId="1" fontId="14" fillId="3" borderId="0" xfId="8" quotePrefix="1" applyNumberFormat="1" applyFont="1" applyFill="1" applyBorder="1" applyAlignment="1">
      <alignment horizontal="right"/>
    </xf>
    <xf numFmtId="165" fontId="6" fillId="3" borderId="7" xfId="7" applyNumberFormat="1" applyFont="1" applyFill="1" applyBorder="1" applyAlignment="1">
      <alignment horizontal="center"/>
    </xf>
    <xf numFmtId="3" fontId="6" fillId="3" borderId="7" xfId="5" applyNumberFormat="1" applyFont="1" applyFill="1" applyBorder="1"/>
    <xf numFmtId="1" fontId="6" fillId="0" borderId="0" xfId="5" applyNumberFormat="1" applyFont="1" applyFill="1" applyBorder="1" applyAlignment="1">
      <alignment horizontal="right"/>
    </xf>
    <xf numFmtId="0" fontId="6" fillId="0" borderId="0" xfId="5" applyFont="1" applyFill="1" applyBorder="1"/>
    <xf numFmtId="0" fontId="6" fillId="0" borderId="0" xfId="5" applyFont="1" applyBorder="1"/>
    <xf numFmtId="165" fontId="5" fillId="3" borderId="7" xfId="7" applyNumberFormat="1" applyFont="1" applyFill="1" applyBorder="1"/>
    <xf numFmtId="1" fontId="15" fillId="3" borderId="0" xfId="5" applyNumberFormat="1" applyFont="1" applyFill="1" applyBorder="1" applyAlignment="1">
      <alignment horizontal="right"/>
    </xf>
    <xf numFmtId="165" fontId="6" fillId="0" borderId="0" xfId="1" applyNumberFormat="1" applyFont="1" applyFill="1" applyBorder="1" applyAlignment="1">
      <alignment horizontal="right"/>
    </xf>
    <xf numFmtId="165" fontId="6" fillId="0" borderId="0" xfId="1" applyNumberFormat="1" applyFont="1" applyFill="1" applyBorder="1"/>
    <xf numFmtId="10" fontId="5" fillId="3" borderId="7" xfId="5" applyNumberFormat="1" applyFont="1" applyFill="1" applyBorder="1"/>
    <xf numFmtId="37" fontId="5" fillId="3" borderId="7" xfId="5" applyNumberFormat="1" applyFont="1" applyFill="1" applyBorder="1" applyAlignment="1">
      <alignment horizontal="center"/>
    </xf>
    <xf numFmtId="37" fontId="6" fillId="3" borderId="7" xfId="5" applyNumberFormat="1" applyFont="1" applyFill="1" applyBorder="1" applyAlignment="1">
      <alignment horizontal="center"/>
    </xf>
    <xf numFmtId="164" fontId="5" fillId="3" borderId="8" xfId="2" applyNumberFormat="1" applyFont="1" applyFill="1" applyBorder="1"/>
    <xf numFmtId="164" fontId="6" fillId="3" borderId="8" xfId="2" applyNumberFormat="1" applyFont="1" applyFill="1" applyBorder="1" applyAlignment="1">
      <alignment horizontal="center"/>
    </xf>
    <xf numFmtId="164" fontId="5" fillId="3" borderId="8" xfId="2" applyNumberFormat="1" applyFont="1" applyFill="1" applyBorder="1" applyAlignment="1">
      <alignment horizontal="center"/>
    </xf>
    <xf numFmtId="164" fontId="6" fillId="3" borderId="8" xfId="2" applyNumberFormat="1" applyFont="1" applyFill="1" applyBorder="1"/>
    <xf numFmtId="10" fontId="6" fillId="3" borderId="0" xfId="5" applyNumberFormat="1" applyFont="1" applyFill="1" applyBorder="1"/>
    <xf numFmtId="164" fontId="5" fillId="3" borderId="7" xfId="2" applyNumberFormat="1" applyFont="1" applyFill="1" applyBorder="1"/>
    <xf numFmtId="164" fontId="6" fillId="3" borderId="7" xfId="2" applyNumberFormat="1" applyFont="1" applyFill="1" applyBorder="1" applyAlignment="1">
      <alignment horizontal="center"/>
    </xf>
    <xf numFmtId="164" fontId="5" fillId="3" borderId="7" xfId="2" applyNumberFormat="1" applyFont="1" applyFill="1" applyBorder="1" applyAlignment="1">
      <alignment horizontal="center"/>
    </xf>
    <xf numFmtId="9" fontId="6" fillId="3" borderId="0" xfId="9" applyFont="1" applyFill="1" applyBorder="1"/>
    <xf numFmtId="37" fontId="6" fillId="3" borderId="0" xfId="9" applyNumberFormat="1" applyFont="1" applyFill="1" applyBorder="1"/>
    <xf numFmtId="37" fontId="6" fillId="3" borderId="0" xfId="5" applyNumberFormat="1" applyFont="1" applyFill="1" applyBorder="1" applyAlignment="1">
      <alignment horizontal="right"/>
    </xf>
    <xf numFmtId="37" fontId="5" fillId="3" borderId="0" xfId="5" applyNumberFormat="1" applyFont="1" applyFill="1" applyBorder="1" applyAlignment="1">
      <alignment horizontal="right"/>
    </xf>
    <xf numFmtId="37" fontId="9" fillId="43" borderId="1" xfId="5" applyNumberFormat="1" applyFont="1" applyFill="1" applyBorder="1" applyAlignment="1">
      <alignment horizontal="center"/>
    </xf>
    <xf numFmtId="0" fontId="9" fillId="43" borderId="4" xfId="5" applyNumberFormat="1" applyFont="1" applyFill="1" applyBorder="1" applyAlignment="1">
      <alignment horizontal="center"/>
    </xf>
    <xf numFmtId="37" fontId="8" fillId="43" borderId="2" xfId="5" applyNumberFormat="1" applyFont="1" applyFill="1" applyBorder="1" applyAlignment="1">
      <alignment horizontal="center"/>
    </xf>
    <xf numFmtId="0" fontId="8" fillId="43" borderId="5" xfId="5" applyNumberFormat="1" applyFont="1" applyFill="1" applyBorder="1" applyAlignment="1">
      <alignment horizontal="center"/>
    </xf>
    <xf numFmtId="1" fontId="7" fillId="44" borderId="1" xfId="5" applyNumberFormat="1" applyFont="1" applyFill="1" applyBorder="1" applyAlignment="1">
      <alignment horizontal="left"/>
    </xf>
    <xf numFmtId="0" fontId="7" fillId="44" borderId="2" xfId="5" applyFont="1" applyFill="1" applyBorder="1"/>
    <xf numFmtId="3" fontId="8" fillId="44" borderId="1" xfId="5" applyNumberFormat="1" applyFont="1" applyFill="1" applyBorder="1" applyAlignment="1">
      <alignment horizontal="center"/>
    </xf>
    <xf numFmtId="37" fontId="8" fillId="44" borderId="3" xfId="5" applyNumberFormat="1" applyFont="1" applyFill="1" applyBorder="1" applyAlignment="1">
      <alignment horizontal="center"/>
    </xf>
    <xf numFmtId="0" fontId="8" fillId="44" borderId="3" xfId="5" applyFont="1" applyFill="1" applyBorder="1" applyAlignment="1">
      <alignment horizontal="center"/>
    </xf>
    <xf numFmtId="3" fontId="8" fillId="44" borderId="2" xfId="0" applyNumberFormat="1" applyFont="1" applyFill="1" applyBorder="1" applyAlignment="1">
      <alignment horizontal="center"/>
    </xf>
    <xf numFmtId="1" fontId="10" fillId="44" borderId="4" xfId="5" applyNumberFormat="1" applyFont="1" applyFill="1" applyBorder="1" applyAlignment="1">
      <alignment horizontal="right"/>
    </xf>
    <xf numFmtId="0" fontId="10" fillId="44" borderId="5" xfId="5" applyFont="1" applyFill="1" applyBorder="1"/>
    <xf numFmtId="0" fontId="8" fillId="44" borderId="4" xfId="5" applyNumberFormat="1" applyFont="1" applyFill="1" applyBorder="1" applyAlignment="1">
      <alignment horizontal="center"/>
    </xf>
    <xf numFmtId="37" fontId="8" fillId="44" borderId="0" xfId="5" applyNumberFormat="1" applyFont="1" applyFill="1" applyBorder="1" applyAlignment="1">
      <alignment horizontal="center"/>
    </xf>
    <xf numFmtId="3" fontId="8" fillId="44" borderId="5" xfId="0" applyNumberFormat="1" applyFont="1" applyFill="1" applyBorder="1" applyAlignment="1">
      <alignment horizontal="center"/>
    </xf>
    <xf numFmtId="37" fontId="8" fillId="44" borderId="1" xfId="5" applyNumberFormat="1" applyFont="1" applyFill="1" applyBorder="1" applyAlignment="1">
      <alignment horizontal="center"/>
    </xf>
    <xf numFmtId="37" fontId="8" fillId="44" borderId="2" xfId="5" applyNumberFormat="1" applyFont="1" applyFill="1" applyBorder="1" applyAlignment="1">
      <alignment horizontal="center"/>
    </xf>
    <xf numFmtId="37" fontId="8" fillId="44" borderId="4" xfId="5" applyNumberFormat="1" applyFont="1" applyFill="1" applyBorder="1" applyAlignment="1">
      <alignment horizontal="center"/>
    </xf>
    <xf numFmtId="37" fontId="8" fillId="44" borderId="5" xfId="5" applyNumberFormat="1" applyFont="1" applyFill="1" applyBorder="1" applyAlignment="1">
      <alignment horizontal="center"/>
    </xf>
    <xf numFmtId="0" fontId="8" fillId="44" borderId="1" xfId="5" applyFont="1" applyFill="1" applyBorder="1" applyAlignment="1">
      <alignment horizontal="center"/>
    </xf>
    <xf numFmtId="0" fontId="8" fillId="44" borderId="4" xfId="5" applyFont="1" applyFill="1" applyBorder="1" applyAlignment="1">
      <alignment horizontal="center"/>
    </xf>
    <xf numFmtId="37" fontId="4" fillId="0" borderId="0" xfId="509" applyFont="1" applyFill="1"/>
    <xf numFmtId="49" fontId="4" fillId="0" borderId="0" xfId="509" applyNumberFormat="1" applyFont="1" applyFill="1"/>
    <xf numFmtId="14" fontId="4" fillId="0" borderId="0" xfId="509" applyNumberFormat="1" applyFont="1" applyFill="1"/>
    <xf numFmtId="165" fontId="4" fillId="0" borderId="0" xfId="7" applyNumberFormat="1" applyFont="1" applyFill="1"/>
    <xf numFmtId="0" fontId="25" fillId="0" borderId="0" xfId="8" applyFont="1" applyAlignment="1">
      <alignment horizontal="left"/>
    </xf>
    <xf numFmtId="0" fontId="25" fillId="0" borderId="0" xfId="8" quotePrefix="1" applyFont="1" applyAlignment="1">
      <alignment horizontal="left"/>
    </xf>
    <xf numFmtId="0" fontId="25" fillId="0" borderId="0" xfId="8" applyFont="1"/>
    <xf numFmtId="165" fontId="25" fillId="0" borderId="0" xfId="166" applyNumberFormat="1" applyFont="1"/>
    <xf numFmtId="165" fontId="4" fillId="45" borderId="0" xfId="166" applyNumberFormat="1" applyFont="1" applyFill="1" applyBorder="1"/>
    <xf numFmtId="169" fontId="66" fillId="0" borderId="0" xfId="531" applyNumberFormat="1" applyFont="1" applyFill="1" applyBorder="1"/>
    <xf numFmtId="165" fontId="4" fillId="0" borderId="0" xfId="166" applyNumberFormat="1" applyFont="1" applyBorder="1"/>
    <xf numFmtId="0" fontId="4" fillId="0" borderId="0" xfId="351"/>
    <xf numFmtId="0" fontId="68" fillId="0" borderId="0" xfId="8" applyNumberFormat="1" applyFont="1"/>
    <xf numFmtId="0" fontId="67" fillId="0" borderId="0" xfId="8" applyNumberFormat="1" applyFont="1"/>
    <xf numFmtId="0" fontId="68" fillId="0" borderId="0" xfId="8" applyNumberFormat="1" applyFont="1" applyAlignment="1">
      <alignment horizontal="right"/>
    </xf>
    <xf numFmtId="49" fontId="69" fillId="0" borderId="0" xfId="8" applyNumberFormat="1" applyFont="1" applyAlignment="1">
      <alignment horizontal="right"/>
    </xf>
    <xf numFmtId="0" fontId="69" fillId="0" borderId="0" xfId="8" applyNumberFormat="1" applyFont="1" applyAlignment="1">
      <alignment horizontal="left"/>
    </xf>
    <xf numFmtId="0" fontId="70" fillId="0" borderId="0" xfId="8" applyNumberFormat="1" applyFont="1"/>
    <xf numFmtId="49" fontId="69" fillId="0" borderId="0" xfId="8" applyNumberFormat="1" applyFont="1" applyAlignment="1">
      <alignment horizontal="left"/>
    </xf>
    <xf numFmtId="49" fontId="71" fillId="0" borderId="0" xfId="8" applyNumberFormat="1" applyFont="1"/>
    <xf numFmtId="0" fontId="25" fillId="0" borderId="0" xfId="8" applyNumberFormat="1" applyFont="1"/>
    <xf numFmtId="165" fontId="72" fillId="0" borderId="12" xfId="166" applyNumberFormat="1" applyFont="1" applyFill="1" applyBorder="1" applyAlignment="1">
      <alignment horizontal="centerContinuous"/>
    </xf>
    <xf numFmtId="0" fontId="72" fillId="0" borderId="12" xfId="8" applyFont="1" applyFill="1" applyBorder="1" applyAlignment="1">
      <alignment horizontal="centerContinuous"/>
    </xf>
    <xf numFmtId="165" fontId="72" fillId="0" borderId="12" xfId="166" quotePrefix="1" applyNumberFormat="1" applyFont="1" applyFill="1" applyBorder="1" applyAlignment="1">
      <alignment horizontal="centerContinuous"/>
    </xf>
    <xf numFmtId="17" fontId="72" fillId="0" borderId="29" xfId="166" applyNumberFormat="1" applyFont="1" applyFill="1" applyBorder="1" applyAlignment="1">
      <alignment horizontal="centerContinuous"/>
    </xf>
    <xf numFmtId="0" fontId="72" fillId="0" borderId="0" xfId="8" applyFont="1" applyBorder="1"/>
    <xf numFmtId="0" fontId="72" fillId="0" borderId="0" xfId="8" applyFont="1"/>
    <xf numFmtId="17" fontId="72" fillId="0" borderId="29" xfId="166" applyNumberFormat="1" applyFont="1" applyBorder="1" applyAlignment="1">
      <alignment horizontal="centerContinuous"/>
    </xf>
    <xf numFmtId="17" fontId="5" fillId="0" borderId="29" xfId="166" applyNumberFormat="1" applyFont="1" applyFill="1" applyBorder="1" applyAlignment="1">
      <alignment horizontal="centerContinuous"/>
    </xf>
    <xf numFmtId="165" fontId="74" fillId="0" borderId="0" xfId="166" applyNumberFormat="1" applyFont="1"/>
    <xf numFmtId="37" fontId="4" fillId="0" borderId="0" xfId="509" applyFont="1" applyFill="1" applyBorder="1"/>
    <xf numFmtId="165" fontId="25" fillId="0" borderId="12" xfId="166" applyNumberFormat="1" applyFont="1" applyBorder="1"/>
    <xf numFmtId="165" fontId="25" fillId="42" borderId="0" xfId="7" applyNumberFormat="1" applyFont="1" applyFill="1" applyBorder="1"/>
    <xf numFmtId="165" fontId="67" fillId="0" borderId="0" xfId="7" applyNumberFormat="1" applyFont="1"/>
    <xf numFmtId="165" fontId="25" fillId="0" borderId="0" xfId="7" applyNumberFormat="1" applyFont="1"/>
    <xf numFmtId="165" fontId="25" fillId="0" borderId="12" xfId="7" applyNumberFormat="1" applyFont="1" applyBorder="1"/>
    <xf numFmtId="0" fontId="25" fillId="0" borderId="0" xfId="8" quotePrefix="1" applyFont="1"/>
    <xf numFmtId="0" fontId="73" fillId="0" borderId="0" xfId="8" applyFont="1" applyAlignment="1">
      <alignment horizontal="left"/>
    </xf>
    <xf numFmtId="165" fontId="25" fillId="42" borderId="7" xfId="7" applyNumberFormat="1" applyFont="1" applyFill="1" applyBorder="1"/>
    <xf numFmtId="0" fontId="73" fillId="0" borderId="0" xfId="8" applyFont="1"/>
    <xf numFmtId="0" fontId="73" fillId="0" borderId="0" xfId="8" quotePrefix="1" applyFont="1" applyAlignment="1">
      <alignment horizontal="left"/>
    </xf>
    <xf numFmtId="0" fontId="4" fillId="0" borderId="0" xfId="5"/>
    <xf numFmtId="165" fontId="4" fillId="0" borderId="0" xfId="7" applyNumberFormat="1" applyFont="1"/>
    <xf numFmtId="165" fontId="1" fillId="0" borderId="0" xfId="7" applyNumberFormat="1" applyFont="1"/>
    <xf numFmtId="0" fontId="4" fillId="0" borderId="0" xfId="5" applyFont="1"/>
    <xf numFmtId="0" fontId="73" fillId="46" borderId="0" xfId="8" quotePrefix="1" applyFont="1" applyFill="1" applyAlignment="1">
      <alignment horizontal="left"/>
    </xf>
    <xf numFmtId="0" fontId="25" fillId="46" borderId="0" xfId="8" applyFont="1" applyFill="1"/>
    <xf numFmtId="165" fontId="25" fillId="46" borderId="7" xfId="7" applyNumberFormat="1" applyFont="1" applyFill="1" applyBorder="1"/>
    <xf numFmtId="165" fontId="67" fillId="0" borderId="0" xfId="7" applyNumberFormat="1" applyFont="1" applyFill="1"/>
    <xf numFmtId="165" fontId="67" fillId="0" borderId="0" xfId="7" applyNumberFormat="1" applyFont="1" applyFill="1" applyBorder="1"/>
    <xf numFmtId="0" fontId="67" fillId="0" borderId="0" xfId="8" applyNumberFormat="1" applyFont="1" applyFill="1"/>
    <xf numFmtId="0" fontId="4" fillId="0" borderId="0" xfId="357" applyFont="1"/>
    <xf numFmtId="171" fontId="4" fillId="0" borderId="0" xfId="357" applyNumberFormat="1" applyFont="1"/>
    <xf numFmtId="165" fontId="74" fillId="0" borderId="0" xfId="7" applyNumberFormat="1" applyFont="1"/>
    <xf numFmtId="0" fontId="73" fillId="5" borderId="0" xfId="8" applyFont="1" applyFill="1" applyAlignment="1">
      <alignment horizontal="left"/>
    </xf>
    <xf numFmtId="0" fontId="25" fillId="5" borderId="0" xfId="8" applyFont="1" applyFill="1"/>
    <xf numFmtId="171" fontId="25" fillId="5" borderId="7" xfId="7" quotePrefix="1" applyNumberFormat="1" applyFont="1" applyFill="1" applyBorder="1"/>
    <xf numFmtId="165" fontId="66" fillId="0" borderId="0" xfId="7" applyNumberFormat="1" applyFont="1" applyFill="1" applyBorder="1"/>
    <xf numFmtId="165" fontId="25" fillId="42" borderId="8" xfId="7" applyNumberFormat="1" applyFont="1" applyFill="1" applyBorder="1"/>
    <xf numFmtId="165" fontId="4" fillId="0" borderId="0" xfId="166" applyNumberFormat="1" applyFont="1" applyFill="1"/>
    <xf numFmtId="165" fontId="25" fillId="3" borderId="0" xfId="7" applyNumberFormat="1" applyFont="1" applyFill="1" applyBorder="1"/>
    <xf numFmtId="165" fontId="25" fillId="3" borderId="0" xfId="7" applyNumberFormat="1" applyFont="1" applyFill="1"/>
    <xf numFmtId="165" fontId="66" fillId="3" borderId="0" xfId="7" applyNumberFormat="1" applyFont="1" applyFill="1" applyBorder="1"/>
    <xf numFmtId="165" fontId="75" fillId="0" borderId="0" xfId="166" applyNumberFormat="1" applyFont="1" applyFill="1" applyAlignment="1">
      <alignment horizontal="right"/>
    </xf>
    <xf numFmtId="0" fontId="76" fillId="0" borderId="0" xfId="8" applyNumberFormat="1" applyFont="1"/>
    <xf numFmtId="165" fontId="77" fillId="0" borderId="0" xfId="166" applyNumberFormat="1" applyFont="1" applyFill="1"/>
    <xf numFmtId="0" fontId="25" fillId="0" borderId="0" xfId="511" applyFont="1"/>
    <xf numFmtId="0" fontId="25" fillId="0" borderId="0" xfId="511" applyFont="1" applyAlignment="1">
      <alignment horizontal="left"/>
    </xf>
    <xf numFmtId="0" fontId="25" fillId="0" borderId="0" xfId="511" quotePrefix="1" applyFont="1" applyAlignment="1">
      <alignment horizontal="left"/>
    </xf>
    <xf numFmtId="165" fontId="25" fillId="45" borderId="0" xfId="7" applyNumberFormat="1" applyFont="1" applyFill="1"/>
    <xf numFmtId="0" fontId="67" fillId="0" borderId="0" xfId="511" applyNumberFormat="1" applyFont="1"/>
    <xf numFmtId="0" fontId="68" fillId="0" borderId="0" xfId="511" applyNumberFormat="1" applyFont="1"/>
    <xf numFmtId="0" fontId="68" fillId="0" borderId="0" xfId="511" applyNumberFormat="1" applyFont="1" applyAlignment="1">
      <alignment horizontal="right"/>
    </xf>
    <xf numFmtId="49" fontId="69" fillId="0" borderId="0" xfId="511" applyNumberFormat="1" applyFont="1" applyAlignment="1">
      <alignment horizontal="left"/>
    </xf>
    <xf numFmtId="0" fontId="67" fillId="0" borderId="0" xfId="511" applyNumberFormat="1" applyFont="1" applyAlignment="1">
      <alignment horizontal="centerContinuous"/>
    </xf>
    <xf numFmtId="0" fontId="69" fillId="0" borderId="0" xfId="511" applyNumberFormat="1" applyFont="1" applyAlignment="1">
      <alignment horizontal="left"/>
    </xf>
    <xf numFmtId="37" fontId="55" fillId="0" borderId="0" xfId="509" applyFont="1" applyFill="1"/>
    <xf numFmtId="49" fontId="71" fillId="0" borderId="0" xfId="511" applyNumberFormat="1" applyFont="1"/>
    <xf numFmtId="0" fontId="25" fillId="0" borderId="0" xfId="511" applyNumberFormat="1" applyFont="1"/>
    <xf numFmtId="0" fontId="78" fillId="0" borderId="0" xfId="511" applyNumberFormat="1" applyFont="1"/>
    <xf numFmtId="0" fontId="25" fillId="0" borderId="0" xfId="511" applyNumberFormat="1" applyFont="1" applyAlignment="1">
      <alignment horizontal="center"/>
    </xf>
    <xf numFmtId="0" fontId="25" fillId="0" borderId="12" xfId="511" applyFont="1" applyBorder="1"/>
    <xf numFmtId="0" fontId="73" fillId="0" borderId="0" xfId="511" applyFont="1" applyAlignment="1">
      <alignment horizontal="left"/>
    </xf>
    <xf numFmtId="0" fontId="25" fillId="0" borderId="0" xfId="511" quotePrefix="1" applyFont="1"/>
    <xf numFmtId="0" fontId="73" fillId="0" borderId="0" xfId="511" applyFont="1"/>
    <xf numFmtId="0" fontId="13" fillId="0" borderId="0" xfId="511" applyFont="1"/>
    <xf numFmtId="165" fontId="13" fillId="0" borderId="0" xfId="7" applyNumberFormat="1" applyFont="1"/>
    <xf numFmtId="0" fontId="1" fillId="0" borderId="0" xfId="507"/>
    <xf numFmtId="0" fontId="25" fillId="3" borderId="0" xfId="511" applyFont="1" applyFill="1"/>
    <xf numFmtId="37" fontId="4" fillId="3" borderId="0" xfId="509" applyFont="1" applyFill="1" applyBorder="1"/>
    <xf numFmtId="37" fontId="4" fillId="3" borderId="0" xfId="509" applyFont="1" applyFill="1"/>
    <xf numFmtId="0" fontId="3" fillId="0" borderId="0" xfId="0" applyFont="1"/>
    <xf numFmtId="0" fontId="0" fillId="0" borderId="0" xfId="0" applyAlignment="1">
      <alignment horizontal="right"/>
    </xf>
    <xf numFmtId="0" fontId="22" fillId="23" borderId="0" xfId="104" applyFont="1"/>
    <xf numFmtId="0" fontId="80" fillId="0" borderId="0" xfId="0" applyFont="1" applyAlignment="1">
      <alignment horizontal="center"/>
    </xf>
    <xf numFmtId="0" fontId="3" fillId="0" borderId="12" xfId="0" applyFont="1" applyBorder="1" applyAlignment="1">
      <alignment horizontal="center" wrapText="1"/>
    </xf>
    <xf numFmtId="0" fontId="3" fillId="0" borderId="12" xfId="0" applyFont="1" applyFill="1" applyBorder="1" applyAlignment="1">
      <alignment horizontal="center" wrapText="1"/>
    </xf>
    <xf numFmtId="1" fontId="81" fillId="0" borderId="0" xfId="5" applyNumberFormat="1" applyFont="1" applyFill="1" applyBorder="1" applyAlignment="1">
      <alignment horizontal="right"/>
    </xf>
    <xf numFmtId="0" fontId="82" fillId="0" borderId="0" xfId="5" applyFont="1" applyBorder="1" applyAlignment="1">
      <alignment horizontal="right"/>
    </xf>
    <xf numFmtId="44" fontId="0" fillId="0" borderId="0" xfId="0" applyNumberFormat="1"/>
    <xf numFmtId="44" fontId="0" fillId="0" borderId="0" xfId="2" applyFont="1"/>
    <xf numFmtId="168" fontId="0" fillId="0" borderId="0" xfId="3" applyNumberFormat="1" applyFont="1"/>
    <xf numFmtId="0" fontId="81" fillId="0" borderId="0" xfId="5" applyFont="1" applyBorder="1" applyAlignment="1">
      <alignment horizontal="right"/>
    </xf>
    <xf numFmtId="0" fontId="0" fillId="0" borderId="12" xfId="0" applyBorder="1"/>
    <xf numFmtId="44" fontId="0" fillId="0" borderId="12" xfId="0" applyNumberFormat="1" applyBorder="1"/>
    <xf numFmtId="44" fontId="3" fillId="0" borderId="0" xfId="0" applyNumberFormat="1" applyFont="1"/>
    <xf numFmtId="44" fontId="0" fillId="0" borderId="12" xfId="2" applyFont="1" applyBorder="1"/>
    <xf numFmtId="1" fontId="0" fillId="0" borderId="0" xfId="0" applyNumberFormat="1"/>
    <xf numFmtId="0" fontId="0" fillId="0" borderId="0" xfId="0" applyAlignment="1">
      <alignment wrapText="1"/>
    </xf>
    <xf numFmtId="0" fontId="3" fillId="0" borderId="0" xfId="0" applyFont="1" applyBorder="1"/>
    <xf numFmtId="0" fontId="0" fillId="0" borderId="0" xfId="0" applyFont="1" applyBorder="1"/>
    <xf numFmtId="0" fontId="0" fillId="0" borderId="0" xfId="0" applyFont="1"/>
    <xf numFmtId="172" fontId="0" fillId="0" borderId="0" xfId="1" applyNumberFormat="1" applyFont="1"/>
    <xf numFmtId="0" fontId="3" fillId="0" borderId="0" xfId="0" applyFont="1" applyAlignment="1">
      <alignment horizontal="center"/>
    </xf>
    <xf numFmtId="44" fontId="3" fillId="0" borderId="0" xfId="2" applyFont="1"/>
    <xf numFmtId="172" fontId="0" fillId="0" borderId="0" xfId="1" applyNumberFormat="1" applyFont="1" applyBorder="1"/>
    <xf numFmtId="172" fontId="0" fillId="0" borderId="12" xfId="1" applyNumberFormat="1" applyFont="1" applyBorder="1"/>
    <xf numFmtId="173" fontId="0" fillId="0" borderId="0" xfId="0" applyNumberFormat="1" applyFont="1"/>
    <xf numFmtId="174" fontId="0" fillId="0" borderId="0" xfId="0" applyNumberFormat="1" applyFont="1"/>
    <xf numFmtId="0" fontId="83" fillId="0" borderId="0" xfId="0" applyFont="1" applyFill="1"/>
    <xf numFmtId="0" fontId="0" fillId="0" borderId="0" xfId="0" applyFill="1"/>
    <xf numFmtId="44" fontId="0" fillId="0" borderId="0" xfId="2" applyFont="1" applyFill="1"/>
    <xf numFmtId="164" fontId="0" fillId="0" borderId="0" xfId="0" applyNumberFormat="1"/>
    <xf numFmtId="44" fontId="0" fillId="0" borderId="0" xfId="0" applyNumberFormat="1" applyFill="1"/>
    <xf numFmtId="0" fontId="83" fillId="0" borderId="0" xfId="0" applyFont="1"/>
    <xf numFmtId="164" fontId="0" fillId="0" borderId="0" xfId="2" applyNumberFormat="1" applyFont="1"/>
    <xf numFmtId="10" fontId="0" fillId="0" borderId="12" xfId="0" applyNumberFormat="1" applyFill="1" applyBorder="1"/>
    <xf numFmtId="0" fontId="3" fillId="0" borderId="0" xfId="0" applyFont="1" applyAlignment="1">
      <alignment horizontal="right"/>
    </xf>
    <xf numFmtId="164" fontId="3" fillId="0" borderId="0" xfId="0" applyNumberFormat="1" applyFont="1"/>
    <xf numFmtId="0" fontId="80" fillId="0" borderId="0" xfId="0" applyFont="1" applyAlignment="1">
      <alignment horizontal="left"/>
    </xf>
    <xf numFmtId="0" fontId="3" fillId="0" borderId="12" xfId="0" applyFont="1" applyBorder="1" applyAlignment="1">
      <alignment horizontal="center"/>
    </xf>
    <xf numFmtId="43" fontId="0" fillId="0" borderId="0" xfId="1" quotePrefix="1" applyFont="1" applyBorder="1"/>
    <xf numFmtId="164" fontId="0" fillId="0" borderId="12" xfId="2" applyNumberFormat="1" applyFont="1" applyBorder="1"/>
    <xf numFmtId="164" fontId="3" fillId="0" borderId="0" xfId="2" applyNumberFormat="1" applyFont="1"/>
    <xf numFmtId="43" fontId="0" fillId="0" borderId="0" xfId="1" applyFont="1"/>
    <xf numFmtId="0" fontId="83" fillId="0" borderId="0" xfId="0" applyFont="1" applyAlignment="1">
      <alignment horizontal="center"/>
    </xf>
    <xf numFmtId="0" fontId="3" fillId="0" borderId="0" xfId="0" applyFont="1" applyFill="1" applyAlignment="1">
      <alignment horizontal="right"/>
    </xf>
    <xf numFmtId="44" fontId="3" fillId="0" borderId="0" xfId="0" applyNumberFormat="1" applyFont="1" applyFill="1"/>
    <xf numFmtId="173" fontId="0" fillId="0" borderId="12" xfId="3" applyNumberFormat="1" applyFont="1" applyBorder="1"/>
    <xf numFmtId="0" fontId="0" fillId="0" borderId="0" xfId="0" quotePrefix="1"/>
    <xf numFmtId="9" fontId="0" fillId="0" borderId="0" xfId="3" applyFont="1"/>
    <xf numFmtId="0" fontId="82" fillId="0" borderId="0" xfId="5" applyFont="1" applyBorder="1"/>
    <xf numFmtId="3" fontId="82" fillId="0" borderId="0" xfId="508" applyNumberFormat="1" applyFont="1" applyFill="1" applyBorder="1" applyAlignment="1">
      <alignment horizontal="center"/>
    </xf>
    <xf numFmtId="3" fontId="84" fillId="0" borderId="0" xfId="508" applyNumberFormat="1" applyFont="1" applyBorder="1"/>
    <xf numFmtId="0" fontId="1" fillId="0" borderId="0" xfId="0" applyFont="1"/>
    <xf numFmtId="0" fontId="82" fillId="0" borderId="0" xfId="5" applyFont="1" applyFill="1" applyBorder="1"/>
    <xf numFmtId="10" fontId="3" fillId="0" borderId="0" xfId="3" applyNumberFormat="1" applyFont="1"/>
    <xf numFmtId="0" fontId="84" fillId="0" borderId="0" xfId="508" applyFont="1" applyBorder="1"/>
    <xf numFmtId="3" fontId="84" fillId="0" borderId="0" xfId="135" applyNumberFormat="1" applyFont="1" applyFill="1" applyBorder="1"/>
    <xf numFmtId="3" fontId="84" fillId="0" borderId="0" xfId="508" applyNumberFormat="1" applyFont="1" applyFill="1" applyBorder="1"/>
    <xf numFmtId="0" fontId="81" fillId="0" borderId="0" xfId="5" applyFont="1" applyBorder="1"/>
    <xf numFmtId="3" fontId="81" fillId="0" borderId="0" xfId="5" applyNumberFormat="1" applyFont="1" applyBorder="1"/>
    <xf numFmtId="3" fontId="82" fillId="0" borderId="0" xfId="135" applyNumberFormat="1" applyFont="1" applyBorder="1"/>
    <xf numFmtId="3" fontId="81" fillId="0" borderId="0" xfId="135" applyNumberFormat="1" applyFont="1" applyBorder="1"/>
    <xf numFmtId="37" fontId="84" fillId="0" borderId="0" xfId="135" applyNumberFormat="1" applyFont="1" applyFill="1" applyBorder="1"/>
    <xf numFmtId="37" fontId="82" fillId="0" borderId="0" xfId="135" applyNumberFormat="1" applyFont="1" applyBorder="1"/>
    <xf numFmtId="3" fontId="85" fillId="0" borderId="0" xfId="5" applyNumberFormat="1" applyFont="1" applyBorder="1"/>
    <xf numFmtId="0" fontId="82" fillId="0" borderId="0" xfId="508" applyFont="1" applyBorder="1"/>
    <xf numFmtId="3" fontId="82" fillId="0" borderId="0" xfId="508" quotePrefix="1" applyNumberFormat="1" applyFont="1" applyBorder="1"/>
    <xf numFmtId="1" fontId="3" fillId="0" borderId="0" xfId="0" applyNumberFormat="1" applyFont="1"/>
    <xf numFmtId="0" fontId="81" fillId="0" borderId="0" xfId="0" applyFont="1"/>
    <xf numFmtId="0" fontId="82" fillId="0" borderId="0" xfId="0" applyFont="1"/>
    <xf numFmtId="0" fontId="81" fillId="48" borderId="0" xfId="0" applyFont="1" applyFill="1"/>
    <xf numFmtId="0" fontId="81" fillId="0" borderId="0" xfId="510" applyFont="1" applyFill="1"/>
    <xf numFmtId="0" fontId="90" fillId="46" borderId="34" xfId="510" applyFont="1" applyFill="1" applyBorder="1"/>
    <xf numFmtId="0" fontId="81" fillId="0" borderId="0" xfId="510" applyNumberFormat="1" applyFont="1"/>
    <xf numFmtId="165" fontId="0" fillId="0" borderId="0" xfId="1" applyNumberFormat="1" applyFont="1"/>
    <xf numFmtId="10" fontId="0" fillId="0" borderId="0" xfId="0" applyNumberFormat="1" applyFont="1" applyBorder="1"/>
    <xf numFmtId="10" fontId="0" fillId="0" borderId="0" xfId="0" applyNumberFormat="1" applyFont="1"/>
    <xf numFmtId="44" fontId="3" fillId="0" borderId="12" xfId="0" applyNumberFormat="1" applyFont="1" applyBorder="1"/>
    <xf numFmtId="164" fontId="0" fillId="0" borderId="0" xfId="2" applyNumberFormat="1" applyFont="1" applyBorder="1"/>
    <xf numFmtId="0" fontId="4" fillId="49" borderId="0" xfId="291" applyFill="1"/>
    <xf numFmtId="0" fontId="4" fillId="0" borderId="0" xfId="291"/>
    <xf numFmtId="0" fontId="4" fillId="0" borderId="0" xfId="291" applyFont="1"/>
    <xf numFmtId="0" fontId="72" fillId="0" borderId="0" xfId="291" applyFont="1"/>
    <xf numFmtId="0" fontId="4" fillId="0" borderId="0" xfId="291" applyAlignment="1">
      <alignment horizontal="right"/>
    </xf>
    <xf numFmtId="0" fontId="4" fillId="0" borderId="0" xfId="291" applyAlignment="1">
      <alignment horizontal="left"/>
    </xf>
    <xf numFmtId="0" fontId="94" fillId="0" borderId="0" xfId="291" applyFont="1"/>
    <xf numFmtId="0" fontId="95" fillId="0" borderId="0" xfId="291" applyFont="1"/>
    <xf numFmtId="0" fontId="96" fillId="0" borderId="0" xfId="291" applyFont="1" applyAlignment="1">
      <alignment horizontal="right" vertical="top"/>
    </xf>
    <xf numFmtId="0" fontId="97" fillId="0" borderId="0" xfId="291" applyFont="1"/>
    <xf numFmtId="0" fontId="72" fillId="49" borderId="12" xfId="291" applyFont="1" applyFill="1" applyBorder="1" applyAlignment="1">
      <alignment horizontal="centerContinuous"/>
    </xf>
    <xf numFmtId="0" fontId="72" fillId="46" borderId="12" xfId="291" applyFont="1" applyFill="1" applyBorder="1" applyAlignment="1">
      <alignment horizontal="centerContinuous"/>
    </xf>
    <xf numFmtId="0" fontId="4" fillId="46" borderId="12" xfId="291" applyFill="1" applyBorder="1" applyAlignment="1">
      <alignment horizontal="centerContinuous"/>
    </xf>
    <xf numFmtId="0" fontId="72" fillId="0" borderId="0" xfId="291" applyFont="1" applyAlignment="1">
      <alignment horizontal="right"/>
    </xf>
    <xf numFmtId="49" fontId="98" fillId="0" borderId="0" xfId="291" applyNumberFormat="1" applyFont="1" applyAlignment="1">
      <alignment horizontal="left"/>
    </xf>
    <xf numFmtId="0" fontId="4" fillId="0" borderId="0" xfId="291" applyFont="1" applyAlignment="1">
      <alignment horizontal="right"/>
    </xf>
    <xf numFmtId="0" fontId="98" fillId="0" borderId="0" xfId="291" applyFont="1"/>
    <xf numFmtId="39" fontId="98" fillId="0" borderId="0" xfId="132" applyNumberFormat="1" applyFont="1" applyAlignment="1">
      <alignment horizontal="left"/>
    </xf>
    <xf numFmtId="0" fontId="4" fillId="0" borderId="0" xfId="291" applyAlignment="1"/>
    <xf numFmtId="0" fontId="98" fillId="0" borderId="0" xfId="291" applyFont="1" applyAlignment="1">
      <alignment horizontal="left"/>
    </xf>
    <xf numFmtId="0" fontId="72" fillId="42" borderId="0" xfId="291" applyFont="1" applyFill="1"/>
    <xf numFmtId="0" fontId="4" fillId="42" borderId="0" xfId="291" applyFill="1"/>
    <xf numFmtId="40" fontId="72" fillId="42" borderId="0" xfId="132" applyNumberFormat="1" applyFont="1" applyFill="1"/>
    <xf numFmtId="0" fontId="4" fillId="0" borderId="0" xfId="291" applyAlignment="1">
      <alignment horizontal="left" indent="1"/>
    </xf>
    <xf numFmtId="38" fontId="72" fillId="42" borderId="0" xfId="132" applyNumberFormat="1" applyFont="1" applyFill="1"/>
    <xf numFmtId="0" fontId="4" fillId="0" borderId="0" xfId="291" applyNumberFormat="1" applyAlignment="1">
      <alignment horizontal="left"/>
    </xf>
    <xf numFmtId="177" fontId="4" fillId="0" borderId="0" xfId="291" applyNumberFormat="1"/>
    <xf numFmtId="0" fontId="4" fillId="46" borderId="6" xfId="291" applyFont="1" applyFill="1" applyBorder="1" applyAlignment="1">
      <alignment horizontal="centerContinuous"/>
    </xf>
    <xf numFmtId="0" fontId="4" fillId="46" borderId="7" xfId="291" applyFont="1" applyFill="1" applyBorder="1" applyAlignment="1">
      <alignment horizontal="centerContinuous"/>
    </xf>
    <xf numFmtId="0" fontId="4" fillId="46" borderId="46" xfId="291" applyFont="1" applyFill="1" applyBorder="1" applyAlignment="1">
      <alignment horizontal="centerContinuous"/>
    </xf>
    <xf numFmtId="0" fontId="4" fillId="0" borderId="0" xfId="291" applyAlignment="1">
      <alignment vertical="top"/>
    </xf>
    <xf numFmtId="0" fontId="4" fillId="42" borderId="29" xfId="291" applyFill="1" applyBorder="1" applyAlignment="1">
      <alignment vertical="top"/>
    </xf>
    <xf numFmtId="0" fontId="4" fillId="42" borderId="29" xfId="291" applyFill="1" applyBorder="1" applyAlignment="1">
      <alignment horizontal="center" vertical="top"/>
    </xf>
    <xf numFmtId="0" fontId="72" fillId="42" borderId="29" xfId="291" applyFont="1" applyFill="1" applyBorder="1" applyAlignment="1">
      <alignment horizontal="center" vertical="top" wrapText="1"/>
    </xf>
    <xf numFmtId="0" fontId="99" fillId="42" borderId="29" xfId="291" applyFont="1" applyFill="1" applyBorder="1" applyAlignment="1">
      <alignment vertical="top"/>
    </xf>
    <xf numFmtId="177" fontId="4" fillId="42" borderId="29" xfId="291" applyNumberFormat="1" applyFill="1" applyBorder="1" applyAlignment="1">
      <alignment vertical="top"/>
    </xf>
    <xf numFmtId="0" fontId="4" fillId="42" borderId="29" xfId="291" applyFill="1" applyBorder="1" applyAlignment="1">
      <alignment horizontal="left" vertical="top" wrapText="1"/>
    </xf>
    <xf numFmtId="0" fontId="4" fillId="42" borderId="47" xfId="291" applyFont="1" applyFill="1" applyBorder="1" applyAlignment="1">
      <alignment horizontal="center" vertical="top"/>
    </xf>
    <xf numFmtId="14" fontId="4" fillId="0" borderId="0" xfId="291" applyNumberFormat="1"/>
    <xf numFmtId="40" fontId="72" fillId="0" borderId="0" xfId="291" applyNumberFormat="1" applyFont="1"/>
    <xf numFmtId="40" fontId="72" fillId="0" borderId="0" xfId="291" applyNumberFormat="1" applyFont="1" applyAlignment="1">
      <alignment horizontal="center"/>
    </xf>
    <xf numFmtId="0" fontId="4" fillId="0" borderId="0" xfId="291" applyAlignment="1">
      <alignment horizontal="center"/>
    </xf>
    <xf numFmtId="17" fontId="4" fillId="0" borderId="0" xfId="291" applyNumberFormat="1" applyAlignment="1">
      <alignment horizontal="left"/>
    </xf>
    <xf numFmtId="14" fontId="4" fillId="0" borderId="0" xfId="291" applyNumberFormat="1" applyAlignment="1">
      <alignment horizontal="left"/>
    </xf>
    <xf numFmtId="40" fontId="4" fillId="0" borderId="0" xfId="132" applyNumberFormat="1"/>
    <xf numFmtId="0" fontId="4" fillId="0" borderId="44" xfId="291" applyBorder="1"/>
    <xf numFmtId="40" fontId="4" fillId="0" borderId="44" xfId="132" applyNumberFormat="1" applyBorder="1"/>
    <xf numFmtId="0" fontId="4" fillId="0" borderId="44" xfId="291" applyBorder="1" applyAlignment="1">
      <alignment horizontal="right"/>
    </xf>
    <xf numFmtId="0" fontId="4" fillId="0" borderId="0" xfId="291" applyBorder="1"/>
    <xf numFmtId="43" fontId="4" fillId="0" borderId="0" xfId="291" applyNumberFormat="1"/>
    <xf numFmtId="0" fontId="4" fillId="8" borderId="0" xfId="291" applyFont="1" applyFill="1"/>
    <xf numFmtId="0" fontId="4" fillId="0" borderId="0" xfId="291" applyFont="1" applyFill="1"/>
    <xf numFmtId="0" fontId="72" fillId="50" borderId="48" xfId="291" applyNumberFormat="1" applyFont="1" applyFill="1" applyBorder="1" applyAlignment="1"/>
    <xf numFmtId="0" fontId="101" fillId="50" borderId="48" xfId="291" applyFont="1" applyFill="1" applyBorder="1"/>
    <xf numFmtId="0" fontId="101" fillId="50" borderId="48" xfId="291" applyFont="1" applyFill="1" applyBorder="1" applyAlignment="1">
      <alignment horizontal="center"/>
    </xf>
    <xf numFmtId="43" fontId="101" fillId="50" borderId="49" xfId="291" applyNumberFormat="1" applyFont="1" applyFill="1" applyBorder="1"/>
    <xf numFmtId="44" fontId="72" fillId="0" borderId="0" xfId="200" applyFont="1"/>
    <xf numFmtId="43" fontId="72" fillId="50" borderId="49" xfId="291" applyNumberFormat="1" applyFont="1" applyFill="1" applyBorder="1" applyAlignment="1"/>
    <xf numFmtId="44" fontId="0" fillId="0" borderId="0" xfId="0" applyNumberFormat="1" applyBorder="1"/>
    <xf numFmtId="44" fontId="72" fillId="0" borderId="0" xfId="2" applyFont="1"/>
    <xf numFmtId="164" fontId="0" fillId="0" borderId="0" xfId="2" applyNumberFormat="1" applyFont="1" applyFill="1"/>
    <xf numFmtId="17" fontId="4" fillId="0" borderId="0" xfId="509" applyNumberFormat="1" applyFont="1" applyFill="1"/>
    <xf numFmtId="0" fontId="28" fillId="0" borderId="0" xfId="511" applyFont="1"/>
    <xf numFmtId="37" fontId="102" fillId="45" borderId="0" xfId="509" applyFont="1" applyFill="1"/>
    <xf numFmtId="37" fontId="102" fillId="0" borderId="0" xfId="509" applyFont="1" applyFill="1"/>
    <xf numFmtId="0" fontId="28" fillId="0" borderId="0" xfId="511" applyFont="1" applyAlignment="1">
      <alignment horizontal="left"/>
    </xf>
    <xf numFmtId="0" fontId="28" fillId="0" borderId="0" xfId="511" quotePrefix="1" applyFont="1" applyAlignment="1">
      <alignment horizontal="left"/>
    </xf>
    <xf numFmtId="165" fontId="28" fillId="45" borderId="0" xfId="7" applyNumberFormat="1" applyFont="1" applyFill="1"/>
    <xf numFmtId="165" fontId="28" fillId="0" borderId="0" xfId="7" applyNumberFormat="1" applyFont="1" applyFill="1"/>
    <xf numFmtId="14" fontId="103" fillId="0" borderId="0" xfId="509" applyNumberFormat="1" applyFont="1" applyFill="1"/>
    <xf numFmtId="0" fontId="104" fillId="0" borderId="0" xfId="511" applyNumberFormat="1" applyFont="1"/>
    <xf numFmtId="0" fontId="76" fillId="0" borderId="0" xfId="511" applyNumberFormat="1" applyFont="1"/>
    <xf numFmtId="0" fontId="28" fillId="0" borderId="0" xfId="511" applyNumberFormat="1" applyFont="1" applyAlignment="1">
      <alignment horizontal="center"/>
    </xf>
    <xf numFmtId="0" fontId="67" fillId="0" borderId="0" xfId="511" applyNumberFormat="1" applyFont="1" applyAlignment="1">
      <alignment horizontal="center"/>
    </xf>
    <xf numFmtId="170" fontId="105" fillId="0" borderId="0" xfId="511" quotePrefix="1" applyNumberFormat="1" applyFont="1" applyAlignment="1">
      <alignment horizontal="left"/>
    </xf>
    <xf numFmtId="0" fontId="28" fillId="0" borderId="0" xfId="511" applyNumberFormat="1" applyFont="1"/>
    <xf numFmtId="0" fontId="106" fillId="45" borderId="12" xfId="511" applyNumberFormat="1" applyFont="1" applyFill="1" applyBorder="1" applyAlignment="1">
      <alignment horizontal="centerContinuous"/>
    </xf>
    <xf numFmtId="165" fontId="102" fillId="46" borderId="0" xfId="7" applyNumberFormat="1" applyFont="1" applyFill="1" applyBorder="1" applyAlignment="1">
      <alignment horizontal="centerContinuous"/>
    </xf>
    <xf numFmtId="165" fontId="107" fillId="0" borderId="12" xfId="7" applyNumberFormat="1" applyFont="1" applyBorder="1" applyAlignment="1">
      <alignment horizontal="centerContinuous"/>
    </xf>
    <xf numFmtId="0" fontId="28" fillId="0" borderId="12" xfId="511" applyNumberFormat="1" applyFont="1" applyBorder="1" applyAlignment="1">
      <alignment horizontal="centerContinuous"/>
    </xf>
    <xf numFmtId="165" fontId="107" fillId="46" borderId="0" xfId="7" applyNumberFormat="1" applyFont="1" applyFill="1" applyBorder="1" applyAlignment="1">
      <alignment horizontal="centerContinuous"/>
    </xf>
    <xf numFmtId="165" fontId="102" fillId="0" borderId="0" xfId="511" applyNumberFormat="1" applyFont="1" applyAlignment="1">
      <alignment horizontal="center"/>
    </xf>
    <xf numFmtId="165" fontId="107" fillId="46" borderId="0" xfId="511" applyNumberFormat="1" applyFont="1" applyFill="1" applyAlignment="1">
      <alignment horizontal="center"/>
    </xf>
    <xf numFmtId="0" fontId="106" fillId="0" borderId="0" xfId="511" applyNumberFormat="1" applyFont="1" applyAlignment="1">
      <alignment horizontal="center"/>
    </xf>
    <xf numFmtId="165" fontId="107" fillId="46" borderId="29" xfId="7" applyNumberFormat="1" applyFont="1" applyFill="1" applyBorder="1" applyAlignment="1">
      <alignment horizontal="centerContinuous"/>
    </xf>
    <xf numFmtId="165" fontId="107" fillId="0" borderId="29" xfId="7" applyNumberFormat="1" applyFont="1" applyBorder="1" applyAlignment="1">
      <alignment horizontal="centerContinuous"/>
    </xf>
    <xf numFmtId="17" fontId="106" fillId="0" borderId="29" xfId="511" applyNumberFormat="1" applyFont="1" applyBorder="1" applyAlignment="1">
      <alignment horizontal="center"/>
    </xf>
    <xf numFmtId="0" fontId="108" fillId="0" borderId="0" xfId="511" applyNumberFormat="1" applyFont="1"/>
    <xf numFmtId="37" fontId="102" fillId="0" borderId="0" xfId="509" applyFont="1" applyFill="1" applyBorder="1"/>
    <xf numFmtId="0" fontId="28" fillId="0" borderId="12" xfId="511" applyFont="1" applyBorder="1"/>
    <xf numFmtId="165" fontId="28" fillId="42" borderId="0" xfId="7" applyNumberFormat="1" applyFont="1" applyFill="1" applyBorder="1"/>
    <xf numFmtId="165" fontId="28" fillId="0" borderId="0" xfId="7" applyNumberFormat="1" applyFont="1" applyFill="1" applyBorder="1"/>
    <xf numFmtId="165" fontId="28" fillId="0" borderId="12" xfId="7" applyNumberFormat="1" applyFont="1" applyBorder="1"/>
    <xf numFmtId="165" fontId="28" fillId="0" borderId="12" xfId="7" applyNumberFormat="1" applyFont="1" applyFill="1" applyBorder="1"/>
    <xf numFmtId="0" fontId="28" fillId="0" borderId="0" xfId="511" applyFont="1" applyBorder="1"/>
    <xf numFmtId="165" fontId="28" fillId="0" borderId="0" xfId="7" applyNumberFormat="1" applyFont="1"/>
    <xf numFmtId="0" fontId="106" fillId="0" borderId="0" xfId="511" applyFont="1" applyAlignment="1">
      <alignment horizontal="left"/>
    </xf>
    <xf numFmtId="165" fontId="28" fillId="42" borderId="7" xfId="7" applyNumberFormat="1" applyFont="1" applyFill="1" applyBorder="1"/>
    <xf numFmtId="165" fontId="28" fillId="0" borderId="7" xfId="7" applyNumberFormat="1" applyFont="1" applyFill="1" applyBorder="1"/>
    <xf numFmtId="0" fontId="28" fillId="0" borderId="0" xfId="511" quotePrefix="1" applyFont="1"/>
    <xf numFmtId="0" fontId="28" fillId="0" borderId="0" xfId="511" applyFont="1" applyFill="1"/>
    <xf numFmtId="0" fontId="106" fillId="0" borderId="0" xfId="511" applyFont="1"/>
    <xf numFmtId="165" fontId="28" fillId="42" borderId="8" xfId="7" applyNumberFormat="1" applyFont="1" applyFill="1" applyBorder="1"/>
    <xf numFmtId="165" fontId="28" fillId="0" borderId="8" xfId="7" applyNumberFormat="1" applyFont="1" applyFill="1" applyBorder="1"/>
    <xf numFmtId="0" fontId="102" fillId="0" borderId="0" xfId="5" applyFont="1"/>
    <xf numFmtId="0" fontId="102" fillId="0" borderId="0" xfId="5" applyFont="1" applyFill="1"/>
    <xf numFmtId="165" fontId="102" fillId="0" borderId="0" xfId="167" applyNumberFormat="1" applyFont="1" applyFill="1"/>
    <xf numFmtId="165" fontId="4" fillId="0" borderId="0" xfId="167" applyNumberFormat="1" applyFont="1" applyFill="1"/>
    <xf numFmtId="165" fontId="102" fillId="0" borderId="0" xfId="7" applyNumberFormat="1" applyFont="1" applyFill="1"/>
    <xf numFmtId="165" fontId="28" fillId="3" borderId="0" xfId="7" applyNumberFormat="1" applyFont="1" applyFill="1" applyBorder="1"/>
    <xf numFmtId="0" fontId="28" fillId="3" borderId="0" xfId="511" applyFont="1" applyFill="1"/>
    <xf numFmtId="0" fontId="4" fillId="0" borderId="0" xfId="5" applyFont="1" applyFill="1"/>
    <xf numFmtId="37" fontId="102" fillId="3" borderId="0" xfId="509" applyFont="1" applyFill="1" applyBorder="1"/>
    <xf numFmtId="37" fontId="102" fillId="3" borderId="0" xfId="509" applyFont="1" applyFill="1"/>
    <xf numFmtId="0" fontId="109" fillId="23" borderId="0" xfId="104" applyFont="1"/>
    <xf numFmtId="0" fontId="3" fillId="0" borderId="0" xfId="0" applyFont="1" applyFill="1" applyAlignment="1">
      <alignment horizontal="center"/>
    </xf>
    <xf numFmtId="0" fontId="0" fillId="0" borderId="0" xfId="0" applyAlignment="1">
      <alignment horizontal="center"/>
    </xf>
    <xf numFmtId="0" fontId="3" fillId="51" borderId="12" xfId="0" applyFont="1" applyFill="1" applyBorder="1" applyAlignment="1">
      <alignment horizontal="center"/>
    </xf>
    <xf numFmtId="0" fontId="3" fillId="51" borderId="6" xfId="0" applyFont="1" applyFill="1" applyBorder="1" applyAlignment="1">
      <alignment horizontal="center"/>
    </xf>
    <xf numFmtId="0" fontId="3" fillId="51" borderId="7" xfId="0" applyFont="1" applyFill="1" applyBorder="1" applyAlignment="1">
      <alignment horizontal="center"/>
    </xf>
    <xf numFmtId="0" fontId="3" fillId="0" borderId="0" xfId="0" applyFont="1" applyFill="1" applyBorder="1"/>
    <xf numFmtId="0" fontId="44" fillId="0" borderId="0" xfId="269" applyAlignment="1" applyProtection="1"/>
    <xf numFmtId="0" fontId="0" fillId="0" borderId="0" xfId="0" applyFill="1" applyBorder="1"/>
    <xf numFmtId="0" fontId="0" fillId="0" borderId="0" xfId="0" applyAlignment="1"/>
    <xf numFmtId="0" fontId="0" fillId="0" borderId="0" xfId="0" applyFill="1" applyBorder="1" applyAlignment="1"/>
    <xf numFmtId="0" fontId="0" fillId="0" borderId="0" xfId="0" applyFill="1" applyBorder="1" applyAlignment="1">
      <alignment horizontal="center"/>
    </xf>
    <xf numFmtId="175" fontId="0" fillId="0" borderId="0" xfId="0" applyNumberFormat="1"/>
    <xf numFmtId="165" fontId="0" fillId="0" borderId="0" xfId="1" applyNumberFormat="1" applyFont="1" applyFill="1" applyBorder="1"/>
    <xf numFmtId="175" fontId="0" fillId="0" borderId="0" xfId="0" applyNumberFormat="1" applyFont="1"/>
    <xf numFmtId="16" fontId="0" fillId="0" borderId="0" xfId="0" applyNumberFormat="1"/>
    <xf numFmtId="165" fontId="0" fillId="0" borderId="0" xfId="1" applyNumberFormat="1" applyFont="1" applyFill="1"/>
    <xf numFmtId="164" fontId="0" fillId="0" borderId="0" xfId="2" applyNumberFormat="1" applyFont="1" applyFill="1" applyBorder="1"/>
    <xf numFmtId="165" fontId="0" fillId="0" borderId="0" xfId="0" applyNumberFormat="1"/>
    <xf numFmtId="0" fontId="0" fillId="0" borderId="0" xfId="0" applyFill="1" applyAlignment="1">
      <alignment horizontal="center"/>
    </xf>
    <xf numFmtId="17" fontId="0" fillId="0" borderId="0" xfId="0" applyNumberFormat="1" applyFill="1"/>
    <xf numFmtId="0" fontId="0" fillId="0" borderId="12" xfId="0" applyFill="1" applyBorder="1"/>
    <xf numFmtId="0" fontId="3" fillId="0" borderId="0" xfId="0" applyFont="1" applyFill="1"/>
    <xf numFmtId="0" fontId="110" fillId="0" borderId="0" xfId="0" applyFont="1"/>
    <xf numFmtId="44" fontId="0" fillId="0" borderId="0" xfId="2" applyFont="1" applyFill="1" applyBorder="1"/>
    <xf numFmtId="0" fontId="0" fillId="43" borderId="36" xfId="0" applyFill="1" applyBorder="1" applyAlignment="1">
      <alignment horizontal="center" wrapText="1"/>
    </xf>
    <xf numFmtId="0" fontId="0" fillId="0" borderId="36" xfId="0" applyFill="1" applyBorder="1" applyAlignment="1">
      <alignment horizontal="center" wrapText="1"/>
    </xf>
    <xf numFmtId="0" fontId="0" fillId="52" borderId="36" xfId="0" applyFill="1" applyBorder="1" applyAlignment="1">
      <alignment horizontal="center" wrapText="1"/>
    </xf>
    <xf numFmtId="16" fontId="3" fillId="0" borderId="0" xfId="0" applyNumberFormat="1" applyFont="1" applyAlignment="1">
      <alignment horizontal="right"/>
    </xf>
    <xf numFmtId="165" fontId="0" fillId="0" borderId="12" xfId="1" applyNumberFormat="1" applyFont="1" applyFill="1" applyBorder="1"/>
    <xf numFmtId="164" fontId="0" fillId="0" borderId="12" xfId="2" applyNumberFormat="1" applyFont="1" applyFill="1" applyBorder="1"/>
    <xf numFmtId="165" fontId="3" fillId="0" borderId="0" xfId="1" applyNumberFormat="1" applyFont="1" applyFill="1"/>
    <xf numFmtId="164" fontId="3" fillId="0" borderId="0" xfId="2" applyNumberFormat="1" applyFont="1" applyFill="1"/>
    <xf numFmtId="165" fontId="3" fillId="0" borderId="0" xfId="1" applyNumberFormat="1" applyFont="1" applyFill="1" applyBorder="1"/>
    <xf numFmtId="0" fontId="83" fillId="0" borderId="0" xfId="0" applyFont="1" applyFill="1" applyAlignment="1">
      <alignment horizontal="center"/>
    </xf>
    <xf numFmtId="0" fontId="0" fillId="0" borderId="0" xfId="0" applyBorder="1"/>
    <xf numFmtId="44" fontId="0" fillId="0" borderId="12" xfId="2" applyFont="1" applyFill="1" applyBorder="1"/>
    <xf numFmtId="44" fontId="3" fillId="0" borderId="0" xfId="2" applyFont="1" applyFill="1"/>
    <xf numFmtId="0" fontId="80" fillId="0" borderId="0" xfId="0" applyFont="1"/>
    <xf numFmtId="164" fontId="80" fillId="0" borderId="0" xfId="2" applyNumberFormat="1" applyFont="1"/>
    <xf numFmtId="10" fontId="0" fillId="0" borderId="0" xfId="3" applyNumberFormat="1" applyFont="1"/>
    <xf numFmtId="165" fontId="0" fillId="0" borderId="0" xfId="0" applyNumberFormat="1" applyFill="1"/>
    <xf numFmtId="0" fontId="3" fillId="0" borderId="0" xfId="0" applyFont="1" applyFill="1" applyBorder="1" applyAlignment="1">
      <alignment horizontal="center"/>
    </xf>
    <xf numFmtId="44" fontId="0" fillId="0" borderId="0" xfId="2" applyFont="1" applyBorder="1"/>
    <xf numFmtId="44" fontId="3" fillId="0" borderId="0" xfId="2" applyFont="1" applyBorder="1"/>
    <xf numFmtId="1" fontId="13" fillId="0" borderId="0" xfId="8" quotePrefix="1" applyNumberFormat="1" applyFont="1" applyFill="1" applyBorder="1" applyAlignment="1">
      <alignment horizontal="right"/>
    </xf>
    <xf numFmtId="165" fontId="5" fillId="0" borderId="0" xfId="1" applyNumberFormat="1" applyFont="1" applyFill="1" applyBorder="1" applyAlignment="1">
      <alignment horizontal="center"/>
    </xf>
    <xf numFmtId="0" fontId="3" fillId="0" borderId="0" xfId="0" applyFont="1" applyBorder="1" applyAlignment="1">
      <alignment horizontal="center"/>
    </xf>
    <xf numFmtId="164" fontId="3" fillId="0" borderId="0" xfId="0" applyNumberFormat="1" applyFont="1" applyFill="1"/>
    <xf numFmtId="0" fontId="111" fillId="3" borderId="0" xfId="0" applyFont="1" applyFill="1"/>
    <xf numFmtId="0" fontId="112" fillId="3" borderId="0" xfId="0" applyFont="1" applyFill="1"/>
    <xf numFmtId="0" fontId="111" fillId="3" borderId="0" xfId="0" applyFont="1" applyFill="1" applyAlignment="1"/>
    <xf numFmtId="0" fontId="111" fillId="3" borderId="0" xfId="0" applyFont="1" applyFill="1" applyAlignment="1">
      <alignment horizontal="center"/>
    </xf>
    <xf numFmtId="0" fontId="111" fillId="3" borderId="0" xfId="0" applyNumberFormat="1" applyFont="1" applyFill="1"/>
    <xf numFmtId="178" fontId="111" fillId="3" borderId="0" xfId="0" applyNumberFormat="1" applyFont="1" applyFill="1" applyAlignment="1"/>
    <xf numFmtId="3" fontId="111" fillId="3" borderId="0" xfId="0" applyNumberFormat="1" applyFont="1" applyFill="1" applyAlignment="1"/>
    <xf numFmtId="0" fontId="111" fillId="3" borderId="0" xfId="0" applyNumberFormat="1" applyFont="1" applyFill="1" applyAlignment="1"/>
    <xf numFmtId="10" fontId="111" fillId="3" borderId="0" xfId="0" applyNumberFormat="1" applyFont="1" applyFill="1"/>
    <xf numFmtId="3" fontId="111" fillId="3" borderId="0" xfId="0" applyNumberFormat="1" applyFont="1" applyFill="1"/>
    <xf numFmtId="4" fontId="111" fillId="3" borderId="0" xfId="0" applyNumberFormat="1" applyFont="1" applyFill="1"/>
    <xf numFmtId="179" fontId="111" fillId="3" borderId="0" xfId="0" applyNumberFormat="1" applyFont="1" applyFill="1"/>
    <xf numFmtId="1" fontId="111" fillId="3" borderId="0" xfId="0" applyNumberFormat="1" applyFont="1" applyFill="1" applyAlignment="1"/>
    <xf numFmtId="10" fontId="111" fillId="3" borderId="0" xfId="536" applyNumberFormat="1" applyFont="1" applyFill="1" applyAlignment="1"/>
    <xf numFmtId="0" fontId="111" fillId="3" borderId="0" xfId="0" applyNumberFormat="1" applyFont="1" applyFill="1" applyAlignment="1">
      <alignment horizontal="right"/>
    </xf>
    <xf numFmtId="10" fontId="111" fillId="3" borderId="0" xfId="3" applyNumberFormat="1" applyFont="1" applyFill="1" applyAlignment="1"/>
    <xf numFmtId="0" fontId="111" fillId="3" borderId="0" xfId="0" applyNumberFormat="1" applyFont="1" applyFill="1" applyAlignment="1">
      <alignment horizontal="center"/>
    </xf>
    <xf numFmtId="180" fontId="111" fillId="3" borderId="0" xfId="0" applyNumberFormat="1" applyFont="1" applyFill="1"/>
    <xf numFmtId="178" fontId="113" fillId="3" borderId="0" xfId="0" applyNumberFormat="1" applyFont="1" applyFill="1" applyAlignment="1"/>
    <xf numFmtId="0" fontId="111" fillId="3" borderId="0" xfId="0" applyNumberFormat="1" applyFont="1" applyFill="1" applyAlignment="1">
      <alignment horizontal="fill"/>
    </xf>
    <xf numFmtId="181" fontId="111" fillId="3" borderId="0" xfId="0" applyNumberFormat="1" applyFont="1" applyFill="1"/>
    <xf numFmtId="0" fontId="113" fillId="3" borderId="0" xfId="0" applyFont="1" applyFill="1" applyAlignment="1">
      <alignment horizontal="center"/>
    </xf>
    <xf numFmtId="165" fontId="111" fillId="3" borderId="0" xfId="1" applyNumberFormat="1" applyFont="1" applyFill="1" applyAlignment="1"/>
    <xf numFmtId="9" fontId="111" fillId="3" borderId="0" xfId="3" applyFont="1" applyFill="1" applyAlignment="1"/>
    <xf numFmtId="44" fontId="111" fillId="3" borderId="0" xfId="2" applyFont="1" applyFill="1" applyAlignment="1"/>
    <xf numFmtId="44" fontId="111" fillId="3" borderId="0" xfId="2" applyFont="1" applyFill="1" applyBorder="1" applyAlignment="1"/>
    <xf numFmtId="9" fontId="111" fillId="3" borderId="0" xfId="0" applyNumberFormat="1" applyFont="1" applyFill="1"/>
    <xf numFmtId="44" fontId="111" fillId="3" borderId="0" xfId="0" applyNumberFormat="1" applyFont="1" applyFill="1" applyAlignment="1"/>
    <xf numFmtId="0" fontId="114" fillId="3" borderId="0" xfId="0" applyNumberFormat="1" applyFont="1" applyFill="1"/>
    <xf numFmtId="3" fontId="111" fillId="3" borderId="0" xfId="536" applyNumberFormat="1" applyFont="1" applyFill="1"/>
    <xf numFmtId="0" fontId="113" fillId="3" borderId="0" xfId="0" applyFont="1" applyFill="1" applyAlignment="1"/>
    <xf numFmtId="10" fontId="111" fillId="3" borderId="0" xfId="536" applyNumberFormat="1" applyFont="1" applyFill="1"/>
    <xf numFmtId="10" fontId="111" fillId="3" borderId="0" xfId="0" applyNumberFormat="1" applyFont="1" applyFill="1" applyAlignment="1"/>
    <xf numFmtId="0" fontId="113" fillId="3" borderId="0" xfId="0" applyFont="1" applyFill="1" applyBorder="1" applyAlignment="1">
      <alignment horizontal="center"/>
    </xf>
    <xf numFmtId="164" fontId="111" fillId="3" borderId="0" xfId="2" applyNumberFormat="1" applyFont="1" applyFill="1" applyBorder="1" applyAlignment="1"/>
    <xf numFmtId="3" fontId="115" fillId="3" borderId="0" xfId="0" applyNumberFormat="1" applyFont="1" applyFill="1" applyAlignment="1"/>
    <xf numFmtId="0" fontId="111" fillId="3" borderId="0" xfId="0" applyFont="1" applyFill="1" applyBorder="1" applyAlignment="1"/>
    <xf numFmtId="10" fontId="111" fillId="3" borderId="0" xfId="3" applyNumberFormat="1" applyFont="1" applyFill="1" applyBorder="1" applyAlignment="1"/>
    <xf numFmtId="10" fontId="111" fillId="3" borderId="0" xfId="0" applyNumberFormat="1" applyFont="1" applyFill="1" applyBorder="1" applyAlignment="1"/>
    <xf numFmtId="0" fontId="111" fillId="3" borderId="0" xfId="0" applyNumberFormat="1" applyFont="1" applyFill="1" applyBorder="1" applyAlignment="1">
      <alignment horizontal="right"/>
    </xf>
    <xf numFmtId="178" fontId="111" fillId="3" borderId="0" xfId="0" applyNumberFormat="1" applyFont="1" applyFill="1" applyBorder="1" applyAlignment="1"/>
    <xf numFmtId="37" fontId="6" fillId="0" borderId="0" xfId="5" applyNumberFormat="1" applyFont="1" applyFill="1" applyBorder="1" applyAlignment="1">
      <alignment horizontal="center"/>
    </xf>
    <xf numFmtId="0" fontId="3" fillId="5" borderId="35" xfId="0" applyFont="1" applyFill="1" applyBorder="1"/>
    <xf numFmtId="0" fontId="0" fillId="5" borderId="42" xfId="0" applyFont="1" applyFill="1" applyBorder="1"/>
    <xf numFmtId="0" fontId="0" fillId="5" borderId="43" xfId="0" applyFont="1" applyFill="1" applyBorder="1"/>
    <xf numFmtId="0" fontId="0" fillId="0" borderId="0" xfId="0" applyFont="1" applyFill="1"/>
    <xf numFmtId="0" fontId="3" fillId="5" borderId="38" xfId="0" applyFont="1" applyFill="1" applyBorder="1"/>
    <xf numFmtId="0" fontId="3" fillId="5" borderId="0" xfId="0" applyFont="1" applyFill="1" applyBorder="1" applyAlignment="1">
      <alignment horizontal="center"/>
    </xf>
    <xf numFmtId="0" fontId="3" fillId="5" borderId="39" xfId="0" applyFont="1" applyFill="1" applyBorder="1" applyAlignment="1">
      <alignment horizontal="center"/>
    </xf>
    <xf numFmtId="0" fontId="3" fillId="0" borderId="38" xfId="0" applyFont="1" applyFill="1" applyBorder="1"/>
    <xf numFmtId="0" fontId="0" fillId="0" borderId="39" xfId="0" applyFont="1" applyBorder="1"/>
    <xf numFmtId="0" fontId="3" fillId="0" borderId="38" xfId="0" applyFont="1" applyBorder="1"/>
    <xf numFmtId="3" fontId="0" fillId="0" borderId="0" xfId="0" applyNumberFormat="1" applyFont="1" applyFill="1" applyBorder="1"/>
    <xf numFmtId="3" fontId="0" fillId="0" borderId="0" xfId="0" applyNumberFormat="1" applyFont="1" applyBorder="1"/>
    <xf numFmtId="3" fontId="0" fillId="0" borderId="0" xfId="0" applyNumberFormat="1" applyFont="1" applyFill="1"/>
    <xf numFmtId="10" fontId="0" fillId="0" borderId="39" xfId="0" applyNumberFormat="1" applyFont="1" applyBorder="1"/>
    <xf numFmtId="10" fontId="0" fillId="0" borderId="0" xfId="0" applyNumberFormat="1" applyFont="1" applyFill="1"/>
    <xf numFmtId="0" fontId="3" fillId="0" borderId="40" xfId="0" applyFont="1" applyBorder="1"/>
    <xf numFmtId="10" fontId="0" fillId="0" borderId="29" xfId="0" applyNumberFormat="1" applyFont="1" applyBorder="1"/>
    <xf numFmtId="0" fontId="0" fillId="0" borderId="29" xfId="0" applyFont="1" applyBorder="1"/>
    <xf numFmtId="0" fontId="0" fillId="0" borderId="41" xfId="0" applyFont="1" applyBorder="1"/>
    <xf numFmtId="0" fontId="0" fillId="5" borderId="39" xfId="0" applyFont="1" applyFill="1" applyBorder="1"/>
    <xf numFmtId="0" fontId="0" fillId="0" borderId="38" xfId="0" applyFont="1" applyBorder="1"/>
    <xf numFmtId="0" fontId="0" fillId="0" borderId="29" xfId="0" applyFont="1" applyBorder="1" applyAlignment="1">
      <alignment horizontal="center"/>
    </xf>
    <xf numFmtId="0" fontId="3" fillId="47" borderId="35" xfId="0" applyFont="1" applyFill="1" applyBorder="1"/>
    <xf numFmtId="10" fontId="0" fillId="47" borderId="42" xfId="0" applyNumberFormat="1" applyFont="1" applyFill="1" applyBorder="1"/>
    <xf numFmtId="10" fontId="0" fillId="47" borderId="43" xfId="0" applyNumberFormat="1" applyFont="1" applyFill="1" applyBorder="1"/>
    <xf numFmtId="3" fontId="0" fillId="0" borderId="39" xfId="0" applyNumberFormat="1" applyFont="1" applyBorder="1"/>
    <xf numFmtId="37" fontId="0" fillId="0" borderId="39" xfId="0" applyNumberFormat="1" applyFont="1" applyBorder="1"/>
    <xf numFmtId="10" fontId="3" fillId="0" borderId="29" xfId="0" applyNumberFormat="1" applyFont="1" applyBorder="1"/>
    <xf numFmtId="10" fontId="0" fillId="0" borderId="41" xfId="0" applyNumberFormat="1" applyFont="1" applyBorder="1"/>
    <xf numFmtId="173" fontId="0" fillId="0" borderId="0" xfId="3" applyNumberFormat="1" applyFont="1"/>
    <xf numFmtId="3" fontId="81" fillId="0" borderId="0" xfId="0" applyNumberFormat="1" applyFont="1" applyFill="1" applyBorder="1"/>
    <xf numFmtId="3" fontId="0" fillId="0" borderId="0" xfId="0" applyNumberFormat="1" applyFont="1"/>
    <xf numFmtId="4" fontId="0" fillId="0" borderId="0" xfId="0" applyNumberFormat="1" applyFont="1"/>
    <xf numFmtId="4" fontId="82" fillId="0" borderId="0" xfId="0" applyNumberFormat="1" applyFont="1" applyBorder="1" applyAlignment="1">
      <alignment horizontal="center"/>
    </xf>
    <xf numFmtId="182" fontId="0" fillId="0" borderId="0" xfId="0" applyNumberFormat="1" applyFont="1"/>
    <xf numFmtId="10" fontId="81" fillId="0" borderId="0" xfId="0" applyNumberFormat="1" applyFont="1" applyFill="1" applyBorder="1"/>
    <xf numFmtId="4" fontId="81" fillId="0" borderId="0" xfId="0" applyNumberFormat="1" applyFont="1" applyBorder="1"/>
    <xf numFmtId="183" fontId="0" fillId="0" borderId="0" xfId="0" applyNumberFormat="1" applyFont="1"/>
    <xf numFmtId="10" fontId="81" fillId="0" borderId="0" xfId="0" applyNumberFormat="1" applyFont="1" applyBorder="1"/>
    <xf numFmtId="0" fontId="81" fillId="0" borderId="40" xfId="0" applyFont="1" applyBorder="1"/>
    <xf numFmtId="10" fontId="81" fillId="0" borderId="29" xfId="0" applyNumberFormat="1" applyFont="1" applyBorder="1"/>
    <xf numFmtId="10" fontId="81" fillId="0" borderId="41" xfId="0" applyNumberFormat="1" applyFont="1" applyBorder="1"/>
    <xf numFmtId="0" fontId="81" fillId="0" borderId="0" xfId="0" applyFont="1" applyBorder="1"/>
    <xf numFmtId="0" fontId="0" fillId="47" borderId="35" xfId="0" applyFont="1" applyFill="1" applyBorder="1"/>
    <xf numFmtId="0" fontId="3" fillId="47" borderId="42" xfId="0" applyFont="1" applyFill="1" applyBorder="1" applyAlignment="1">
      <alignment horizontal="center"/>
    </xf>
    <xf numFmtId="0" fontId="0" fillId="47" borderId="43" xfId="0" applyFont="1" applyFill="1" applyBorder="1"/>
    <xf numFmtId="0" fontId="3" fillId="47" borderId="38" xfId="0" applyFont="1" applyFill="1" applyBorder="1"/>
    <xf numFmtId="0" fontId="3" fillId="47" borderId="0" xfId="0" applyFont="1" applyFill="1" applyBorder="1" applyAlignment="1">
      <alignment horizontal="center"/>
    </xf>
    <xf numFmtId="0" fontId="0" fillId="47" borderId="39" xfId="0" applyFont="1" applyFill="1" applyBorder="1"/>
    <xf numFmtId="3" fontId="3" fillId="0" borderId="0" xfId="0" applyNumberFormat="1" applyFont="1" applyBorder="1"/>
    <xf numFmtId="0" fontId="0" fillId="0" borderId="40" xfId="0" applyFont="1" applyBorder="1"/>
    <xf numFmtId="0" fontId="0" fillId="47" borderId="42" xfId="0" applyFont="1" applyFill="1" applyBorder="1"/>
    <xf numFmtId="0" fontId="3" fillId="47" borderId="38" xfId="0" applyFont="1" applyFill="1" applyBorder="1" applyAlignment="1">
      <alignment horizontal="center"/>
    </xf>
    <xf numFmtId="3" fontId="0" fillId="0" borderId="29" xfId="0" applyNumberFormat="1" applyFont="1" applyBorder="1"/>
    <xf numFmtId="3" fontId="0" fillId="5" borderId="42" xfId="0" applyNumberFormat="1" applyFont="1" applyFill="1" applyBorder="1"/>
    <xf numFmtId="3" fontId="0" fillId="5" borderId="43" xfId="0" applyNumberFormat="1" applyFont="1" applyFill="1" applyBorder="1"/>
    <xf numFmtId="10" fontId="0" fillId="0" borderId="39" xfId="3" applyNumberFormat="1" applyFont="1" applyBorder="1"/>
    <xf numFmtId="10" fontId="3" fillId="0" borderId="0" xfId="3" applyNumberFormat="1" applyFont="1" applyBorder="1"/>
    <xf numFmtId="3" fontId="0" fillId="0" borderId="41" xfId="0" applyNumberFormat="1" applyFont="1" applyBorder="1"/>
    <xf numFmtId="3" fontId="81" fillId="0" borderId="38" xfId="0" applyNumberFormat="1" applyFont="1" applyBorder="1"/>
    <xf numFmtId="4" fontId="0" fillId="0" borderId="0" xfId="0" applyNumberFormat="1" applyFont="1" applyBorder="1"/>
    <xf numFmtId="0" fontId="81" fillId="0" borderId="38" xfId="0" applyFont="1" applyBorder="1"/>
    <xf numFmtId="0" fontId="82" fillId="0" borderId="38" xfId="0" applyFont="1" applyBorder="1"/>
    <xf numFmtId="4" fontId="3" fillId="0" borderId="0" xfId="0" applyNumberFormat="1" applyFont="1" applyBorder="1"/>
    <xf numFmtId="10" fontId="3" fillId="0" borderId="0" xfId="0" applyNumberFormat="1" applyFont="1" applyBorder="1"/>
    <xf numFmtId="4" fontId="0" fillId="0" borderId="29" xfId="0" applyNumberFormat="1" applyFont="1" applyBorder="1"/>
    <xf numFmtId="3" fontId="3" fillId="5" borderId="42" xfId="0" applyNumberFormat="1" applyFont="1" applyFill="1" applyBorder="1" applyAlignment="1">
      <alignment horizontal="center"/>
    </xf>
    <xf numFmtId="3" fontId="3" fillId="5" borderId="42" xfId="0" applyNumberFormat="1" applyFont="1" applyFill="1" applyBorder="1"/>
    <xf numFmtId="0" fontId="3" fillId="5" borderId="42" xfId="0" applyFont="1" applyFill="1" applyBorder="1"/>
    <xf numFmtId="3" fontId="3" fillId="5" borderId="0" xfId="0" applyNumberFormat="1" applyFont="1" applyFill="1" applyBorder="1" applyAlignment="1">
      <alignment horizontal="center"/>
    </xf>
    <xf numFmtId="0" fontId="0" fillId="0" borderId="39" xfId="0" applyBorder="1"/>
    <xf numFmtId="166" fontId="102" fillId="3" borderId="0" xfId="585" applyFont="1" applyFill="1" applyBorder="1"/>
    <xf numFmtId="3" fontId="102" fillId="3" borderId="0" xfId="585" applyNumberFormat="1" applyFont="1" applyFill="1" applyBorder="1"/>
    <xf numFmtId="3" fontId="117" fillId="3" borderId="0" xfId="585" applyNumberFormat="1" applyFont="1" applyFill="1" applyBorder="1" applyAlignment="1">
      <alignment horizontal="center"/>
    </xf>
    <xf numFmtId="166" fontId="116" fillId="0" borderId="38" xfId="585" applyFont="1" applyFill="1" applyBorder="1" applyAlignment="1">
      <alignment horizontal="center"/>
    </xf>
    <xf numFmtId="166" fontId="116" fillId="0" borderId="0" xfId="585" applyFont="1" applyFill="1" applyBorder="1" applyAlignment="1">
      <alignment horizontal="center"/>
    </xf>
    <xf numFmtId="166" fontId="116" fillId="0" borderId="39" xfId="585" applyFont="1" applyFill="1" applyBorder="1" applyAlignment="1">
      <alignment horizontal="center"/>
    </xf>
    <xf numFmtId="166" fontId="102" fillId="3" borderId="38" xfId="585" applyFont="1" applyFill="1" applyBorder="1"/>
    <xf numFmtId="166" fontId="107" fillId="3" borderId="0" xfId="585" applyFont="1" applyFill="1" applyBorder="1"/>
    <xf numFmtId="166" fontId="107" fillId="3" borderId="0" xfId="585" applyFont="1" applyFill="1" applyBorder="1" applyAlignment="1">
      <alignment horizontal="center"/>
    </xf>
    <xf numFmtId="166" fontId="107" fillId="3" borderId="39" xfId="585" applyFont="1" applyFill="1" applyBorder="1" applyAlignment="1">
      <alignment horizontal="center"/>
    </xf>
    <xf numFmtId="43" fontId="102" fillId="3" borderId="0" xfId="135" applyFont="1" applyFill="1" applyBorder="1"/>
    <xf numFmtId="166" fontId="6" fillId="3" borderId="0" xfId="585" applyFont="1" applyFill="1" applyBorder="1" applyAlignment="1">
      <alignment horizontal="center"/>
    </xf>
    <xf numFmtId="3" fontId="107" fillId="3" borderId="0" xfId="585" applyNumberFormat="1" applyFont="1" applyFill="1" applyBorder="1"/>
    <xf numFmtId="3" fontId="6" fillId="3" borderId="0" xfId="585" applyNumberFormat="1" applyFont="1" applyFill="1" applyBorder="1" applyAlignment="1">
      <alignment horizontal="center"/>
    </xf>
    <xf numFmtId="166" fontId="107" fillId="3" borderId="12" xfId="585" applyFont="1" applyFill="1" applyBorder="1" applyAlignment="1">
      <alignment horizontal="center"/>
    </xf>
    <xf numFmtId="14" fontId="107" fillId="3" borderId="12" xfId="585" applyNumberFormat="1" applyFont="1" applyFill="1" applyBorder="1" applyAlignment="1">
      <alignment horizontal="center"/>
    </xf>
    <xf numFmtId="14" fontId="107" fillId="3" borderId="12" xfId="585" quotePrefix="1" applyNumberFormat="1" applyFont="1" applyFill="1" applyBorder="1" applyAlignment="1">
      <alignment horizontal="center"/>
    </xf>
    <xf numFmtId="14" fontId="107" fillId="3" borderId="57" xfId="585" quotePrefix="1" applyNumberFormat="1" applyFont="1" applyFill="1" applyBorder="1" applyAlignment="1">
      <alignment horizontal="center"/>
    </xf>
    <xf numFmtId="3" fontId="102" fillId="3" borderId="0" xfId="585" applyNumberFormat="1" applyFont="1" applyFill="1" applyBorder="1" applyAlignment="1">
      <alignment horizontal="center"/>
    </xf>
    <xf numFmtId="166" fontId="102" fillId="3" borderId="39" xfId="585" applyFont="1" applyFill="1" applyBorder="1"/>
    <xf numFmtId="165" fontId="102" fillId="3" borderId="0" xfId="135" applyNumberFormat="1" applyFont="1" applyFill="1" applyBorder="1"/>
    <xf numFmtId="165" fontId="102" fillId="3" borderId="39" xfId="135" applyNumberFormat="1" applyFont="1" applyFill="1" applyBorder="1"/>
    <xf numFmtId="166" fontId="107" fillId="3" borderId="58" xfId="585" applyFont="1" applyFill="1" applyBorder="1"/>
    <xf numFmtId="165" fontId="107" fillId="3" borderId="7" xfId="135" applyNumberFormat="1" applyFont="1" applyFill="1" applyBorder="1"/>
    <xf numFmtId="165" fontId="107" fillId="3" borderId="59" xfId="135" applyNumberFormat="1" applyFont="1" applyFill="1" applyBorder="1"/>
    <xf numFmtId="10" fontId="107" fillId="3" borderId="0" xfId="585" applyNumberFormat="1" applyFont="1" applyFill="1" applyBorder="1"/>
    <xf numFmtId="165" fontId="119" fillId="3" borderId="0" xfId="135" applyNumberFormat="1" applyFont="1" applyFill="1" applyBorder="1"/>
    <xf numFmtId="166" fontId="102" fillId="3" borderId="35" xfId="585" applyFont="1" applyFill="1" applyBorder="1"/>
    <xf numFmtId="166" fontId="102" fillId="3" borderId="42" xfId="585" applyFont="1" applyFill="1" applyBorder="1"/>
    <xf numFmtId="10" fontId="102" fillId="3" borderId="42" xfId="585" applyNumberFormat="1" applyFont="1" applyFill="1" applyBorder="1"/>
    <xf numFmtId="166" fontId="102" fillId="3" borderId="43" xfId="585" applyFont="1" applyFill="1" applyBorder="1"/>
    <xf numFmtId="166" fontId="6" fillId="3" borderId="38" xfId="585" applyFont="1" applyFill="1" applyBorder="1"/>
    <xf numFmtId="166" fontId="120" fillId="3" borderId="0" xfId="585" applyFont="1" applyFill="1" applyBorder="1"/>
    <xf numFmtId="166" fontId="6" fillId="3" borderId="0" xfId="585" applyFont="1" applyFill="1" applyBorder="1"/>
    <xf numFmtId="166" fontId="6" fillId="3" borderId="39" xfId="585" applyFont="1" applyFill="1" applyBorder="1"/>
    <xf numFmtId="3" fontId="6" fillId="3" borderId="0" xfId="585" applyNumberFormat="1" applyFont="1" applyFill="1" applyBorder="1"/>
    <xf numFmtId="166" fontId="120" fillId="3" borderId="0" xfId="585" applyFont="1" applyFill="1" applyBorder="1" applyAlignment="1">
      <alignment horizontal="center"/>
    </xf>
    <xf numFmtId="166" fontId="6" fillId="3" borderId="39" xfId="585" applyFont="1" applyFill="1" applyBorder="1" applyAlignment="1">
      <alignment horizontal="center"/>
    </xf>
    <xf numFmtId="2" fontId="6" fillId="3" borderId="0" xfId="585" applyNumberFormat="1" applyFont="1" applyFill="1" applyBorder="1"/>
    <xf numFmtId="4" fontId="6" fillId="3" borderId="0" xfId="585" applyNumberFormat="1" applyFont="1" applyFill="1" applyBorder="1"/>
    <xf numFmtId="10" fontId="6" fillId="3" borderId="0" xfId="585" applyNumberFormat="1" applyFont="1" applyFill="1" applyBorder="1"/>
    <xf numFmtId="166" fontId="5" fillId="3" borderId="0" xfId="585" applyFont="1" applyFill="1" applyBorder="1" applyAlignment="1">
      <alignment horizontal="right"/>
    </xf>
    <xf numFmtId="3" fontId="5" fillId="3" borderId="0" xfId="585" applyNumberFormat="1" applyFont="1" applyFill="1" applyBorder="1"/>
    <xf numFmtId="10" fontId="5" fillId="3" borderId="0" xfId="585" applyNumberFormat="1" applyFont="1" applyFill="1" applyBorder="1"/>
    <xf numFmtId="10" fontId="6" fillId="3" borderId="39" xfId="585" applyNumberFormat="1" applyFont="1" applyFill="1" applyBorder="1"/>
    <xf numFmtId="10" fontId="5" fillId="3" borderId="12" xfId="585" applyNumberFormat="1" applyFont="1" applyFill="1" applyBorder="1"/>
    <xf numFmtId="166" fontId="6" fillId="3" borderId="40" xfId="585" applyFont="1" applyFill="1" applyBorder="1"/>
    <xf numFmtId="166" fontId="6" fillId="3" borderId="29" xfId="585" applyFont="1" applyFill="1" applyBorder="1"/>
    <xf numFmtId="10" fontId="5" fillId="3" borderId="29" xfId="585" applyNumberFormat="1" applyFont="1" applyFill="1" applyBorder="1"/>
    <xf numFmtId="166" fontId="6" fillId="3" borderId="41" xfId="585" applyFont="1" applyFill="1" applyBorder="1"/>
    <xf numFmtId="4" fontId="102" fillId="3" borderId="0" xfId="585" applyNumberFormat="1" applyFont="1" applyFill="1" applyBorder="1"/>
    <xf numFmtId="4" fontId="107" fillId="3" borderId="0" xfId="585" applyNumberFormat="1" applyFont="1" applyFill="1" applyBorder="1"/>
    <xf numFmtId="3" fontId="0" fillId="0" borderId="12" xfId="0" applyNumberFormat="1" applyFont="1" applyBorder="1"/>
    <xf numFmtId="166" fontId="118" fillId="3" borderId="38" xfId="585" applyFont="1" applyFill="1" applyBorder="1"/>
    <xf numFmtId="166" fontId="107" fillId="3" borderId="61" xfId="585" applyFont="1" applyFill="1" applyBorder="1"/>
    <xf numFmtId="165" fontId="107" fillId="3" borderId="45" xfId="135" applyNumberFormat="1" applyFont="1" applyFill="1" applyBorder="1"/>
    <xf numFmtId="165" fontId="107" fillId="3" borderId="62" xfId="135" applyNumberFormat="1" applyFont="1" applyFill="1" applyBorder="1"/>
    <xf numFmtId="165" fontId="4" fillId="0" borderId="0" xfId="7" applyNumberFormat="1"/>
    <xf numFmtId="0" fontId="4" fillId="0" borderId="0" xfId="357"/>
    <xf numFmtId="170" fontId="122" fillId="0" borderId="0" xfId="8" quotePrefix="1" applyNumberFormat="1" applyFont="1" applyAlignment="1">
      <alignment horizontal="left"/>
    </xf>
    <xf numFmtId="0" fontId="71" fillId="0" borderId="0" xfId="8" applyNumberFormat="1" applyFont="1"/>
    <xf numFmtId="0" fontId="4" fillId="0" borderId="0" xfId="353" applyAlignment="1">
      <alignment horizontal="center"/>
    </xf>
    <xf numFmtId="165" fontId="0" fillId="0" borderId="0" xfId="7" applyNumberFormat="1" applyFont="1" applyAlignment="1">
      <alignment horizontal="center"/>
    </xf>
    <xf numFmtId="165" fontId="0" fillId="0" borderId="0" xfId="7" applyNumberFormat="1" applyFont="1" applyFill="1" applyAlignment="1">
      <alignment horizontal="center"/>
    </xf>
    <xf numFmtId="9" fontId="73" fillId="0" borderId="0" xfId="8" applyNumberFormat="1" applyFont="1" applyAlignment="1">
      <alignment horizontal="right"/>
    </xf>
    <xf numFmtId="173" fontId="73" fillId="54" borderId="0" xfId="8" applyNumberFormat="1" applyFont="1" applyFill="1" applyAlignment="1">
      <alignment horizontal="center"/>
    </xf>
    <xf numFmtId="0" fontId="4" fillId="5" borderId="0" xfId="353" applyFill="1" applyAlignment="1">
      <alignment horizontal="center"/>
    </xf>
    <xf numFmtId="165" fontId="0" fillId="5" borderId="0" xfId="7" applyNumberFormat="1" applyFont="1" applyFill="1" applyAlignment="1">
      <alignment horizontal="center"/>
    </xf>
    <xf numFmtId="165" fontId="72" fillId="5" borderId="0" xfId="7" quotePrefix="1" applyNumberFormat="1" applyFont="1" applyFill="1" applyAlignment="1">
      <alignment horizontal="center"/>
    </xf>
    <xf numFmtId="165" fontId="4" fillId="0" borderId="0" xfId="7" quotePrefix="1" applyNumberFormat="1" applyFont="1" applyFill="1" applyAlignment="1">
      <alignment horizontal="center"/>
    </xf>
    <xf numFmtId="0" fontId="73" fillId="0" borderId="0" xfId="8" applyNumberFormat="1" applyFont="1" applyAlignment="1">
      <alignment horizontal="right"/>
    </xf>
    <xf numFmtId="0" fontId="3" fillId="5" borderId="56" xfId="353" applyFont="1" applyFill="1" applyBorder="1" applyAlignment="1">
      <alignment horizontal="center"/>
    </xf>
    <xf numFmtId="165" fontId="3" fillId="5" borderId="6" xfId="7" applyNumberFormat="1" applyFont="1" applyFill="1" applyBorder="1" applyAlignment="1">
      <alignment horizontal="center" wrapText="1"/>
    </xf>
    <xf numFmtId="165" fontId="3" fillId="5" borderId="56" xfId="7" applyNumberFormat="1" applyFont="1" applyFill="1" applyBorder="1" applyAlignment="1">
      <alignment horizontal="center" wrapText="1"/>
    </xf>
    <xf numFmtId="165" fontId="3" fillId="0" borderId="0" xfId="7" applyNumberFormat="1" applyFont="1" applyFill="1" applyBorder="1" applyAlignment="1">
      <alignment horizontal="center" wrapText="1"/>
    </xf>
    <xf numFmtId="0" fontId="67" fillId="0" borderId="29" xfId="8" applyNumberFormat="1" applyFont="1" applyBorder="1"/>
    <xf numFmtId="0" fontId="67" fillId="0" borderId="0" xfId="8" applyNumberFormat="1" applyFont="1" applyBorder="1"/>
    <xf numFmtId="0" fontId="4" fillId="5" borderId="0" xfId="353" applyFill="1" applyAlignment="1">
      <alignment horizontal="left"/>
    </xf>
    <xf numFmtId="165" fontId="0" fillId="5" borderId="0" xfId="7" applyNumberFormat="1" applyFont="1" applyFill="1"/>
    <xf numFmtId="10" fontId="0" fillId="5" borderId="0" xfId="524" applyNumberFormat="1" applyFont="1" applyFill="1"/>
    <xf numFmtId="10" fontId="0" fillId="0" borderId="0" xfId="524" applyNumberFormat="1" applyFont="1" applyFill="1"/>
    <xf numFmtId="165" fontId="72" fillId="0" borderId="12" xfId="166" applyNumberFormat="1" applyFont="1" applyFill="1" applyBorder="1" applyAlignment="1"/>
    <xf numFmtId="0" fontId="25" fillId="0" borderId="12" xfId="8" applyNumberFormat="1" applyFont="1" applyBorder="1"/>
    <xf numFmtId="0" fontId="67" fillId="0" borderId="12" xfId="8" applyNumberFormat="1" applyFont="1" applyBorder="1"/>
    <xf numFmtId="165" fontId="72" fillId="0" borderId="0" xfId="166" applyNumberFormat="1" applyFont="1" applyFill="1" applyBorder="1" applyAlignment="1"/>
    <xf numFmtId="17" fontId="72" fillId="0" borderId="0" xfId="166" applyNumberFormat="1" applyFont="1" applyFill="1" applyBorder="1" applyAlignment="1">
      <alignment horizontal="centerContinuous"/>
    </xf>
    <xf numFmtId="0" fontId="25" fillId="0" borderId="12" xfId="8" applyFont="1" applyBorder="1"/>
    <xf numFmtId="0" fontId="25" fillId="0" borderId="0" xfId="8" applyFont="1" applyBorder="1"/>
    <xf numFmtId="165" fontId="4" fillId="0" borderId="0" xfId="166" applyNumberFormat="1" applyFont="1" applyFill="1" applyAlignment="1">
      <alignment horizontal="right"/>
    </xf>
    <xf numFmtId="165" fontId="4" fillId="0" borderId="12" xfId="166" applyNumberFormat="1" applyFont="1" applyFill="1" applyBorder="1"/>
    <xf numFmtId="44" fontId="72" fillId="0" borderId="45" xfId="2" applyFont="1" applyFill="1" applyBorder="1"/>
    <xf numFmtId="44" fontId="72" fillId="0" borderId="0" xfId="2" applyFont="1" applyFill="1" applyBorder="1"/>
    <xf numFmtId="165" fontId="72" fillId="0" borderId="0" xfId="166" applyNumberFormat="1" applyFont="1" applyFill="1"/>
    <xf numFmtId="0" fontId="4" fillId="54" borderId="0" xfId="353" applyFill="1" applyAlignment="1">
      <alignment horizontal="left"/>
    </xf>
    <xf numFmtId="165" fontId="0" fillId="54" borderId="0" xfId="7" applyNumberFormat="1" applyFont="1" applyFill="1"/>
    <xf numFmtId="10" fontId="0" fillId="54" borderId="0" xfId="524" applyNumberFormat="1" applyFont="1" applyFill="1"/>
    <xf numFmtId="9" fontId="0" fillId="5" borderId="0" xfId="524" applyFont="1" applyFill="1" applyAlignment="1">
      <alignment horizontal="center"/>
    </xf>
    <xf numFmtId="9" fontId="0" fillId="0" borderId="0" xfId="524" applyFont="1" applyFill="1" applyAlignment="1">
      <alignment horizontal="center"/>
    </xf>
    <xf numFmtId="44" fontId="0" fillId="0" borderId="12" xfId="0" applyNumberFormat="1" applyFill="1" applyBorder="1"/>
    <xf numFmtId="4" fontId="130" fillId="3" borderId="0" xfId="622" applyNumberFormat="1" applyFont="1" applyFill="1" applyBorder="1" applyAlignment="1"/>
    <xf numFmtId="4" fontId="131" fillId="3" borderId="0" xfId="623" applyNumberFormat="1" applyFont="1" applyFill="1" applyBorder="1"/>
    <xf numFmtId="166" fontId="131" fillId="3" borderId="0" xfId="623" applyFont="1" applyFill="1" applyBorder="1"/>
    <xf numFmtId="2" fontId="131" fillId="3" borderId="0" xfId="623" applyNumberFormat="1" applyFont="1" applyFill="1" applyBorder="1" applyAlignment="1">
      <alignment horizontal="right"/>
    </xf>
    <xf numFmtId="2" fontId="131" fillId="3" borderId="0" xfId="623" applyNumberFormat="1" applyFont="1" applyFill="1" applyBorder="1"/>
    <xf numFmtId="166" fontId="130" fillId="3" borderId="0" xfId="623" applyFont="1" applyFill="1" applyBorder="1"/>
    <xf numFmtId="10" fontId="130" fillId="3" borderId="0" xfId="623" applyNumberFormat="1" applyFont="1" applyFill="1" applyBorder="1"/>
    <xf numFmtId="4" fontId="131" fillId="3" borderId="0" xfId="623" applyNumberFormat="1" applyFont="1" applyFill="1" applyBorder="1" applyAlignment="1">
      <alignment horizontal="center"/>
    </xf>
    <xf numFmtId="10" fontId="130" fillId="3" borderId="0" xfId="3" applyNumberFormat="1" applyFont="1" applyFill="1" applyBorder="1"/>
    <xf numFmtId="4" fontId="131" fillId="3" borderId="0" xfId="623" quotePrefix="1" applyNumberFormat="1" applyFont="1" applyFill="1" applyBorder="1" applyAlignment="1">
      <alignment horizontal="center"/>
    </xf>
    <xf numFmtId="4" fontId="131" fillId="56" borderId="0" xfId="622" applyNumberFormat="1" applyFont="1" applyFill="1" applyBorder="1" applyAlignment="1"/>
    <xf numFmtId="4" fontId="132" fillId="56" borderId="0" xfId="623" applyNumberFormat="1" applyFont="1" applyFill="1" applyBorder="1" applyAlignment="1">
      <alignment horizontal="center"/>
    </xf>
    <xf numFmtId="166" fontId="132" fillId="56" borderId="0" xfId="623" applyFont="1" applyFill="1" applyBorder="1"/>
    <xf numFmtId="2" fontId="132" fillId="56" borderId="0" xfId="623" applyNumberFormat="1" applyFont="1" applyFill="1" applyBorder="1" applyAlignment="1">
      <alignment horizontal="right"/>
    </xf>
    <xf numFmtId="2" fontId="132" fillId="56" borderId="0" xfId="623" applyNumberFormat="1" applyFont="1" applyFill="1" applyBorder="1"/>
    <xf numFmtId="2" fontId="132" fillId="56" borderId="0" xfId="623" applyNumberFormat="1" applyFont="1" applyFill="1" applyBorder="1" applyAlignment="1">
      <alignment horizontal="center"/>
    </xf>
    <xf numFmtId="0" fontId="131" fillId="56" borderId="0" xfId="622" applyFont="1" applyFill="1" applyBorder="1" applyAlignment="1">
      <alignment horizontal="center"/>
    </xf>
    <xf numFmtId="14" fontId="132" fillId="56" borderId="0" xfId="623" applyNumberFormat="1" applyFont="1" applyFill="1" applyBorder="1" applyAlignment="1">
      <alignment horizontal="center"/>
    </xf>
    <xf numFmtId="43" fontId="130" fillId="56" borderId="0" xfId="622" applyNumberFormat="1" applyFont="1" applyFill="1" applyBorder="1"/>
    <xf numFmtId="43" fontId="130" fillId="5" borderId="0" xfId="622" applyNumberFormat="1" applyFont="1" applyFill="1" applyBorder="1"/>
    <xf numFmtId="4" fontId="130" fillId="5" borderId="0" xfId="623" applyNumberFormat="1" applyFont="1" applyFill="1" applyBorder="1" applyAlignment="1">
      <alignment horizontal="center"/>
    </xf>
    <xf numFmtId="166" fontId="130" fillId="5" borderId="0" xfId="623" applyFont="1" applyFill="1" applyBorder="1"/>
    <xf numFmtId="2" fontId="130" fillId="5" borderId="0" xfId="623" applyNumberFormat="1" applyFont="1" applyFill="1" applyBorder="1" applyAlignment="1">
      <alignment horizontal="right"/>
    </xf>
    <xf numFmtId="2" fontId="130" fillId="5" borderId="0" xfId="623" applyNumberFormat="1" applyFont="1" applyFill="1" applyBorder="1" applyAlignment="1">
      <alignment horizontal="center"/>
    </xf>
    <xf numFmtId="4" fontId="131" fillId="5" borderId="0" xfId="623" applyNumberFormat="1" applyFont="1" applyFill="1" applyBorder="1"/>
    <xf numFmtId="43" fontId="131" fillId="3" borderId="0" xfId="622" applyNumberFormat="1" applyFont="1" applyFill="1" applyBorder="1"/>
    <xf numFmtId="2" fontId="130" fillId="3" borderId="0" xfId="623" applyNumberFormat="1" applyFont="1" applyFill="1" applyBorder="1" applyAlignment="1">
      <alignment horizontal="center"/>
    </xf>
    <xf numFmtId="43" fontId="130" fillId="3" borderId="0" xfId="622" applyNumberFormat="1" applyFont="1" applyFill="1" applyBorder="1"/>
    <xf numFmtId="4" fontId="130" fillId="3" borderId="0" xfId="623" applyNumberFormat="1" applyFont="1" applyFill="1" applyBorder="1" applyAlignment="1">
      <alignment horizontal="center"/>
    </xf>
    <xf numFmtId="2" fontId="130" fillId="3" borderId="0" xfId="623" applyNumberFormat="1" applyFont="1" applyFill="1" applyBorder="1" applyAlignment="1">
      <alignment horizontal="right"/>
    </xf>
    <xf numFmtId="4" fontId="131" fillId="5" borderId="0" xfId="623" applyNumberFormat="1" applyFont="1" applyFill="1" applyBorder="1" applyAlignment="1">
      <alignment horizontal="right"/>
    </xf>
    <xf numFmtId="166" fontId="131" fillId="3" borderId="0" xfId="623" applyFont="1" applyFill="1" applyBorder="1" applyAlignment="1">
      <alignment horizontal="right"/>
    </xf>
    <xf numFmtId="4" fontId="131" fillId="3" borderId="0" xfId="623" applyNumberFormat="1" applyFont="1" applyFill="1" applyBorder="1" applyAlignment="1">
      <alignment horizontal="right"/>
    </xf>
    <xf numFmtId="166" fontId="131" fillId="5" borderId="0" xfId="623" applyFont="1" applyFill="1" applyBorder="1" applyAlignment="1">
      <alignment horizontal="right"/>
    </xf>
    <xf numFmtId="2" fontId="131" fillId="5" borderId="0" xfId="623" applyNumberFormat="1" applyFont="1" applyFill="1" applyBorder="1" applyAlignment="1">
      <alignment horizontal="right"/>
    </xf>
    <xf numFmtId="4" fontId="130" fillId="3" borderId="0" xfId="623" applyNumberFormat="1" applyFont="1" applyFill="1" applyBorder="1" applyAlignment="1">
      <alignment horizontal="right"/>
    </xf>
    <xf numFmtId="166" fontId="130" fillId="3" borderId="0" xfId="623" applyFont="1" applyFill="1" applyBorder="1" applyAlignment="1">
      <alignment horizontal="right"/>
    </xf>
    <xf numFmtId="4" fontId="130" fillId="3" borderId="0" xfId="623" applyNumberFormat="1" applyFont="1" applyFill="1" applyBorder="1"/>
    <xf numFmtId="43" fontId="130" fillId="3" borderId="0" xfId="623" applyNumberFormat="1" applyFont="1" applyFill="1" applyBorder="1" applyAlignment="1">
      <alignment horizontal="right"/>
    </xf>
    <xf numFmtId="4" fontId="134" fillId="3" borderId="0" xfId="623" applyNumberFormat="1" applyFont="1" applyFill="1" applyBorder="1"/>
    <xf numFmtId="168" fontId="131" fillId="3" borderId="0" xfId="3" applyNumberFormat="1" applyFont="1" applyFill="1" applyBorder="1"/>
    <xf numFmtId="166" fontId="131" fillId="5" borderId="0" xfId="623" applyFont="1" applyFill="1" applyBorder="1"/>
    <xf numFmtId="2" fontId="131" fillId="5" borderId="0" xfId="623" applyNumberFormat="1" applyFont="1" applyFill="1" applyBorder="1"/>
    <xf numFmtId="43" fontId="131" fillId="3" borderId="0" xfId="1" applyFont="1" applyFill="1" applyBorder="1"/>
    <xf numFmtId="10" fontId="131" fillId="3" borderId="0" xfId="3" applyNumberFormat="1" applyFont="1" applyFill="1" applyBorder="1"/>
    <xf numFmtId="2" fontId="130" fillId="3" borderId="0" xfId="623" applyNumberFormat="1" applyFont="1" applyFill="1" applyBorder="1"/>
    <xf numFmtId="4" fontId="135" fillId="3" borderId="0" xfId="623" applyNumberFormat="1" applyFont="1" applyFill="1" applyBorder="1"/>
    <xf numFmtId="166" fontId="136" fillId="3" borderId="0" xfId="623" applyFont="1" applyFill="1" applyBorder="1"/>
    <xf numFmtId="4" fontId="136" fillId="3" borderId="0" xfId="623" applyNumberFormat="1" applyFont="1" applyFill="1" applyBorder="1"/>
    <xf numFmtId="2" fontId="136" fillId="3" borderId="0" xfId="623" applyNumberFormat="1" applyFont="1" applyFill="1" applyBorder="1" applyAlignment="1">
      <alignment horizontal="right"/>
    </xf>
    <xf numFmtId="2" fontId="136" fillId="3" borderId="0" xfId="623" applyNumberFormat="1" applyFont="1" applyFill="1" applyBorder="1"/>
    <xf numFmtId="166" fontId="137" fillId="3" borderId="0" xfId="623" applyFont="1" applyFill="1" applyBorder="1"/>
    <xf numFmtId="2" fontId="131" fillId="5" borderId="0" xfId="623" applyNumberFormat="1" applyFont="1" applyFill="1" applyBorder="1" applyAlignment="1">
      <alignment horizontal="center"/>
    </xf>
    <xf numFmtId="2" fontId="131" fillId="3" borderId="0" xfId="623" applyNumberFormat="1" applyFont="1" applyFill="1" applyBorder="1" applyAlignment="1">
      <alignment horizontal="center"/>
    </xf>
    <xf numFmtId="4" fontId="138" fillId="3" borderId="0" xfId="623" applyNumberFormat="1" applyFont="1" applyFill="1" applyBorder="1"/>
    <xf numFmtId="43" fontId="139" fillId="3" borderId="0" xfId="622" applyNumberFormat="1" applyFont="1" applyFill="1" applyBorder="1"/>
    <xf numFmtId="166" fontId="138" fillId="3" borderId="0" xfId="623" applyFont="1" applyFill="1" applyBorder="1"/>
    <xf numFmtId="2" fontId="138" fillId="3" borderId="0" xfId="623" applyNumberFormat="1" applyFont="1" applyFill="1" applyBorder="1" applyAlignment="1">
      <alignment horizontal="right"/>
    </xf>
    <xf numFmtId="2" fontId="138" fillId="3" borderId="0" xfId="623" applyNumberFormat="1" applyFont="1" applyFill="1" applyBorder="1"/>
    <xf numFmtId="166" fontId="140" fillId="3" borderId="0" xfId="623" applyFont="1" applyFill="1" applyBorder="1"/>
    <xf numFmtId="43" fontId="141" fillId="3" borderId="0" xfId="622" applyNumberFormat="1" applyFont="1" applyFill="1" applyBorder="1"/>
    <xf numFmtId="43" fontId="139" fillId="3" borderId="0" xfId="622" applyNumberFormat="1" applyFont="1" applyFill="1" applyBorder="1" applyAlignment="1">
      <alignment horizontal="left"/>
    </xf>
    <xf numFmtId="4" fontId="139" fillId="3" borderId="0" xfId="622" applyNumberFormat="1" applyFont="1" applyFill="1" applyBorder="1" applyAlignment="1"/>
    <xf numFmtId="43" fontId="142" fillId="3" borderId="0" xfId="622" applyNumberFormat="1" applyFont="1" applyFill="1" applyBorder="1"/>
    <xf numFmtId="4" fontId="142" fillId="3" borderId="0" xfId="622" applyNumberFormat="1" applyFont="1" applyFill="1" applyBorder="1" applyAlignment="1"/>
    <xf numFmtId="4" fontId="143" fillId="3" borderId="0" xfId="622" applyNumberFormat="1" applyFont="1" applyFill="1" applyBorder="1" applyAlignment="1"/>
    <xf numFmtId="43" fontId="143" fillId="3" borderId="0" xfId="622" applyNumberFormat="1" applyFont="1" applyFill="1" applyBorder="1"/>
    <xf numFmtId="43" fontId="142" fillId="3" borderId="0" xfId="622" applyNumberFormat="1" applyFont="1" applyFill="1" applyBorder="1" applyAlignment="1">
      <alignment horizontal="left"/>
    </xf>
    <xf numFmtId="0" fontId="5" fillId="3" borderId="0" xfId="622" applyFont="1" applyFill="1" applyBorder="1"/>
    <xf numFmtId="0" fontId="6" fillId="3" borderId="0" xfId="622" applyFont="1" applyFill="1" applyBorder="1"/>
    <xf numFmtId="0" fontId="144" fillId="3" borderId="0" xfId="0" applyFont="1" applyFill="1"/>
    <xf numFmtId="0" fontId="145" fillId="3" borderId="0" xfId="624" applyFont="1" applyFill="1"/>
    <xf numFmtId="0" fontId="146" fillId="3" borderId="0" xfId="624" applyFont="1" applyFill="1" applyAlignment="1">
      <alignment horizontal="left"/>
    </xf>
    <xf numFmtId="0" fontId="145" fillId="3" borderId="0" xfId="624" applyFont="1" applyFill="1" applyAlignment="1">
      <alignment horizontal="center"/>
    </xf>
    <xf numFmtId="165" fontId="145" fillId="3" borderId="0" xfId="132" applyNumberFormat="1" applyFont="1" applyFill="1"/>
    <xf numFmtId="0" fontId="147" fillId="3" borderId="0" xfId="0" applyFont="1" applyFill="1"/>
    <xf numFmtId="0" fontId="148" fillId="3" borderId="0" xfId="624" applyFont="1" applyFill="1"/>
    <xf numFmtId="0" fontId="148" fillId="3" borderId="0" xfId="624" applyFont="1" applyFill="1" applyAlignment="1">
      <alignment horizontal="center" wrapText="1"/>
    </xf>
    <xf numFmtId="0" fontId="148" fillId="3" borderId="0" xfId="624" applyFont="1" applyFill="1" applyAlignment="1">
      <alignment horizontal="center"/>
    </xf>
    <xf numFmtId="0" fontId="148" fillId="52" borderId="0" xfId="624" applyFont="1" applyFill="1" applyAlignment="1">
      <alignment horizontal="center" wrapText="1"/>
    </xf>
    <xf numFmtId="0" fontId="149" fillId="3" borderId="0" xfId="624" applyFont="1" applyFill="1" applyAlignment="1">
      <alignment horizontal="center"/>
    </xf>
    <xf numFmtId="0" fontId="150" fillId="3" borderId="0" xfId="624" applyFont="1" applyFill="1" applyAlignment="1">
      <alignment horizontal="left"/>
    </xf>
    <xf numFmtId="0" fontId="3" fillId="3" borderId="0" xfId="0" applyFont="1" applyFill="1" applyAlignment="1">
      <alignment horizontal="left"/>
    </xf>
    <xf numFmtId="0" fontId="148" fillId="3" borderId="0" xfId="624" applyFont="1" applyFill="1" applyAlignment="1">
      <alignment horizontal="left"/>
    </xf>
    <xf numFmtId="43" fontId="145" fillId="3" borderId="0" xfId="132" applyFont="1" applyFill="1" applyAlignment="1">
      <alignment horizontal="center"/>
    </xf>
    <xf numFmtId="0" fontId="3" fillId="3" borderId="0" xfId="0" applyFont="1" applyFill="1"/>
    <xf numFmtId="0" fontId="3" fillId="3" borderId="0" xfId="0" applyFont="1" applyFill="1" applyAlignment="1">
      <alignment horizontal="left" indent="1"/>
    </xf>
    <xf numFmtId="0" fontId="147" fillId="3" borderId="0" xfId="0" applyFont="1" applyFill="1" applyBorder="1"/>
    <xf numFmtId="43" fontId="131" fillId="3" borderId="0" xfId="132" applyFont="1" applyFill="1" applyAlignment="1">
      <alignment horizontal="center"/>
    </xf>
    <xf numFmtId="43" fontId="0" fillId="3" borderId="0" xfId="0" applyNumberFormat="1" applyFont="1" applyFill="1"/>
    <xf numFmtId="43" fontId="145" fillId="3" borderId="0" xfId="624" applyNumberFormat="1" applyFont="1" applyFill="1"/>
    <xf numFmtId="43" fontId="3" fillId="3" borderId="0" xfId="0" applyNumberFormat="1" applyFont="1" applyFill="1"/>
    <xf numFmtId="0" fontId="131" fillId="3" borderId="0" xfId="0" applyFont="1" applyFill="1"/>
    <xf numFmtId="0" fontId="145" fillId="3" borderId="0" xfId="624" applyFont="1" applyFill="1" applyBorder="1"/>
    <xf numFmtId="0" fontId="148" fillId="3" borderId="0" xfId="624" applyFont="1" applyFill="1" applyBorder="1" applyAlignment="1">
      <alignment horizontal="right"/>
    </xf>
    <xf numFmtId="165" fontId="130" fillId="3" borderId="7" xfId="132" applyNumberFormat="1" applyFont="1" applyFill="1" applyBorder="1"/>
    <xf numFmtId="165" fontId="148" fillId="3" borderId="0" xfId="624" applyNumberFormat="1" applyFont="1" applyFill="1" applyBorder="1"/>
    <xf numFmtId="165" fontId="148" fillId="3" borderId="63" xfId="624" applyNumberFormat="1" applyFont="1" applyFill="1" applyBorder="1"/>
    <xf numFmtId="0" fontId="150" fillId="3" borderId="0" xfId="624" applyFont="1" applyFill="1" applyAlignment="1">
      <alignment horizontal="center"/>
    </xf>
    <xf numFmtId="0" fontId="133" fillId="3" borderId="0" xfId="0" applyFont="1" applyFill="1" applyBorder="1"/>
    <xf numFmtId="0" fontId="148" fillId="3" borderId="0" xfId="624" applyFont="1" applyFill="1" applyBorder="1"/>
    <xf numFmtId="43" fontId="131" fillId="3" borderId="0" xfId="132" applyFont="1" applyFill="1"/>
    <xf numFmtId="43" fontId="131" fillId="3" borderId="0" xfId="132" applyFont="1" applyFill="1" applyBorder="1"/>
    <xf numFmtId="43" fontId="130" fillId="3" borderId="0" xfId="132" applyFont="1" applyFill="1" applyAlignment="1">
      <alignment horizontal="center"/>
    </xf>
    <xf numFmtId="165" fontId="147" fillId="3" borderId="0" xfId="132" applyNumberFormat="1" applyFont="1" applyFill="1"/>
    <xf numFmtId="0" fontId="3" fillId="3" borderId="0" xfId="0" applyFont="1" applyFill="1" applyAlignment="1">
      <alignment horizontal="right" indent="1"/>
    </xf>
    <xf numFmtId="43" fontId="147" fillId="3" borderId="0" xfId="0" applyNumberFormat="1" applyFont="1" applyFill="1"/>
    <xf numFmtId="0" fontId="82" fillId="3" borderId="0" xfId="0" applyFont="1" applyFill="1" applyAlignment="1">
      <alignment horizontal="right" indent="1"/>
    </xf>
    <xf numFmtId="43" fontId="131" fillId="3" borderId="0" xfId="132" applyFont="1" applyFill="1" applyAlignment="1">
      <alignment horizontal="right"/>
    </xf>
    <xf numFmtId="0" fontId="145" fillId="3" borderId="0" xfId="0" applyFont="1" applyFill="1" applyAlignment="1">
      <alignment vertical="top"/>
    </xf>
    <xf numFmtId="0" fontId="148" fillId="3" borderId="0" xfId="624" applyFont="1" applyFill="1" applyAlignment="1">
      <alignment horizontal="right"/>
    </xf>
    <xf numFmtId="165" fontId="147" fillId="3" borderId="0" xfId="0" applyNumberFormat="1" applyFont="1" applyFill="1"/>
    <xf numFmtId="43" fontId="0" fillId="3" borderId="0" xfId="0" applyNumberFormat="1" applyFont="1" applyFill="1" applyBorder="1"/>
    <xf numFmtId="43" fontId="145" fillId="3" borderId="0" xfId="624" applyNumberFormat="1" applyFont="1" applyFill="1" applyBorder="1"/>
    <xf numFmtId="165" fontId="130" fillId="3" borderId="0" xfId="132" applyNumberFormat="1" applyFont="1" applyFill="1" applyBorder="1"/>
    <xf numFmtId="43" fontId="147" fillId="3" borderId="0" xfId="132" applyNumberFormat="1" applyFont="1" applyFill="1"/>
    <xf numFmtId="0" fontId="151" fillId="3" borderId="0" xfId="0" applyFont="1" applyFill="1"/>
    <xf numFmtId="0" fontId="0" fillId="3" borderId="0" xfId="0" applyFont="1" applyFill="1"/>
    <xf numFmtId="0" fontId="0" fillId="3" borderId="0" xfId="0" applyFill="1"/>
    <xf numFmtId="0" fontId="0" fillId="3" borderId="12" xfId="0" applyFont="1" applyFill="1" applyBorder="1" applyAlignment="1">
      <alignment horizontal="center"/>
    </xf>
    <xf numFmtId="43" fontId="0" fillId="3" borderId="0" xfId="154" applyFont="1" applyFill="1"/>
    <xf numFmtId="43" fontId="0" fillId="3" borderId="0" xfId="0" applyNumberFormat="1" applyFont="1" applyFill="1" applyBorder="1" applyAlignment="1">
      <alignment horizontal="center"/>
    </xf>
    <xf numFmtId="43" fontId="0" fillId="3" borderId="0" xfId="154" applyFont="1" applyFill="1" applyAlignment="1">
      <alignment horizontal="center"/>
    </xf>
    <xf numFmtId="0" fontId="0" fillId="3" borderId="0" xfId="0" applyFont="1" applyFill="1" applyAlignment="1">
      <alignment horizontal="left" indent="1"/>
    </xf>
    <xf numFmtId="165" fontId="0" fillId="3" borderId="0" xfId="154" applyNumberFormat="1" applyFont="1" applyFill="1"/>
    <xf numFmtId="0" fontId="0" fillId="3" borderId="0" xfId="0" applyFont="1" applyFill="1" applyAlignment="1">
      <alignment horizontal="center"/>
    </xf>
    <xf numFmtId="0" fontId="129" fillId="3" borderId="0" xfId="0" applyFont="1" applyFill="1"/>
    <xf numFmtId="0" fontId="129" fillId="3" borderId="0" xfId="0" applyFont="1" applyFill="1" applyAlignment="1">
      <alignment horizontal="center"/>
    </xf>
    <xf numFmtId="0" fontId="152" fillId="0" borderId="0" xfId="8" applyNumberFormat="1" applyFont="1"/>
    <xf numFmtId="165" fontId="4" fillId="0" borderId="0" xfId="1" applyNumberFormat="1" applyFont="1" applyFill="1"/>
    <xf numFmtId="164" fontId="4" fillId="0" borderId="0" xfId="2" applyNumberFormat="1" applyFont="1" applyFill="1"/>
    <xf numFmtId="10" fontId="154" fillId="0" borderId="0" xfId="0" applyNumberFormat="1" applyFont="1" applyFill="1" applyBorder="1"/>
    <xf numFmtId="3" fontId="0" fillId="0" borderId="12" xfId="0" applyNumberFormat="1" applyFont="1" applyFill="1" applyBorder="1"/>
    <xf numFmtId="43" fontId="0" fillId="0" borderId="12" xfId="0" applyNumberFormat="1" applyBorder="1"/>
    <xf numFmtId="10" fontId="81" fillId="0" borderId="42" xfId="0" applyNumberFormat="1" applyFont="1" applyBorder="1"/>
    <xf numFmtId="10" fontId="81" fillId="0" borderId="43" xfId="0" applyNumberFormat="1" applyFont="1" applyBorder="1"/>
    <xf numFmtId="0" fontId="0" fillId="0" borderId="38" xfId="0" applyBorder="1" applyAlignment="1">
      <alignment horizontal="left"/>
    </xf>
    <xf numFmtId="43" fontId="0" fillId="0" borderId="0" xfId="0" applyNumberFormat="1" applyBorder="1"/>
    <xf numFmtId="10" fontId="81" fillId="0" borderId="39" xfId="0" applyNumberFormat="1" applyFont="1" applyBorder="1"/>
    <xf numFmtId="0" fontId="0" fillId="0" borderId="60" xfId="0" applyBorder="1" applyAlignment="1">
      <alignment horizontal="left"/>
    </xf>
    <xf numFmtId="0" fontId="3" fillId="0" borderId="38" xfId="0" applyFont="1" applyBorder="1" applyAlignment="1">
      <alignment horizontal="left"/>
    </xf>
    <xf numFmtId="43" fontId="3" fillId="0" borderId="0" xfId="0" applyNumberFormat="1" applyFont="1" applyBorder="1"/>
    <xf numFmtId="0" fontId="155" fillId="0" borderId="35" xfId="0" applyFont="1" applyBorder="1"/>
    <xf numFmtId="10" fontId="82" fillId="0" borderId="0" xfId="0" applyNumberFormat="1" applyFont="1" applyBorder="1" applyAlignment="1">
      <alignment horizontal="right"/>
    </xf>
    <xf numFmtId="10" fontId="82" fillId="0" borderId="0" xfId="0" applyNumberFormat="1" applyFont="1" applyBorder="1"/>
    <xf numFmtId="10" fontId="82" fillId="0" borderId="0" xfId="3" applyNumberFormat="1" applyFont="1" applyBorder="1"/>
    <xf numFmtId="165" fontId="6" fillId="0" borderId="0" xfId="1" applyNumberFormat="1" applyFont="1" applyFill="1" applyBorder="1" applyAlignment="1">
      <alignment horizontal="center"/>
    </xf>
    <xf numFmtId="0" fontId="156" fillId="0" borderId="0" xfId="0" applyFont="1" applyBorder="1"/>
    <xf numFmtId="0" fontId="156" fillId="0" borderId="38" xfId="0" applyFont="1" applyBorder="1"/>
    <xf numFmtId="37" fontId="0" fillId="0" borderId="0" xfId="0" applyNumberFormat="1" applyFont="1" applyFill="1" applyBorder="1"/>
    <xf numFmtId="0" fontId="3" fillId="3" borderId="12" xfId="0" applyFont="1" applyFill="1" applyBorder="1" applyAlignment="1">
      <alignment horizontal="center" wrapText="1"/>
    </xf>
    <xf numFmtId="0" fontId="3" fillId="3" borderId="0" xfId="0" applyFont="1" applyFill="1" applyBorder="1" applyAlignment="1">
      <alignment horizontal="center" wrapText="1"/>
    </xf>
    <xf numFmtId="0" fontId="3" fillId="5" borderId="12" xfId="0" applyFont="1" applyFill="1" applyBorder="1" applyAlignment="1">
      <alignment horizontal="center" wrapText="1"/>
    </xf>
    <xf numFmtId="0" fontId="0" fillId="3" borderId="0" xfId="0" applyFill="1" applyBorder="1"/>
    <xf numFmtId="0" fontId="0" fillId="3" borderId="0" xfId="0" applyFill="1" applyAlignment="1">
      <alignment horizontal="right"/>
    </xf>
    <xf numFmtId="165" fontId="0" fillId="3" borderId="0" xfId="132" applyNumberFormat="1" applyFont="1" applyFill="1"/>
    <xf numFmtId="165" fontId="0" fillId="3" borderId="0" xfId="132" applyNumberFormat="1" applyFont="1" applyFill="1" applyBorder="1"/>
    <xf numFmtId="165" fontId="3" fillId="5" borderId="0" xfId="132" applyNumberFormat="1" applyFont="1" applyFill="1"/>
    <xf numFmtId="43" fontId="0" fillId="3" borderId="0" xfId="0" applyNumberFormat="1" applyFill="1" applyBorder="1"/>
    <xf numFmtId="43" fontId="0" fillId="3" borderId="0" xfId="132" applyFont="1" applyFill="1" applyBorder="1"/>
    <xf numFmtId="165" fontId="0" fillId="3" borderId="0" xfId="0" applyNumberFormat="1" applyFill="1" applyBorder="1"/>
    <xf numFmtId="165" fontId="0" fillId="3" borderId="12" xfId="132" applyNumberFormat="1" applyFont="1" applyFill="1" applyBorder="1"/>
    <xf numFmtId="165" fontId="3" fillId="5" borderId="12" xfId="132" applyNumberFormat="1" applyFont="1" applyFill="1" applyBorder="1"/>
    <xf numFmtId="165" fontId="0" fillId="3" borderId="0" xfId="0" applyNumberFormat="1" applyFill="1"/>
    <xf numFmtId="165" fontId="3" fillId="0" borderId="0" xfId="0" applyNumberFormat="1" applyFont="1"/>
    <xf numFmtId="16" fontId="0" fillId="3" borderId="0" xfId="0" quotePrefix="1" applyNumberFormat="1" applyFill="1"/>
    <xf numFmtId="16" fontId="0" fillId="3" borderId="0" xfId="0" applyNumberFormat="1" applyFill="1"/>
    <xf numFmtId="43" fontId="0" fillId="3" borderId="0" xfId="132" applyFont="1" applyFill="1"/>
    <xf numFmtId="43" fontId="0" fillId="3" borderId="0" xfId="0" applyNumberFormat="1" applyFill="1"/>
    <xf numFmtId="0" fontId="110" fillId="3" borderId="0" xfId="0" applyFont="1" applyFill="1"/>
    <xf numFmtId="43" fontId="0" fillId="0" borderId="39" xfId="1" applyFont="1" applyBorder="1" applyAlignment="1">
      <alignment horizontal="center"/>
    </xf>
    <xf numFmtId="43" fontId="145" fillId="3" borderId="0" xfId="1" applyFont="1" applyFill="1"/>
    <xf numFmtId="43" fontId="131" fillId="3" borderId="0" xfId="1" applyFont="1" applyFill="1" applyAlignment="1">
      <alignment horizontal="center"/>
    </xf>
    <xf numFmtId="43" fontId="131" fillId="3" borderId="0" xfId="1" applyFont="1" applyFill="1"/>
    <xf numFmtId="43" fontId="130" fillId="3" borderId="0" xfId="1" applyFont="1" applyFill="1" applyAlignment="1">
      <alignment horizontal="center"/>
    </xf>
    <xf numFmtId="43" fontId="147" fillId="3" borderId="0" xfId="1" applyFont="1" applyFill="1"/>
    <xf numFmtId="43" fontId="3" fillId="3" borderId="0" xfId="1" applyFont="1" applyFill="1" applyAlignment="1">
      <alignment horizontal="right" indent="1"/>
    </xf>
    <xf numFmtId="43" fontId="82" fillId="3" borderId="0" xfId="1" applyFont="1" applyFill="1" applyAlignment="1">
      <alignment horizontal="right" indent="1"/>
    </xf>
    <xf numFmtId="43" fontId="147" fillId="3" borderId="0" xfId="1" applyFont="1" applyFill="1" applyBorder="1"/>
    <xf numFmtId="43" fontId="3" fillId="3" borderId="0" xfId="1" applyFont="1" applyFill="1" applyBorder="1" applyAlignment="1">
      <alignment horizontal="left" indent="1"/>
    </xf>
    <xf numFmtId="43" fontId="3" fillId="3" borderId="0" xfId="1" applyFont="1" applyFill="1" applyBorder="1" applyAlignment="1">
      <alignment horizontal="left"/>
    </xf>
    <xf numFmtId="43" fontId="145" fillId="3" borderId="0" xfId="1" applyFont="1" applyFill="1" applyBorder="1"/>
    <xf numFmtId="165" fontId="147" fillId="3" borderId="0" xfId="1" applyNumberFormat="1" applyFont="1" applyFill="1" applyBorder="1"/>
    <xf numFmtId="165" fontId="147" fillId="3" borderId="7" xfId="1" applyNumberFormat="1" applyFont="1" applyFill="1" applyBorder="1"/>
    <xf numFmtId="165" fontId="145" fillId="3" borderId="0" xfId="1" applyNumberFormat="1" applyFont="1" applyFill="1" applyBorder="1"/>
    <xf numFmtId="165" fontId="145" fillId="3" borderId="0" xfId="624" applyNumberFormat="1" applyFont="1" applyFill="1" applyBorder="1"/>
    <xf numFmtId="165" fontId="145" fillId="3" borderId="7" xfId="624" applyNumberFormat="1" applyFont="1" applyFill="1" applyBorder="1"/>
    <xf numFmtId="165" fontId="147" fillId="3" borderId="0" xfId="0" applyNumberFormat="1" applyFont="1" applyFill="1" applyBorder="1"/>
    <xf numFmtId="165" fontId="147" fillId="3" borderId="8" xfId="0" applyNumberFormat="1" applyFont="1" applyFill="1" applyBorder="1"/>
    <xf numFmtId="165" fontId="145" fillId="3" borderId="0" xfId="624" applyNumberFormat="1" applyFont="1" applyFill="1"/>
    <xf numFmtId="3" fontId="157" fillId="3" borderId="0" xfId="0" applyNumberFormat="1" applyFont="1" applyFill="1"/>
    <xf numFmtId="168" fontId="0" fillId="0" borderId="0" xfId="3" applyNumberFormat="1" applyFont="1" applyAlignment="1">
      <alignment horizontal="center"/>
    </xf>
    <xf numFmtId="165" fontId="0" fillId="3" borderId="68" xfId="151" applyNumberFormat="1" applyFont="1" applyFill="1" applyBorder="1">
      <alignment vertical="top"/>
    </xf>
    <xf numFmtId="165" fontId="0" fillId="3" borderId="8" xfId="151" applyNumberFormat="1" applyFont="1" applyFill="1" applyBorder="1">
      <alignment vertical="top"/>
    </xf>
    <xf numFmtId="0" fontId="25" fillId="3" borderId="8" xfId="383" applyFill="1" applyBorder="1">
      <alignment vertical="top"/>
    </xf>
    <xf numFmtId="0" fontId="25" fillId="3" borderId="67" xfId="383" applyFill="1" applyBorder="1">
      <alignment vertical="top"/>
    </xf>
    <xf numFmtId="165" fontId="25" fillId="3" borderId="0" xfId="383" applyNumberFormat="1" applyFill="1">
      <alignment vertical="top"/>
    </xf>
    <xf numFmtId="165" fontId="0" fillId="3" borderId="56" xfId="151" applyNumberFormat="1" applyFont="1" applyFill="1" applyBorder="1">
      <alignment vertical="top"/>
    </xf>
    <xf numFmtId="165" fontId="0" fillId="3" borderId="7" xfId="151" applyNumberFormat="1" applyFont="1" applyFill="1" applyBorder="1">
      <alignment vertical="top"/>
    </xf>
    <xf numFmtId="165" fontId="0" fillId="3" borderId="66" xfId="151" applyNumberFormat="1" applyFont="1" applyFill="1" applyBorder="1">
      <alignment vertical="top"/>
    </xf>
    <xf numFmtId="0" fontId="25" fillId="3" borderId="65" xfId="383" applyFill="1" applyBorder="1">
      <alignment vertical="top"/>
    </xf>
    <xf numFmtId="165" fontId="0" fillId="3" borderId="0" xfId="151" applyNumberFormat="1" applyFont="1" applyFill="1">
      <alignment vertical="top"/>
    </xf>
    <xf numFmtId="0" fontId="25" fillId="3" borderId="46" xfId="383" applyFill="1" applyBorder="1">
      <alignment vertical="top"/>
    </xf>
    <xf numFmtId="0" fontId="25" fillId="3" borderId="7" xfId="383" applyFill="1" applyBorder="1">
      <alignment vertical="top"/>
    </xf>
    <xf numFmtId="0" fontId="25" fillId="3" borderId="0" xfId="383" applyFill="1">
      <alignment vertical="top"/>
    </xf>
    <xf numFmtId="4" fontId="81" fillId="0" borderId="39" xfId="0" applyNumberFormat="1" applyFont="1" applyBorder="1"/>
    <xf numFmtId="10" fontId="81" fillId="0" borderId="39" xfId="0" applyNumberFormat="1" applyFont="1" applyFill="1" applyBorder="1"/>
    <xf numFmtId="4" fontId="82" fillId="0" borderId="39" xfId="0" applyNumberFormat="1" applyFont="1" applyBorder="1" applyAlignment="1">
      <alignment horizontal="center"/>
    </xf>
    <xf numFmtId="3" fontId="82" fillId="0" borderId="38" xfId="0" applyNumberFormat="1" applyFont="1" applyBorder="1"/>
    <xf numFmtId="183" fontId="82" fillId="0" borderId="0" xfId="0" applyNumberFormat="1" applyFont="1" applyBorder="1"/>
    <xf numFmtId="0" fontId="82" fillId="0" borderId="0" xfId="0" applyFont="1" applyBorder="1" applyAlignment="1">
      <alignment horizontal="center"/>
    </xf>
    <xf numFmtId="3" fontId="82" fillId="39" borderId="64" xfId="0" applyNumberFormat="1" applyFont="1" applyFill="1" applyBorder="1"/>
    <xf numFmtId="183" fontId="81" fillId="0" borderId="0" xfId="0" applyNumberFormat="1" applyFont="1" applyBorder="1"/>
    <xf numFmtId="165" fontId="148" fillId="52" borderId="0" xfId="132" applyNumberFormat="1" applyFont="1" applyFill="1" applyAlignment="1">
      <alignment horizontal="center" wrapText="1"/>
    </xf>
    <xf numFmtId="3" fontId="157" fillId="0" borderId="0" xfId="0" applyNumberFormat="1" applyFont="1" applyFill="1"/>
    <xf numFmtId="43" fontId="0" fillId="0" borderId="0" xfId="1" applyFont="1" applyFill="1"/>
    <xf numFmtId="43" fontId="3" fillId="0" borderId="44" xfId="0" applyNumberFormat="1" applyFont="1" applyFill="1" applyBorder="1"/>
    <xf numFmtId="0" fontId="159" fillId="3" borderId="0" xfId="0" applyFont="1" applyFill="1"/>
    <xf numFmtId="0" fontId="157" fillId="3" borderId="0" xfId="0" applyFont="1" applyFill="1"/>
    <xf numFmtId="0" fontId="160" fillId="4" borderId="0" xfId="0" applyFont="1" applyFill="1"/>
    <xf numFmtId="0" fontId="159" fillId="4" borderId="0" xfId="0" applyFont="1" applyFill="1"/>
    <xf numFmtId="0" fontId="159" fillId="5" borderId="0" xfId="0" applyFont="1" applyFill="1"/>
    <xf numFmtId="0" fontId="162" fillId="6" borderId="0" xfId="5" applyFont="1" applyFill="1"/>
    <xf numFmtId="3" fontId="162" fillId="6" borderId="0" xfId="5" applyNumberFormat="1" applyFont="1" applyFill="1"/>
    <xf numFmtId="0" fontId="162" fillId="6" borderId="0" xfId="0" applyFont="1" applyFill="1"/>
    <xf numFmtId="0" fontId="161" fillId="3" borderId="0" xfId="5" applyFont="1" applyFill="1"/>
    <xf numFmtId="3" fontId="161" fillId="3" borderId="0" xfId="5" applyNumberFormat="1" applyFont="1" applyFill="1"/>
    <xf numFmtId="3" fontId="163" fillId="3" borderId="0" xfId="5" applyNumberFormat="1" applyFont="1" applyFill="1"/>
    <xf numFmtId="3" fontId="164" fillId="3" borderId="7" xfId="5" applyNumberFormat="1" applyFont="1" applyFill="1" applyBorder="1"/>
    <xf numFmtId="0" fontId="165" fillId="6" borderId="0" xfId="0" applyFont="1" applyFill="1"/>
    <xf numFmtId="3" fontId="164" fillId="3" borderId="0" xfId="5" applyNumberFormat="1" applyFont="1" applyFill="1"/>
    <xf numFmtId="0" fontId="164" fillId="3" borderId="0" xfId="5" applyFont="1" applyFill="1"/>
    <xf numFmtId="0" fontId="157" fillId="3" borderId="0" xfId="0" applyFont="1" applyFill="1" applyAlignment="1">
      <alignment horizontal="right"/>
    </xf>
    <xf numFmtId="3" fontId="157" fillId="3" borderId="8" xfId="0" applyNumberFormat="1" applyFont="1" applyFill="1" applyBorder="1"/>
    <xf numFmtId="0" fontId="166" fillId="4" borderId="0" xfId="0" applyFont="1" applyFill="1"/>
    <xf numFmtId="0" fontId="157" fillId="5" borderId="0" xfId="0" applyFont="1" applyFill="1"/>
    <xf numFmtId="0" fontId="165" fillId="6" borderId="0" xfId="0" applyFont="1" applyFill="1" applyAlignment="1">
      <alignment horizontal="center"/>
    </xf>
    <xf numFmtId="3" fontId="159" fillId="3" borderId="0" xfId="0" applyNumberFormat="1" applyFont="1" applyFill="1"/>
    <xf numFmtId="0" fontId="163" fillId="3" borderId="0" xfId="0" quotePrefix="1" applyFont="1" applyFill="1" applyAlignment="1">
      <alignment horizontal="left"/>
    </xf>
    <xf numFmtId="178" fontId="159" fillId="3" borderId="0" xfId="0" applyNumberFormat="1" applyFont="1" applyFill="1" applyBorder="1"/>
    <xf numFmtId="178" fontId="159" fillId="3" borderId="0" xfId="0" applyNumberFormat="1" applyFont="1" applyFill="1"/>
    <xf numFmtId="0" fontId="167" fillId="4" borderId="0" xfId="5" applyFont="1" applyFill="1"/>
    <xf numFmtId="0" fontId="167" fillId="4" borderId="0" xfId="0" applyFont="1" applyFill="1"/>
    <xf numFmtId="5" fontId="157" fillId="3" borderId="0" xfId="0" applyNumberFormat="1" applyFont="1" applyFill="1"/>
    <xf numFmtId="10" fontId="159" fillId="3" borderId="0" xfId="3" applyNumberFormat="1" applyFont="1" applyFill="1"/>
    <xf numFmtId="178" fontId="157" fillId="3" borderId="0" xfId="0" applyNumberFormat="1" applyFont="1" applyFill="1"/>
    <xf numFmtId="3" fontId="159" fillId="3" borderId="0" xfId="0" quotePrefix="1" applyNumberFormat="1" applyFont="1" applyFill="1" applyAlignment="1">
      <alignment horizontal="right"/>
    </xf>
    <xf numFmtId="178" fontId="157" fillId="3" borderId="0" xfId="0" quotePrefix="1" applyNumberFormat="1" applyFont="1" applyFill="1" applyAlignment="1">
      <alignment horizontal="right"/>
    </xf>
    <xf numFmtId="37" fontId="159" fillId="3" borderId="0" xfId="0" applyNumberFormat="1" applyFont="1" applyFill="1"/>
    <xf numFmtId="5" fontId="157" fillId="3" borderId="0" xfId="0" quotePrefix="1" applyNumberFormat="1" applyFont="1" applyFill="1" applyAlignment="1">
      <alignment horizontal="right"/>
    </xf>
    <xf numFmtId="0" fontId="144" fillId="0" borderId="0" xfId="0" applyFont="1"/>
    <xf numFmtId="1" fontId="144" fillId="0" borderId="0" xfId="0" applyNumberFormat="1" applyFont="1"/>
    <xf numFmtId="0" fontId="164" fillId="5" borderId="0" xfId="0" applyFont="1" applyFill="1"/>
    <xf numFmtId="0" fontId="159" fillId="3" borderId="0" xfId="0" applyFont="1" applyFill="1" applyAlignment="1">
      <alignment horizontal="right"/>
    </xf>
    <xf numFmtId="178" fontId="157" fillId="3" borderId="0" xfId="0" applyNumberFormat="1" applyFont="1" applyFill="1" applyBorder="1"/>
    <xf numFmtId="186" fontId="157" fillId="3" borderId="8" xfId="0" applyNumberFormat="1" applyFont="1" applyFill="1" applyBorder="1"/>
    <xf numFmtId="0" fontId="168" fillId="6" borderId="0" xfId="0" applyFont="1" applyFill="1" applyAlignment="1">
      <alignment horizontal="center"/>
    </xf>
    <xf numFmtId="186" fontId="159" fillId="0" borderId="0" xfId="0" applyNumberFormat="1" applyFont="1" applyFill="1"/>
    <xf numFmtId="9" fontId="159" fillId="3" borderId="0" xfId="3" applyFont="1" applyFill="1"/>
    <xf numFmtId="0" fontId="80" fillId="3" borderId="0" xfId="0" applyFont="1" applyFill="1" applyAlignment="1">
      <alignment horizontal="left"/>
    </xf>
    <xf numFmtId="0" fontId="172" fillId="49" borderId="0" xfId="625" applyFill="1"/>
    <xf numFmtId="0" fontId="172" fillId="0" borderId="0" xfId="625"/>
    <xf numFmtId="0" fontId="4" fillId="0" borderId="0" xfId="625" applyFont="1"/>
    <xf numFmtId="0" fontId="72" fillId="0" borderId="0" xfId="625" applyFont="1"/>
    <xf numFmtId="0" fontId="172" fillId="0" borderId="0" xfId="625" applyAlignment="1">
      <alignment horizontal="right"/>
    </xf>
    <xf numFmtId="0" fontId="172" fillId="0" borderId="0" xfId="625" applyAlignment="1">
      <alignment horizontal="left"/>
    </xf>
    <xf numFmtId="0" fontId="94" fillId="0" borderId="0" xfId="625" applyFont="1"/>
    <xf numFmtId="0" fontId="95" fillId="0" borderId="0" xfId="625" applyFont="1"/>
    <xf numFmtId="0" fontId="96" fillId="0" borderId="0" xfId="625" applyFont="1" applyAlignment="1">
      <alignment horizontal="right" vertical="top"/>
    </xf>
    <xf numFmtId="0" fontId="97" fillId="0" borderId="0" xfId="625" applyFont="1"/>
    <xf numFmtId="0" fontId="72" fillId="49" borderId="12" xfId="625" applyFont="1" applyFill="1" applyBorder="1" applyAlignment="1">
      <alignment horizontal="centerContinuous"/>
    </xf>
    <xf numFmtId="0" fontId="72" fillId="46" borderId="12" xfId="625" applyFont="1" applyFill="1" applyBorder="1" applyAlignment="1">
      <alignment horizontal="centerContinuous"/>
    </xf>
    <xf numFmtId="0" fontId="172" fillId="46" borderId="12" xfId="625" applyFill="1" applyBorder="1" applyAlignment="1">
      <alignment horizontal="centerContinuous"/>
    </xf>
    <xf numFmtId="0" fontId="72" fillId="0" borderId="0" xfId="625" applyFont="1" applyAlignment="1">
      <alignment horizontal="right"/>
    </xf>
    <xf numFmtId="49" fontId="98" fillId="0" borderId="0" xfId="625" applyNumberFormat="1" applyFont="1" applyAlignment="1">
      <alignment horizontal="left"/>
    </xf>
    <xf numFmtId="0" fontId="4" fillId="0" borderId="0" xfId="625" applyFont="1" applyAlignment="1">
      <alignment horizontal="right"/>
    </xf>
    <xf numFmtId="0" fontId="98" fillId="0" borderId="0" xfId="625" applyFont="1"/>
    <xf numFmtId="0" fontId="172" fillId="0" borderId="0" xfId="625" applyAlignment="1"/>
    <xf numFmtId="0" fontId="98" fillId="0" borderId="0" xfId="625" applyFont="1" applyAlignment="1">
      <alignment horizontal="left"/>
    </xf>
    <xf numFmtId="0" fontId="72" fillId="42" borderId="0" xfId="625" applyFont="1" applyFill="1"/>
    <xf numFmtId="0" fontId="172" fillId="42" borderId="0" xfId="625" applyFill="1"/>
    <xf numFmtId="0" fontId="172" fillId="0" borderId="0" xfId="625" applyAlignment="1">
      <alignment horizontal="left" indent="1"/>
    </xf>
    <xf numFmtId="0" fontId="172" fillId="0" borderId="0" xfId="625" applyNumberFormat="1" applyAlignment="1">
      <alignment horizontal="left"/>
    </xf>
    <xf numFmtId="177" fontId="172" fillId="0" borderId="0" xfId="625" applyNumberFormat="1"/>
    <xf numFmtId="0" fontId="4" fillId="46" borderId="6" xfId="625" applyFont="1" applyFill="1" applyBorder="1" applyAlignment="1">
      <alignment horizontal="centerContinuous"/>
    </xf>
    <xf numFmtId="0" fontId="4" fillId="46" borderId="7" xfId="625" applyFont="1" applyFill="1" applyBorder="1" applyAlignment="1">
      <alignment horizontal="centerContinuous"/>
    </xf>
    <xf numFmtId="0" fontId="4" fillId="46" borderId="46" xfId="625" applyFont="1" applyFill="1" applyBorder="1" applyAlignment="1">
      <alignment horizontal="centerContinuous"/>
    </xf>
    <xf numFmtId="0" fontId="172" fillId="0" borderId="0" xfId="625" applyAlignment="1">
      <alignment vertical="top"/>
    </xf>
    <xf numFmtId="0" fontId="172" fillId="42" borderId="29" xfId="625" applyFill="1" applyBorder="1" applyAlignment="1">
      <alignment vertical="top"/>
    </xf>
    <xf numFmtId="0" fontId="172" fillId="42" borderId="29" xfId="625" applyFill="1" applyBorder="1" applyAlignment="1">
      <alignment horizontal="center" vertical="top"/>
    </xf>
    <xf numFmtId="0" fontId="72" fillId="42" borderId="29" xfId="625" applyFont="1" applyFill="1" applyBorder="1" applyAlignment="1">
      <alignment horizontal="center" vertical="top" wrapText="1"/>
    </xf>
    <xf numFmtId="0" fontId="99" fillId="42" borderId="29" xfId="625" applyFont="1" applyFill="1" applyBorder="1" applyAlignment="1">
      <alignment vertical="top"/>
    </xf>
    <xf numFmtId="177" fontId="172" fillId="42" borderId="29" xfId="625" applyNumberFormat="1" applyFill="1" applyBorder="1" applyAlignment="1">
      <alignment vertical="top"/>
    </xf>
    <xf numFmtId="0" fontId="172" fillId="42" borderId="29" xfId="625" applyFill="1" applyBorder="1" applyAlignment="1">
      <alignment horizontal="left" vertical="top" wrapText="1"/>
    </xf>
    <xf numFmtId="0" fontId="4" fillId="42" borderId="47" xfId="625" applyFont="1" applyFill="1" applyBorder="1" applyAlignment="1">
      <alignment horizontal="center" vertical="top"/>
    </xf>
    <xf numFmtId="14" fontId="172" fillId="0" borderId="0" xfId="625" applyNumberFormat="1"/>
    <xf numFmtId="40" fontId="72" fillId="0" borderId="0" xfId="625" applyNumberFormat="1" applyFont="1"/>
    <xf numFmtId="40" fontId="72" fillId="0" borderId="0" xfId="625" applyNumberFormat="1" applyFont="1" applyAlignment="1">
      <alignment horizontal="center"/>
    </xf>
    <xf numFmtId="0" fontId="172" fillId="0" borderId="0" xfId="625" applyAlignment="1">
      <alignment horizontal="center"/>
    </xf>
    <xf numFmtId="0" fontId="172" fillId="0" borderId="44" xfId="625" applyBorder="1"/>
    <xf numFmtId="0" fontId="172" fillId="0" borderId="44" xfId="625" applyBorder="1" applyAlignment="1">
      <alignment horizontal="right"/>
    </xf>
    <xf numFmtId="0" fontId="172" fillId="0" borderId="0" xfId="625" applyBorder="1"/>
    <xf numFmtId="0" fontId="172" fillId="0" borderId="0" xfId="625" applyNumberFormat="1"/>
    <xf numFmtId="10" fontId="172" fillId="0" borderId="0" xfId="3" applyNumberFormat="1" applyFont="1"/>
    <xf numFmtId="43" fontId="157" fillId="0" borderId="8" xfId="0" applyNumberFormat="1" applyFont="1" applyFill="1" applyBorder="1"/>
    <xf numFmtId="3" fontId="84" fillId="0" borderId="12" xfId="135" applyNumberFormat="1" applyFont="1" applyFill="1" applyBorder="1"/>
    <xf numFmtId="37" fontId="84" fillId="0" borderId="12" xfId="135" applyNumberFormat="1" applyFont="1" applyFill="1" applyBorder="1"/>
    <xf numFmtId="0" fontId="92" fillId="0" borderId="0" xfId="0" applyFont="1"/>
    <xf numFmtId="0" fontId="92" fillId="0" borderId="0" xfId="0" applyFont="1" applyAlignment="1">
      <alignment horizontal="right"/>
    </xf>
    <xf numFmtId="164" fontId="93" fillId="0" borderId="0" xfId="2" applyNumberFormat="1" applyFont="1"/>
    <xf numFmtId="164" fontId="93" fillId="0" borderId="0" xfId="0" applyNumberFormat="1" applyFont="1"/>
    <xf numFmtId="0" fontId="173" fillId="3" borderId="0" xfId="0" applyFont="1" applyFill="1" applyAlignment="1">
      <alignment horizontal="left"/>
    </xf>
    <xf numFmtId="0" fontId="148" fillId="57" borderId="0" xfId="624" applyFont="1" applyFill="1" applyAlignment="1">
      <alignment horizontal="center"/>
    </xf>
    <xf numFmtId="0" fontId="145" fillId="57" borderId="0" xfId="624" applyFont="1" applyFill="1"/>
    <xf numFmtId="14" fontId="148" fillId="57" borderId="0" xfId="624" applyNumberFormat="1" applyFont="1" applyFill="1" applyAlignment="1">
      <alignment horizontal="center" wrapText="1"/>
    </xf>
    <xf numFmtId="0" fontId="148" fillId="57" borderId="0" xfId="624" applyFont="1" applyFill="1" applyAlignment="1">
      <alignment horizontal="center" wrapText="1"/>
    </xf>
    <xf numFmtId="0" fontId="145" fillId="52" borderId="0" xfId="624" applyFont="1" applyFill="1"/>
    <xf numFmtId="0" fontId="148" fillId="43" borderId="0" xfId="624" applyFont="1" applyFill="1" applyAlignment="1">
      <alignment horizontal="center" wrapText="1"/>
    </xf>
    <xf numFmtId="165" fontId="147" fillId="3" borderId="0" xfId="1" applyNumberFormat="1" applyFont="1" applyFill="1" applyAlignment="1">
      <alignment horizontal="left" indent="1"/>
    </xf>
    <xf numFmtId="0" fontId="144" fillId="58" borderId="0" xfId="0" applyFont="1" applyFill="1" applyAlignment="1">
      <alignment horizontal="center" wrapText="1"/>
    </xf>
    <xf numFmtId="0" fontId="144" fillId="58" borderId="0" xfId="0" applyFont="1" applyFill="1" applyAlignment="1">
      <alignment horizontal="center"/>
    </xf>
    <xf numFmtId="10" fontId="144" fillId="58" borderId="0" xfId="3" applyNumberFormat="1" applyFont="1" applyFill="1" applyAlignment="1">
      <alignment horizontal="center" wrapText="1"/>
    </xf>
    <xf numFmtId="9" fontId="144" fillId="58" borderId="0" xfId="0" applyNumberFormat="1" applyFont="1" applyFill="1" applyAlignment="1">
      <alignment horizontal="center"/>
    </xf>
    <xf numFmtId="0" fontId="144" fillId="58" borderId="0" xfId="0" applyFont="1" applyFill="1" applyAlignment="1">
      <alignment wrapText="1"/>
    </xf>
    <xf numFmtId="0" fontId="148" fillId="43" borderId="0" xfId="624" applyFont="1" applyFill="1" applyBorder="1" applyAlignment="1">
      <alignment horizontal="center" wrapText="1"/>
    </xf>
    <xf numFmtId="0" fontId="145" fillId="43" borderId="0" xfId="624" applyFont="1" applyFill="1" applyBorder="1"/>
    <xf numFmtId="43" fontId="131" fillId="0" borderId="0" xfId="132" applyFont="1" applyFill="1" applyAlignment="1">
      <alignment horizontal="center"/>
    </xf>
    <xf numFmtId="166" fontId="169" fillId="3" borderId="0" xfId="361" applyFont="1" applyFill="1"/>
    <xf numFmtId="166" fontId="170" fillId="3" borderId="0" xfId="361" applyFont="1" applyFill="1"/>
    <xf numFmtId="166" fontId="170" fillId="3" borderId="0" xfId="361" applyFont="1" applyFill="1" applyBorder="1"/>
    <xf numFmtId="166" fontId="170" fillId="3" borderId="0" xfId="361" applyFont="1" applyFill="1" applyAlignment="1">
      <alignment horizontal="center"/>
    </xf>
    <xf numFmtId="166" fontId="170" fillId="3" borderId="0" xfId="361" applyFont="1" applyFill="1" applyBorder="1" applyAlignment="1">
      <alignment horizontal="center"/>
    </xf>
    <xf numFmtId="175" fontId="170" fillId="3" borderId="0" xfId="361" quotePrefix="1" applyNumberFormat="1" applyFont="1" applyFill="1"/>
    <xf numFmtId="44" fontId="170" fillId="3" borderId="0" xfId="361" applyNumberFormat="1" applyFont="1" applyFill="1"/>
    <xf numFmtId="37" fontId="170" fillId="3" borderId="0" xfId="361" applyNumberFormat="1" applyFont="1" applyFill="1"/>
    <xf numFmtId="43" fontId="170" fillId="3" borderId="0" xfId="132" applyFont="1" applyFill="1" applyBorder="1"/>
    <xf numFmtId="44" fontId="170" fillId="3" borderId="12" xfId="361" applyNumberFormat="1" applyFont="1" applyFill="1" applyBorder="1"/>
    <xf numFmtId="37" fontId="170" fillId="3" borderId="12" xfId="361" applyNumberFormat="1" applyFont="1" applyFill="1" applyBorder="1"/>
    <xf numFmtId="165" fontId="170" fillId="3" borderId="0" xfId="132" applyNumberFormat="1" applyFont="1" applyFill="1"/>
    <xf numFmtId="44" fontId="169" fillId="3" borderId="0" xfId="361" applyNumberFormat="1" applyFont="1" applyFill="1"/>
    <xf numFmtId="187" fontId="170" fillId="3" borderId="0" xfId="361" applyNumberFormat="1" applyFont="1" applyFill="1"/>
    <xf numFmtId="44" fontId="171" fillId="3" borderId="0" xfId="361" applyNumberFormat="1" applyFont="1" applyFill="1"/>
    <xf numFmtId="37" fontId="171" fillId="3" borderId="0" xfId="361" applyNumberFormat="1" applyFont="1" applyFill="1"/>
    <xf numFmtId="187" fontId="171" fillId="3" borderId="0" xfId="361" applyNumberFormat="1" applyFont="1" applyFill="1"/>
    <xf numFmtId="44" fontId="170" fillId="3" borderId="0" xfId="361" applyNumberFormat="1" applyFont="1" applyFill="1" applyBorder="1"/>
    <xf numFmtId="37" fontId="170" fillId="3" borderId="0" xfId="361" applyNumberFormat="1" applyFont="1" applyFill="1" applyBorder="1"/>
    <xf numFmtId="187" fontId="170" fillId="3" borderId="0" xfId="361" applyNumberFormat="1" applyFont="1" applyFill="1" applyBorder="1"/>
    <xf numFmtId="166" fontId="170" fillId="3" borderId="0" xfId="361" quotePrefix="1" applyFont="1" applyFill="1" applyBorder="1"/>
    <xf numFmtId="187" fontId="169" fillId="3" borderId="0" xfId="361" applyNumberFormat="1" applyFont="1" applyFill="1" applyBorder="1"/>
    <xf numFmtId="43" fontId="169" fillId="3" borderId="0" xfId="1" applyNumberFormat="1" applyFont="1" applyFill="1" applyBorder="1"/>
    <xf numFmtId="166" fontId="169" fillId="3" borderId="0" xfId="361" applyFont="1" applyFill="1" applyBorder="1"/>
    <xf numFmtId="3" fontId="169" fillId="3" borderId="0" xfId="361" applyNumberFormat="1" applyFont="1" applyFill="1" applyBorder="1"/>
    <xf numFmtId="166" fontId="174" fillId="3" borderId="44" xfId="361" applyFont="1" applyFill="1" applyBorder="1" applyAlignment="1">
      <alignment horizontal="center"/>
    </xf>
    <xf numFmtId="166" fontId="174" fillId="3" borderId="12" xfId="361" applyFont="1" applyFill="1" applyBorder="1" applyAlignment="1">
      <alignment horizontal="center"/>
    </xf>
    <xf numFmtId="166" fontId="174" fillId="3" borderId="7" xfId="361" applyFont="1" applyFill="1" applyBorder="1" applyAlignment="1">
      <alignment horizontal="center"/>
    </xf>
    <xf numFmtId="43" fontId="170" fillId="3" borderId="0" xfId="1" applyFont="1" applyFill="1" applyBorder="1"/>
    <xf numFmtId="166" fontId="175" fillId="3" borderId="0" xfId="361" applyFont="1" applyFill="1"/>
    <xf numFmtId="43" fontId="3" fillId="3" borderId="0" xfId="0" applyNumberFormat="1" applyFont="1" applyFill="1" applyBorder="1"/>
    <xf numFmtId="44" fontId="0" fillId="3" borderId="0" xfId="0" applyNumberFormat="1" applyFill="1"/>
    <xf numFmtId="0" fontId="22" fillId="3" borderId="0" xfId="104" applyFont="1" applyFill="1" applyBorder="1"/>
    <xf numFmtId="0" fontId="158" fillId="3" borderId="0" xfId="0" applyFont="1" applyFill="1" applyBorder="1" applyAlignment="1">
      <alignment horizontal="center" wrapText="1"/>
    </xf>
    <xf numFmtId="43" fontId="0" fillId="3" borderId="0" xfId="1" applyFont="1" applyFill="1" applyBorder="1"/>
    <xf numFmtId="44" fontId="82" fillId="3" borderId="63" xfId="0" applyNumberFormat="1" applyFont="1" applyFill="1" applyBorder="1"/>
    <xf numFmtId="0" fontId="3" fillId="47" borderId="46" xfId="0" applyFont="1" applyFill="1" applyBorder="1" applyAlignment="1"/>
    <xf numFmtId="0" fontId="3" fillId="47" borderId="7" xfId="0" applyFont="1" applyFill="1" applyBorder="1" applyAlignment="1"/>
    <xf numFmtId="0" fontId="3" fillId="47" borderId="6" xfId="0" applyFont="1" applyFill="1" applyBorder="1" applyAlignment="1"/>
    <xf numFmtId="0" fontId="0" fillId="3" borderId="56" xfId="0" applyFill="1" applyBorder="1"/>
    <xf numFmtId="44" fontId="126" fillId="3" borderId="56" xfId="2" applyFont="1" applyFill="1" applyBorder="1"/>
    <xf numFmtId="0" fontId="126" fillId="3" borderId="56" xfId="0" applyFont="1" applyFill="1" applyBorder="1"/>
    <xf numFmtId="0" fontId="176" fillId="3" borderId="56" xfId="0" applyFont="1" applyFill="1" applyBorder="1"/>
    <xf numFmtId="44" fontId="3" fillId="3" borderId="0" xfId="2" applyFont="1" applyFill="1"/>
    <xf numFmtId="0" fontId="177" fillId="3" borderId="56" xfId="0" applyFont="1" applyFill="1" applyBorder="1" applyAlignment="1">
      <alignment horizontal="center"/>
    </xf>
    <xf numFmtId="0" fontId="88" fillId="3" borderId="0" xfId="0" applyFont="1" applyFill="1"/>
    <xf numFmtId="1" fontId="81" fillId="3" borderId="0" xfId="5" applyNumberFormat="1" applyFont="1" applyFill="1" applyBorder="1" applyAlignment="1">
      <alignment horizontal="right"/>
    </xf>
    <xf numFmtId="0" fontId="88" fillId="0" borderId="0" xfId="0" applyFont="1" applyFill="1"/>
    <xf numFmtId="0" fontId="5" fillId="0" borderId="0" xfId="361" applyNumberFormat="1" applyFont="1" applyAlignment="1">
      <alignment horizontal="left"/>
    </xf>
    <xf numFmtId="166" fontId="6" fillId="0" borderId="0" xfId="361" applyFont="1"/>
    <xf numFmtId="166" fontId="5" fillId="0" borderId="0" xfId="361" applyFont="1"/>
    <xf numFmtId="166" fontId="6" fillId="0" borderId="0" xfId="361" applyFont="1" applyAlignment="1">
      <alignment horizontal="left"/>
    </xf>
    <xf numFmtId="166" fontId="6" fillId="0" borderId="0" xfId="361" applyFont="1" applyFill="1" applyAlignment="1">
      <alignment horizontal="left"/>
    </xf>
    <xf numFmtId="165" fontId="6" fillId="0" borderId="0" xfId="132" applyNumberFormat="1" applyFont="1"/>
    <xf numFmtId="3" fontId="6" fillId="0" borderId="0" xfId="361" applyNumberFormat="1" applyFont="1"/>
    <xf numFmtId="189" fontId="6" fillId="0" borderId="0" xfId="361" applyNumberFormat="1" applyFont="1"/>
    <xf numFmtId="168" fontId="6" fillId="0" borderId="0" xfId="361" applyNumberFormat="1" applyFont="1"/>
    <xf numFmtId="3" fontId="6" fillId="0" borderId="0" xfId="361" applyNumberFormat="1" applyFont="1" applyAlignment="1">
      <alignment horizontal="right"/>
    </xf>
    <xf numFmtId="10" fontId="6" fillId="0" borderId="0" xfId="361" applyNumberFormat="1" applyFont="1"/>
    <xf numFmtId="0" fontId="179" fillId="0" borderId="0" xfId="328" applyFont="1"/>
    <xf numFmtId="9" fontId="6" fillId="0" borderId="0" xfId="524" applyFont="1"/>
    <xf numFmtId="166" fontId="6" fillId="0" borderId="0" xfId="361" applyFont="1" applyBorder="1"/>
    <xf numFmtId="166" fontId="6" fillId="0" borderId="0" xfId="361" applyFont="1" applyBorder="1" applyAlignment="1">
      <alignment horizontal="left"/>
    </xf>
    <xf numFmtId="166" fontId="6" fillId="0" borderId="0" xfId="361" applyFont="1" applyFill="1" applyBorder="1" applyAlignment="1">
      <alignment horizontal="left"/>
    </xf>
    <xf numFmtId="166" fontId="15" fillId="0" borderId="29" xfId="361" applyFont="1" applyBorder="1"/>
    <xf numFmtId="166" fontId="6" fillId="0" borderId="29" xfId="361" applyFont="1" applyBorder="1"/>
    <xf numFmtId="166" fontId="6" fillId="0" borderId="29" xfId="361" applyFont="1" applyBorder="1" applyAlignment="1">
      <alignment horizontal="left"/>
    </xf>
    <xf numFmtId="166" fontId="6" fillId="0" borderId="29" xfId="361" applyFont="1" applyFill="1" applyBorder="1" applyAlignment="1">
      <alignment horizontal="left"/>
    </xf>
    <xf numFmtId="166" fontId="6" fillId="0" borderId="0" xfId="361" applyFont="1" applyFill="1" applyAlignment="1">
      <alignment horizontal="right"/>
    </xf>
    <xf numFmtId="14" fontId="6" fillId="0" borderId="0" xfId="361" applyNumberFormat="1" applyFont="1" applyFill="1" applyAlignment="1">
      <alignment horizontal="center"/>
    </xf>
    <xf numFmtId="4" fontId="6" fillId="0" borderId="0" xfId="361" applyNumberFormat="1" applyFont="1"/>
    <xf numFmtId="166" fontId="6" fillId="5" borderId="0" xfId="361" applyFont="1" applyFill="1" applyAlignment="1">
      <alignment horizontal="left"/>
    </xf>
    <xf numFmtId="166" fontId="5" fillId="5" borderId="35" xfId="361" applyFont="1" applyFill="1" applyBorder="1" applyAlignment="1">
      <alignment horizontal="center"/>
    </xf>
    <xf numFmtId="166" fontId="5" fillId="5" borderId="0" xfId="361" applyFont="1" applyFill="1" applyBorder="1" applyAlignment="1">
      <alignment horizontal="center"/>
    </xf>
    <xf numFmtId="166" fontId="6" fillId="0" borderId="43" xfId="361" applyFont="1" applyFill="1" applyBorder="1" applyAlignment="1">
      <alignment horizontal="left"/>
    </xf>
    <xf numFmtId="166" fontId="5" fillId="5" borderId="38" xfId="361" applyFont="1" applyFill="1" applyBorder="1" applyAlignment="1">
      <alignment horizontal="center"/>
    </xf>
    <xf numFmtId="166" fontId="5" fillId="0" borderId="39" xfId="361" applyFont="1" applyFill="1" applyBorder="1" applyAlignment="1">
      <alignment horizontal="center"/>
    </xf>
    <xf numFmtId="166" fontId="5" fillId="0" borderId="0" xfId="361" quotePrefix="1" applyFont="1" applyAlignment="1">
      <alignment horizontal="center"/>
    </xf>
    <xf numFmtId="166" fontId="5" fillId="0" borderId="0" xfId="361" applyFont="1" applyAlignment="1">
      <alignment horizontal="center"/>
    </xf>
    <xf numFmtId="166" fontId="6" fillId="0" borderId="0" xfId="361" applyFont="1" applyFill="1" applyAlignment="1">
      <alignment horizontal="center"/>
    </xf>
    <xf numFmtId="166" fontId="6" fillId="0" borderId="0" xfId="361" applyFont="1" applyFill="1"/>
    <xf numFmtId="166" fontId="5" fillId="0" borderId="69" xfId="361" applyFont="1" applyBorder="1" applyAlignment="1">
      <alignment horizontal="center"/>
    </xf>
    <xf numFmtId="166" fontId="5" fillId="5" borderId="29" xfId="361" applyFont="1" applyFill="1" applyBorder="1" applyAlignment="1">
      <alignment horizontal="center"/>
    </xf>
    <xf numFmtId="166" fontId="5" fillId="5" borderId="40" xfId="361" applyFont="1" applyFill="1" applyBorder="1" applyAlignment="1">
      <alignment horizontal="center"/>
    </xf>
    <xf numFmtId="166" fontId="5" fillId="0" borderId="41" xfId="361" applyFont="1" applyFill="1" applyBorder="1" applyAlignment="1">
      <alignment horizontal="center" wrapText="1"/>
    </xf>
    <xf numFmtId="165" fontId="5" fillId="0" borderId="0" xfId="132" applyNumberFormat="1" applyFont="1" applyAlignment="1">
      <alignment horizontal="center" wrapText="1"/>
    </xf>
    <xf numFmtId="3" fontId="5" fillId="0" borderId="0" xfId="361" applyNumberFormat="1" applyFont="1" applyAlignment="1">
      <alignment horizontal="center" wrapText="1"/>
    </xf>
    <xf numFmtId="189" fontId="5" fillId="0" borderId="0" xfId="361" applyNumberFormat="1" applyFont="1" applyAlignment="1">
      <alignment horizontal="center"/>
    </xf>
    <xf numFmtId="168" fontId="5" fillId="0" borderId="0" xfId="361" applyNumberFormat="1" applyFont="1" applyAlignment="1">
      <alignment horizontal="center"/>
    </xf>
    <xf numFmtId="3" fontId="5" fillId="0" borderId="0" xfId="361" applyNumberFormat="1" applyFont="1" applyAlignment="1">
      <alignment horizontal="center"/>
    </xf>
    <xf numFmtId="10" fontId="5" fillId="0" borderId="0" xfId="361" applyNumberFormat="1" applyFont="1" applyAlignment="1">
      <alignment horizontal="center"/>
    </xf>
    <xf numFmtId="166" fontId="5" fillId="0" borderId="0" xfId="361" applyFont="1" applyBorder="1" applyAlignment="1">
      <alignment horizontal="center"/>
    </xf>
    <xf numFmtId="166" fontId="5" fillId="0" borderId="39" xfId="361" applyFont="1" applyFill="1" applyBorder="1" applyAlignment="1">
      <alignment horizontal="center" wrapText="1"/>
    </xf>
    <xf numFmtId="166" fontId="5" fillId="59" borderId="70" xfId="361" applyFont="1" applyFill="1" applyBorder="1" applyAlignment="1">
      <alignment horizontal="centerContinuous"/>
    </xf>
    <xf numFmtId="166" fontId="5" fillId="59" borderId="70" xfId="361" applyFont="1" applyFill="1" applyBorder="1" applyAlignment="1">
      <alignment horizontal="center"/>
    </xf>
    <xf numFmtId="166" fontId="6" fillId="59" borderId="70" xfId="361" applyFont="1" applyFill="1" applyBorder="1" applyAlignment="1">
      <alignment horizontal="centerContinuous"/>
    </xf>
    <xf numFmtId="166" fontId="6" fillId="59" borderId="70" xfId="361" applyFont="1" applyFill="1" applyBorder="1" applyAlignment="1">
      <alignment horizontal="left"/>
    </xf>
    <xf numFmtId="166" fontId="5" fillId="0" borderId="70" xfId="361" applyFont="1" applyFill="1" applyBorder="1" applyAlignment="1">
      <alignment horizontal="center"/>
    </xf>
    <xf numFmtId="1" fontId="6" fillId="0" borderId="70" xfId="361" applyNumberFormat="1" applyFont="1" applyFill="1" applyBorder="1" applyAlignment="1">
      <alignment horizontal="right"/>
    </xf>
    <xf numFmtId="166" fontId="6" fillId="0" borderId="70" xfId="361" applyFont="1" applyFill="1" applyBorder="1"/>
    <xf numFmtId="165" fontId="6" fillId="5" borderId="0" xfId="132" applyNumberFormat="1" applyFont="1" applyFill="1"/>
    <xf numFmtId="165" fontId="6" fillId="5" borderId="38" xfId="132" applyNumberFormat="1" applyFont="1" applyFill="1" applyBorder="1"/>
    <xf numFmtId="165" fontId="6" fillId="0" borderId="39" xfId="132" applyNumberFormat="1" applyFont="1" applyFill="1" applyBorder="1"/>
    <xf numFmtId="165" fontId="6" fillId="0" borderId="0" xfId="132" applyNumberFormat="1" applyFont="1" applyBorder="1" applyAlignment="1">
      <alignment horizontal="center"/>
    </xf>
    <xf numFmtId="3" fontId="6" fillId="0" borderId="0" xfId="132" applyNumberFormat="1" applyFont="1"/>
    <xf numFmtId="43" fontId="6" fillId="0" borderId="0" xfId="132" applyFont="1"/>
    <xf numFmtId="165" fontId="6" fillId="0" borderId="0" xfId="132" applyNumberFormat="1" applyFont="1" applyAlignment="1">
      <alignment horizontal="center"/>
    </xf>
    <xf numFmtId="14" fontId="6" fillId="0" borderId="0" xfId="361" applyNumberFormat="1" applyFont="1" applyFill="1" applyBorder="1" applyAlignment="1">
      <alignment horizontal="center"/>
    </xf>
    <xf numFmtId="168" fontId="6" fillId="0" borderId="0" xfId="524" applyNumberFormat="1" applyFont="1" applyFill="1" applyBorder="1" applyAlignment="1">
      <alignment horizontal="center"/>
    </xf>
    <xf numFmtId="43" fontId="180" fillId="0" borderId="0" xfId="132" applyFont="1" applyBorder="1"/>
    <xf numFmtId="166" fontId="5" fillId="0" borderId="0" xfId="361" applyFont="1" applyFill="1" applyBorder="1" applyAlignment="1">
      <alignment horizontal="center"/>
    </xf>
    <xf numFmtId="1" fontId="6" fillId="0" borderId="0" xfId="361" applyNumberFormat="1" applyFont="1" applyFill="1" applyBorder="1" applyAlignment="1">
      <alignment horizontal="right"/>
    </xf>
    <xf numFmtId="165" fontId="181" fillId="0" borderId="0" xfId="132" applyNumberFormat="1" applyFont="1" applyAlignment="1">
      <alignment horizontal="center"/>
    </xf>
    <xf numFmtId="43" fontId="182" fillId="0" borderId="0" xfId="132" applyFont="1" applyBorder="1"/>
    <xf numFmtId="166" fontId="181" fillId="0" borderId="0" xfId="361" applyFont="1"/>
    <xf numFmtId="165" fontId="6" fillId="5" borderId="39" xfId="132" applyNumberFormat="1" applyFont="1" applyFill="1" applyBorder="1"/>
    <xf numFmtId="165" fontId="6" fillId="5" borderId="0" xfId="132" applyNumberFormat="1" applyFont="1" applyFill="1" applyBorder="1"/>
    <xf numFmtId="168" fontId="6" fillId="0" borderId="0" xfId="524" applyNumberFormat="1" applyFont="1"/>
    <xf numFmtId="14" fontId="6" fillId="0" borderId="0" xfId="291" applyNumberFormat="1" applyFont="1"/>
    <xf numFmtId="10" fontId="6" fillId="0" borderId="0" xfId="524" applyNumberFormat="1" applyFont="1"/>
    <xf numFmtId="166" fontId="5" fillId="0" borderId="0" xfId="361" applyFont="1" applyFill="1"/>
    <xf numFmtId="165" fontId="6" fillId="5" borderId="7" xfId="132" applyNumberFormat="1" applyFont="1" applyFill="1" applyBorder="1"/>
    <xf numFmtId="165" fontId="6" fillId="5" borderId="59" xfId="132" applyNumberFormat="1" applyFont="1" applyFill="1" applyBorder="1"/>
    <xf numFmtId="165" fontId="6" fillId="0" borderId="59" xfId="132" applyNumberFormat="1" applyFont="1" applyFill="1" applyBorder="1"/>
    <xf numFmtId="165" fontId="6" fillId="0" borderId="7" xfId="132" applyNumberFormat="1" applyFont="1" applyFill="1" applyBorder="1"/>
    <xf numFmtId="166" fontId="180" fillId="0" borderId="0" xfId="361" applyFont="1" applyFill="1"/>
    <xf numFmtId="166" fontId="180" fillId="0" borderId="0" xfId="361" applyFont="1" applyAlignment="1">
      <alignment horizontal="left"/>
    </xf>
    <xf numFmtId="165" fontId="6" fillId="0" borderId="0" xfId="132" applyNumberFormat="1" applyFont="1" applyFill="1"/>
    <xf numFmtId="165" fontId="6" fillId="0" borderId="38" xfId="132" applyNumberFormat="1" applyFont="1" applyFill="1" applyBorder="1"/>
    <xf numFmtId="165" fontId="6" fillId="0" borderId="0" xfId="132" applyNumberFormat="1" applyFont="1" applyFill="1" applyBorder="1" applyAlignment="1">
      <alignment horizontal="center"/>
    </xf>
    <xf numFmtId="3" fontId="6" fillId="0" borderId="0" xfId="132" applyNumberFormat="1" applyFont="1" applyFill="1"/>
    <xf numFmtId="43" fontId="6" fillId="0" borderId="0" xfId="132" applyFont="1" applyFill="1"/>
    <xf numFmtId="165" fontId="6" fillId="0" borderId="0" xfId="132" applyNumberFormat="1" applyFont="1" applyFill="1" applyAlignment="1">
      <alignment horizontal="center"/>
    </xf>
    <xf numFmtId="14" fontId="6" fillId="0" borderId="0" xfId="291" applyNumberFormat="1" applyFont="1" applyFill="1"/>
    <xf numFmtId="168" fontId="6" fillId="0" borderId="0" xfId="524" applyNumberFormat="1" applyFont="1" applyFill="1"/>
    <xf numFmtId="43" fontId="180" fillId="0" borderId="0" xfId="132" applyFont="1" applyFill="1" applyBorder="1"/>
    <xf numFmtId="10" fontId="6" fillId="0" borderId="0" xfId="524" applyNumberFormat="1" applyFont="1" applyFill="1"/>
    <xf numFmtId="166" fontId="5" fillId="59" borderId="71" xfId="361" applyFont="1" applyFill="1" applyBorder="1" applyAlignment="1">
      <alignment horizontal="left"/>
    </xf>
    <xf numFmtId="166" fontId="6" fillId="59" borderId="71" xfId="361" applyFont="1" applyFill="1" applyBorder="1" applyAlignment="1">
      <alignment horizontal="centerContinuous"/>
    </xf>
    <xf numFmtId="166" fontId="6" fillId="59" borderId="71" xfId="361" applyFont="1" applyFill="1" applyBorder="1" applyAlignment="1">
      <alignment horizontal="left"/>
    </xf>
    <xf numFmtId="166" fontId="6" fillId="0" borderId="0" xfId="361" applyFont="1" applyFill="1" applyBorder="1"/>
    <xf numFmtId="165" fontId="6" fillId="5" borderId="58" xfId="132" applyNumberFormat="1" applyFont="1" applyFill="1" applyBorder="1"/>
    <xf numFmtId="166" fontId="5" fillId="59" borderId="71" xfId="361" applyFont="1" applyFill="1" applyBorder="1" applyAlignment="1">
      <alignment horizontal="centerContinuous"/>
    </xf>
    <xf numFmtId="166" fontId="6" fillId="59" borderId="70" xfId="361" applyFont="1" applyFill="1" applyBorder="1" applyAlignment="1">
      <alignment horizontal="center"/>
    </xf>
    <xf numFmtId="165" fontId="6" fillId="5" borderId="7" xfId="132" applyNumberFormat="1" applyFont="1" applyFill="1" applyBorder="1" applyAlignment="1">
      <alignment horizontal="center"/>
    </xf>
    <xf numFmtId="165" fontId="6" fillId="0" borderId="59" xfId="132" applyNumberFormat="1" applyFont="1" applyFill="1" applyBorder="1" applyAlignment="1">
      <alignment horizontal="center" wrapText="1"/>
    </xf>
    <xf numFmtId="165" fontId="6" fillId="0" borderId="7" xfId="132" applyNumberFormat="1" applyFont="1" applyBorder="1" applyAlignment="1">
      <alignment horizontal="center" wrapText="1"/>
    </xf>
    <xf numFmtId="165" fontId="6" fillId="0" borderId="7" xfId="132" applyNumberFormat="1" applyFont="1" applyFill="1" applyBorder="1" applyAlignment="1">
      <alignment horizontal="center"/>
    </xf>
    <xf numFmtId="165" fontId="6" fillId="0" borderId="0" xfId="361" applyNumberFormat="1" applyFont="1" applyBorder="1" applyAlignment="1">
      <alignment horizontal="left"/>
    </xf>
    <xf numFmtId="165" fontId="6" fillId="0" borderId="0" xfId="361" applyNumberFormat="1" applyFont="1" applyAlignment="1">
      <alignment horizontal="left"/>
    </xf>
    <xf numFmtId="166" fontId="6" fillId="0" borderId="0" xfId="361" applyFont="1" applyBorder="1" applyAlignment="1">
      <alignment horizontal="center"/>
    </xf>
    <xf numFmtId="166" fontId="6" fillId="7" borderId="0" xfId="361" applyFont="1" applyFill="1" applyAlignment="1">
      <alignment horizontal="left"/>
    </xf>
    <xf numFmtId="166" fontId="6" fillId="7" borderId="0" xfId="361" applyFont="1" applyFill="1" applyBorder="1" applyAlignment="1">
      <alignment horizontal="left"/>
    </xf>
    <xf numFmtId="166" fontId="6" fillId="0" borderId="12" xfId="361" applyFont="1" applyBorder="1" applyAlignment="1">
      <alignment horizontal="left"/>
    </xf>
    <xf numFmtId="165" fontId="5" fillId="0" borderId="0" xfId="132" applyNumberFormat="1" applyFont="1"/>
    <xf numFmtId="165" fontId="15" fillId="0" borderId="0" xfId="132" applyNumberFormat="1" applyFont="1"/>
    <xf numFmtId="166" fontId="5" fillId="60" borderId="7" xfId="361" applyFont="1" applyFill="1" applyBorder="1"/>
    <xf numFmtId="166" fontId="5" fillId="60" borderId="7" xfId="361" applyFont="1" applyFill="1" applyBorder="1" applyAlignment="1">
      <alignment horizontal="right"/>
    </xf>
    <xf numFmtId="166" fontId="5" fillId="60" borderId="7" xfId="361" applyFont="1" applyFill="1" applyBorder="1" applyAlignment="1">
      <alignment horizontal="left"/>
    </xf>
    <xf numFmtId="164" fontId="5" fillId="60" borderId="7" xfId="200" applyNumberFormat="1" applyFont="1" applyFill="1" applyBorder="1" applyAlignment="1">
      <alignment horizontal="left"/>
    </xf>
    <xf numFmtId="165" fontId="5" fillId="0" borderId="0" xfId="132" applyNumberFormat="1" applyFont="1" applyFill="1" applyBorder="1"/>
    <xf numFmtId="43" fontId="6" fillId="0" borderId="0" xfId="132" applyNumberFormat="1" applyFont="1"/>
    <xf numFmtId="165" fontId="6" fillId="0" borderId="0" xfId="132" applyNumberFormat="1" applyFont="1" applyFill="1" applyBorder="1"/>
    <xf numFmtId="3" fontId="6" fillId="0" borderId="0" xfId="361" applyNumberFormat="1" applyFont="1" applyFill="1" applyBorder="1"/>
    <xf numFmtId="189" fontId="6" fillId="0" borderId="0" xfId="361" applyNumberFormat="1" applyFont="1" applyFill="1" applyBorder="1"/>
    <xf numFmtId="168" fontId="6" fillId="0" borderId="0" xfId="361" applyNumberFormat="1" applyFont="1" applyFill="1" applyBorder="1"/>
    <xf numFmtId="3" fontId="6" fillId="0" borderId="0" xfId="361" applyNumberFormat="1" applyFont="1" applyFill="1" applyBorder="1" applyAlignment="1">
      <alignment horizontal="right"/>
    </xf>
    <xf numFmtId="10" fontId="6" fillId="0" borderId="0" xfId="361" applyNumberFormat="1" applyFont="1" applyFill="1" applyBorder="1"/>
    <xf numFmtId="3" fontId="6" fillId="0" borderId="0" xfId="361" applyNumberFormat="1" applyFont="1" applyBorder="1"/>
    <xf numFmtId="10" fontId="5" fillId="0" borderId="0" xfId="361" applyNumberFormat="1" applyFont="1" applyFill="1" applyBorder="1" applyAlignment="1">
      <alignment horizontal="center"/>
    </xf>
    <xf numFmtId="166" fontId="6" fillId="0" borderId="0" xfId="361" applyFont="1" applyAlignment="1">
      <alignment horizontal="right"/>
    </xf>
    <xf numFmtId="164" fontId="6" fillId="47" borderId="0" xfId="200" applyNumberFormat="1" applyFont="1" applyFill="1" applyAlignment="1">
      <alignment horizontal="left"/>
    </xf>
    <xf numFmtId="4" fontId="5" fillId="0" borderId="0" xfId="361" applyNumberFormat="1" applyFont="1" applyFill="1" applyBorder="1" applyAlignment="1">
      <alignment horizontal="center"/>
    </xf>
    <xf numFmtId="168" fontId="5" fillId="0" borderId="0" xfId="361" applyNumberFormat="1" applyFont="1" applyFill="1" applyBorder="1" applyAlignment="1">
      <alignment horizontal="center"/>
    </xf>
    <xf numFmtId="166" fontId="15" fillId="0" borderId="0" xfId="361" applyFont="1" applyAlignment="1">
      <alignment horizontal="right"/>
    </xf>
    <xf numFmtId="165" fontId="6" fillId="0" borderId="0" xfId="132" applyNumberFormat="1" applyFont="1" applyFill="1" applyBorder="1" applyAlignment="1">
      <alignment horizontal="right"/>
    </xf>
    <xf numFmtId="168" fontId="6" fillId="0" borderId="0" xfId="132" applyNumberFormat="1" applyFont="1" applyFill="1" applyBorder="1"/>
    <xf numFmtId="10" fontId="6" fillId="0" borderId="0" xfId="524" applyNumberFormat="1" applyFont="1" applyFill="1" applyBorder="1"/>
    <xf numFmtId="164" fontId="6" fillId="0" borderId="0" xfId="200" applyNumberFormat="1" applyFont="1" applyFill="1" applyAlignment="1">
      <alignment horizontal="left"/>
    </xf>
    <xf numFmtId="43" fontId="6" fillId="0" borderId="0" xfId="132" applyNumberFormat="1" applyFont="1" applyFill="1" applyBorder="1" applyAlignment="1">
      <alignment horizontal="right"/>
    </xf>
    <xf numFmtId="165" fontId="5" fillId="0" borderId="12" xfId="132" applyNumberFormat="1" applyFont="1" applyFill="1" applyBorder="1" applyAlignment="1">
      <alignment horizontal="center"/>
    </xf>
    <xf numFmtId="166" fontId="6" fillId="0" borderId="0" xfId="361" applyFont="1" applyFill="1" applyBorder="1" applyAlignment="1">
      <alignment horizontal="right"/>
    </xf>
    <xf numFmtId="0" fontId="6" fillId="0" borderId="0" xfId="511" quotePrefix="1" applyFont="1" applyAlignment="1">
      <alignment horizontal="right"/>
    </xf>
    <xf numFmtId="0" fontId="6" fillId="0" borderId="0" xfId="511" quotePrefix="1" applyFont="1" applyBorder="1" applyAlignment="1">
      <alignment horizontal="left"/>
    </xf>
    <xf numFmtId="9" fontId="6" fillId="0" borderId="0" xfId="524" applyFont="1" applyFill="1" applyBorder="1"/>
    <xf numFmtId="0" fontId="6" fillId="0" borderId="0" xfId="511" applyFont="1" applyAlignment="1">
      <alignment horizontal="right"/>
    </xf>
    <xf numFmtId="168" fontId="5" fillId="0" borderId="0" xfId="132" applyNumberFormat="1" applyFont="1" applyFill="1" applyBorder="1"/>
    <xf numFmtId="165" fontId="6" fillId="0" borderId="0" xfId="361" applyNumberFormat="1" applyFont="1" applyFill="1" applyBorder="1"/>
    <xf numFmtId="0" fontId="6" fillId="0" borderId="0" xfId="511" quotePrefix="1" applyFont="1" applyAlignment="1">
      <alignment horizontal="left"/>
    </xf>
    <xf numFmtId="43" fontId="6" fillId="0" borderId="0" xfId="132" applyFont="1" applyFill="1" applyBorder="1"/>
    <xf numFmtId="165" fontId="6" fillId="0" borderId="0" xfId="132" quotePrefix="1" applyNumberFormat="1" applyFont="1" applyFill="1" applyBorder="1" applyAlignment="1">
      <alignment horizontal="left"/>
    </xf>
    <xf numFmtId="165" fontId="5" fillId="0" borderId="0" xfId="361" applyNumberFormat="1" applyFont="1" applyFill="1" applyBorder="1" applyAlignment="1">
      <alignment horizontal="center"/>
    </xf>
    <xf numFmtId="0" fontId="6" fillId="0" borderId="0" xfId="511" applyFont="1" applyBorder="1" applyAlignment="1">
      <alignment horizontal="left"/>
    </xf>
    <xf numFmtId="0" fontId="182" fillId="0" borderId="0" xfId="511" applyFont="1" applyBorder="1" applyAlignment="1">
      <alignment horizontal="right"/>
    </xf>
    <xf numFmtId="164" fontId="6" fillId="0" borderId="0" xfId="200" applyNumberFormat="1" applyFont="1" applyFill="1" applyBorder="1"/>
    <xf numFmtId="168" fontId="6" fillId="0" borderId="0" xfId="524" applyNumberFormat="1" applyFont="1" applyFill="1" applyBorder="1"/>
    <xf numFmtId="165" fontId="6" fillId="0" borderId="12" xfId="132" applyNumberFormat="1" applyFont="1" applyBorder="1"/>
    <xf numFmtId="166" fontId="5" fillId="45" borderId="7" xfId="361" applyFont="1" applyFill="1" applyBorder="1"/>
    <xf numFmtId="166" fontId="5" fillId="45" borderId="7" xfId="361" applyFont="1" applyFill="1" applyBorder="1" applyAlignment="1">
      <alignment horizontal="right"/>
    </xf>
    <xf numFmtId="166" fontId="5" fillId="45" borderId="7" xfId="361" applyFont="1" applyFill="1" applyBorder="1" applyAlignment="1">
      <alignment horizontal="left"/>
    </xf>
    <xf numFmtId="165" fontId="5" fillId="45" borderId="7" xfId="132" applyNumberFormat="1" applyFont="1" applyFill="1" applyBorder="1" applyAlignment="1">
      <alignment horizontal="right"/>
    </xf>
    <xf numFmtId="165" fontId="5" fillId="0" borderId="0" xfId="132" applyNumberFormat="1" applyFont="1" applyFill="1" applyBorder="1" applyAlignment="1">
      <alignment horizontal="right"/>
    </xf>
    <xf numFmtId="43" fontId="6" fillId="0" borderId="0" xfId="132" applyFont="1" applyFill="1" applyBorder="1" applyAlignment="1">
      <alignment horizontal="right"/>
    </xf>
    <xf numFmtId="189" fontId="6" fillId="0" borderId="0" xfId="361" applyNumberFormat="1" applyFont="1" applyFill="1" applyBorder="1" applyAlignment="1">
      <alignment horizontal="right"/>
    </xf>
    <xf numFmtId="0" fontId="6" fillId="0" borderId="0" xfId="511" applyFont="1" applyAlignment="1">
      <alignment horizontal="left"/>
    </xf>
    <xf numFmtId="10" fontId="5" fillId="0" borderId="0" xfId="524" applyNumberFormat="1" applyFont="1" applyFill="1" applyBorder="1"/>
    <xf numFmtId="166" fontId="5" fillId="0" borderId="7" xfId="361" applyFont="1" applyFill="1" applyBorder="1" applyAlignment="1">
      <alignment horizontal="left"/>
    </xf>
    <xf numFmtId="3" fontId="5" fillId="0" borderId="0" xfId="361" applyNumberFormat="1" applyFont="1" applyFill="1" applyBorder="1" applyAlignment="1">
      <alignment horizontal="right"/>
    </xf>
    <xf numFmtId="166" fontId="5" fillId="0" borderId="0" xfId="361" applyFont="1" applyFill="1" applyBorder="1"/>
    <xf numFmtId="168" fontId="6" fillId="0" borderId="0" xfId="361" applyNumberFormat="1" applyFont="1" applyBorder="1"/>
    <xf numFmtId="189" fontId="6" fillId="0" borderId="0" xfId="361" applyNumberFormat="1" applyFont="1" applyBorder="1" applyAlignment="1">
      <alignment horizontal="right"/>
    </xf>
    <xf numFmtId="189" fontId="6" fillId="0" borderId="0" xfId="361" applyNumberFormat="1" applyFont="1" applyBorder="1"/>
    <xf numFmtId="189" fontId="6" fillId="0" borderId="0" xfId="361" applyNumberFormat="1" applyFont="1" applyAlignment="1">
      <alignment horizontal="right"/>
    </xf>
    <xf numFmtId="0" fontId="6" fillId="0" borderId="0" xfId="511" quotePrefix="1" applyFont="1" applyFill="1" applyAlignment="1">
      <alignment horizontal="left"/>
    </xf>
    <xf numFmtId="0" fontId="6" fillId="0" borderId="0" xfId="511" applyFont="1" applyFill="1" applyAlignment="1">
      <alignment horizontal="left"/>
    </xf>
    <xf numFmtId="166" fontId="6" fillId="61" borderId="0" xfId="361" applyFont="1" applyFill="1"/>
    <xf numFmtId="189" fontId="6" fillId="0" borderId="0" xfId="361" applyNumberFormat="1" applyFont="1" applyFill="1"/>
    <xf numFmtId="168" fontId="6" fillId="0" borderId="0" xfId="361" applyNumberFormat="1" applyFont="1" applyFill="1"/>
    <xf numFmtId="3" fontId="6" fillId="0" borderId="0" xfId="361" applyNumberFormat="1" applyFont="1" applyFill="1" applyAlignment="1">
      <alignment horizontal="right"/>
    </xf>
    <xf numFmtId="3" fontId="6" fillId="0" borderId="0" xfId="361" applyNumberFormat="1" applyFont="1" applyFill="1"/>
    <xf numFmtId="10" fontId="6" fillId="0" borderId="0" xfId="361" applyNumberFormat="1" applyFont="1" applyFill="1"/>
    <xf numFmtId="166" fontId="6" fillId="61" borderId="7" xfId="361" applyFont="1" applyFill="1" applyBorder="1"/>
    <xf numFmtId="166" fontId="5" fillId="61" borderId="7" xfId="361" applyFont="1" applyFill="1" applyBorder="1" applyAlignment="1">
      <alignment horizontal="center"/>
    </xf>
    <xf numFmtId="166" fontId="6" fillId="61" borderId="7" xfId="361" applyFont="1" applyFill="1" applyBorder="1" applyAlignment="1">
      <alignment horizontal="left"/>
    </xf>
    <xf numFmtId="164" fontId="5" fillId="61" borderId="7" xfId="200" applyNumberFormat="1" applyFont="1" applyFill="1" applyBorder="1" applyAlignment="1">
      <alignment horizontal="left"/>
    </xf>
    <xf numFmtId="3" fontId="5" fillId="0" borderId="0" xfId="361" applyNumberFormat="1" applyFont="1" applyFill="1" applyBorder="1"/>
    <xf numFmtId="166" fontId="6" fillId="0" borderId="0" xfId="361" applyFont="1" applyAlignment="1">
      <alignment horizontal="center"/>
    </xf>
    <xf numFmtId="3" fontId="6" fillId="0" borderId="0" xfId="361" applyNumberFormat="1" applyFont="1" applyFill="1" applyBorder="1" applyAlignment="1">
      <alignment horizontal="center"/>
    </xf>
    <xf numFmtId="166" fontId="6" fillId="0" borderId="0" xfId="361" applyFont="1" applyFill="1" applyBorder="1" applyAlignment="1">
      <alignment horizontal="center"/>
    </xf>
    <xf numFmtId="189" fontId="6" fillId="0" borderId="0" xfId="361" applyNumberFormat="1" applyFont="1" applyFill="1" applyAlignment="1">
      <alignment horizontal="center"/>
    </xf>
    <xf numFmtId="168" fontId="6" fillId="0" borderId="0" xfId="361" applyNumberFormat="1" applyFont="1" applyFill="1" applyAlignment="1">
      <alignment horizontal="center"/>
    </xf>
    <xf numFmtId="3" fontId="6" fillId="0" borderId="0" xfId="361" applyNumberFormat="1" applyFont="1" applyFill="1" applyAlignment="1">
      <alignment horizontal="center"/>
    </xf>
    <xf numFmtId="10" fontId="6" fillId="0" borderId="0" xfId="361" applyNumberFormat="1" applyFont="1" applyFill="1" applyAlignment="1">
      <alignment horizontal="center"/>
    </xf>
    <xf numFmtId="9" fontId="5" fillId="0" borderId="0" xfId="524" applyFont="1" applyFill="1" applyBorder="1"/>
    <xf numFmtId="165" fontId="183" fillId="0" borderId="0" xfId="132" quotePrefix="1" applyNumberFormat="1" applyFont="1" applyFill="1" applyBorder="1" applyAlignment="1">
      <alignment horizontal="right"/>
    </xf>
    <xf numFmtId="43" fontId="6" fillId="0" borderId="0" xfId="132" applyNumberFormat="1" applyFont="1" applyFill="1" applyBorder="1"/>
    <xf numFmtId="44" fontId="6" fillId="0" borderId="0" xfId="200" applyNumberFormat="1" applyFont="1" applyFill="1" applyBorder="1"/>
    <xf numFmtId="3" fontId="15" fillId="0" borderId="0" xfId="361" applyNumberFormat="1" applyFont="1"/>
    <xf numFmtId="166" fontId="5" fillId="0" borderId="0" xfId="361" applyFont="1" applyAlignment="1">
      <alignment horizontal="right"/>
    </xf>
    <xf numFmtId="43" fontId="5" fillId="0" borderId="0" xfId="132" applyFont="1" applyFill="1"/>
    <xf numFmtId="10" fontId="5" fillId="0" borderId="0" xfId="524" applyNumberFormat="1" applyFont="1" applyFill="1"/>
    <xf numFmtId="166" fontId="182" fillId="0" borderId="0" xfId="361" applyFont="1" applyAlignment="1">
      <alignment horizontal="right"/>
    </xf>
    <xf numFmtId="0" fontId="0" fillId="0" borderId="0" xfId="0" applyFill="1" applyAlignment="1">
      <alignment horizontal="right"/>
    </xf>
    <xf numFmtId="0" fontId="0" fillId="0" borderId="0" xfId="0" applyFill="1" applyAlignment="1">
      <alignment horizontal="left"/>
    </xf>
    <xf numFmtId="0" fontId="80" fillId="0" borderId="0" xfId="0" applyFont="1" applyFill="1" applyAlignment="1">
      <alignment horizontal="left"/>
    </xf>
    <xf numFmtId="3" fontId="161" fillId="0" borderId="0" xfId="5" applyNumberFormat="1" applyFont="1" applyFill="1"/>
    <xf numFmtId="178" fontId="111" fillId="3" borderId="0" xfId="0" applyNumberFormat="1" applyFont="1" applyFill="1"/>
    <xf numFmtId="165" fontId="147" fillId="3" borderId="7" xfId="1" applyNumberFormat="1" applyFont="1" applyFill="1" applyBorder="1" applyAlignment="1">
      <alignment horizontal="left" indent="1"/>
    </xf>
    <xf numFmtId="43" fontId="130" fillId="3" borderId="0" xfId="1" applyFont="1" applyFill="1" applyAlignment="1">
      <alignment horizontal="right" indent="1"/>
    </xf>
    <xf numFmtId="165" fontId="147" fillId="3" borderId="0" xfId="1" applyNumberFormat="1" applyFont="1" applyFill="1" applyBorder="1" applyAlignment="1">
      <alignment horizontal="left" indent="1"/>
    </xf>
    <xf numFmtId="0" fontId="147" fillId="3" borderId="0" xfId="0" applyFont="1" applyFill="1" applyAlignment="1">
      <alignment horizontal="right"/>
    </xf>
    <xf numFmtId="165" fontId="184" fillId="3" borderId="0" xfId="0" applyNumberFormat="1" applyFont="1" applyFill="1" applyAlignment="1">
      <alignment horizontal="center"/>
    </xf>
    <xf numFmtId="168" fontId="147" fillId="3" borderId="0" xfId="3" applyNumberFormat="1" applyFont="1" applyFill="1"/>
    <xf numFmtId="0" fontId="4" fillId="0" borderId="0" xfId="291" applyNumberFormat="1"/>
    <xf numFmtId="4" fontId="131" fillId="0" borderId="0" xfId="623" applyNumberFormat="1" applyFont="1" applyFill="1" applyBorder="1"/>
    <xf numFmtId="3" fontId="186" fillId="0" borderId="0" xfId="0" applyNumberFormat="1" applyFont="1" applyFill="1"/>
    <xf numFmtId="165" fontId="6" fillId="0" borderId="0" xfId="1" applyNumberFormat="1" applyFont="1" applyFill="1" applyBorder="1" applyAlignment="1">
      <alignment horizontal="left"/>
    </xf>
    <xf numFmtId="37" fontId="187" fillId="0" borderId="0" xfId="5" applyNumberFormat="1" applyFont="1" applyFill="1" applyBorder="1" applyAlignment="1">
      <alignment horizontal="center"/>
    </xf>
    <xf numFmtId="10" fontId="147" fillId="3" borderId="0" xfId="3" applyNumberFormat="1" applyFont="1" applyFill="1" applyAlignment="1">
      <alignment horizontal="left" indent="1"/>
    </xf>
    <xf numFmtId="170" fontId="122" fillId="0" borderId="0" xfId="511" quotePrefix="1" applyNumberFormat="1" applyFont="1" applyAlignment="1">
      <alignment horizontal="left"/>
    </xf>
    <xf numFmtId="0" fontId="73" fillId="3" borderId="0" xfId="511" applyNumberFormat="1" applyFont="1" applyFill="1" applyBorder="1" applyAlignment="1">
      <alignment horizontal="centerContinuous"/>
    </xf>
    <xf numFmtId="0" fontId="113" fillId="3" borderId="0" xfId="0" applyFont="1" applyFill="1" applyBorder="1" applyAlignment="1">
      <alignment horizontal="center"/>
    </xf>
    <xf numFmtId="3" fontId="0" fillId="3" borderId="0" xfId="0" applyNumberFormat="1" applyFont="1" applyFill="1" applyBorder="1"/>
    <xf numFmtId="10" fontId="0" fillId="3" borderId="29" xfId="0" applyNumberFormat="1" applyFont="1" applyFill="1" applyBorder="1" applyAlignment="1">
      <alignment horizontal="right"/>
    </xf>
    <xf numFmtId="10" fontId="0" fillId="3" borderId="0" xfId="0" applyNumberFormat="1" applyFont="1" applyFill="1" applyBorder="1"/>
    <xf numFmtId="183" fontId="81" fillId="3" borderId="0" xfId="0" applyNumberFormat="1" applyFont="1" applyFill="1" applyBorder="1"/>
    <xf numFmtId="10" fontId="82" fillId="3" borderId="0" xfId="0" applyNumberFormat="1" applyFont="1" applyFill="1" applyBorder="1"/>
    <xf numFmtId="10" fontId="82" fillId="3" borderId="0" xfId="0" applyNumberFormat="1" applyFont="1" applyFill="1" applyBorder="1" applyAlignment="1">
      <alignment horizontal="right"/>
    </xf>
    <xf numFmtId="3" fontId="81" fillId="39" borderId="72" xfId="0" applyNumberFormat="1" applyFont="1" applyFill="1" applyBorder="1"/>
    <xf numFmtId="3" fontId="81" fillId="39" borderId="42" xfId="0" applyNumberFormat="1" applyFont="1" applyFill="1" applyBorder="1"/>
    <xf numFmtId="3" fontId="82" fillId="47" borderId="42" xfId="0" applyNumberFormat="1" applyFont="1" applyFill="1" applyBorder="1" applyAlignment="1">
      <alignment horizontal="center"/>
    </xf>
    <xf numFmtId="3" fontId="81" fillId="39" borderId="43" xfId="0" applyNumberFormat="1" applyFont="1" applyFill="1" applyBorder="1"/>
    <xf numFmtId="0" fontId="0" fillId="4" borderId="0" xfId="0" applyFont="1" applyFill="1"/>
    <xf numFmtId="0" fontId="188" fillId="4" borderId="0" xfId="0" applyFont="1" applyFill="1"/>
    <xf numFmtId="3" fontId="189" fillId="4" borderId="0" xfId="0" applyNumberFormat="1" applyFont="1" applyFill="1"/>
    <xf numFmtId="0" fontId="189" fillId="4" borderId="0" xfId="0" applyFont="1" applyFill="1"/>
    <xf numFmtId="0" fontId="153" fillId="57" borderId="0" xfId="0" applyFont="1" applyFill="1"/>
    <xf numFmtId="3" fontId="110" fillId="57" borderId="0" xfId="0" applyNumberFormat="1" applyFont="1" applyFill="1"/>
    <xf numFmtId="0" fontId="110" fillId="57" borderId="0" xfId="0" applyFont="1" applyFill="1"/>
    <xf numFmtId="0" fontId="155" fillId="57" borderId="0" xfId="0" applyFont="1" applyFill="1"/>
    <xf numFmtId="0" fontId="0" fillId="57" borderId="0" xfId="0" applyFont="1" applyFill="1"/>
    <xf numFmtId="164" fontId="0" fillId="3" borderId="0" xfId="0" applyNumberFormat="1" applyFill="1"/>
    <xf numFmtId="0" fontId="81" fillId="3" borderId="0" xfId="0" applyFont="1" applyFill="1"/>
    <xf numFmtId="44" fontId="81" fillId="3" borderId="0" xfId="0" applyNumberFormat="1" applyFont="1" applyFill="1"/>
    <xf numFmtId="37" fontId="0" fillId="3" borderId="0" xfId="0" applyNumberFormat="1" applyFill="1"/>
    <xf numFmtId="44" fontId="0" fillId="3" borderId="0" xfId="0" applyNumberFormat="1" applyFont="1" applyFill="1"/>
    <xf numFmtId="44" fontId="0" fillId="3" borderId="12" xfId="0" applyNumberFormat="1" applyFill="1" applyBorder="1"/>
    <xf numFmtId="44" fontId="3" fillId="0" borderId="0" xfId="0" applyNumberFormat="1" applyFont="1" applyBorder="1"/>
    <xf numFmtId="173" fontId="111" fillId="3" borderId="0" xfId="0" applyNumberFormat="1" applyFont="1" applyFill="1"/>
    <xf numFmtId="0" fontId="111" fillId="3" borderId="51" xfId="0" applyFont="1" applyFill="1" applyBorder="1" applyAlignment="1"/>
    <xf numFmtId="165" fontId="111" fillId="3" borderId="65" xfId="1" applyNumberFormat="1" applyFont="1" applyFill="1" applyBorder="1"/>
    <xf numFmtId="0" fontId="113" fillId="3" borderId="0" xfId="0" applyFont="1" applyFill="1" applyBorder="1" applyAlignment="1"/>
    <xf numFmtId="165" fontId="111" fillId="3" borderId="67" xfId="1" applyNumberFormat="1" applyFont="1" applyFill="1" applyBorder="1"/>
    <xf numFmtId="3" fontId="111" fillId="3" borderId="65" xfId="0" applyNumberFormat="1" applyFont="1" applyFill="1" applyBorder="1"/>
    <xf numFmtId="10" fontId="111" fillId="3" borderId="65" xfId="0" applyNumberFormat="1" applyFont="1" applyFill="1" applyBorder="1"/>
    <xf numFmtId="43" fontId="111" fillId="3" borderId="65" xfId="1" applyFont="1" applyFill="1" applyBorder="1" applyAlignment="1"/>
    <xf numFmtId="10" fontId="111" fillId="3" borderId="65" xfId="0" applyNumberFormat="1" applyFont="1" applyFill="1" applyBorder="1" applyAlignment="1"/>
    <xf numFmtId="0" fontId="111" fillId="3" borderId="52" xfId="0" applyFont="1" applyFill="1" applyBorder="1" applyAlignment="1"/>
    <xf numFmtId="0" fontId="111" fillId="3" borderId="12" xfId="0" applyFont="1" applyFill="1" applyBorder="1" applyAlignment="1"/>
    <xf numFmtId="10" fontId="115" fillId="3" borderId="67" xfId="3" applyNumberFormat="1" applyFont="1" applyFill="1" applyBorder="1" applyAlignment="1"/>
    <xf numFmtId="165" fontId="111" fillId="3" borderId="0" xfId="1" applyNumberFormat="1" applyFont="1" applyFill="1" applyBorder="1"/>
    <xf numFmtId="3" fontId="111" fillId="3" borderId="0" xfId="0" applyNumberFormat="1" applyFont="1" applyFill="1" applyBorder="1"/>
    <xf numFmtId="10" fontId="111" fillId="3" borderId="0" xfId="0" applyNumberFormat="1" applyFont="1" applyFill="1" applyBorder="1"/>
    <xf numFmtId="43" fontId="111" fillId="3" borderId="0" xfId="1" applyFont="1" applyFill="1" applyBorder="1" applyAlignment="1"/>
    <xf numFmtId="10" fontId="115" fillId="3" borderId="0" xfId="3" applyNumberFormat="1" applyFont="1" applyFill="1" applyBorder="1" applyAlignment="1"/>
    <xf numFmtId="1" fontId="81" fillId="0" borderId="0" xfId="0" applyNumberFormat="1" applyFont="1"/>
    <xf numFmtId="0" fontId="3" fillId="0" borderId="0" xfId="0" applyFont="1" applyAlignment="1">
      <alignment horizontal="left"/>
    </xf>
    <xf numFmtId="166" fontId="169" fillId="3" borderId="0" xfId="361" quotePrefix="1" applyFont="1" applyFill="1" applyAlignment="1">
      <alignment vertical="top"/>
    </xf>
    <xf numFmtId="0" fontId="177" fillId="3" borderId="56" xfId="0" applyFont="1" applyFill="1" applyBorder="1" applyAlignment="1">
      <alignment horizontal="center" wrapText="1"/>
    </xf>
    <xf numFmtId="0" fontId="3" fillId="3" borderId="0" xfId="0" applyFont="1" applyFill="1" applyAlignment="1">
      <alignment horizontal="center"/>
    </xf>
    <xf numFmtId="0" fontId="0" fillId="3" borderId="12" xfId="0" applyFill="1" applyBorder="1" applyAlignment="1">
      <alignment horizontal="center"/>
    </xf>
    <xf numFmtId="0" fontId="0" fillId="3" borderId="0" xfId="0" applyFill="1" applyAlignment="1">
      <alignment horizontal="center"/>
    </xf>
    <xf numFmtId="0" fontId="0" fillId="3" borderId="50" xfId="0" applyFill="1" applyBorder="1"/>
    <xf numFmtId="164" fontId="0" fillId="3" borderId="0" xfId="2" applyNumberFormat="1" applyFont="1" applyFill="1" applyBorder="1"/>
    <xf numFmtId="9" fontId="0" fillId="3" borderId="44" xfId="3" applyFont="1" applyFill="1" applyBorder="1"/>
    <xf numFmtId="0" fontId="0" fillId="3" borderId="51" xfId="0" applyFill="1" applyBorder="1"/>
    <xf numFmtId="9" fontId="0" fillId="3" borderId="0" xfId="3" applyFont="1" applyFill="1" applyBorder="1"/>
    <xf numFmtId="0" fontId="0" fillId="3" borderId="52" xfId="0" applyFill="1" applyBorder="1"/>
    <xf numFmtId="164" fontId="0" fillId="3" borderId="12" xfId="2" applyNumberFormat="1" applyFont="1" applyFill="1" applyBorder="1"/>
    <xf numFmtId="9" fontId="0" fillId="3" borderId="12" xfId="3" applyFont="1" applyFill="1" applyBorder="1"/>
    <xf numFmtId="164" fontId="3" fillId="3" borderId="29" xfId="2" applyNumberFormat="1" applyFont="1" applyFill="1" applyBorder="1"/>
    <xf numFmtId="9" fontId="3" fillId="3" borderId="29" xfId="3" applyFont="1" applyFill="1" applyBorder="1"/>
    <xf numFmtId="44" fontId="0" fillId="3" borderId="0" xfId="2" applyFont="1" applyFill="1"/>
    <xf numFmtId="17" fontId="72" fillId="0" borderId="29" xfId="166" applyNumberFormat="1" applyFont="1" applyFill="1" applyBorder="1" applyAlignment="1">
      <alignment horizontal="centerContinuous" wrapText="1"/>
    </xf>
    <xf numFmtId="0" fontId="81" fillId="3" borderId="0" xfId="0" quotePrefix="1" applyFont="1" applyFill="1"/>
    <xf numFmtId="0" fontId="81" fillId="3" borderId="0" xfId="0" applyFont="1" applyFill="1" applyAlignment="1">
      <alignment horizontal="left"/>
    </xf>
    <xf numFmtId="0" fontId="82" fillId="3" borderId="0" xfId="0" applyFont="1" applyFill="1"/>
    <xf numFmtId="37" fontId="88" fillId="3" borderId="0" xfId="510" applyNumberFormat="1" applyFont="1" applyFill="1"/>
    <xf numFmtId="0" fontId="82" fillId="3" borderId="0" xfId="0" applyFont="1" applyFill="1" applyAlignment="1">
      <alignment horizontal="center"/>
    </xf>
    <xf numFmtId="0" fontId="89" fillId="3" borderId="0" xfId="0" quotePrefix="1" applyFont="1" applyFill="1" applyAlignment="1">
      <alignment horizontal="center"/>
    </xf>
    <xf numFmtId="0" fontId="89" fillId="3" borderId="0" xfId="0" applyFont="1" applyFill="1" applyAlignment="1">
      <alignment horizontal="center"/>
    </xf>
    <xf numFmtId="164" fontId="81" fillId="3" borderId="0" xfId="2" applyNumberFormat="1" applyFont="1" applyFill="1"/>
    <xf numFmtId="165" fontId="81" fillId="3" borderId="0" xfId="1" applyNumberFormat="1" applyFont="1" applyFill="1"/>
    <xf numFmtId="0" fontId="4" fillId="3" borderId="0" xfId="0" applyFont="1" applyFill="1"/>
    <xf numFmtId="0" fontId="4" fillId="3" borderId="0" xfId="0" applyFont="1" applyFill="1" applyAlignment="1">
      <alignment horizontal="left"/>
    </xf>
    <xf numFmtId="164" fontId="81" fillId="3" borderId="29" xfId="2" applyNumberFormat="1" applyFont="1" applyFill="1" applyBorder="1"/>
    <xf numFmtId="43" fontId="81" fillId="3" borderId="0" xfId="1" applyFont="1" applyFill="1"/>
    <xf numFmtId="0" fontId="1" fillId="3" borderId="0" xfId="0" applyFont="1" applyFill="1"/>
    <xf numFmtId="0" fontId="81" fillId="3" borderId="0" xfId="510" applyFont="1" applyFill="1"/>
    <xf numFmtId="0" fontId="81" fillId="3" borderId="0" xfId="510" applyFont="1" applyFill="1" applyAlignment="1">
      <alignment horizontal="left" indent="1"/>
    </xf>
    <xf numFmtId="165" fontId="81" fillId="3" borderId="12" xfId="1" applyNumberFormat="1" applyFont="1" applyFill="1" applyBorder="1"/>
    <xf numFmtId="0" fontId="81" fillId="3" borderId="0" xfId="510" applyFont="1" applyFill="1" applyAlignment="1">
      <alignment horizontal="left" indent="2"/>
    </xf>
    <xf numFmtId="164" fontId="81" fillId="3" borderId="29" xfId="2" applyNumberFormat="1" applyFont="1" applyFill="1" applyBorder="1" applyAlignment="1">
      <alignment horizontal="right"/>
    </xf>
    <xf numFmtId="0" fontId="91" fillId="3" borderId="0" xfId="510" applyFont="1" applyFill="1" applyBorder="1" applyAlignment="1">
      <alignment horizontal="right"/>
    </xf>
    <xf numFmtId="0" fontId="81" fillId="3" borderId="0" xfId="510" applyFont="1" applyFill="1" applyAlignment="1"/>
    <xf numFmtId="165" fontId="81" fillId="3" borderId="0" xfId="1" applyNumberFormat="1" applyFont="1" applyFill="1" applyBorder="1"/>
    <xf numFmtId="0" fontId="81" fillId="3" borderId="0" xfId="510" applyNumberFormat="1" applyFont="1" applyFill="1"/>
    <xf numFmtId="0" fontId="81" fillId="3" borderId="0" xfId="510" applyFont="1" applyFill="1" applyBorder="1"/>
    <xf numFmtId="164" fontId="0" fillId="3" borderId="0" xfId="0" applyNumberFormat="1" applyFont="1" applyFill="1"/>
    <xf numFmtId="0" fontId="81" fillId="3" borderId="0" xfId="0" applyFont="1" applyFill="1" applyAlignment="1">
      <alignment horizontal="center"/>
    </xf>
    <xf numFmtId="49" fontId="83" fillId="3" borderId="0" xfId="0" applyNumberFormat="1" applyFont="1" applyFill="1" applyAlignment="1">
      <alignment horizontal="center"/>
    </xf>
    <xf numFmtId="0" fontId="4" fillId="3" borderId="0" xfId="506" applyFill="1"/>
    <xf numFmtId="0" fontId="81" fillId="3" borderId="0" xfId="4" applyFont="1" applyFill="1"/>
    <xf numFmtId="0" fontId="81" fillId="3" borderId="0" xfId="510" applyFont="1" applyFill="1" applyAlignment="1">
      <alignment horizontal="left" indent="3"/>
    </xf>
    <xf numFmtId="0" fontId="91" fillId="3" borderId="0" xfId="510" applyFont="1" applyFill="1" applyAlignment="1">
      <alignment horizontal="right"/>
    </xf>
    <xf numFmtId="0" fontId="81" fillId="3" borderId="0" xfId="510" applyFont="1" applyFill="1" applyBorder="1" applyAlignment="1">
      <alignment horizontal="right"/>
    </xf>
    <xf numFmtId="0" fontId="81" fillId="3" borderId="0" xfId="510" applyFont="1" applyFill="1" applyAlignment="1">
      <alignment horizontal="left"/>
    </xf>
    <xf numFmtId="176" fontId="81" fillId="3" borderId="0" xfId="2" applyNumberFormat="1" applyFont="1" applyFill="1"/>
    <xf numFmtId="0" fontId="81" fillId="3" borderId="0" xfId="506" applyFont="1" applyFill="1"/>
    <xf numFmtId="37" fontId="81" fillId="3" borderId="0" xfId="510" applyNumberFormat="1" applyFont="1" applyFill="1" applyAlignment="1">
      <alignment horizontal="left" indent="1"/>
    </xf>
    <xf numFmtId="164" fontId="81" fillId="3" borderId="0" xfId="2" applyNumberFormat="1" applyFont="1" applyFill="1" applyBorder="1" applyAlignment="1">
      <alignment horizontal="right"/>
    </xf>
    <xf numFmtId="37" fontId="81" fillId="3" borderId="0" xfId="510" applyNumberFormat="1" applyFont="1" applyFill="1"/>
    <xf numFmtId="37" fontId="91" fillId="3" borderId="0" xfId="510" applyNumberFormat="1" applyFont="1" applyFill="1" applyBorder="1" applyAlignment="1">
      <alignment horizontal="right"/>
    </xf>
    <xf numFmtId="164" fontId="0" fillId="3" borderId="0" xfId="0" applyNumberFormat="1" applyFont="1" applyFill="1" applyBorder="1"/>
    <xf numFmtId="0" fontId="92" fillId="3" borderId="35" xfId="0" applyFont="1" applyFill="1" applyBorder="1"/>
    <xf numFmtId="0" fontId="93" fillId="3" borderId="36" xfId="0" applyFont="1" applyFill="1" applyBorder="1" applyAlignment="1"/>
    <xf numFmtId="0" fontId="93" fillId="3" borderId="37" xfId="0" applyFont="1" applyFill="1" applyBorder="1" applyAlignment="1">
      <alignment horizontal="center"/>
    </xf>
    <xf numFmtId="0" fontId="93" fillId="3" borderId="0" xfId="0" applyFont="1" applyFill="1" applyBorder="1" applyAlignment="1"/>
    <xf numFmtId="0" fontId="93" fillId="3" borderId="38" xfId="0" applyFont="1" applyFill="1" applyBorder="1" applyAlignment="1">
      <alignment horizontal="right"/>
    </xf>
    <xf numFmtId="164" fontId="92" fillId="3" borderId="0" xfId="2" applyNumberFormat="1" applyFont="1" applyFill="1" applyBorder="1"/>
    <xf numFmtId="10" fontId="93" fillId="3" borderId="0" xfId="3" applyNumberFormat="1" applyFont="1" applyFill="1" applyBorder="1"/>
    <xf numFmtId="9" fontId="93" fillId="3" borderId="39" xfId="3" applyFont="1" applyFill="1" applyBorder="1" applyAlignment="1">
      <alignment horizontal="center"/>
    </xf>
    <xf numFmtId="0" fontId="92" fillId="3" borderId="0" xfId="0" applyFont="1" applyFill="1" applyBorder="1"/>
    <xf numFmtId="164" fontId="92" fillId="3" borderId="12" xfId="2" applyNumberFormat="1" applyFont="1" applyFill="1" applyBorder="1"/>
    <xf numFmtId="165" fontId="0" fillId="3" borderId="0" xfId="1" applyNumberFormat="1" applyFont="1" applyFill="1"/>
    <xf numFmtId="164" fontId="93" fillId="3" borderId="0" xfId="2" applyNumberFormat="1" applyFont="1" applyFill="1" applyBorder="1"/>
    <xf numFmtId="0" fontId="92" fillId="3" borderId="39" xfId="0" applyFont="1" applyFill="1" applyBorder="1"/>
    <xf numFmtId="0" fontId="92" fillId="3" borderId="40" xfId="0" applyFont="1" applyFill="1" applyBorder="1"/>
    <xf numFmtId="0" fontId="92" fillId="3" borderId="29" xfId="0" applyFont="1" applyFill="1" applyBorder="1"/>
    <xf numFmtId="0" fontId="92" fillId="3" borderId="41" xfId="0" applyFont="1" applyFill="1" applyBorder="1"/>
    <xf numFmtId="9" fontId="0" fillId="3" borderId="0" xfId="3" applyFont="1" applyFill="1"/>
    <xf numFmtId="0" fontId="0" fillId="3" borderId="35" xfId="0" applyFont="1" applyFill="1" applyBorder="1"/>
    <xf numFmtId="0" fontId="93" fillId="3" borderId="42" xfId="0" applyFont="1" applyFill="1" applyBorder="1"/>
    <xf numFmtId="0" fontId="0" fillId="3" borderId="43" xfId="0" applyFont="1" applyFill="1" applyBorder="1"/>
    <xf numFmtId="42" fontId="92" fillId="3" borderId="0" xfId="0" applyNumberFormat="1" applyFont="1" applyFill="1" applyBorder="1"/>
    <xf numFmtId="164" fontId="92" fillId="3" borderId="39" xfId="0" applyNumberFormat="1" applyFont="1" applyFill="1" applyBorder="1"/>
    <xf numFmtId="164" fontId="92" fillId="3" borderId="0" xfId="0" applyNumberFormat="1" applyFont="1" applyFill="1" applyBorder="1"/>
    <xf numFmtId="0" fontId="92" fillId="3" borderId="38" xfId="0" applyFont="1" applyFill="1" applyBorder="1"/>
    <xf numFmtId="0" fontId="93" fillId="3" borderId="40" xfId="0" applyFont="1" applyFill="1" applyBorder="1" applyAlignment="1">
      <alignment horizontal="right"/>
    </xf>
    <xf numFmtId="10" fontId="93" fillId="3" borderId="29" xfId="0" applyNumberFormat="1" applyFont="1" applyFill="1" applyBorder="1"/>
    <xf numFmtId="10" fontId="93" fillId="3" borderId="41" xfId="536" applyNumberFormat="1" applyFont="1" applyFill="1" applyBorder="1"/>
    <xf numFmtId="0" fontId="3" fillId="3" borderId="0" xfId="0" quotePrefix="1" applyFont="1" applyFill="1" applyAlignment="1">
      <alignment horizontal="center"/>
    </xf>
    <xf numFmtId="49" fontId="3" fillId="3" borderId="0" xfId="0" applyNumberFormat="1" applyFont="1" applyFill="1" applyAlignment="1">
      <alignment horizontal="center"/>
    </xf>
    <xf numFmtId="0" fontId="82" fillId="3" borderId="12" xfId="510" applyFont="1" applyFill="1" applyBorder="1" applyAlignment="1">
      <alignment horizontal="center" wrapText="1"/>
    </xf>
    <xf numFmtId="0" fontId="82" fillId="3" borderId="0" xfId="510" applyFont="1" applyFill="1" applyBorder="1" applyAlignment="1">
      <alignment horizontal="center" wrapText="1"/>
    </xf>
    <xf numFmtId="14" fontId="3" fillId="3" borderId="0" xfId="0" applyNumberFormat="1" applyFont="1" applyFill="1" applyAlignment="1">
      <alignment horizontal="center"/>
    </xf>
    <xf numFmtId="1" fontId="81" fillId="3" borderId="0" xfId="509" applyNumberFormat="1" applyFont="1" applyFill="1" applyBorder="1"/>
    <xf numFmtId="37" fontId="81" fillId="3" borderId="0" xfId="509" applyFont="1" applyFill="1"/>
    <xf numFmtId="165" fontId="0" fillId="3" borderId="0" xfId="0" applyNumberFormat="1" applyFont="1" applyFill="1" applyBorder="1"/>
    <xf numFmtId="0" fontId="0" fillId="3" borderId="0" xfId="0" applyFont="1" applyFill="1" applyBorder="1"/>
    <xf numFmtId="164" fontId="81" fillId="3" borderId="0" xfId="1" applyNumberFormat="1" applyFont="1" applyFill="1"/>
    <xf numFmtId="164" fontId="81" fillId="3" borderId="44" xfId="2" applyNumberFormat="1" applyFont="1" applyFill="1" applyBorder="1"/>
    <xf numFmtId="164" fontId="1" fillId="3" borderId="0" xfId="2" applyNumberFormat="1" applyFont="1" applyFill="1" applyBorder="1"/>
    <xf numFmtId="10" fontId="0" fillId="3" borderId="0" xfId="0" applyNumberFormat="1" applyFont="1" applyFill="1"/>
    <xf numFmtId="37" fontId="81" fillId="3" borderId="0" xfId="509" applyFont="1" applyFill="1" applyAlignment="1">
      <alignment horizontal="right"/>
    </xf>
    <xf numFmtId="10" fontId="81" fillId="3" borderId="45" xfId="3" applyNumberFormat="1" applyFont="1" applyFill="1" applyBorder="1"/>
    <xf numFmtId="10" fontId="1" fillId="3" borderId="0" xfId="3" applyNumberFormat="1" applyFont="1" applyFill="1" applyBorder="1"/>
    <xf numFmtId="188" fontId="0" fillId="3" borderId="0" xfId="0" applyNumberFormat="1" applyFont="1" applyFill="1"/>
    <xf numFmtId="1" fontId="81" fillId="3" borderId="0" xfId="509" applyNumberFormat="1" applyFont="1" applyFill="1" applyBorder="1" applyAlignment="1">
      <alignment vertical="top"/>
    </xf>
    <xf numFmtId="37" fontId="81" fillId="3" borderId="0" xfId="509" applyFont="1" applyFill="1" applyAlignment="1">
      <alignment vertical="top"/>
    </xf>
    <xf numFmtId="164" fontId="81" fillId="3" borderId="0" xfId="1" applyNumberFormat="1" applyFont="1" applyFill="1" applyAlignment="1">
      <alignment vertical="top"/>
    </xf>
    <xf numFmtId="165" fontId="81" fillId="3" borderId="0" xfId="1" applyNumberFormat="1" applyFont="1" applyFill="1" applyAlignment="1">
      <alignment vertical="top"/>
    </xf>
    <xf numFmtId="165" fontId="0" fillId="3" borderId="0" xfId="0" applyNumberFormat="1" applyFont="1" applyFill="1" applyBorder="1" applyAlignment="1">
      <alignment vertical="top"/>
    </xf>
    <xf numFmtId="0" fontId="177" fillId="0" borderId="0" xfId="0" applyFont="1" applyFill="1"/>
    <xf numFmtId="0" fontId="25" fillId="3" borderId="0" xfId="383" applyFont="1" applyFill="1">
      <alignment vertical="top"/>
    </xf>
    <xf numFmtId="165" fontId="4" fillId="3" borderId="0" xfId="383" applyNumberFormat="1" applyFont="1" applyFill="1">
      <alignment vertical="top"/>
    </xf>
    <xf numFmtId="165" fontId="6" fillId="0" borderId="12" xfId="132" applyNumberFormat="1" applyFont="1" applyFill="1" applyBorder="1"/>
    <xf numFmtId="165" fontId="6" fillId="0" borderId="12" xfId="132" applyNumberFormat="1" applyFont="1" applyFill="1" applyBorder="1" applyAlignment="1">
      <alignment horizontal="right"/>
    </xf>
    <xf numFmtId="165" fontId="6" fillId="0" borderId="44" xfId="132" applyNumberFormat="1" applyFont="1" applyFill="1" applyBorder="1"/>
    <xf numFmtId="0" fontId="79" fillId="0" borderId="0" xfId="511" applyNumberFormat="1" applyFont="1" applyAlignment="1">
      <alignment horizontal="left" vertical="top" wrapText="1"/>
    </xf>
    <xf numFmtId="0" fontId="79" fillId="0" borderId="0" xfId="511" applyNumberFormat="1" applyFont="1" applyAlignment="1">
      <alignment horizontal="left" wrapText="1"/>
    </xf>
    <xf numFmtId="0" fontId="0" fillId="47" borderId="0" xfId="0" applyFont="1" applyFill="1" applyAlignment="1">
      <alignment horizontal="center"/>
    </xf>
    <xf numFmtId="0" fontId="0" fillId="3" borderId="0" xfId="0" applyFont="1" applyFill="1" applyAlignment="1">
      <alignment horizontal="left"/>
    </xf>
    <xf numFmtId="0" fontId="153" fillId="0" borderId="53" xfId="0" applyFont="1" applyBorder="1" applyAlignment="1">
      <alignment horizontal="left"/>
    </xf>
    <xf numFmtId="0" fontId="153" fillId="0" borderId="54" xfId="0" applyFont="1" applyBorder="1" applyAlignment="1">
      <alignment horizontal="left"/>
    </xf>
    <xf numFmtId="0" fontId="153" fillId="0" borderId="55" xfId="0" applyFont="1" applyBorder="1" applyAlignment="1">
      <alignment horizontal="left"/>
    </xf>
    <xf numFmtId="0" fontId="3" fillId="47" borderId="12" xfId="0" applyFont="1" applyFill="1" applyBorder="1" applyAlignment="1">
      <alignment horizontal="center"/>
    </xf>
    <xf numFmtId="0" fontId="185" fillId="0" borderId="0" xfId="0" applyFont="1" applyFill="1" applyAlignment="1">
      <alignment horizontal="center" wrapText="1"/>
    </xf>
    <xf numFmtId="0" fontId="22" fillId="23" borderId="0" xfId="104" applyFont="1" applyAlignment="1">
      <alignment horizontal="center"/>
    </xf>
    <xf numFmtId="0" fontId="0" fillId="0" borderId="0" xfId="0" applyAlignment="1">
      <alignment horizontal="left" wrapText="1"/>
    </xf>
    <xf numFmtId="0" fontId="165" fillId="3" borderId="0" xfId="0" applyFont="1" applyFill="1" applyAlignment="1">
      <alignment horizontal="left" wrapText="1"/>
    </xf>
    <xf numFmtId="0" fontId="161" fillId="0" borderId="0" xfId="0" applyFont="1" applyAlignment="1">
      <alignment horizontal="left" wrapText="1"/>
    </xf>
    <xf numFmtId="0" fontId="113" fillId="3" borderId="0" xfId="0" applyFont="1" applyFill="1" applyBorder="1" applyAlignment="1">
      <alignment horizontal="center"/>
    </xf>
    <xf numFmtId="0" fontId="115" fillId="3" borderId="6" xfId="0" applyFont="1" applyFill="1" applyBorder="1" applyAlignment="1">
      <alignment horizontal="center"/>
    </xf>
    <xf numFmtId="0" fontId="115" fillId="3" borderId="7" xfId="0" applyFont="1" applyFill="1" applyBorder="1" applyAlignment="1">
      <alignment horizontal="center"/>
    </xf>
    <xf numFmtId="0" fontId="115" fillId="3" borderId="46" xfId="0" applyFont="1" applyFill="1" applyBorder="1" applyAlignment="1">
      <alignment horizontal="center"/>
    </xf>
    <xf numFmtId="0" fontId="115" fillId="3" borderId="0" xfId="0" applyFont="1" applyFill="1" applyBorder="1" applyAlignment="1">
      <alignment horizontal="center"/>
    </xf>
    <xf numFmtId="0" fontId="144" fillId="58" borderId="0" xfId="0" applyFont="1" applyFill="1" applyBorder="1" applyAlignment="1">
      <alignment horizontal="center"/>
    </xf>
    <xf numFmtId="166" fontId="116" fillId="53" borderId="35" xfId="585" applyFont="1" applyFill="1" applyBorder="1" applyAlignment="1">
      <alignment horizontal="center"/>
    </xf>
    <xf numFmtId="166" fontId="116" fillId="53" borderId="42" xfId="585" applyFont="1" applyFill="1" applyBorder="1" applyAlignment="1">
      <alignment horizontal="center"/>
    </xf>
    <xf numFmtId="166" fontId="116" fillId="53" borderId="43" xfId="585" applyFont="1" applyFill="1" applyBorder="1" applyAlignment="1">
      <alignment horizontal="center"/>
    </xf>
    <xf numFmtId="166" fontId="116" fillId="53" borderId="38" xfId="585" applyFont="1" applyFill="1" applyBorder="1" applyAlignment="1">
      <alignment horizontal="center"/>
    </xf>
    <xf numFmtId="166" fontId="116" fillId="53" borderId="0" xfId="585" applyFont="1" applyFill="1" applyBorder="1" applyAlignment="1">
      <alignment horizontal="center"/>
    </xf>
    <xf numFmtId="166" fontId="116" fillId="53" borderId="39" xfId="585" applyFont="1" applyFill="1" applyBorder="1" applyAlignment="1">
      <alignment horizontal="center"/>
    </xf>
    <xf numFmtId="14" fontId="116" fillId="53" borderId="38" xfId="585" applyNumberFormat="1" applyFont="1" applyFill="1" applyBorder="1" applyAlignment="1">
      <alignment horizontal="center"/>
    </xf>
    <xf numFmtId="14" fontId="116" fillId="53" borderId="0" xfId="585" applyNumberFormat="1" applyFont="1" applyFill="1" applyBorder="1" applyAlignment="1">
      <alignment horizontal="center"/>
    </xf>
    <xf numFmtId="14" fontId="116" fillId="53" borderId="39" xfId="585" applyNumberFormat="1" applyFont="1" applyFill="1" applyBorder="1" applyAlignment="1">
      <alignment horizontal="center"/>
    </xf>
    <xf numFmtId="166" fontId="7" fillId="54" borderId="12" xfId="361" applyFont="1" applyFill="1" applyBorder="1" applyAlignment="1">
      <alignment horizontal="center"/>
    </xf>
    <xf numFmtId="166" fontId="6" fillId="0" borderId="0" xfId="361" applyFont="1" applyAlignment="1">
      <alignment horizontal="left" wrapText="1"/>
    </xf>
    <xf numFmtId="166" fontId="6" fillId="0" borderId="0" xfId="361" applyFont="1" applyAlignment="1">
      <alignment horizontal="center" wrapText="1"/>
    </xf>
    <xf numFmtId="166" fontId="120" fillId="7" borderId="0" xfId="361" applyFont="1" applyFill="1" applyAlignment="1">
      <alignment horizontal="center"/>
    </xf>
    <xf numFmtId="10" fontId="5" fillId="0" borderId="0" xfId="361" applyNumberFormat="1" applyFont="1" applyFill="1" applyBorder="1" applyAlignment="1">
      <alignment horizontal="center"/>
    </xf>
    <xf numFmtId="0" fontId="3" fillId="0" borderId="53" xfId="0" applyFont="1" applyFill="1" applyBorder="1" applyAlignment="1">
      <alignment horizontal="center"/>
    </xf>
    <xf numFmtId="0" fontId="3" fillId="0" borderId="55" xfId="0" applyFont="1" applyFill="1" applyBorder="1" applyAlignment="1">
      <alignment horizontal="center"/>
    </xf>
    <xf numFmtId="0" fontId="3" fillId="0" borderId="53" xfId="0" applyFont="1" applyBorder="1" applyAlignment="1">
      <alignment horizontal="center"/>
    </xf>
    <xf numFmtId="0" fontId="3" fillId="0" borderId="54" xfId="0" applyFont="1" applyBorder="1" applyAlignment="1">
      <alignment horizontal="center"/>
    </xf>
    <xf numFmtId="0" fontId="3" fillId="0" borderId="55" xfId="0" applyFont="1" applyBorder="1" applyAlignment="1">
      <alignment horizontal="center"/>
    </xf>
    <xf numFmtId="0" fontId="3" fillId="0" borderId="36" xfId="0" applyFont="1" applyBorder="1" applyAlignment="1">
      <alignment horizontal="center" wrapText="1"/>
    </xf>
    <xf numFmtId="166" fontId="169" fillId="47" borderId="0" xfId="361" applyFont="1" applyFill="1" applyBorder="1" applyAlignment="1">
      <alignment horizontal="center"/>
    </xf>
    <xf numFmtId="166" fontId="169" fillId="47" borderId="12" xfId="361" applyFont="1" applyFill="1" applyBorder="1" applyAlignment="1">
      <alignment horizontal="center"/>
    </xf>
    <xf numFmtId="166" fontId="175" fillId="3" borderId="0" xfId="361" applyFont="1" applyFill="1" applyAlignment="1">
      <alignment horizontal="left" vertical="top" wrapText="1"/>
    </xf>
    <xf numFmtId="166" fontId="175" fillId="3" borderId="29" xfId="361" applyFont="1" applyFill="1" applyBorder="1" applyAlignment="1">
      <alignment horizontal="left" vertical="top" wrapText="1"/>
    </xf>
    <xf numFmtId="0" fontId="178" fillId="4" borderId="56" xfId="0" applyFont="1" applyFill="1" applyBorder="1" applyAlignment="1">
      <alignment horizontal="center" vertical="center"/>
    </xf>
    <xf numFmtId="0" fontId="3" fillId="0" borderId="0" xfId="0" applyFont="1" applyAlignment="1">
      <alignment horizontal="left" wrapText="1"/>
    </xf>
    <xf numFmtId="0" fontId="78" fillId="3" borderId="0" xfId="383" applyFont="1" applyFill="1" applyAlignment="1">
      <alignment horizontal="left" vertical="top" wrapText="1"/>
    </xf>
    <xf numFmtId="0" fontId="81" fillId="3" borderId="0" xfId="366" applyFont="1" applyFill="1" applyAlignment="1">
      <alignment horizontal="left" wrapText="1"/>
    </xf>
    <xf numFmtId="37" fontId="190" fillId="3" borderId="0" xfId="510" applyNumberFormat="1" applyFont="1" applyFill="1" applyAlignment="1">
      <alignment horizontal="left" wrapText="1"/>
    </xf>
    <xf numFmtId="0" fontId="0" fillId="3" borderId="0" xfId="0" applyFont="1" applyFill="1" applyBorder="1" applyAlignment="1">
      <alignment horizontal="left" wrapText="1"/>
    </xf>
  </cellXfs>
  <cellStyles count="639">
    <cellStyle name="20% - Accent1 2" xfId="10"/>
    <cellStyle name="20% - Accent1 2 2" xfId="11"/>
    <cellStyle name="20% - Accent1 2 3" xfId="12"/>
    <cellStyle name="20% - Accent1 3" xfId="13"/>
    <cellStyle name="20% - Accent1 3 2" xfId="14"/>
    <cellStyle name="20% - Accent1 3 3" xfId="15"/>
    <cellStyle name="20% - Accent1 4" xfId="16"/>
    <cellStyle name="20% - Accent2 2" xfId="17"/>
    <cellStyle name="20% - Accent2 3" xfId="18"/>
    <cellStyle name="20% - Accent2 3 2" xfId="19"/>
    <cellStyle name="20% - Accent3 2" xfId="20"/>
    <cellStyle name="20% - Accent3 3" xfId="21"/>
    <cellStyle name="20% - Accent3 3 2" xfId="22"/>
    <cellStyle name="20% - Accent4 2" xfId="23"/>
    <cellStyle name="20% - Accent4 2 2" xfId="24"/>
    <cellStyle name="20% - Accent4 2 3" xfId="25"/>
    <cellStyle name="20% - Accent4 3" xfId="26"/>
    <cellStyle name="20% - Accent4 3 2" xfId="27"/>
    <cellStyle name="20% - Accent4 3 3" xfId="28"/>
    <cellStyle name="20% - Accent4 4" xfId="29"/>
    <cellStyle name="20% - Accent5 2" xfId="30"/>
    <cellStyle name="20% - Accent5 3" xfId="31"/>
    <cellStyle name="20% - Accent6 2" xfId="32"/>
    <cellStyle name="20% - Accent6 3" xfId="33"/>
    <cellStyle name="20% - Accent6 3 2" xfId="34"/>
    <cellStyle name="40% - Accent1 2" xfId="35"/>
    <cellStyle name="40% - Accent1 3" xfId="36"/>
    <cellStyle name="40% - Accent1 3 2" xfId="37"/>
    <cellStyle name="40% - Accent1 3 3" xfId="38"/>
    <cellStyle name="40% - Accent1 4" xfId="39"/>
    <cellStyle name="40% - Accent2 2" xfId="40"/>
    <cellStyle name="40% - Accent2 3" xfId="41"/>
    <cellStyle name="40% - Accent3 2" xfId="42"/>
    <cellStyle name="40% - Accent3 3" xfId="43"/>
    <cellStyle name="40% - Accent3 3 2" xfId="44"/>
    <cellStyle name="40% - Accent4 2" xfId="45"/>
    <cellStyle name="40% - Accent4 3" xfId="46"/>
    <cellStyle name="40% - Accent4 3 2" xfId="47"/>
    <cellStyle name="40% - Accent4 3 3" xfId="48"/>
    <cellStyle name="40% - Accent4 4" xfId="49"/>
    <cellStyle name="40% - Accent5 2" xfId="50"/>
    <cellStyle name="40% - Accent5 3" xfId="51"/>
    <cellStyle name="40% - Accent5 3 2" xfId="52"/>
    <cellStyle name="40% - Accent6 2" xfId="53"/>
    <cellStyle name="40% - Accent6 3" xfId="54"/>
    <cellStyle name="40% - Accent6 3 2" xfId="55"/>
    <cellStyle name="40% - Accent6 3 3" xfId="56"/>
    <cellStyle name="40% - Accent6 4" xfId="57"/>
    <cellStyle name="60% - Accent1 2" xfId="58"/>
    <cellStyle name="60% - Accent1 2 2" xfId="59"/>
    <cellStyle name="60% - Accent1 2 3" xfId="60"/>
    <cellStyle name="60% - Accent1 3" xfId="61"/>
    <cellStyle name="60% - Accent1 3 2" xfId="62"/>
    <cellStyle name="60% - Accent1 3 3" xfId="63"/>
    <cellStyle name="60% - Accent1 4" xfId="64"/>
    <cellStyle name="60% - Accent2 2" xfId="65"/>
    <cellStyle name="60% - Accent2 3" xfId="66"/>
    <cellStyle name="60% - Accent2 3 2" xfId="67"/>
    <cellStyle name="60% - Accent3 2" xfId="68"/>
    <cellStyle name="60% - Accent3 3" xfId="69"/>
    <cellStyle name="60% - Accent3 3 2" xfId="70"/>
    <cellStyle name="60% - Accent3 3 3" xfId="71"/>
    <cellStyle name="60% - Accent3 4" xfId="72"/>
    <cellStyle name="60% - Accent4 2" xfId="73"/>
    <cellStyle name="60% - Accent4 3" xfId="74"/>
    <cellStyle name="60% - Accent4 3 2" xfId="75"/>
    <cellStyle name="60% - Accent4 3 3" xfId="76"/>
    <cellStyle name="60% - Accent4 4" xfId="77"/>
    <cellStyle name="60% - Accent5 2" xfId="78"/>
    <cellStyle name="60% - Accent5 2 2" xfId="79"/>
    <cellStyle name="60% - Accent5 2 3" xfId="80"/>
    <cellStyle name="60% - Accent5 3" xfId="81"/>
    <cellStyle name="60% - Accent5 3 2" xfId="82"/>
    <cellStyle name="60% - Accent6 2" xfId="83"/>
    <cellStyle name="60% - Accent6 3" xfId="84"/>
    <cellStyle name="60% - Accent6 3 2" xfId="85"/>
    <cellStyle name="Accent1 2" xfId="86"/>
    <cellStyle name="Accent1 2 2" xfId="87"/>
    <cellStyle name="Accent1 2 3" xfId="88"/>
    <cellStyle name="Accent1 3" xfId="89"/>
    <cellStyle name="Accent1 3 2" xfId="90"/>
    <cellStyle name="Accent1 3 3" xfId="91"/>
    <cellStyle name="Accent1 4" xfId="92"/>
    <cellStyle name="Accent2 2" xfId="93"/>
    <cellStyle name="Accent2 3" xfId="94"/>
    <cellStyle name="Accent2 3 2" xfId="95"/>
    <cellStyle name="Accent3 2" xfId="96"/>
    <cellStyle name="Accent3 2 2" xfId="97"/>
    <cellStyle name="Accent3 2 3" xfId="98"/>
    <cellStyle name="Accent3 3" xfId="99"/>
    <cellStyle name="Accent3 3 2" xfId="100"/>
    <cellStyle name="Accent4 2" xfId="101"/>
    <cellStyle name="Accent4 3" xfId="102"/>
    <cellStyle name="Accent4 3 2" xfId="103"/>
    <cellStyle name="Accent5 2" xfId="104"/>
    <cellStyle name="Accent5 3" xfId="105"/>
    <cellStyle name="Accent6 2" xfId="106"/>
    <cellStyle name="Accent6 2 2" xfId="107"/>
    <cellStyle name="Accent6 2 3" xfId="108"/>
    <cellStyle name="Accent6 3" xfId="109"/>
    <cellStyle name="Accent6 3 2" xfId="110"/>
    <cellStyle name="Accounting" xfId="111"/>
    <cellStyle name="Accounting 2" xfId="112"/>
    <cellStyle name="Accounting 3" xfId="113"/>
    <cellStyle name="Accounting_2011-11" xfId="114"/>
    <cellStyle name="APS" xfId="586"/>
    <cellStyle name="APSLabels" xfId="587"/>
    <cellStyle name="Bad 2" xfId="115"/>
    <cellStyle name="Bad 3" xfId="116"/>
    <cellStyle name="Bad 3 2" xfId="117"/>
    <cellStyle name="Budget" xfId="118"/>
    <cellStyle name="Budget 2" xfId="119"/>
    <cellStyle name="Budget 3" xfId="120"/>
    <cellStyle name="Budget_2011-11" xfId="121"/>
    <cellStyle name="Calculation 2" xfId="122"/>
    <cellStyle name="Calculation 2 2" xfId="123"/>
    <cellStyle name="Calculation 2 3" xfId="124"/>
    <cellStyle name="Calculation 3" xfId="125"/>
    <cellStyle name="Calculation 3 2" xfId="126"/>
    <cellStyle name="Calculation 3 3" xfId="127"/>
    <cellStyle name="Calculation 4" xfId="128"/>
    <cellStyle name="Check Cell 2" xfId="129"/>
    <cellStyle name="Check Cell 3" xfId="130"/>
    <cellStyle name="Color" xfId="588"/>
    <cellStyle name="combo" xfId="131"/>
    <cellStyle name="Comma" xfId="1" builtinId="3"/>
    <cellStyle name="Comma 10" xfId="132"/>
    <cellStyle name="Comma 10 2" xfId="589"/>
    <cellStyle name="Comma 11" xfId="133"/>
    <cellStyle name="Comma 11 2" xfId="590"/>
    <cellStyle name="Comma 12" xfId="134"/>
    <cellStyle name="Comma 12 2" xfId="135"/>
    <cellStyle name="Comma 12 2 2" xfId="136"/>
    <cellStyle name="Comma 12 3" xfId="137"/>
    <cellStyle name="Comma 12 4" xfId="138"/>
    <cellStyle name="Comma 12 5" xfId="139"/>
    <cellStyle name="Comma 13" xfId="140"/>
    <cellStyle name="Comma 13 2" xfId="141"/>
    <cellStyle name="Comma 13 3" xfId="142"/>
    <cellStyle name="Comma 14" xfId="143"/>
    <cellStyle name="Comma 15" xfId="144"/>
    <cellStyle name="Comma 15 2" xfId="145"/>
    <cellStyle name="Comma 15 3" xfId="146"/>
    <cellStyle name="Comma 16" xfId="147"/>
    <cellStyle name="Comma 17" xfId="148"/>
    <cellStyle name="Comma 17 2" xfId="149"/>
    <cellStyle name="Comma 17 3" xfId="150"/>
    <cellStyle name="Comma 18" xfId="151"/>
    <cellStyle name="Comma 18 2" xfId="152"/>
    <cellStyle name="Comma 18 3" xfId="153"/>
    <cellStyle name="Comma 19" xfId="154"/>
    <cellStyle name="Comma 2" xfId="7"/>
    <cellStyle name="Comma 2 2" xfId="155"/>
    <cellStyle name="Comma 2 2 2" xfId="156"/>
    <cellStyle name="Comma 2 2 2 2" xfId="591"/>
    <cellStyle name="Comma 2 2 3" xfId="592"/>
    <cellStyle name="Comma 2 3" xfId="157"/>
    <cellStyle name="Comma 2 4" xfId="158"/>
    <cellStyle name="Comma 2 4 2" xfId="159"/>
    <cellStyle name="Comma 2 4 3" xfId="160"/>
    <cellStyle name="Comma 2 5" xfId="584"/>
    <cellStyle name="Comma 2 6" xfId="161"/>
    <cellStyle name="Comma 2 6 2" xfId="162"/>
    <cellStyle name="Comma 20" xfId="163"/>
    <cellStyle name="Comma 21" xfId="164"/>
    <cellStyle name="Comma 21 2" xfId="165"/>
    <cellStyle name="Comma 3" xfId="166"/>
    <cellStyle name="Comma 3 2" xfId="167"/>
    <cellStyle name="Comma 3 2 2" xfId="168"/>
    <cellStyle name="Comma 3 3" xfId="169"/>
    <cellStyle name="Comma 3 4" xfId="170"/>
    <cellStyle name="Comma 4" xfId="171"/>
    <cellStyle name="Comma 4 2" xfId="172"/>
    <cellStyle name="Comma 4 2 2" xfId="173"/>
    <cellStyle name="Comma 4 2 3" xfId="174"/>
    <cellStyle name="Comma 4 2 4" xfId="593"/>
    <cellStyle name="Comma 4 3" xfId="175"/>
    <cellStyle name="Comma 4 3 2" xfId="176"/>
    <cellStyle name="Comma 4 3 3" xfId="177"/>
    <cellStyle name="Comma 4 4" xfId="178"/>
    <cellStyle name="Comma 4 4 2" xfId="179"/>
    <cellStyle name="Comma 4 4 3" xfId="180"/>
    <cellStyle name="Comma 4 5" xfId="181"/>
    <cellStyle name="Comma 4 5 2" xfId="182"/>
    <cellStyle name="Comma 4 6" xfId="183"/>
    <cellStyle name="Comma 5" xfId="184"/>
    <cellStyle name="Comma 5 2" xfId="185"/>
    <cellStyle name="Comma 5 2 2" xfId="626"/>
    <cellStyle name="Comma 5 3" xfId="186"/>
    <cellStyle name="Comma 5 4" xfId="187"/>
    <cellStyle name="Comma 5 5" xfId="188"/>
    <cellStyle name="Comma 6" xfId="189"/>
    <cellStyle name="Comma 6 2" xfId="190"/>
    <cellStyle name="Comma 6 2 2" xfId="627"/>
    <cellStyle name="Comma 6 3" xfId="594"/>
    <cellStyle name="Comma 6 4" xfId="595"/>
    <cellStyle name="Comma 7" xfId="191"/>
    <cellStyle name="Comma 7 2" xfId="596"/>
    <cellStyle name="Comma 7 2 2" xfId="628"/>
    <cellStyle name="Comma 7 3" xfId="597"/>
    <cellStyle name="Comma 8" xfId="192"/>
    <cellStyle name="Comma 8 2" xfId="598"/>
    <cellStyle name="Comma 8 2 2" xfId="599"/>
    <cellStyle name="Comma 8 3" xfId="600"/>
    <cellStyle name="Comma 8 4" xfId="601"/>
    <cellStyle name="Comma 9" xfId="193"/>
    <cellStyle name="Comma 9 2" xfId="602"/>
    <cellStyle name="Comma(2)" xfId="194"/>
    <cellStyle name="Comma0" xfId="195"/>
    <cellStyle name="Comma0 - Style2" xfId="196"/>
    <cellStyle name="Comma1 - Style1" xfId="197"/>
    <cellStyle name="Comments" xfId="198"/>
    <cellStyle name="Currency" xfId="2" builtinId="4"/>
    <cellStyle name="Currency 10" xfId="199"/>
    <cellStyle name="Currency 11" xfId="200"/>
    <cellStyle name="Currency 12" xfId="201"/>
    <cellStyle name="Currency 13" xfId="202"/>
    <cellStyle name="Currency 2" xfId="203"/>
    <cellStyle name="Currency 2 2" xfId="204"/>
    <cellStyle name="Currency 2 2 2" xfId="205"/>
    <cellStyle name="Currency 2 2 3" xfId="206"/>
    <cellStyle name="Currency 2 2 4" xfId="603"/>
    <cellStyle name="Currency 2 3" xfId="207"/>
    <cellStyle name="Currency 2 3 2" xfId="208"/>
    <cellStyle name="Currency 2 3 3" xfId="209"/>
    <cellStyle name="Currency 2 4" xfId="210"/>
    <cellStyle name="Currency 2 6" xfId="211"/>
    <cellStyle name="Currency 2 6 2" xfId="212"/>
    <cellStyle name="Currency 3" xfId="213"/>
    <cellStyle name="Currency 3 2" xfId="214"/>
    <cellStyle name="Currency 3 2 2" xfId="629"/>
    <cellStyle name="Currency 3 3" xfId="215"/>
    <cellStyle name="Currency 3 3 2" xfId="216"/>
    <cellStyle name="Currency 3 4" xfId="217"/>
    <cellStyle name="Currency 3 5" xfId="218"/>
    <cellStyle name="Currency 4" xfId="219"/>
    <cellStyle name="Currency 4 2" xfId="220"/>
    <cellStyle name="Currency 4 2 2" xfId="630"/>
    <cellStyle name="Currency 4 3" xfId="221"/>
    <cellStyle name="Currency 4 4" xfId="222"/>
    <cellStyle name="Currency 5" xfId="223"/>
    <cellStyle name="Currency 5 2" xfId="224"/>
    <cellStyle name="Currency 5 3" xfId="225"/>
    <cellStyle name="Currency 6" xfId="226"/>
    <cellStyle name="Currency 7" xfId="227"/>
    <cellStyle name="Currency 8" xfId="228"/>
    <cellStyle name="Currency 8 2" xfId="229"/>
    <cellStyle name="Currency 9" xfId="230"/>
    <cellStyle name="Currency0" xfId="231"/>
    <cellStyle name="Data Enter" xfId="232"/>
    <cellStyle name="date" xfId="233"/>
    <cellStyle name="Explanatory Text 2" xfId="234"/>
    <cellStyle name="Explanatory Text 3" xfId="235"/>
    <cellStyle name="F9ReportControlStyle_ctpInquire" xfId="236"/>
    <cellStyle name="FactSheet" xfId="237"/>
    <cellStyle name="fish" xfId="238"/>
    <cellStyle name="Good" xfId="4" builtinId="26"/>
    <cellStyle name="Good 2" xfId="239"/>
    <cellStyle name="Good 3" xfId="240"/>
    <cellStyle name="Good 3 2" xfId="241"/>
    <cellStyle name="Good 4" xfId="242"/>
    <cellStyle name="Heading 1 2" xfId="243"/>
    <cellStyle name="Heading 1 2 2" xfId="244"/>
    <cellStyle name="Heading 1 2 3" xfId="245"/>
    <cellStyle name="Heading 1 3" xfId="246"/>
    <cellStyle name="Heading 1 3 2" xfId="247"/>
    <cellStyle name="Heading 1 3 3" xfId="248"/>
    <cellStyle name="Heading 1 4" xfId="249"/>
    <cellStyle name="Heading 2 2" xfId="250"/>
    <cellStyle name="Heading 2 2 2" xfId="251"/>
    <cellStyle name="Heading 2 2 3" xfId="252"/>
    <cellStyle name="Heading 2 3" xfId="253"/>
    <cellStyle name="Heading 2 3 2" xfId="254"/>
    <cellStyle name="Heading 2 3 3" xfId="255"/>
    <cellStyle name="Heading 2 4" xfId="256"/>
    <cellStyle name="Heading 3 2" xfId="257"/>
    <cellStyle name="Heading 3 2 2" xfId="258"/>
    <cellStyle name="Heading 3 2 3" xfId="259"/>
    <cellStyle name="Heading 3 3" xfId="260"/>
    <cellStyle name="Heading 3 3 2" xfId="261"/>
    <cellStyle name="Heading 3 3 3" xfId="262"/>
    <cellStyle name="Heading 3 4" xfId="263"/>
    <cellStyle name="Heading 4 2" xfId="264"/>
    <cellStyle name="Heading 4 3" xfId="265"/>
    <cellStyle name="Heading 4 3 2" xfId="266"/>
    <cellStyle name="Hyperlink 2" xfId="267"/>
    <cellStyle name="Hyperlink 3" xfId="268"/>
    <cellStyle name="Hyperlink 3 2" xfId="269"/>
    <cellStyle name="Input 2" xfId="270"/>
    <cellStyle name="Input 3" xfId="271"/>
    <cellStyle name="Input 3 2" xfId="272"/>
    <cellStyle name="input(0)" xfId="273"/>
    <cellStyle name="Input(2)" xfId="274"/>
    <cellStyle name="Labels" xfId="604"/>
    <cellStyle name="Linked Cell 2" xfId="275"/>
    <cellStyle name="Linked Cell 2 2" xfId="276"/>
    <cellStyle name="Linked Cell 2 3" xfId="277"/>
    <cellStyle name="Linked Cell 3" xfId="278"/>
    <cellStyle name="Linked Cell 3 2" xfId="279"/>
    <cellStyle name="Neutral 2" xfId="280"/>
    <cellStyle name="Neutral 2 2" xfId="281"/>
    <cellStyle name="Neutral 2 3" xfId="282"/>
    <cellStyle name="Neutral 3" xfId="283"/>
    <cellStyle name="Neutral 3 2" xfId="284"/>
    <cellStyle name="New_normal" xfId="285"/>
    <cellStyle name="Normal" xfId="0" builtinId="0"/>
    <cellStyle name="Normal - Style1" xfId="286"/>
    <cellStyle name="Normal - Style2" xfId="287"/>
    <cellStyle name="Normal - Style3" xfId="288"/>
    <cellStyle name="Normal - Style4" xfId="289"/>
    <cellStyle name="Normal - Style5" xfId="290"/>
    <cellStyle name="Normal 10" xfId="291"/>
    <cellStyle name="Normal 10 2" xfId="292"/>
    <cellStyle name="Normal 10 2 2" xfId="293"/>
    <cellStyle name="Normal 10 2 3" xfId="294"/>
    <cellStyle name="Normal 10 2 4" xfId="295"/>
    <cellStyle name="Normal 10 2 5" xfId="296"/>
    <cellStyle name="Normal 10 3" xfId="297"/>
    <cellStyle name="Normal 10_2112 DF Schedule" xfId="298"/>
    <cellStyle name="Normal 100" xfId="299"/>
    <cellStyle name="Normal 101" xfId="300"/>
    <cellStyle name="Normal 102" xfId="301"/>
    <cellStyle name="Normal 103" xfId="302"/>
    <cellStyle name="Normal 104" xfId="303"/>
    <cellStyle name="Normal 105" xfId="304"/>
    <cellStyle name="Normal 106" xfId="305"/>
    <cellStyle name="Normal 107" xfId="306"/>
    <cellStyle name="Normal 108" xfId="307"/>
    <cellStyle name="Normal 109" xfId="308"/>
    <cellStyle name="Normal 109 2" xfId="309"/>
    <cellStyle name="Normal 11" xfId="310"/>
    <cellStyle name="Normal 11 2" xfId="311"/>
    <cellStyle name="Normal 11 2 2" xfId="312"/>
    <cellStyle name="Normal 11 2 3" xfId="313"/>
    <cellStyle name="Normal 11 3" xfId="631"/>
    <cellStyle name="Normal 110" xfId="314"/>
    <cellStyle name="Normal 111" xfId="315"/>
    <cellStyle name="Normal 112" xfId="625"/>
    <cellStyle name="Normal 12" xfId="316"/>
    <cellStyle name="Normal 12 2" xfId="317"/>
    <cellStyle name="Normal 12 2 2" xfId="632"/>
    <cellStyle name="Normal 12 3" xfId="318"/>
    <cellStyle name="Normal 12 4" xfId="319"/>
    <cellStyle name="Normal 12 5" xfId="320"/>
    <cellStyle name="Normal 12_Sheet1" xfId="321"/>
    <cellStyle name="Normal 13" xfId="322"/>
    <cellStyle name="Normal 13 2" xfId="323"/>
    <cellStyle name="Normal 13 2 2" xfId="633"/>
    <cellStyle name="Normal 13 3" xfId="324"/>
    <cellStyle name="Normal 13 4" xfId="325"/>
    <cellStyle name="Normal 13 5" xfId="326"/>
    <cellStyle name="Normal 13_Sheet1" xfId="327"/>
    <cellStyle name="Normal 14" xfId="328"/>
    <cellStyle name="Normal 14 2" xfId="329"/>
    <cellStyle name="Normal 14 3" xfId="330"/>
    <cellStyle name="Normal 14 4" xfId="331"/>
    <cellStyle name="Normal 14_Sheet1" xfId="332"/>
    <cellStyle name="Normal 15" xfId="333"/>
    <cellStyle name="Normal 15 2" xfId="334"/>
    <cellStyle name="Normal 15 3" xfId="335"/>
    <cellStyle name="Normal 15 4" xfId="336"/>
    <cellStyle name="Normal 16" xfId="337"/>
    <cellStyle name="Normal 16 2" xfId="338"/>
    <cellStyle name="Normal 16 3" xfId="339"/>
    <cellStyle name="Normal 17" xfId="340"/>
    <cellStyle name="Normal 17 2" xfId="341"/>
    <cellStyle name="Normal 17 3" xfId="342"/>
    <cellStyle name="Normal 18" xfId="343"/>
    <cellStyle name="Normal 18 2" xfId="344"/>
    <cellStyle name="Normal 18 3" xfId="345"/>
    <cellStyle name="Normal 19" xfId="346"/>
    <cellStyle name="Normal 19 2" xfId="347"/>
    <cellStyle name="Normal 19 3" xfId="348"/>
    <cellStyle name="Normal 2" xfId="5"/>
    <cellStyle name="Normal 2 10" xfId="349"/>
    <cellStyle name="Normal 2 11" xfId="350"/>
    <cellStyle name="Normal 2 2" xfId="351"/>
    <cellStyle name="Normal 2 2 2" xfId="352"/>
    <cellStyle name="Normal 2 2 2 2" xfId="353"/>
    <cellStyle name="Normal 2 2 2_JE_IS11" xfId="605"/>
    <cellStyle name="Normal 2 2 3" xfId="354"/>
    <cellStyle name="Normal 2 2 4" xfId="355"/>
    <cellStyle name="Normal 2 2_4MthProj2" xfId="356"/>
    <cellStyle name="Normal 2 3" xfId="357"/>
    <cellStyle name="Normal 2 3 2" xfId="358"/>
    <cellStyle name="Normal 2 3 2 2" xfId="606"/>
    <cellStyle name="Normal 2 3 2 3" xfId="607"/>
    <cellStyle name="Normal 2 3 3" xfId="359"/>
    <cellStyle name="Normal 2 3_4MthProj2" xfId="360"/>
    <cellStyle name="Normal 2 4" xfId="361"/>
    <cellStyle name="Normal 2 4 2" xfId="362"/>
    <cellStyle name="Normal 2 4 3" xfId="363"/>
    <cellStyle name="Normal 2 5" xfId="364"/>
    <cellStyle name="Normal 2 6" xfId="365"/>
    <cellStyle name="Normal 2 7" xfId="366"/>
    <cellStyle name="Normal 2 8" xfId="367"/>
    <cellStyle name="Normal 2 9" xfId="368"/>
    <cellStyle name="Normal 2_2009 Regulated Price Out" xfId="369"/>
    <cellStyle name="Normal 20" xfId="370"/>
    <cellStyle name="Normal 20 2" xfId="371"/>
    <cellStyle name="Normal 20 3" xfId="372"/>
    <cellStyle name="Normal 20 4" xfId="373"/>
    <cellStyle name="Normal 21" xfId="374"/>
    <cellStyle name="Normal 21 2" xfId="375"/>
    <cellStyle name="Normal 21 3" xfId="376"/>
    <cellStyle name="Normal 22" xfId="377"/>
    <cellStyle name="Normal 22 2" xfId="378"/>
    <cellStyle name="Normal 22 3" xfId="379"/>
    <cellStyle name="Normal 23" xfId="380"/>
    <cellStyle name="Normal 23 2" xfId="381"/>
    <cellStyle name="Normal 23 3" xfId="382"/>
    <cellStyle name="Normal 24" xfId="383"/>
    <cellStyle name="Normal 24 2" xfId="384"/>
    <cellStyle name="Normal 25" xfId="385"/>
    <cellStyle name="Normal 26" xfId="386"/>
    <cellStyle name="Normal 27" xfId="387"/>
    <cellStyle name="Normal 27 2" xfId="388"/>
    <cellStyle name="Normal 27 3" xfId="389"/>
    <cellStyle name="Normal 28" xfId="390"/>
    <cellStyle name="Normal 29" xfId="391"/>
    <cellStyle name="Normal 3" xfId="392"/>
    <cellStyle name="Normal 3 2" xfId="393"/>
    <cellStyle name="Normal 3 2 2" xfId="394"/>
    <cellStyle name="Normal 3 3" xfId="395"/>
    <cellStyle name="Normal 3 3 2" xfId="396"/>
    <cellStyle name="Normal 3 3 3" xfId="397"/>
    <cellStyle name="Normal 3 4" xfId="398"/>
    <cellStyle name="Normal 3_2012 PR" xfId="399"/>
    <cellStyle name="Normal 30" xfId="400"/>
    <cellStyle name="Normal 31" xfId="401"/>
    <cellStyle name="Normal 31 2" xfId="402"/>
    <cellStyle name="Normal 31 3" xfId="403"/>
    <cellStyle name="Normal 32" xfId="404"/>
    <cellStyle name="Normal 32 2" xfId="634"/>
    <cellStyle name="Normal 33" xfId="405"/>
    <cellStyle name="Normal 34" xfId="406"/>
    <cellStyle name="Normal 35" xfId="407"/>
    <cellStyle name="Normal 36" xfId="408"/>
    <cellStyle name="Normal 37" xfId="409"/>
    <cellStyle name="Normal 38" xfId="410"/>
    <cellStyle name="Normal 39" xfId="411"/>
    <cellStyle name="Normal 4" xfId="412"/>
    <cellStyle name="Normal 4 2" xfId="413"/>
    <cellStyle name="Normal 4 2 2" xfId="414"/>
    <cellStyle name="Normal 4 2 3" xfId="415"/>
    <cellStyle name="Normal 4 3" xfId="416"/>
    <cellStyle name="Normal 4 3 2" xfId="417"/>
    <cellStyle name="Normal 4 3 3" xfId="418"/>
    <cellStyle name="Normal 4 4" xfId="608"/>
    <cellStyle name="Normal 4 5" xfId="609"/>
    <cellStyle name="Normal 4_Consolidated IS" xfId="419"/>
    <cellStyle name="Normal 40" xfId="420"/>
    <cellStyle name="Normal 41" xfId="421"/>
    <cellStyle name="Normal 42" xfId="422"/>
    <cellStyle name="Normal 43" xfId="423"/>
    <cellStyle name="Normal 44" xfId="424"/>
    <cellStyle name="Normal 45" xfId="425"/>
    <cellStyle name="Normal 46" xfId="426"/>
    <cellStyle name="Normal 47" xfId="427"/>
    <cellStyle name="Normal 48" xfId="428"/>
    <cellStyle name="Normal 49" xfId="429"/>
    <cellStyle name="Normal 5" xfId="430"/>
    <cellStyle name="Normal 5 2" xfId="431"/>
    <cellStyle name="Normal 5 2 2" xfId="635"/>
    <cellStyle name="Normal 5 3" xfId="432"/>
    <cellStyle name="Normal 5 4" xfId="433"/>
    <cellStyle name="Normal 5 5" xfId="610"/>
    <cellStyle name="Normal 5_2112 DF Schedule" xfId="434"/>
    <cellStyle name="Normal 50" xfId="435"/>
    <cellStyle name="Normal 51" xfId="436"/>
    <cellStyle name="Normal 52" xfId="437"/>
    <cellStyle name="Normal 53" xfId="438"/>
    <cellStyle name="Normal 54" xfId="439"/>
    <cellStyle name="Normal 55" xfId="440"/>
    <cellStyle name="Normal 56" xfId="441"/>
    <cellStyle name="Normal 57" xfId="442"/>
    <cellStyle name="Normal 58" xfId="443"/>
    <cellStyle name="Normal 59" xfId="444"/>
    <cellStyle name="Normal 6" xfId="445"/>
    <cellStyle name="Normal 6 2" xfId="446"/>
    <cellStyle name="Normal 6 2 2" xfId="447"/>
    <cellStyle name="Normal 6 2 3" xfId="448"/>
    <cellStyle name="Normal 6 3" xfId="449"/>
    <cellStyle name="Normal 60" xfId="450"/>
    <cellStyle name="Normal 61" xfId="451"/>
    <cellStyle name="Normal 62" xfId="452"/>
    <cellStyle name="Normal 63" xfId="453"/>
    <cellStyle name="Normal 64" xfId="454"/>
    <cellStyle name="Normal 65" xfId="455"/>
    <cellStyle name="Normal 66" xfId="456"/>
    <cellStyle name="Normal 67" xfId="457"/>
    <cellStyle name="Normal 68" xfId="458"/>
    <cellStyle name="Normal 69" xfId="459"/>
    <cellStyle name="Normal 7" xfId="460"/>
    <cellStyle name="Normal 7 2" xfId="461"/>
    <cellStyle name="Normal 7 2 2" xfId="462"/>
    <cellStyle name="Normal 7 2 2 2" xfId="636"/>
    <cellStyle name="Normal 7 2 3" xfId="463"/>
    <cellStyle name="Normal 7 3" xfId="611"/>
    <cellStyle name="Normal 7 3 2" xfId="637"/>
    <cellStyle name="Normal 7 4" xfId="612"/>
    <cellStyle name="Normal 70" xfId="464"/>
    <cellStyle name="Normal 71" xfId="465"/>
    <cellStyle name="Normal 72" xfId="466"/>
    <cellStyle name="Normal 73" xfId="467"/>
    <cellStyle name="Normal 74" xfId="468"/>
    <cellStyle name="Normal 75" xfId="469"/>
    <cellStyle name="Normal 76" xfId="470"/>
    <cellStyle name="Normal 77" xfId="471"/>
    <cellStyle name="Normal 78" xfId="472"/>
    <cellStyle name="Normal 79" xfId="473"/>
    <cellStyle name="Normal 8" xfId="474"/>
    <cellStyle name="Normal 8 2" xfId="475"/>
    <cellStyle name="Normal 8 2 2" xfId="476"/>
    <cellStyle name="Normal 8 2 3" xfId="477"/>
    <cellStyle name="Normal 8 3" xfId="613"/>
    <cellStyle name="Normal 8 4" xfId="614"/>
    <cellStyle name="Normal 80" xfId="478"/>
    <cellStyle name="Normal 81" xfId="479"/>
    <cellStyle name="Normal 82" xfId="480"/>
    <cellStyle name="Normal 83" xfId="481"/>
    <cellStyle name="Normal 84" xfId="482"/>
    <cellStyle name="Normal 84 2" xfId="483"/>
    <cellStyle name="Normal 84 3" xfId="484"/>
    <cellStyle name="Normal 85" xfId="485"/>
    <cellStyle name="Normal 85 2" xfId="486"/>
    <cellStyle name="Normal 85 3" xfId="487"/>
    <cellStyle name="Normal 86" xfId="488"/>
    <cellStyle name="Normal 87" xfId="489"/>
    <cellStyle name="Normal 88" xfId="490"/>
    <cellStyle name="Normal 89" xfId="491"/>
    <cellStyle name="Normal 9" xfId="492"/>
    <cellStyle name="Normal 9 2" xfId="493"/>
    <cellStyle name="Normal 9 2 2" xfId="494"/>
    <cellStyle name="Normal 9 2 3" xfId="495"/>
    <cellStyle name="Normal 9 3" xfId="615"/>
    <cellStyle name="Normal 90" xfId="496"/>
    <cellStyle name="Normal 91" xfId="497"/>
    <cellStyle name="Normal 92" xfId="498"/>
    <cellStyle name="Normal 93" xfId="499"/>
    <cellStyle name="Normal 94" xfId="500"/>
    <cellStyle name="Normal 95" xfId="501"/>
    <cellStyle name="Normal 96" xfId="502"/>
    <cellStyle name="Normal 97" xfId="503"/>
    <cellStyle name="Normal 98" xfId="504"/>
    <cellStyle name="Normal 99" xfId="505"/>
    <cellStyle name="Normal_F9" xfId="506"/>
    <cellStyle name="Normal_IS210PL" xfId="507"/>
    <cellStyle name="Normal_Pro Forma Pacific Disposal Roland Heather checked 7-26" xfId="508"/>
    <cellStyle name="Normal_Proforma" xfId="6"/>
    <cellStyle name="Normal_Proforma Yakima" xfId="585"/>
    <cellStyle name="Normal_Proforma Yakima UTC-Nicki 2009" xfId="623"/>
    <cellStyle name="Normal_Regulated Price Out 9-6-2011 Final HL" xfId="624"/>
    <cellStyle name="Normal_Regulated-Non-Regulated Revenue" xfId="622"/>
    <cellStyle name="Normal_Report" xfId="509"/>
    <cellStyle name="Normal_Sheet1" xfId="510"/>
    <cellStyle name="Normal_TheTool_Jeff_v5" xfId="511"/>
    <cellStyle name="Normal_TheTool_Jeff_v5 2" xfId="8"/>
    <cellStyle name="Note 2" xfId="512"/>
    <cellStyle name="Note 2 2" xfId="513"/>
    <cellStyle name="Note 2 3" xfId="514"/>
    <cellStyle name="Note 3" xfId="515"/>
    <cellStyle name="Note 3 2" xfId="516"/>
    <cellStyle name="Note 3 3" xfId="517"/>
    <cellStyle name="Note 4" xfId="518"/>
    <cellStyle name="Notes" xfId="519"/>
    <cellStyle name="Output 2" xfId="520"/>
    <cellStyle name="Output 3" xfId="521"/>
    <cellStyle name="Output 3 2" xfId="522"/>
    <cellStyle name="Percent" xfId="3" builtinId="5"/>
    <cellStyle name="Percent 10" xfId="523"/>
    <cellStyle name="Percent 2" xfId="524"/>
    <cellStyle name="Percent 2 2" xfId="525"/>
    <cellStyle name="Percent 2 2 2" xfId="526"/>
    <cellStyle name="Percent 2 2 3" xfId="527"/>
    <cellStyle name="Percent 2 3" xfId="528"/>
    <cellStyle name="Percent 2 4" xfId="529"/>
    <cellStyle name="Percent 2 6" xfId="530"/>
    <cellStyle name="Percent 3" xfId="531"/>
    <cellStyle name="Percent 3 2" xfId="532"/>
    <cellStyle name="Percent 3 2 2" xfId="533"/>
    <cellStyle name="Percent 3 3" xfId="638"/>
    <cellStyle name="Percent 4" xfId="534"/>
    <cellStyle name="Percent 4 2" xfId="535"/>
    <cellStyle name="Percent 4 3" xfId="536"/>
    <cellStyle name="Percent 4 4" xfId="537"/>
    <cellStyle name="Percent 5" xfId="9"/>
    <cellStyle name="Percent 5 2" xfId="538"/>
    <cellStyle name="Percent 5 2 2" xfId="616"/>
    <cellStyle name="Percent 5 3" xfId="617"/>
    <cellStyle name="Percent 5 4" xfId="618"/>
    <cellStyle name="Percent 6" xfId="539"/>
    <cellStyle name="Percent 6 2" xfId="540"/>
    <cellStyle name="Percent 7" xfId="541"/>
    <cellStyle name="Percent 7 2" xfId="542"/>
    <cellStyle name="Percent 7 3" xfId="543"/>
    <cellStyle name="Percent 8" xfId="544"/>
    <cellStyle name="Percent 9" xfId="545"/>
    <cellStyle name="Percent(1)" xfId="546"/>
    <cellStyle name="Percent(2)" xfId="547"/>
    <cellStyle name="Posting_Period" xfId="619"/>
    <cellStyle name="PRM" xfId="548"/>
    <cellStyle name="PRM 2" xfId="549"/>
    <cellStyle name="PRM 3" xfId="550"/>
    <cellStyle name="PRM_2011-11" xfId="551"/>
    <cellStyle name="PS_Comma" xfId="552"/>
    <cellStyle name="PSChar" xfId="553"/>
    <cellStyle name="PSDate" xfId="554"/>
    <cellStyle name="PSDec" xfId="555"/>
    <cellStyle name="PSHeading" xfId="556"/>
    <cellStyle name="PSInt" xfId="557"/>
    <cellStyle name="PSSpacer" xfId="558"/>
    <cellStyle name="STYL0 - Style1" xfId="559"/>
    <cellStyle name="STYL1 - Style2" xfId="560"/>
    <cellStyle name="STYL2 - Style3" xfId="561"/>
    <cellStyle name="STYL3 - Style4" xfId="562"/>
    <cellStyle name="STYL4 - Style5" xfId="563"/>
    <cellStyle name="STYL5 - Style6" xfId="564"/>
    <cellStyle name="STYL6 - Style7" xfId="565"/>
    <cellStyle name="STYL7 - Style8" xfId="566"/>
    <cellStyle name="Style 1" xfId="567"/>
    <cellStyle name="Style 1 2" xfId="568"/>
    <cellStyle name="STYLE1" xfId="569"/>
    <cellStyle name="sub heading" xfId="570"/>
    <cellStyle name="Tax_Rate" xfId="620"/>
    <cellStyle name="Title 2" xfId="571"/>
    <cellStyle name="Title 3" xfId="572"/>
    <cellStyle name="Title 3 2" xfId="573"/>
    <cellStyle name="Total 2" xfId="574"/>
    <cellStyle name="Total 2 2" xfId="575"/>
    <cellStyle name="Total 2 3" xfId="576"/>
    <cellStyle name="Total 3" xfId="577"/>
    <cellStyle name="Total 3 2" xfId="578"/>
    <cellStyle name="Total 3 3" xfId="579"/>
    <cellStyle name="Total 4" xfId="580"/>
    <cellStyle name="Transcript_Date" xfId="621"/>
    <cellStyle name="Warning Text 2" xfId="581"/>
    <cellStyle name="Warning Text 3" xfId="582"/>
    <cellStyle name="WM_STANDARD" xfId="583"/>
  </cellStyles>
  <dxfs count="4">
    <dxf>
      <numFmt numFmtId="35" formatCode="_(* #,##0.00_);_(* \(#,##0.00\);_(* &quot;-&quot;??_);_(@_)"/>
    </dxf>
    <dxf>
      <numFmt numFmtId="35" formatCode="_(* #,##0.00_);_(* \(#,##0.00\);_(* &quot;-&quot;??_);_(@_)"/>
    </dxf>
    <dxf>
      <numFmt numFmtId="35" formatCode="_(* #,##0.00_);_(* \(#,##0.00\);_(* &quot;-&quot;??_);_(@_)"/>
    </dxf>
    <dxf>
      <fill>
        <patternFill patternType="solid">
          <fgColor rgb="FFE4DFEC"/>
          <bgColor rgb="FF000000"/>
        </patternFill>
      </fill>
    </dxf>
  </dxfs>
  <tableStyles count="0" defaultTableStyle="TableStyleMedium2" defaultPivotStyle="PivotStyleLight16"/>
  <colors>
    <mruColors>
      <color rgb="FF006600"/>
      <color rgb="FF0000FF"/>
      <color rgb="FF3399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pivotCacheDefinition" Target="pivotCache/pivotCacheDefinition3.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pivotCacheDefinition" Target="pivotCache/pivotCacheDefinition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pivotCacheDefinition" Target="pivotCache/pivotCacheDefinition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21</xdr:col>
      <xdr:colOff>76200</xdr:colOff>
      <xdr:row>115</xdr:row>
      <xdr:rowOff>57149</xdr:rowOff>
    </xdr:from>
    <xdr:to>
      <xdr:col>30</xdr:col>
      <xdr:colOff>57150</xdr:colOff>
      <xdr:row>130</xdr:row>
      <xdr:rowOff>123825</xdr:rowOff>
    </xdr:to>
    <xdr:sp macro="" textlink="">
      <xdr:nvSpPr>
        <xdr:cNvPr id="2" name="TextBox 1"/>
        <xdr:cNvSpPr txBox="1"/>
      </xdr:nvSpPr>
      <xdr:spPr>
        <a:xfrm>
          <a:off x="8010525" y="16897349"/>
          <a:ext cx="5248275" cy="222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Raise</a:t>
          </a:r>
          <a:r>
            <a:rPr lang="en-US" sz="1100" baseline="0"/>
            <a:t> Information: </a:t>
          </a:r>
          <a:r>
            <a:rPr lang="en-US" sz="1100"/>
            <a:t>All raises above</a:t>
          </a:r>
          <a:r>
            <a:rPr lang="en-US" sz="1100" baseline="0"/>
            <a:t> </a:t>
          </a:r>
          <a:r>
            <a:rPr lang="en-US" sz="1100"/>
            <a:t>at 2.0% or 2.5% are the budgeted Corporate approved raise %'s that each employee will receive on their assigned raise date.              Raises greater</a:t>
          </a:r>
          <a:r>
            <a:rPr lang="en-US" sz="1100" baseline="0"/>
            <a:t> than 2%/2.5% </a:t>
          </a:r>
          <a:r>
            <a:rPr lang="en-US" sz="1100"/>
            <a:t>are due to employee promotions/step increases, or wage normalizations.  </a:t>
          </a:r>
          <a:br>
            <a:rPr lang="en-US" sz="1100"/>
          </a:br>
          <a:r>
            <a:rPr lang="en-US" sz="1100"/>
            <a:t>Yakima was has had a very difficult time maintaining a full mehcanic roster.  With the improvement in the economy, mechanic wages in the area have increased and mechanics are frequently leaving Yakima Waste to get higher paying jobs at other companies.   </a:t>
          </a:r>
          <a:r>
            <a:rPr lang="en-US" sz="1100" baseline="0"/>
            <a:t>Yakima Waste will implement a wage normalization  on  8/14/2017 to bring wages up to market in hopes to attract and retain quality mechanics.  </a:t>
          </a:r>
          <a:br>
            <a:rPr lang="en-US" sz="1100" baseline="0"/>
          </a:br>
          <a:r>
            <a:rPr lang="en-US" sz="1100" baseline="0"/>
            <a:t>There was a similar wage normalization for drivers in 2016, as is demonstrated above with some drivers getting higher than usual  wage increase.</a:t>
          </a:r>
          <a:br>
            <a:rPr lang="en-US" sz="1100" baseline="0"/>
          </a:b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41</xdr:row>
      <xdr:rowOff>127000</xdr:rowOff>
    </xdr:from>
    <xdr:to>
      <xdr:col>14</xdr:col>
      <xdr:colOff>519904</xdr:colOff>
      <xdr:row>83</xdr:row>
      <xdr:rowOff>59328</xdr:rowOff>
    </xdr:to>
    <xdr:pic>
      <xdr:nvPicPr>
        <xdr:cNvPr id="2" name="Picture 1"/>
        <xdr:cNvPicPr>
          <a:picLocks noChangeAspect="1"/>
        </xdr:cNvPicPr>
      </xdr:nvPicPr>
      <xdr:blipFill>
        <a:blip xmlns:r="http://schemas.openxmlformats.org/officeDocument/2006/relationships" r:embed="rId1"/>
        <a:stretch>
          <a:fillRect/>
        </a:stretch>
      </xdr:blipFill>
      <xdr:spPr>
        <a:xfrm>
          <a:off x="6080125" y="6889750"/>
          <a:ext cx="6346029" cy="8012703"/>
        </a:xfrm>
        <a:prstGeom prst="rect">
          <a:avLst/>
        </a:prstGeom>
      </xdr:spPr>
    </xdr:pic>
    <xdr:clientData/>
  </xdr:twoCellAnchor>
  <xdr:twoCellAnchor editAs="oneCell">
    <xdr:from>
      <xdr:col>16</xdr:col>
      <xdr:colOff>0</xdr:colOff>
      <xdr:row>49</xdr:row>
      <xdr:rowOff>0</xdr:rowOff>
    </xdr:from>
    <xdr:to>
      <xdr:col>26</xdr:col>
      <xdr:colOff>323048</xdr:colOff>
      <xdr:row>79</xdr:row>
      <xdr:rowOff>27852</xdr:rowOff>
    </xdr:to>
    <xdr:pic>
      <xdr:nvPicPr>
        <xdr:cNvPr id="3" name="Picture 2"/>
        <xdr:cNvPicPr>
          <a:picLocks noChangeAspect="1"/>
        </xdr:cNvPicPr>
      </xdr:nvPicPr>
      <xdr:blipFill>
        <a:blip xmlns:r="http://schemas.openxmlformats.org/officeDocument/2006/relationships" r:embed="rId2"/>
        <a:stretch>
          <a:fillRect/>
        </a:stretch>
      </xdr:blipFill>
      <xdr:spPr>
        <a:xfrm>
          <a:off x="13163550" y="8239125"/>
          <a:ext cx="6419048"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Audit/Final/TG-160424%20CRD%20Pro%20forma%203-31-2016%20Staff%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Yakima%20Price%20Out%20YE%206.30.17%20-%20Deliverabl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mpire/Rate%20Increase%209-1-2010/Filed%209-14-10/Proforma%209-14-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ExcelFinancials_v3b20112206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Count Summary"/>
      <sheetName val="Revenue Summary"/>
      <sheetName val="JE Query - MSW Reclass"/>
      <sheetName val="2143_IS210"/>
      <sheetName val="Yakima Regulated Price Out"/>
      <sheetName val="Indian Nation Price Out"/>
      <sheetName val="Zillah Price Out"/>
      <sheetName val="Tieton Price Out"/>
      <sheetName val="Sunnyside Price Out"/>
      <sheetName val="Naches Price Out"/>
      <sheetName val="Mabton Price Out"/>
      <sheetName val="Comm Recy-Storage Price Out"/>
    </sheetNames>
    <sheetDataSet>
      <sheetData sheetId="0" refreshError="1"/>
      <sheetData sheetId="1" refreshError="1"/>
      <sheetData sheetId="2">
        <row r="6">
          <cell r="D6">
            <v>10000</v>
          </cell>
        </row>
        <row r="8">
          <cell r="J8" t="str">
            <v>2017-07</v>
          </cell>
        </row>
        <row r="12">
          <cell r="I12" t="str">
            <v>2016-07</v>
          </cell>
        </row>
        <row r="13">
          <cell r="I13" t="str">
            <v>2017-06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efreshError="1">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efreshError="1">
        <row r="3">
          <cell r="E3" t="str">
            <v>Western</v>
          </cell>
        </row>
      </sheetData>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X:\Users\heatherg\AppData\Local\Interject\FileCache\JEQuery_v4.6_Interject_WithStage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X:\Users\heatherg\AppData\Local\Interject\FileCache\JEQuery_v4.6_Interject_WithStaged.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X:\Users\heatherg\AppData\Local\Interject\FileCache\JEQuery_v4.6_Interject_WithStaged.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eather Garland" refreshedDate="42927.558965046293" createdVersion="4" refreshedVersion="4" minRefreshableVersion="3" recordCount="101">
  <cacheSource type="worksheet">
    <worksheetSource ref="B19:N20" sheet="JE Query" r:id="rId2"/>
  </cacheSource>
  <cacheFields count="13">
    <cacheField name="Full Account" numFmtId="0">
      <sharedItems/>
    </cacheField>
    <cacheField name="Date" numFmtId="14">
      <sharedItems containsSemiMixedTypes="0" containsNonDate="0" containsDate="1" containsString="0" minDate="2016-07-25T00:00:00" maxDate="2017-07-01T00:00:00"/>
    </cacheField>
    <cacheField name="Amount USD" numFmtId="40">
      <sharedItems containsSemiMixedTypes="0" containsString="0" containsNumber="1" minValue="-1500" maxValue="15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46">
        <s v="CARL TROY HERBST"/>
        <s v="DAIRY QUEEN YAKIMA, ~ HERBST-Western"/>
        <s v="OXFORD SUITES, ~ HERBST-Western"/>
        <s v="2195CHERBST : Gatorade and Muffins"/>
        <s v="2195CHERBST : Snacks and Drinks for driv"/>
        <s v="2195CHERBST : Lunch with Tyler Noble"/>
        <s v="PETTY CASH"/>
        <s v="DAIRY QUEEN YAKIMA~HERBST"/>
        <s v="GREATER YAKIMA CHAMBER OF~HERBST"/>
        <s v="2195PETTY : July Petty cash"/>
        <s v="GREATER YAKIMA CHAMBER OF~CHRISTIE HERBS"/>
        <s v="2195PETTY : August petty cash"/>
        <s v="212KOV : Troy Herbst &amp; Rob Garcia"/>
        <s v="KEITH KOVALENKO"/>
        <s v="WM SUPERCENTER #2269~JESSE DEAUX"/>
        <s v="CENTRAL WASHINGTON RANGE~JESSE DEAUX"/>
        <s v="WASHINGTON REFUSE &amp; RECYCLING ASSOC"/>
        <s v="XOCHIMILCO TEQUILA BAR~CHRISTIE HERBST"/>
        <s v="WM SUPERCENTER #2269~CHRISTIE HERBST"/>
        <s v="YV PIPPINS BASEBALL~CHRISTIE HERBST"/>
        <s v="ROBERT GARCIA"/>
        <s v="CLASSIC INDUSTRIAL~CHRISTIE HERBST"/>
        <s v="Allocate EAP expenses to districts"/>
        <s v="BEST BUY      00008318~CHRISTIE HERBST"/>
        <s v="CABELA'S RETAIL 040~CHRISTIE HERBST"/>
        <s v="WAL-MART #2269~CHRISTIE HERBST"/>
        <s v="VISTAPR VISTAPRINT.COM~CHRISTIE HERBST"/>
        <s v="FRED-MEYER #0486~CHRISTIE HERBST"/>
        <s v="WRAY'S CHALET~CHRISTIE HERBST"/>
        <s v="OWENS CYCLE INC~CHRISTIE HERBST"/>
        <s v="TARGET        00007609~CHRISTIE HERBST"/>
        <s v="KIMMEL ATHLETIC SUPPLY~CHRISTIE HERBST"/>
        <s v="DICK'S SPORTING GOODS~CHRISTIE HERBST"/>
        <s v="PARTY CITY #969~CHRISTIE HERBST"/>
        <s v="MINDA LANES~CHRISTIE HERBST"/>
        <s v="JBLM-LEW YAKIMA FIRE RT~CHRISTIE HERBST"/>
        <s v="2195CHHERBST : Dinner for employees - Ol"/>
        <s v="PCARD : PO 00293 : Classic Industrial Su"/>
        <s v="CHRISTIE HERBST"/>
        <s v="DESIGNS LIMITED~CHRISTIE HERBST"/>
        <s v="NOR CAL EMBROIDERY AND NO~CHRISTIE HERBS"/>
        <s v="C&amp;C SMART FOOD52305745~CHRISTIE HERBST"/>
        <s v="PIZZA HUT 24448~CHRISTIE HERBST"/>
        <s v="DOMINO'S 7170~CHRISTIE HERBST"/>
        <s v="WM SUPERCENTER #5078~CHRISTIE HERBST"/>
        <s v="2195CHERBST : lunch for employee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ather Garland" refreshedDate="42927.562841203704" createdVersion="4" refreshedVersion="4" minRefreshableVersion="3" recordCount="26">
  <cacheSource type="worksheet">
    <worksheetSource ref="B19:N20" sheet="JE Query" r:id="rId2"/>
  </cacheSource>
  <cacheFields count="13">
    <cacheField name="Full Account" numFmtId="0">
      <sharedItems/>
    </cacheField>
    <cacheField name="Date" numFmtId="14">
      <sharedItems containsSemiMixedTypes="0" containsNonDate="0" containsDate="1" containsString="0" minDate="2016-07-14T00:00:00" maxDate="2017-07-01T00:00:00"/>
    </cacheField>
    <cacheField name="Amount USD" numFmtId="40">
      <sharedItems containsSemiMixedTypes="0" containsString="0" containsNumber="1" minValue="-448.07" maxValue="5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2">
        <s v="WASHINGTON REFUSE &amp; RECYCLING ASSOC"/>
        <s v="SELAH CHAMBER OF COMMERCE"/>
        <s v="25WRRA : PO 00655 : WASHINGTON REFUSE &amp;"/>
        <s v="YAKIMA CHAMBER OF COMMERCE"/>
        <s v="ASSOCIATION OF WASHINGTON BUSINESS"/>
        <s v="IN  YAKIMA VALLEY VISITOR~CHRISTIE HERBS"/>
        <s v="YAKAMA NATION GAMING COMMISSION"/>
        <s v="TOPPENISH CHAMBER OF COMMERCE"/>
        <s v="YAKIMA HERALD REPUBLIC~CHRISTIE HERBST"/>
        <s v="PCARD : PO 00307 : THE CHRONICLE  : PCar"/>
        <s v="THE CHRONICLE 2 GATEWA~TOM RUPERT"/>
        <s v="25WRRA : WRRA Allocation, regular dues"/>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ather Garland" refreshedDate="42927.56520960648" createdVersion="4" refreshedVersion="4" minRefreshableVersion="3" recordCount="71">
  <cacheSource type="worksheet">
    <worksheetSource ref="B19:N20" sheet="JE Query" r:id="rId2"/>
  </cacheSource>
  <cacheFields count="13">
    <cacheField name="Full Account" numFmtId="0">
      <sharedItems/>
    </cacheField>
    <cacheField name="Date" numFmtId="14">
      <sharedItems containsSemiMixedTypes="0" containsNonDate="0" containsDate="1" containsString="0" minDate="2016-07-21T00:00:00" maxDate="2017-07-01T00:00:00"/>
    </cacheField>
    <cacheField name="Amount USD" numFmtId="40">
      <sharedItems containsSemiMixedTypes="0" containsString="0" containsNumber="1" minValue="-355" maxValue="48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30">
        <s v="C MICHAEL J TRANSUE"/>
        <s v="Accrue Cameron Cole  - June"/>
        <s v="LIQUID NETWORX~NAMEN CHAMBLISS"/>
        <s v="Cameron Cole Allocation  - June"/>
        <s v="Accrue LRQA  - July"/>
        <s v="KEITH KOVALENKO"/>
        <s v="LRQA Allocation  - Q3"/>
        <s v="Accrue Cameron Cole  - August"/>
        <s v="Accrue LRQA  - Sep"/>
        <s v="Accrue Cameron Cole  - September"/>
        <s v="Cameron Cole Allocation  - September"/>
        <s v="212TRANSUE : LOBBYIST"/>
        <s v="Accrue Cameron Cole  - October"/>
        <s v="LRQA, Cameron Cole Allocation  - October"/>
        <s v="212TRANSUE : PO 03439 : C MICHAEL J TRAN"/>
        <s v="Accrue Cameron Cole, LRQA  - November"/>
        <s v="LRQA, Cameron Cole Allocation  - Novembe"/>
        <s v="ROBERTSHARP~CHRISTIE HERBST"/>
        <s v="LRQA, Cameron Cole Accrual  - January"/>
        <s v="LRQA, Cameron Cole Allocation  - Februar"/>
        <s v="LRQA, Cameron Cole Accrual  - February"/>
        <s v="LRQA, Cameron Cole Allocation  - March"/>
        <s v="LRQA, Cameron Cole Accrual  - March"/>
        <s v="212TRANSUE : PO 00634 : C MICHAEL J TRAN"/>
        <s v="LRQA, Cameron Cole Allocation  - April"/>
        <s v="LRQA, Cameron Cole Accrual  - April"/>
        <s v="LRQA, Cameron Cole Allocation  - May"/>
        <s v="LRQA, Cameron Cole Accrual  - May"/>
        <s v="LRQA, Cameron Cole Allocation  - June"/>
        <s v="LRQA, Cameron Cole Accrual  - Ju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
  <r>
    <s v="70095-2195-000-00"/>
    <d v="2016-07-25T00:00:00"/>
    <n v="64.03"/>
    <n v="0"/>
    <s v="USD"/>
    <s v="JRNLWA00339381"/>
    <s v="P"/>
    <s v="From Voucher Posting."/>
    <s v="JeffS"/>
    <s v="0/JE IC"/>
    <s v="2195CHERBST"/>
    <m/>
    <x v="0"/>
  </r>
  <r>
    <s v="70095-2195-000-00"/>
    <d v="2016-07-25T00:00:00"/>
    <n v="127.94"/>
    <n v="0"/>
    <s v="USD"/>
    <s v="JRNLWA00339381"/>
    <s v="P"/>
    <s v="From Voucher Posting."/>
    <s v="JeffS"/>
    <s v="0/JE IC"/>
    <s v="2195CHERBST"/>
    <m/>
    <x v="0"/>
  </r>
  <r>
    <s v="70095-2195-000-00"/>
    <d v="2016-07-31T00:00:00"/>
    <n v="-21.59"/>
    <n v="0"/>
    <s v="USD"/>
    <s v="JRNLWA00338493"/>
    <s v="P"/>
    <s v="PCARD ACCRUAL WESTERN JUNE 201"/>
    <s v="HeatherWe"/>
    <s v="0/JE IC"/>
    <m/>
    <m/>
    <x v="1"/>
  </r>
  <r>
    <s v="70095-2195-000-00"/>
    <d v="2016-07-31T00:00:00"/>
    <n v="-75.989999999999995"/>
    <n v="0"/>
    <s v="USD"/>
    <s v="JRNLWA00338493"/>
    <s v="P"/>
    <s v="PCARD ACCRUAL WESTERN JUNE 201"/>
    <s v="HeatherWe"/>
    <s v="0/JE IC"/>
    <m/>
    <m/>
    <x v="2"/>
  </r>
  <r>
    <s v="70095-2195-000-00"/>
    <d v="2016-07-31T00:00:00"/>
    <n v="-127.94"/>
    <n v="0"/>
    <s v="USD"/>
    <s v="JRNLWA00339037"/>
    <s v="P"/>
    <s v="OPEX14- AP and Exp Report Accr"/>
    <s v="AdamJo"/>
    <s v="0/JE IC"/>
    <m/>
    <m/>
    <x v="3"/>
  </r>
  <r>
    <s v="70095-2195-000-00"/>
    <d v="2016-07-31T00:00:00"/>
    <n v="-64.03"/>
    <n v="0"/>
    <s v="USD"/>
    <s v="JRNLWA00339037"/>
    <s v="P"/>
    <s v="OPEX14- AP and Exp Report Accr"/>
    <s v="AdamJo"/>
    <s v="0/JE IC"/>
    <m/>
    <m/>
    <x v="4"/>
  </r>
  <r>
    <s v="70095-2195-000-00"/>
    <d v="2016-07-31T00:00:00"/>
    <n v="-15.11"/>
    <n v="0"/>
    <s v="USD"/>
    <s v="JRNLWA00339037"/>
    <s v="P"/>
    <s v="OPEX14- AP and Exp Report Accr"/>
    <s v="AdamJo"/>
    <s v="0/JE IC"/>
    <m/>
    <m/>
    <x v="5"/>
  </r>
  <r>
    <s v="70095-2195-000-00"/>
    <d v="2016-07-31T00:00:00"/>
    <n v="96.92"/>
    <n v="0"/>
    <s v="USD"/>
    <s v="JRNLWA00339591"/>
    <s v="P"/>
    <s v="From Voucher Posting."/>
    <s v="RosemaryS"/>
    <s v="0/JE IC"/>
    <s v="2195PETTY"/>
    <m/>
    <x v="6"/>
  </r>
  <r>
    <s v="70095-2195-000-00"/>
    <d v="2016-07-31T00:00:00"/>
    <n v="21.59"/>
    <n v="0"/>
    <s v="USD"/>
    <s v="JRNLWA00339837"/>
    <s v="P"/>
    <s v="PCARD ACTIVITY WESTERN JULY 20"/>
    <s v="AdamJo"/>
    <s v="0/JE IC"/>
    <m/>
    <m/>
    <x v="7"/>
  </r>
  <r>
    <s v="70095-2195-000-00"/>
    <d v="2016-07-31T00:00:00"/>
    <n v="40"/>
    <n v="0"/>
    <s v="USD"/>
    <s v="JRNLWA00339837"/>
    <s v="P"/>
    <s v="PCARD ACTIVITY WESTERN JULY 20"/>
    <s v="AdamJo"/>
    <s v="0/JE IC"/>
    <m/>
    <m/>
    <x v="8"/>
  </r>
  <r>
    <s v="70095-2195-000-00"/>
    <d v="2016-07-31T00:00:00"/>
    <n v="44.45"/>
    <n v="0"/>
    <s v="USD"/>
    <s v="JRNLWA00340471"/>
    <s v="P"/>
    <s v="OPEX14- AP and Exp Report Accr"/>
    <s v="HeatherWe"/>
    <s v="0/JE IC"/>
    <m/>
    <m/>
    <x v="9"/>
  </r>
  <r>
    <s v="70095-2195-000-00"/>
    <d v="2016-08-04T00:00:00"/>
    <n v="44.45"/>
    <n v="0"/>
    <s v="USD"/>
    <s v="JRNLWA00340232"/>
    <s v="P"/>
    <s v="From Voucher Posting."/>
    <s v="JeffS"/>
    <s v="0/JE IC"/>
    <s v="2195PETTY"/>
    <m/>
    <x v="6"/>
  </r>
  <r>
    <s v="70095-2195-000-00"/>
    <d v="2016-08-31T00:00:00"/>
    <n v="-44.45"/>
    <n v="0"/>
    <s v="USD"/>
    <s v="JRNLWA00340580"/>
    <s v="P"/>
    <s v="OPEX14- AP and Exp Report Accr"/>
    <s v="AdamJo"/>
    <s v="0/JE IC"/>
    <m/>
    <m/>
    <x v="9"/>
  </r>
  <r>
    <s v="70095-2195-000-00"/>
    <d v="2016-08-31T00:00:00"/>
    <n v="40"/>
    <n v="0"/>
    <s v="USD"/>
    <s v="JRNLWA00341467"/>
    <s v="P"/>
    <s v="PCard Activity August -Western"/>
    <s v="AdamJo"/>
    <s v="0/JE IC"/>
    <m/>
    <m/>
    <x v="10"/>
  </r>
  <r>
    <s v="70095-2195-000-00"/>
    <d v="2016-08-31T00:00:00"/>
    <n v="74.650000000000006"/>
    <n v="0"/>
    <s v="USD"/>
    <s v="JRNLWA00342047"/>
    <s v="P"/>
    <s v="OPEX14- AP and Exp Report Accr"/>
    <s v="HeatherWe"/>
    <s v="0/JE IC"/>
    <m/>
    <m/>
    <x v="11"/>
  </r>
  <r>
    <s v="70095-2195-000-00"/>
    <d v="2016-09-20T00:00:00"/>
    <n v="74.650000000000006"/>
    <n v="0"/>
    <s v="USD"/>
    <s v="JRNLWA00342388"/>
    <s v="P"/>
    <s v="From Voucher Posting."/>
    <s v="RosemaryS"/>
    <s v="0/JE IC"/>
    <s v="2195PETTY"/>
    <m/>
    <x v="6"/>
  </r>
  <r>
    <s v="70095-2195-000-00"/>
    <d v="2016-09-30T00:00:00"/>
    <n v="-74.650000000000006"/>
    <n v="0"/>
    <s v="USD"/>
    <s v="JRNLWA00342159"/>
    <s v="P"/>
    <s v="OPEX14- AP and Exp Report Accr"/>
    <s v="HeatherWe"/>
    <s v="0/JE IC"/>
    <m/>
    <m/>
    <x v="11"/>
  </r>
  <r>
    <s v="70095-2195-000-00"/>
    <d v="2016-09-30T00:00:00"/>
    <n v="40"/>
    <n v="0"/>
    <s v="USD"/>
    <s v="JRNLWA00342982"/>
    <s v="P"/>
    <s v="Pcard Activity September - Wes"/>
    <s v="AdamJo"/>
    <s v="0/JE IC"/>
    <m/>
    <m/>
    <x v="10"/>
  </r>
  <r>
    <s v="70095-2195-000-00"/>
    <d v="2016-09-30T00:00:00"/>
    <n v="-40"/>
    <n v="0"/>
    <s v="USD"/>
    <s v="JRNLWA00343139"/>
    <s v="P"/>
    <s v="Reverse Pcard Activity Septemb"/>
    <s v="HeatherWe"/>
    <s v="0/JE IC"/>
    <m/>
    <m/>
    <x v="10"/>
  </r>
  <r>
    <s v="70095-2195-000-00"/>
    <d v="2016-09-30T00:00:00"/>
    <n v="40"/>
    <n v="0"/>
    <s v="USD"/>
    <s v="JRNLWA00343140"/>
    <s v="P"/>
    <s v="Corrected Pcard Activity Septe"/>
    <s v="HeatherWe"/>
    <s v="0/JE IC"/>
    <m/>
    <m/>
    <x v="10"/>
  </r>
  <r>
    <s v="70095-2195-000-00"/>
    <d v="2016-09-30T00:00:00"/>
    <n v="26.47"/>
    <n v="0"/>
    <s v="USD"/>
    <s v="JRNLWA00343451"/>
    <s v="P"/>
    <s v="OPEX14- AP and Exp Report Accr"/>
    <s v="MaribelV"/>
    <s v="0/JE IC"/>
    <m/>
    <m/>
    <x v="12"/>
  </r>
  <r>
    <s v="70095-2195-000-00"/>
    <d v="2016-10-11T00:00:00"/>
    <n v="26.47"/>
    <n v="0"/>
    <s v="USD"/>
    <s v="JRNLWA00343902"/>
    <s v="P"/>
    <s v="From Voucher Posting."/>
    <s v="RosemaryS"/>
    <s v="0/JE IC"/>
    <s v="212KOV"/>
    <m/>
    <x v="13"/>
  </r>
  <r>
    <s v="70095-2195-000-00"/>
    <d v="2016-10-31T00:00:00"/>
    <n v="-26.47"/>
    <n v="0"/>
    <s v="USD"/>
    <s v="JRNLWA00343462"/>
    <s v="P"/>
    <s v="OPEX14- AP and Exp Report Accr"/>
    <s v="HeatherWe"/>
    <s v="0/JE IC"/>
    <m/>
    <m/>
    <x v="12"/>
  </r>
  <r>
    <s v="70095-2195-000-00"/>
    <d v="2016-10-31T00:00:00"/>
    <n v="195.33"/>
    <n v="0"/>
    <s v="USD"/>
    <s v="JRNLWA00344851"/>
    <s v="P"/>
    <s v="OPEX 13- P Card Accrual"/>
    <s v="HeatherWe"/>
    <s v="0/JE IC"/>
    <m/>
    <m/>
    <x v="14"/>
  </r>
  <r>
    <s v="70095-2195-000-00"/>
    <d v="2016-10-31T00:00:00"/>
    <n v="112"/>
    <n v="0"/>
    <s v="USD"/>
    <s v="JRNLWA00344851"/>
    <s v="P"/>
    <s v="OPEX 13- P Card Accrual"/>
    <s v="HeatherWe"/>
    <s v="0/JE IC"/>
    <m/>
    <m/>
    <x v="15"/>
  </r>
  <r>
    <s v="70095-2195-000-00"/>
    <d v="2016-11-30T00:00:00"/>
    <n v="-195.33"/>
    <n v="0"/>
    <s v="USD"/>
    <s v="JRNLWA00344876"/>
    <s v="P"/>
    <s v="OPEX 13- P Card Accrual"/>
    <s v="AdamJo"/>
    <s v="0/JE IC"/>
    <m/>
    <m/>
    <x v="14"/>
  </r>
  <r>
    <s v="70095-2195-000-00"/>
    <d v="2016-11-30T00:00:00"/>
    <n v="-112"/>
    <n v="0"/>
    <s v="USD"/>
    <s v="JRNLWA00344876"/>
    <s v="P"/>
    <s v="OPEX 13- P Card Accrual"/>
    <s v="AdamJo"/>
    <s v="0/JE IC"/>
    <m/>
    <m/>
    <x v="15"/>
  </r>
  <r>
    <s v="70095-2195-000-00"/>
    <d v="2016-11-30T00:00:00"/>
    <n v="195.33"/>
    <n v="0"/>
    <s v="USD"/>
    <s v="JRNLWA00345917"/>
    <s v="P"/>
    <s v="Pcard Activity November - West"/>
    <s v="AdamJo"/>
    <s v="0/JE IC"/>
    <m/>
    <m/>
    <x v="14"/>
  </r>
  <r>
    <s v="70095-2195-000-00"/>
    <d v="2016-11-30T00:00:00"/>
    <n v="112"/>
    <n v="0"/>
    <s v="USD"/>
    <s v="JRNLWA00345917"/>
    <s v="P"/>
    <s v="Pcard Activity November - West"/>
    <s v="AdamJo"/>
    <s v="0/JE IC"/>
    <m/>
    <m/>
    <x v="15"/>
  </r>
  <r>
    <s v="70095-2195-000-00"/>
    <d v="2016-12-28T00:00:00"/>
    <n v="92.33"/>
    <n v="0"/>
    <s v="USD"/>
    <s v="JRNLWA00347038"/>
    <s v="P"/>
    <s v="From Voucher Posting."/>
    <s v="RosemaryS"/>
    <s v="0/JE IC"/>
    <s v="212WASHREFUS"/>
    <m/>
    <x v="16"/>
  </r>
  <r>
    <s v="70095-2195-000-00"/>
    <d v="2016-12-28T00:00:00"/>
    <n v="249.95"/>
    <n v="0"/>
    <s v="USD"/>
    <s v="JRNLWA00347046"/>
    <s v="P"/>
    <s v="From Voucher Posting."/>
    <s v="JeffS"/>
    <s v="0/JE IC"/>
    <s v="2195CHERBST"/>
    <m/>
    <x v="0"/>
  </r>
  <r>
    <s v="70095-2195-000-00"/>
    <d v="2016-12-31T00:00:00"/>
    <n v="44"/>
    <n v="0"/>
    <s v="USD"/>
    <s v="JRNLWA00347450"/>
    <s v="P"/>
    <s v="PCard Activity December - West"/>
    <s v="AdamJo"/>
    <s v="0/JE IC"/>
    <m/>
    <m/>
    <x v="10"/>
  </r>
  <r>
    <s v="70095-2195-000-00"/>
    <d v="2016-12-31T00:00:00"/>
    <n v="10"/>
    <n v="0"/>
    <s v="USD"/>
    <s v="JRNLWA00347450"/>
    <s v="P"/>
    <s v="PCard Activity December - West"/>
    <s v="AdamJo"/>
    <s v="0/JE IC"/>
    <m/>
    <m/>
    <x v="10"/>
  </r>
  <r>
    <s v="70095-2195-000-00"/>
    <d v="2016-12-31T00:00:00"/>
    <n v="230"/>
    <n v="0"/>
    <s v="USD"/>
    <s v="JRNLWA00347450"/>
    <s v="P"/>
    <s v="PCard Activity December - West"/>
    <s v="AdamJo"/>
    <s v="0/JE IC"/>
    <m/>
    <m/>
    <x v="17"/>
  </r>
  <r>
    <s v="70095-2195-000-00"/>
    <d v="2016-12-31T00:00:00"/>
    <n v="55.02"/>
    <n v="0"/>
    <s v="USD"/>
    <s v="JRNLWA00347857"/>
    <s v="P"/>
    <s v="OPEX 13- P Card Accrual"/>
    <s v="HeatherWe"/>
    <s v="0/JE IC"/>
    <m/>
    <m/>
    <x v="18"/>
  </r>
  <r>
    <s v="70095-2195-000-00"/>
    <d v="2016-12-31T00:00:00"/>
    <n v="431.25"/>
    <n v="0"/>
    <s v="USD"/>
    <s v="JRNLWA00347857"/>
    <s v="P"/>
    <s v="OPEX 13- P Card Accrual"/>
    <s v="HeatherWe"/>
    <s v="0/JE IC"/>
    <m/>
    <m/>
    <x v="19"/>
  </r>
  <r>
    <s v="70095-2195-000-00"/>
    <d v="2017-01-12T00:00:00"/>
    <n v="15.14"/>
    <n v="0"/>
    <s v="USD"/>
    <s v="JRNLWA00348511"/>
    <s v="P"/>
    <s v="From Voucher Posting."/>
    <s v="RosemaryS"/>
    <s v="0/JE IC"/>
    <s v="2195RGARCIA"/>
    <m/>
    <x v="20"/>
  </r>
  <r>
    <s v="70095-2195-000-00"/>
    <d v="2017-01-31T00:00:00"/>
    <n v="-55.02"/>
    <n v="0"/>
    <s v="USD"/>
    <s v="JRNLWA00347903"/>
    <s v="P"/>
    <s v="OPEX 13- P Card Accrual"/>
    <s v="AdamJo"/>
    <s v="0/JE IC"/>
    <m/>
    <m/>
    <x v="18"/>
  </r>
  <r>
    <s v="70095-2195-000-00"/>
    <d v="2017-01-31T00:00:00"/>
    <n v="-431.25"/>
    <n v="0"/>
    <s v="USD"/>
    <s v="JRNLWA00347903"/>
    <s v="P"/>
    <s v="OPEX 13- P Card Accrual"/>
    <s v="AdamJo"/>
    <s v="0/JE IC"/>
    <m/>
    <m/>
    <x v="19"/>
  </r>
  <r>
    <s v="70095-2195-000-00"/>
    <d v="2017-01-31T00:00:00"/>
    <n v="55.02"/>
    <n v="0"/>
    <s v="USD"/>
    <s v="JRNLWA00349054"/>
    <s v="P"/>
    <s v="PCard Activity January- Wester"/>
    <s v="AdamJo"/>
    <s v="0/JE IC"/>
    <m/>
    <m/>
    <x v="18"/>
  </r>
  <r>
    <s v="70095-2195-000-00"/>
    <d v="2017-01-31T00:00:00"/>
    <n v="431.25"/>
    <n v="0"/>
    <s v="USD"/>
    <s v="JRNLWA00349054"/>
    <s v="P"/>
    <s v="PCard Activity January- Wester"/>
    <s v="AdamJo"/>
    <s v="0/JE IC"/>
    <m/>
    <m/>
    <x v="19"/>
  </r>
  <r>
    <s v="70095-2195-000-00"/>
    <d v="2017-01-31T00:00:00"/>
    <n v="44"/>
    <n v="0"/>
    <s v="USD"/>
    <s v="JRNLWA00349054"/>
    <s v="P"/>
    <s v="PCard Activity January- Wester"/>
    <s v="AdamJo"/>
    <s v="0/JE IC"/>
    <m/>
    <m/>
    <x v="10"/>
  </r>
  <r>
    <s v="70095-2195-000-00"/>
    <d v="2017-01-31T00:00:00"/>
    <n v="431.25"/>
    <n v="0"/>
    <s v="USD"/>
    <s v="JRNLWA00349312"/>
    <s v="P"/>
    <s v="OPEX 13- P Card Accrual"/>
    <s v="AdamJo"/>
    <s v="0/JE IC"/>
    <m/>
    <m/>
    <x v="19"/>
  </r>
  <r>
    <s v="70095-2195-000-00"/>
    <d v="2017-01-31T00:00:00"/>
    <n v="391.3"/>
    <n v="0"/>
    <s v="USD"/>
    <s v="JRNLWA00349312"/>
    <s v="P"/>
    <s v="OPEX 13- P Card Accrual"/>
    <s v="AdamJo"/>
    <s v="0/JE IC"/>
    <m/>
    <m/>
    <x v="21"/>
  </r>
  <r>
    <s v="70095-2195-000-00"/>
    <d v="2017-01-31T00:00:00"/>
    <n v="405.17"/>
    <n v="0"/>
    <s v="USD"/>
    <s v="JRNLWA00349479"/>
    <s v="P"/>
    <s v="MISC6: Allocate EAP expenses t"/>
    <s v="HeatherWe"/>
    <s v="0/JE IC"/>
    <m/>
    <m/>
    <x v="22"/>
  </r>
  <r>
    <s v="70095-2195-000-00"/>
    <d v="2017-02-15T00:00:00"/>
    <n v="10"/>
    <n v="0"/>
    <s v="USD"/>
    <s v="JRNLWA00350057"/>
    <s v="P"/>
    <s v="From Voucher Posting."/>
    <s v="RosemaryS"/>
    <s v="0/JE IC"/>
    <s v="2195PETTY"/>
    <m/>
    <x v="6"/>
  </r>
  <r>
    <s v="70095-2195-000-00"/>
    <d v="2017-02-15T00:00:00"/>
    <n v="37.21"/>
    <n v="0"/>
    <s v="USD"/>
    <s v="JRNLWA00350057"/>
    <s v="P"/>
    <s v="From Voucher Posting."/>
    <s v="RosemaryS"/>
    <s v="0/JE IC"/>
    <s v="2195PETTY"/>
    <m/>
    <x v="6"/>
  </r>
  <r>
    <s v="70095-2195-000-00"/>
    <d v="2017-02-15T00:00:00"/>
    <n v="95.76"/>
    <n v="0"/>
    <s v="USD"/>
    <s v="JRNLWA00350057"/>
    <s v="P"/>
    <s v="From Voucher Posting."/>
    <s v="RosemaryS"/>
    <s v="0/JE IC"/>
    <s v="2195PETTY"/>
    <m/>
    <x v="6"/>
  </r>
  <r>
    <s v="70095-2195-000-00"/>
    <d v="2017-02-28T00:00:00"/>
    <n v="-431.25"/>
    <n v="0"/>
    <s v="USD"/>
    <s v="JRNLWA00349325"/>
    <s v="P"/>
    <s v="OPEX 13- P Card Accrual"/>
    <s v="HeatherWe"/>
    <s v="0/JE IC"/>
    <m/>
    <m/>
    <x v="19"/>
  </r>
  <r>
    <s v="70095-2195-000-00"/>
    <d v="2017-02-28T00:00:00"/>
    <n v="-391.3"/>
    <n v="0"/>
    <s v="USD"/>
    <s v="JRNLWA00349325"/>
    <s v="P"/>
    <s v="OPEX 13- P Card Accrual"/>
    <s v="HeatherWe"/>
    <s v="0/JE IC"/>
    <m/>
    <m/>
    <x v="21"/>
  </r>
  <r>
    <s v="70095-2195-000-00"/>
    <d v="2017-02-28T00:00:00"/>
    <n v="-405.17"/>
    <n v="0"/>
    <s v="USD"/>
    <s v="JRNLWA00349566"/>
    <s v="P"/>
    <s v="MISC6: Allocate EAP expenses t"/>
    <s v="HeatherWe"/>
    <s v="0/JE IC"/>
    <m/>
    <m/>
    <x v="22"/>
  </r>
  <r>
    <s v="70095-2195-000-00"/>
    <d v="2017-02-28T00:00:00"/>
    <n v="431.25"/>
    <n v="0"/>
    <s v="USD"/>
    <s v="JRNLWA00350488"/>
    <s v="P"/>
    <s v="PCard Activity February - West"/>
    <s v="AdamJo"/>
    <s v="0/JE IC"/>
    <m/>
    <m/>
    <x v="19"/>
  </r>
  <r>
    <s v="70095-2195-000-00"/>
    <d v="2017-02-28T00:00:00"/>
    <n v="391.3"/>
    <n v="0"/>
    <s v="USD"/>
    <s v="JRNLWA00350488"/>
    <s v="P"/>
    <s v="PCard Activity February - West"/>
    <s v="AdamJo"/>
    <s v="0/JE IC"/>
    <m/>
    <m/>
    <x v="21"/>
  </r>
  <r>
    <s v="70095-2195-000-00"/>
    <d v="2017-02-28T00:00:00"/>
    <n v="626.46"/>
    <n v="0"/>
    <s v="USD"/>
    <s v="JRNLWA00350488"/>
    <s v="P"/>
    <s v="PCard Activity February - West"/>
    <s v="AdamJo"/>
    <s v="0/JE IC"/>
    <m/>
    <m/>
    <x v="23"/>
  </r>
  <r>
    <s v="70095-2195-000-00"/>
    <d v="2017-02-28T00:00:00"/>
    <n v="188"/>
    <n v="0"/>
    <s v="USD"/>
    <s v="JRNLWA00350488"/>
    <s v="P"/>
    <s v="PCard Activity February - West"/>
    <s v="AdamJo"/>
    <s v="0/JE IC"/>
    <m/>
    <m/>
    <x v="24"/>
  </r>
  <r>
    <s v="70095-2195-000-00"/>
    <d v="2017-02-28T00:00:00"/>
    <n v="203.25"/>
    <n v="0"/>
    <s v="USD"/>
    <s v="JRNLWA00350488"/>
    <s v="P"/>
    <s v="PCard Activity February - West"/>
    <s v="AdamJo"/>
    <s v="0/JE IC"/>
    <m/>
    <m/>
    <x v="25"/>
  </r>
  <r>
    <s v="70095-2195-000-00"/>
    <d v="2017-02-28T00:00:00"/>
    <n v="71.38"/>
    <n v="0"/>
    <s v="USD"/>
    <s v="JRNLWA00350488"/>
    <s v="P"/>
    <s v="PCard Activity February - West"/>
    <s v="AdamJo"/>
    <s v="0/JE IC"/>
    <m/>
    <m/>
    <x v="26"/>
  </r>
  <r>
    <s v="70095-2195-000-00"/>
    <d v="2017-02-28T00:00:00"/>
    <n v="44.05"/>
    <n v="0"/>
    <s v="USD"/>
    <s v="JRNLWA00350488"/>
    <s v="P"/>
    <s v="PCard Activity February - West"/>
    <s v="AdamJo"/>
    <s v="0/JE IC"/>
    <m/>
    <m/>
    <x v="27"/>
  </r>
  <r>
    <s v="70095-2195-000-00"/>
    <d v="2017-02-28T00:00:00"/>
    <n v="64.22"/>
    <n v="0"/>
    <s v="USD"/>
    <s v="JRNLWA00350488"/>
    <s v="P"/>
    <s v="PCard Activity February - West"/>
    <s v="AdamJo"/>
    <s v="0/JE IC"/>
    <m/>
    <m/>
    <x v="28"/>
  </r>
  <r>
    <s v="70095-2195-000-00"/>
    <d v="2017-02-28T00:00:00"/>
    <n v="132.46"/>
    <n v="0"/>
    <s v="USD"/>
    <s v="JRNLWA00350488"/>
    <s v="P"/>
    <s v="PCard Activity February - West"/>
    <s v="AdamJo"/>
    <s v="0/JE IC"/>
    <m/>
    <m/>
    <x v="29"/>
  </r>
  <r>
    <s v="70095-2195-000-00"/>
    <d v="2017-02-28T00:00:00"/>
    <n v="216.39"/>
    <n v="0"/>
    <s v="USD"/>
    <s v="JRNLWA00350488"/>
    <s v="P"/>
    <s v="PCard Activity February - West"/>
    <s v="AdamJo"/>
    <s v="0/JE IC"/>
    <m/>
    <m/>
    <x v="30"/>
  </r>
  <r>
    <s v="70095-2195-000-00"/>
    <d v="2017-02-28T00:00:00"/>
    <n v="200"/>
    <n v="0"/>
    <s v="USD"/>
    <s v="JRNLWA00350488"/>
    <s v="P"/>
    <s v="PCard Activity February - West"/>
    <s v="AdamJo"/>
    <s v="0/JE IC"/>
    <m/>
    <m/>
    <x v="31"/>
  </r>
  <r>
    <s v="70095-2195-000-00"/>
    <d v="2017-02-28T00:00:00"/>
    <n v="200"/>
    <n v="0"/>
    <s v="USD"/>
    <s v="JRNLWA00350488"/>
    <s v="P"/>
    <s v="PCard Activity February - West"/>
    <s v="AdamJo"/>
    <s v="0/JE IC"/>
    <m/>
    <m/>
    <x v="32"/>
  </r>
  <r>
    <s v="70095-2195-000-00"/>
    <d v="2017-02-28T00:00:00"/>
    <n v="150"/>
    <n v="0"/>
    <s v="USD"/>
    <s v="JRNLWA00350488"/>
    <s v="P"/>
    <s v="PCard Activity February - West"/>
    <s v="AdamJo"/>
    <s v="0/JE IC"/>
    <m/>
    <m/>
    <x v="30"/>
  </r>
  <r>
    <s v="70095-2195-000-00"/>
    <d v="2017-02-28T00:00:00"/>
    <n v="36.71"/>
    <n v="0"/>
    <s v="USD"/>
    <s v="JRNLWA00350488"/>
    <s v="P"/>
    <s v="PCard Activity February - West"/>
    <s v="AdamJo"/>
    <s v="0/JE IC"/>
    <m/>
    <m/>
    <x v="33"/>
  </r>
  <r>
    <s v="70095-2195-000-00"/>
    <d v="2017-02-28T00:00:00"/>
    <n v="397.3"/>
    <n v="0"/>
    <s v="USD"/>
    <s v="JRNLWA00350835"/>
    <s v="P"/>
    <s v="MISC3: Allocate EAP expenses t"/>
    <s v="AdamJo"/>
    <s v="0/JE IC"/>
    <m/>
    <m/>
    <x v="22"/>
  </r>
  <r>
    <s v="70095-2195-000-00"/>
    <d v="2017-02-28T00:00:00"/>
    <n v="431.25"/>
    <n v="0"/>
    <s v="USD"/>
    <s v="JRNLWA00350895"/>
    <s v="P"/>
    <s v="OPEX 13- P Card Accrual"/>
    <s v="AdamJo"/>
    <s v="0/JE IC"/>
    <m/>
    <m/>
    <x v="19"/>
  </r>
  <r>
    <s v="70095-2195-000-00"/>
    <d v="2017-02-28T00:00:00"/>
    <n v="1500"/>
    <n v="0"/>
    <s v="USD"/>
    <s v="JRNLWA00350895"/>
    <s v="P"/>
    <s v="OPEX 13- P Card Accrual"/>
    <s v="AdamJo"/>
    <s v="0/JE IC"/>
    <m/>
    <m/>
    <x v="34"/>
  </r>
  <r>
    <s v="70095-2195-000-00"/>
    <d v="2017-02-28T00:00:00"/>
    <n v="175.6"/>
    <n v="0"/>
    <s v="USD"/>
    <s v="JRNLWA00350895"/>
    <s v="P"/>
    <s v="OPEX 13- P Card Accrual"/>
    <s v="AdamJo"/>
    <s v="0/JE IC"/>
    <m/>
    <m/>
    <x v="35"/>
  </r>
  <r>
    <s v="70095-2195-000-00"/>
    <d v="2017-02-28T00:00:00"/>
    <n v="1320.01"/>
    <n v="0"/>
    <s v="USD"/>
    <s v="JRNLWA00351081"/>
    <s v="P"/>
    <s v="OPEX14- AP and Exp Report Accr"/>
    <s v="HeatherWe"/>
    <s v="0/JE IC"/>
    <m/>
    <m/>
    <x v="36"/>
  </r>
  <r>
    <s v="70095-2195-000-00"/>
    <d v="2017-02-28T00:00:00"/>
    <n v="47"/>
    <n v="0"/>
    <s v="USD"/>
    <s v="JRNLWA00351081"/>
    <s v="P"/>
    <s v="OPEX14- AP and Exp Report Accr"/>
    <s v="HeatherWe"/>
    <s v="0/JE IC"/>
    <m/>
    <m/>
    <x v="37"/>
  </r>
  <r>
    <s v="70095-2195-000-00"/>
    <d v="2017-03-08T00:00:00"/>
    <n v="1320.01"/>
    <n v="0"/>
    <s v="USD"/>
    <s v="JRNLWA00351460"/>
    <s v="P"/>
    <s v="From Voucher Posting."/>
    <s v="RosemaryS"/>
    <s v="0/JE IC"/>
    <s v="2195CHHERBST"/>
    <m/>
    <x v="38"/>
  </r>
  <r>
    <s v="70095-2195-000-00"/>
    <d v="2017-03-31T00:00:00"/>
    <n v="-431.25"/>
    <n v="0"/>
    <s v="USD"/>
    <s v="JRNLWA00350901"/>
    <s v="P"/>
    <s v="OPEX 13- P Card Accrual"/>
    <s v="AdamJo"/>
    <s v="0/JE IC"/>
    <m/>
    <m/>
    <x v="19"/>
  </r>
  <r>
    <s v="70095-2195-000-00"/>
    <d v="2017-03-31T00:00:00"/>
    <n v="-1500"/>
    <n v="0"/>
    <s v="USD"/>
    <s v="JRNLWA00350901"/>
    <s v="P"/>
    <s v="OPEX 13- P Card Accrual"/>
    <s v="AdamJo"/>
    <s v="0/JE IC"/>
    <m/>
    <m/>
    <x v="34"/>
  </r>
  <r>
    <s v="70095-2195-000-00"/>
    <d v="2017-03-31T00:00:00"/>
    <n v="-175.6"/>
    <n v="0"/>
    <s v="USD"/>
    <s v="JRNLWA00350901"/>
    <s v="P"/>
    <s v="OPEX 13- P Card Accrual"/>
    <s v="AdamJo"/>
    <s v="0/JE IC"/>
    <m/>
    <m/>
    <x v="35"/>
  </r>
  <r>
    <s v="70095-2195-000-00"/>
    <d v="2017-03-31T00:00:00"/>
    <n v="-1320.01"/>
    <n v="0"/>
    <s v="USD"/>
    <s v="JRNLWA00351194"/>
    <s v="P"/>
    <s v="OPEX14- AP and Exp Report Accr"/>
    <s v="AdamJo"/>
    <s v="0/JE IC"/>
    <m/>
    <m/>
    <x v="36"/>
  </r>
  <r>
    <s v="70095-2195-000-00"/>
    <d v="2017-03-31T00:00:00"/>
    <n v="-47"/>
    <n v="0"/>
    <s v="USD"/>
    <s v="JRNLWA00351194"/>
    <s v="P"/>
    <s v="OPEX14- AP and Exp Report Accr"/>
    <s v="AdamJo"/>
    <s v="0/JE IC"/>
    <m/>
    <m/>
    <x v="37"/>
  </r>
  <r>
    <s v="70095-2195-000-00"/>
    <d v="2017-03-31T00:00:00"/>
    <n v="431.25"/>
    <n v="0"/>
    <s v="USD"/>
    <s v="JRNLWA00351880"/>
    <s v="P"/>
    <s v="PCard Activity March - Western"/>
    <s v="HeatherWe"/>
    <s v="0/JE IC"/>
    <m/>
    <m/>
    <x v="19"/>
  </r>
  <r>
    <s v="70095-2195-000-00"/>
    <d v="2017-03-31T00:00:00"/>
    <n v="58.8"/>
    <n v="0"/>
    <s v="USD"/>
    <s v="JRNLWA00351880"/>
    <s v="P"/>
    <s v="PCard Activity March - Western"/>
    <s v="HeatherWe"/>
    <s v="0/JE IC"/>
    <m/>
    <m/>
    <x v="21"/>
  </r>
  <r>
    <s v="70095-2195-000-00"/>
    <d v="2017-03-31T00:00:00"/>
    <n v="1500"/>
    <n v="0"/>
    <s v="USD"/>
    <s v="JRNLWA00351880"/>
    <s v="P"/>
    <s v="PCard Activity March - Western"/>
    <s v="HeatherWe"/>
    <s v="0/JE IC"/>
    <m/>
    <m/>
    <x v="34"/>
  </r>
  <r>
    <s v="70095-2195-000-00"/>
    <d v="2017-03-31T00:00:00"/>
    <n v="175.6"/>
    <n v="0"/>
    <s v="USD"/>
    <s v="JRNLWA00351880"/>
    <s v="P"/>
    <s v="PCard Activity March - Western"/>
    <s v="HeatherWe"/>
    <s v="0/JE IC"/>
    <m/>
    <m/>
    <x v="35"/>
  </r>
  <r>
    <s v="70095-2195-000-00"/>
    <d v="2017-03-31T00:00:00"/>
    <n v="431.25"/>
    <n v="0"/>
    <s v="USD"/>
    <s v="JRNLWA00352304"/>
    <s v="P"/>
    <s v="OPEX 13- P Card Accrual"/>
    <s v="AdamJo"/>
    <s v="0/JE IC"/>
    <m/>
    <m/>
    <x v="19"/>
  </r>
  <r>
    <s v="70095-2195-000-00"/>
    <d v="2017-03-31T00:00:00"/>
    <n v="216.4"/>
    <n v="0"/>
    <s v="USD"/>
    <s v="JRNLWA00352304"/>
    <s v="P"/>
    <s v="OPEX 13- P Card Accrual"/>
    <s v="AdamJo"/>
    <s v="0/JE IC"/>
    <m/>
    <m/>
    <x v="39"/>
  </r>
  <r>
    <s v="70095-2195-000-00"/>
    <d v="2017-03-31T00:00:00"/>
    <n v="38.909999999999997"/>
    <n v="0"/>
    <s v="USD"/>
    <s v="JRNLWA00352304"/>
    <s v="P"/>
    <s v="OPEX 13- P Card Accrual"/>
    <s v="AdamJo"/>
    <s v="0/JE IC"/>
    <m/>
    <m/>
    <x v="40"/>
  </r>
  <r>
    <s v="70095-2195-000-00"/>
    <d v="2017-03-31T00:00:00"/>
    <n v="396.07"/>
    <n v="0"/>
    <s v="USD"/>
    <s v="JRNLWA00352304"/>
    <s v="P"/>
    <s v="OPEX 13- P Card Accrual"/>
    <s v="AdamJo"/>
    <s v="0/JE IC"/>
    <m/>
    <m/>
    <x v="40"/>
  </r>
  <r>
    <s v="70095-2195-000-00"/>
    <d v="2017-04-30T00:00:00"/>
    <n v="-431.25"/>
    <n v="0"/>
    <s v="USD"/>
    <s v="JRNLWA00352349"/>
    <s v="P"/>
    <s v="OPEX 13- P Card Accrual"/>
    <s v="AdamJo"/>
    <s v="0/JE IC"/>
    <m/>
    <m/>
    <x v="19"/>
  </r>
  <r>
    <s v="70095-2195-000-00"/>
    <d v="2017-04-30T00:00:00"/>
    <n v="-216.4"/>
    <n v="0"/>
    <s v="USD"/>
    <s v="JRNLWA00352349"/>
    <s v="P"/>
    <s v="OPEX 13- P Card Accrual"/>
    <s v="AdamJo"/>
    <s v="0/JE IC"/>
    <m/>
    <m/>
    <x v="39"/>
  </r>
  <r>
    <s v="70095-2195-000-00"/>
    <d v="2017-04-30T00:00:00"/>
    <n v="-38.909999999999997"/>
    <n v="0"/>
    <s v="USD"/>
    <s v="JRNLWA00352349"/>
    <s v="P"/>
    <s v="OPEX 13- P Card Accrual"/>
    <s v="AdamJo"/>
    <s v="0/JE IC"/>
    <m/>
    <m/>
    <x v="40"/>
  </r>
  <r>
    <s v="70095-2195-000-00"/>
    <d v="2017-04-30T00:00:00"/>
    <n v="-396.07"/>
    <n v="0"/>
    <s v="USD"/>
    <s v="JRNLWA00352349"/>
    <s v="P"/>
    <s v="OPEX 13- P Card Accrual"/>
    <s v="AdamJo"/>
    <s v="0/JE IC"/>
    <m/>
    <m/>
    <x v="40"/>
  </r>
  <r>
    <s v="70095-2195-000-00"/>
    <d v="2017-04-30T00:00:00"/>
    <n v="431.25"/>
    <n v="0"/>
    <s v="USD"/>
    <s v="JRNLWA00353598"/>
    <s v="P"/>
    <s v="PCard Activity April - Western"/>
    <s v="HeatherWe"/>
    <s v="0/JE IC"/>
    <m/>
    <m/>
    <x v="19"/>
  </r>
  <r>
    <s v="70095-2195-000-00"/>
    <d v="2017-04-30T00:00:00"/>
    <n v="216.4"/>
    <n v="0"/>
    <s v="USD"/>
    <s v="JRNLWA00353598"/>
    <s v="P"/>
    <s v="PCard Activity April - Western"/>
    <s v="HeatherWe"/>
    <s v="0/JE IC"/>
    <m/>
    <m/>
    <x v="39"/>
  </r>
  <r>
    <s v="70095-2195-000-00"/>
    <d v="2017-04-30T00:00:00"/>
    <n v="38.909999999999997"/>
    <n v="0"/>
    <s v="USD"/>
    <s v="JRNLWA00353598"/>
    <s v="P"/>
    <s v="PCard Activity April - Western"/>
    <s v="HeatherWe"/>
    <s v="0/JE IC"/>
    <m/>
    <m/>
    <x v="40"/>
  </r>
  <r>
    <s v="70095-2195-000-00"/>
    <d v="2017-04-30T00:00:00"/>
    <n v="396.07"/>
    <n v="0"/>
    <s v="USD"/>
    <s v="JRNLWA00353598"/>
    <s v="P"/>
    <s v="PCard Activity April - Western"/>
    <s v="HeatherWe"/>
    <s v="0/JE IC"/>
    <m/>
    <m/>
    <x v="40"/>
  </r>
  <r>
    <s v="70095-2195-000-00"/>
    <d v="2017-05-31T00:00:00"/>
    <n v="35"/>
    <n v="0"/>
    <s v="USD"/>
    <s v="JRNLWA00354946"/>
    <s v="P"/>
    <s v="From Voucher Posting."/>
    <s v="RosemaryS"/>
    <s v="0/JE IC"/>
    <s v="2195PETTY"/>
    <m/>
    <x v="6"/>
  </r>
  <r>
    <s v="70095-2195-000-00"/>
    <d v="2017-05-31T00:00:00"/>
    <n v="49.1"/>
    <n v="0"/>
    <s v="USD"/>
    <s v="JRNLWA00355229"/>
    <s v="P"/>
    <s v="Pcard Activity May - Western"/>
    <s v="MaribelV"/>
    <s v="0/JE IC"/>
    <m/>
    <m/>
    <x v="41"/>
  </r>
  <r>
    <s v="70095-2195-000-00"/>
    <d v="2017-05-31T00:00:00"/>
    <n v="120.7"/>
    <n v="0"/>
    <s v="USD"/>
    <s v="JRNLWA00355229"/>
    <s v="P"/>
    <s v="Pcard Activity May - Western"/>
    <s v="MaribelV"/>
    <s v="0/JE IC"/>
    <m/>
    <m/>
    <x v="42"/>
  </r>
  <r>
    <s v="70095-2195-000-00"/>
    <d v="2017-05-31T00:00:00"/>
    <n v="216.13"/>
    <n v="0"/>
    <s v="USD"/>
    <s v="JRNLWA00355229"/>
    <s v="P"/>
    <s v="Pcard Activity May - Western"/>
    <s v="MaribelV"/>
    <s v="0/JE IC"/>
    <m/>
    <m/>
    <x v="43"/>
  </r>
  <r>
    <s v="70095-2195-000-00"/>
    <d v="2017-05-31T00:00:00"/>
    <n v="13.46"/>
    <n v="0"/>
    <s v="USD"/>
    <s v="JRNLWA00355229"/>
    <s v="P"/>
    <s v="Pcard Activity May - Western"/>
    <s v="MaribelV"/>
    <s v="0/JE IC"/>
    <m/>
    <m/>
    <x v="44"/>
  </r>
  <r>
    <s v="70095-2195-000-00"/>
    <d v="2017-05-31T00:00:00"/>
    <n v="40.29"/>
    <n v="0"/>
    <s v="USD"/>
    <s v="JRNLWA00355646"/>
    <s v="P"/>
    <s v="OPEX14- AP and Exp Report Accr"/>
    <s v="HeatherWe"/>
    <s v="0/JE IC"/>
    <m/>
    <m/>
    <x v="45"/>
  </r>
  <r>
    <s v="70095-2195-000-00"/>
    <d v="2017-06-06T00:00:00"/>
    <n v="40.29"/>
    <n v="0"/>
    <s v="USD"/>
    <s v="JRNLWA00355523"/>
    <s v="P"/>
    <s v="From Voucher Posting."/>
    <s v="RosemaryS"/>
    <s v="0/JE IC"/>
    <s v="2195CHERBST"/>
    <m/>
    <x v="0"/>
  </r>
  <r>
    <s v="70095-2195-000-00"/>
    <d v="2017-06-30T00:00:00"/>
    <n v="-40.29"/>
    <n v="0"/>
    <s v="USD"/>
    <s v="JRNLWA00355843"/>
    <s v="P"/>
    <s v="OPEX14- AP and Exp Report Accr"/>
    <s v="HeatherWe"/>
    <s v="0/JE IC"/>
    <m/>
    <m/>
    <x v="45"/>
  </r>
</pivotCacheRecords>
</file>

<file path=xl/pivotCache/pivotCacheRecords2.xml><?xml version="1.0" encoding="utf-8"?>
<pivotCacheRecords xmlns="http://schemas.openxmlformats.org/spreadsheetml/2006/main" xmlns:r="http://schemas.openxmlformats.org/officeDocument/2006/relationships" count="26">
  <r>
    <s v="70195-2195-000-00"/>
    <d v="2016-07-14T00:00:00"/>
    <n v="448.07"/>
    <n v="0"/>
    <s v="USD"/>
    <s v="JRNLWA00339227"/>
    <s v="P"/>
    <s v="From Voucher Posting."/>
    <s v="RosemaryS"/>
    <s v="0/JE IC"/>
    <s v="25WRRA"/>
    <m/>
    <x v="0"/>
  </r>
  <r>
    <s v="70195-2195-000-00"/>
    <d v="2016-07-27T00:00:00"/>
    <n v="448.07"/>
    <n v="0"/>
    <s v="USD"/>
    <s v="JRNLWA00339406"/>
    <s v="P"/>
    <s v="From Voucher Posting."/>
    <s v="RosemaryS"/>
    <s v="0/JE IC"/>
    <s v="25WRRA"/>
    <m/>
    <x v="0"/>
  </r>
  <r>
    <s v="70195-2195-000-00"/>
    <d v="2016-07-31T00:00:00"/>
    <n v="125"/>
    <n v="0"/>
    <s v="USD"/>
    <s v="JRNLWA00339592"/>
    <s v="P"/>
    <s v="From Voucher Posting."/>
    <s v="RosemaryS"/>
    <s v="0/JE IC"/>
    <s v="2195SELCOC"/>
    <m/>
    <x v="1"/>
  </r>
  <r>
    <s v="70195-2195-000-00"/>
    <d v="2016-08-31T00:00:00"/>
    <n v="448.07"/>
    <n v="0"/>
    <s v="USD"/>
    <s v="JRNLWA00341931"/>
    <s v="P"/>
    <s v="PO Log and Expense Report Accr"/>
    <s v="AdamJo"/>
    <s v="0/JE IC"/>
    <m/>
    <m/>
    <x v="2"/>
  </r>
  <r>
    <s v="70195-2195-000-00"/>
    <d v="2016-09-06T00:00:00"/>
    <n v="448.07"/>
    <n v="0"/>
    <s v="USD"/>
    <s v="JRNLWA00341470"/>
    <s v="P"/>
    <s v="From Voucher Posting."/>
    <s v="RosemaryS"/>
    <s v="0/JE IC"/>
    <s v="25WRRA"/>
    <m/>
    <x v="0"/>
  </r>
  <r>
    <s v="70195-2195-000-00"/>
    <d v="2016-09-20T00:00:00"/>
    <n v="500"/>
    <n v="0"/>
    <s v="USD"/>
    <s v="JRNLWA00342388"/>
    <s v="P"/>
    <s v="From Voucher Posting."/>
    <s v="RosemaryS"/>
    <s v="0/JE IC"/>
    <s v="2195YAKCOC"/>
    <m/>
    <x v="3"/>
  </r>
  <r>
    <s v="70195-2195-000-00"/>
    <d v="2016-09-30T00:00:00"/>
    <n v="-448.07"/>
    <n v="0"/>
    <s v="USD"/>
    <s v="JRNLWA00341983"/>
    <s v="P"/>
    <s v="PO Log and Expense Report Accr"/>
    <s v="MaribelV"/>
    <s v="0/JE IC"/>
    <m/>
    <m/>
    <x v="2"/>
  </r>
  <r>
    <s v="70195-2195-000-00"/>
    <d v="2016-10-05T00:00:00"/>
    <n v="-125"/>
    <n v="0"/>
    <s v="USD"/>
    <s v="JRNLWA00343211"/>
    <s v="P"/>
    <s v="From Debit Memo Posting."/>
    <s v="RosemaryS"/>
    <s v="0/JE IC"/>
    <m/>
    <m/>
    <x v="1"/>
  </r>
  <r>
    <s v="70195-2195-000-00"/>
    <d v="2016-10-06T00:00:00"/>
    <n v="448.07"/>
    <n v="0"/>
    <s v="USD"/>
    <s v="JRNLWA00343209"/>
    <s v="P"/>
    <s v="From Voucher Posting."/>
    <s v="RosemaryS"/>
    <s v="0/JE IC"/>
    <s v="25WRRA"/>
    <m/>
    <x v="0"/>
  </r>
  <r>
    <s v="70195-2195-000-00"/>
    <d v="2016-11-10T00:00:00"/>
    <n v="448.07"/>
    <n v="0"/>
    <s v="USD"/>
    <s v="JRNLWA00345399"/>
    <s v="P"/>
    <s v="From Voucher Posting."/>
    <s v="RosemaryS"/>
    <s v="0/JE IC"/>
    <s v="25WRRA"/>
    <m/>
    <x v="0"/>
  </r>
  <r>
    <s v="70195-2195-000-00"/>
    <d v="2016-12-14T00:00:00"/>
    <n v="448.07"/>
    <n v="0"/>
    <s v="USD"/>
    <s v="JRNLWA00346881"/>
    <s v="P"/>
    <s v="From Voucher Posting."/>
    <s v="JeffS"/>
    <s v="0/JE IC"/>
    <s v="25WRRA"/>
    <m/>
    <x v="0"/>
  </r>
  <r>
    <s v="70195-2195-000-00"/>
    <d v="2016-12-23T00:00:00"/>
    <n v="40.85"/>
    <n v="0"/>
    <s v="USD"/>
    <s v="JRNLWA00347005"/>
    <s v="P"/>
    <s v="From Voucher Posting."/>
    <s v="RosemaryS"/>
    <s v="0/JE IC"/>
    <s v="212AWB"/>
    <m/>
    <x v="4"/>
  </r>
  <r>
    <s v="70195-2195-000-00"/>
    <d v="2016-12-31T00:00:00"/>
    <n v="296"/>
    <n v="0"/>
    <s v="USD"/>
    <s v="JRNLWA00347450"/>
    <s v="P"/>
    <s v="PCard Activity December - West"/>
    <s v="AdamJo"/>
    <s v="0/JE IC"/>
    <m/>
    <m/>
    <x v="5"/>
  </r>
  <r>
    <s v="70195-2195-000-00"/>
    <d v="2017-01-09T00:00:00"/>
    <n v="448.07"/>
    <n v="0"/>
    <s v="USD"/>
    <s v="JRNLWA00348169"/>
    <s v="P"/>
    <s v="From Voucher Posting."/>
    <s v="RosemaryS"/>
    <s v="0/JE IC"/>
    <s v="25WRRA"/>
    <m/>
    <x v="0"/>
  </r>
  <r>
    <s v="70195-2195-000-00"/>
    <d v="2017-01-26T00:00:00"/>
    <n v="300"/>
    <n v="0"/>
    <s v="USD"/>
    <s v="JRNLWA00348665"/>
    <s v="P"/>
    <s v="From Voucher Posting."/>
    <s v="RosemaryS"/>
    <s v="0/JE IC"/>
    <s v="2195YNGC"/>
    <m/>
    <x v="6"/>
  </r>
  <r>
    <s v="70195-2195-000-00"/>
    <d v="2017-01-31T00:00:00"/>
    <n v="175"/>
    <n v="0"/>
    <s v="USD"/>
    <s v="JRNLWA00348841"/>
    <s v="P"/>
    <s v="From Voucher Posting."/>
    <s v="RosemaryS"/>
    <s v="0/JE IC"/>
    <s v="2195TOPCOC"/>
    <m/>
    <x v="7"/>
  </r>
  <r>
    <s v="70195-2195-000-00"/>
    <d v="2017-01-31T00:00:00"/>
    <n v="203.4"/>
    <n v="0"/>
    <s v="USD"/>
    <s v="JRNLWA00349054"/>
    <s v="P"/>
    <s v="PCard Activity January- Wester"/>
    <s v="AdamJo"/>
    <s v="0/JE IC"/>
    <m/>
    <m/>
    <x v="8"/>
  </r>
  <r>
    <s v="70195-2195-000-00"/>
    <d v="2017-01-31T00:00:00"/>
    <n v="122"/>
    <n v="0"/>
    <s v="USD"/>
    <s v="JRNLWA00349476"/>
    <s v="P"/>
    <s v="Opex 12- S LeMay PO Log"/>
    <s v="HeatherWe"/>
    <s v="0/JE IC"/>
    <m/>
    <m/>
    <x v="9"/>
  </r>
  <r>
    <s v="70195-2195-000-00"/>
    <d v="2017-02-03T00:00:00"/>
    <n v="445.84"/>
    <n v="0"/>
    <s v="USD"/>
    <s v="JRNLWA00348931"/>
    <s v="P"/>
    <s v="From Voucher Posting."/>
    <s v="RosemaryS"/>
    <s v="0/JE IC"/>
    <s v="25WRRA"/>
    <m/>
    <x v="0"/>
  </r>
  <r>
    <s v="70195-2195-000-00"/>
    <d v="2017-02-28T00:00:00"/>
    <n v="-122"/>
    <n v="0"/>
    <s v="USD"/>
    <s v="JRNLWA00349564"/>
    <s v="P"/>
    <s v="Opex 12- S LeMay PO Log"/>
    <s v="HeatherWe"/>
    <s v="0/JE IC"/>
    <m/>
    <m/>
    <x v="9"/>
  </r>
  <r>
    <s v="70195-2195-000-00"/>
    <d v="2017-02-28T00:00:00"/>
    <n v="122"/>
    <n v="0"/>
    <s v="USD"/>
    <s v="JRNLWA00350488"/>
    <s v="P"/>
    <s v="PCard Activity February - West"/>
    <s v="AdamJo"/>
    <s v="0/JE IC"/>
    <m/>
    <m/>
    <x v="10"/>
  </r>
  <r>
    <s v="70195-2195-000-00"/>
    <d v="2017-03-03T00:00:00"/>
    <n v="208"/>
    <n v="0"/>
    <s v="USD"/>
    <s v="JRNLWA00350516"/>
    <s v="P"/>
    <s v="From Voucher Posting."/>
    <s v="RosemaryS"/>
    <s v="0/JE IC"/>
    <s v="212AWB"/>
    <m/>
    <x v="4"/>
  </r>
  <r>
    <s v="70195-2195-000-00"/>
    <d v="2017-03-09T00:00:00"/>
    <n v="448.07"/>
    <n v="0"/>
    <s v="USD"/>
    <s v="JRNLWA00351492"/>
    <s v="P"/>
    <s v="From Voucher Posting."/>
    <s v="RosemaryS"/>
    <s v="0/JE IC"/>
    <s v="25WRRA"/>
    <m/>
    <x v="0"/>
  </r>
  <r>
    <s v="70195-2195-000-00"/>
    <d v="2017-04-12T00:00:00"/>
    <n v="445.84"/>
    <n v="0"/>
    <s v="USD"/>
    <s v="JRNLWA00353071"/>
    <s v="P"/>
    <s v="From Voucher Posting."/>
    <s v="JeffS"/>
    <s v="0/JE IC"/>
    <s v="25WRRA"/>
    <m/>
    <x v="0"/>
  </r>
  <r>
    <s v="70195-2195-000-00"/>
    <d v="2017-05-17T00:00:00"/>
    <n v="445.84"/>
    <n v="0"/>
    <s v="USD"/>
    <s v="JRNLWA00354681"/>
    <s v="P"/>
    <s v="From Voucher Posting."/>
    <s v="RosemaryS"/>
    <s v="0/JE IC"/>
    <s v="25WRRA"/>
    <m/>
    <x v="0"/>
  </r>
  <r>
    <s v="70195-2195-000-00"/>
    <d v="2017-06-30T00:00:00"/>
    <n v="445.84"/>
    <n v="0"/>
    <s v="USD"/>
    <s v="JRNLWA00357384"/>
    <s v="P"/>
    <s v="PO Log and Expense Report Accr"/>
    <s v="HeatherWe"/>
    <s v="0/JE IC"/>
    <m/>
    <m/>
    <x v="11"/>
  </r>
</pivotCacheRecords>
</file>

<file path=xl/pivotCache/pivotCacheRecords3.xml><?xml version="1.0" encoding="utf-8"?>
<pivotCacheRecords xmlns="http://schemas.openxmlformats.org/spreadsheetml/2006/main" xmlns:r="http://schemas.openxmlformats.org/officeDocument/2006/relationships" count="71">
  <r>
    <s v="70255-2195-000-00"/>
    <d v="2016-07-21T00:00:00"/>
    <n v="411.65"/>
    <n v="0"/>
    <s v="USD"/>
    <s v="JRNLWA00339322"/>
    <s v="P"/>
    <s v="From Voucher Posting."/>
    <s v="RosemaryS"/>
    <s v="0/JE IC"/>
    <s v="212TRANSUE"/>
    <m/>
    <x v="0"/>
  </r>
  <r>
    <s v="70255-2195-000-00"/>
    <d v="2016-07-31T00:00:00"/>
    <n v="-34.35"/>
    <n v="0"/>
    <s v="USD"/>
    <s v="JRNLWA00338864"/>
    <s v="P"/>
    <s v="Accrue Cameron Cole"/>
    <s v="AdamJo"/>
    <s v="0/JE IC"/>
    <m/>
    <m/>
    <x v="1"/>
  </r>
  <r>
    <s v="70255-2195-000-00"/>
    <d v="2016-07-31T00:00:00"/>
    <n v="312"/>
    <n v="0"/>
    <s v="USD"/>
    <s v="JRNLWA00340115"/>
    <s v="P"/>
    <s v="N.Chambliss Pcard Accruals"/>
    <s v="MaribelV"/>
    <s v="0/JE IC"/>
    <m/>
    <m/>
    <x v="2"/>
  </r>
  <r>
    <s v="70255-2195-000-00"/>
    <d v="2016-07-31T00:00:00"/>
    <n v="34.35"/>
    <n v="0"/>
    <s v="USD"/>
    <s v="JRNLWA00340460"/>
    <s v="P"/>
    <s v="Cameron Cole Allocation"/>
    <s v="HeatherWe"/>
    <s v="0/JE IC"/>
    <m/>
    <m/>
    <x v="3"/>
  </r>
  <r>
    <s v="70255-2195-000-00"/>
    <d v="2016-07-31T00:00:00"/>
    <n v="39.15"/>
    <n v="0"/>
    <s v="USD"/>
    <s v="JRNLWA00340631"/>
    <s v="P"/>
    <s v="Accrue LRQA"/>
    <s v="MaribelV"/>
    <s v="0/JE IC"/>
    <m/>
    <m/>
    <x v="4"/>
  </r>
  <r>
    <s v="70255-2195-000-00"/>
    <d v="2016-08-15T00:00:00"/>
    <n v="10.5"/>
    <n v="0"/>
    <s v="USD"/>
    <s v="JRNLWA00340790"/>
    <s v="P"/>
    <s v="From Voucher Posting."/>
    <s v="RosemaryS"/>
    <s v="0/JE IC"/>
    <s v="212KOV"/>
    <m/>
    <x v="5"/>
  </r>
  <r>
    <s v="70255-2195-000-00"/>
    <d v="2016-08-25T00:00:00"/>
    <n v="354.28"/>
    <n v="0"/>
    <s v="USD"/>
    <s v="JRNLWA00340973"/>
    <s v="P"/>
    <s v="From Voucher Posting."/>
    <s v="RosemaryS"/>
    <s v="0/JE IC"/>
    <s v="212TRANSUE"/>
    <m/>
    <x v="0"/>
  </r>
  <r>
    <s v="70255-2195-000-00"/>
    <d v="2016-08-31T00:00:00"/>
    <n v="-312"/>
    <n v="0"/>
    <s v="USD"/>
    <s v="JRNLWA00340132"/>
    <s v="P"/>
    <s v="N.Chambliss Pcard Accruals"/>
    <s v="MaribelV"/>
    <s v="0/JE IC"/>
    <m/>
    <m/>
    <x v="2"/>
  </r>
  <r>
    <s v="70255-2195-000-00"/>
    <d v="2016-08-31T00:00:00"/>
    <n v="-39.15"/>
    <n v="0"/>
    <s v="USD"/>
    <s v="JRNLWA00340671"/>
    <s v="P"/>
    <s v="Accrue LRQA"/>
    <s v="AdamJo"/>
    <s v="0/JE IC"/>
    <m/>
    <m/>
    <x v="4"/>
  </r>
  <r>
    <s v="70255-2195-000-00"/>
    <d v="2016-08-31T00:00:00"/>
    <n v="312"/>
    <n v="0"/>
    <s v="USD"/>
    <s v="JRNLWA00341247"/>
    <s v="P"/>
    <s v="N. Chambliss PCard"/>
    <s v="AdamJo"/>
    <s v="0/JE IC"/>
    <m/>
    <m/>
    <x v="2"/>
  </r>
  <r>
    <s v="70255-2195-000-00"/>
    <d v="2016-08-31T00:00:00"/>
    <n v="39.15"/>
    <n v="0"/>
    <s v="USD"/>
    <s v="JRNLWA00341866"/>
    <s v="P"/>
    <s v="LRQA Allocation"/>
    <s v="AdamJo"/>
    <s v="0/JE IC"/>
    <m/>
    <m/>
    <x v="6"/>
  </r>
  <r>
    <s v="70255-2195-000-00"/>
    <d v="2016-08-31T00:00:00"/>
    <n v="16.260000000000002"/>
    <n v="0"/>
    <s v="USD"/>
    <s v="JRNLWA00341867"/>
    <s v="P"/>
    <s v="Accrue Cameron Cole"/>
    <s v="AdamJo"/>
    <s v="0/JE IC"/>
    <m/>
    <m/>
    <x v="7"/>
  </r>
  <r>
    <s v="70255-2195-000-00"/>
    <d v="2016-09-19T00:00:00"/>
    <n v="340.43"/>
    <n v="0"/>
    <s v="USD"/>
    <s v="JRNLWA00342376"/>
    <s v="P"/>
    <s v="From Voucher Posting."/>
    <s v="RosemaryS"/>
    <s v="0/JE IC"/>
    <s v="212TRANSUE"/>
    <m/>
    <x v="0"/>
  </r>
  <r>
    <s v="70255-2195-000-00"/>
    <d v="2016-09-30T00:00:00"/>
    <n v="-16.260000000000002"/>
    <n v="0"/>
    <s v="USD"/>
    <s v="JRNLWA00341913"/>
    <s v="P"/>
    <s v="Accrue Cameron Cole"/>
    <s v="HeatherWe"/>
    <s v="0/JE IC"/>
    <m/>
    <m/>
    <x v="7"/>
  </r>
  <r>
    <s v="70255-2195-000-00"/>
    <d v="2016-09-30T00:00:00"/>
    <n v="154.35"/>
    <n v="0"/>
    <s v="USD"/>
    <s v="JRNLWA00343234"/>
    <s v="P"/>
    <s v="Accrue LRQA"/>
    <s v="MaribelV"/>
    <s v="0/JE IC"/>
    <m/>
    <m/>
    <x v="8"/>
  </r>
  <r>
    <s v="70255-2195-000-00"/>
    <d v="2016-09-30T00:00:00"/>
    <n v="10.16"/>
    <n v="0"/>
    <s v="USD"/>
    <s v="JRNLWA00343262"/>
    <s v="P"/>
    <s v="Accrue Cameron Cole"/>
    <s v="AdamJo"/>
    <s v="0/JE IC"/>
    <m/>
    <m/>
    <x v="9"/>
  </r>
  <r>
    <s v="70255-2195-000-00"/>
    <d v="2016-09-30T00:00:00"/>
    <n v="35.72"/>
    <n v="0"/>
    <s v="USD"/>
    <s v="JRNLWA00343322"/>
    <s v="P"/>
    <s v="Cameron Cole Allocation"/>
    <s v="AdamJo"/>
    <s v="0/JE IC"/>
    <m/>
    <m/>
    <x v="10"/>
  </r>
  <r>
    <s v="70255-2195-000-00"/>
    <d v="2016-09-30T00:00:00"/>
    <n v="352.89"/>
    <n v="0"/>
    <s v="USD"/>
    <s v="JRNLWA00343700"/>
    <s v="P"/>
    <s v="PO Log Accrual"/>
    <s v="AdamJo"/>
    <s v="0/JE IC"/>
    <m/>
    <m/>
    <x v="11"/>
  </r>
  <r>
    <s v="70255-2195-000-00"/>
    <d v="2016-10-06T00:00:00"/>
    <n v="352.89"/>
    <n v="0"/>
    <s v="USD"/>
    <s v="JRNLWA00343352"/>
    <s v="P"/>
    <s v="From Voucher Posting."/>
    <s v="RosemaryS"/>
    <s v="0/JE IC"/>
    <s v="212TRANSUE"/>
    <m/>
    <x v="0"/>
  </r>
  <r>
    <s v="70255-2195-000-00"/>
    <d v="2016-10-31T00:00:00"/>
    <n v="-154.35"/>
    <n v="0"/>
    <s v="USD"/>
    <s v="JRNLWA00343251"/>
    <s v="P"/>
    <s v="Accrue LRQA"/>
    <s v="AdamJo"/>
    <s v="0/JE IC"/>
    <m/>
    <m/>
    <x v="8"/>
  </r>
  <r>
    <s v="70255-2195-000-00"/>
    <d v="2016-10-31T00:00:00"/>
    <n v="-10.16"/>
    <n v="0"/>
    <s v="USD"/>
    <s v="JRNLWA00343276"/>
    <s v="P"/>
    <s v="Accrue Cameron Cole"/>
    <s v="AdamJo"/>
    <s v="0/JE IC"/>
    <m/>
    <m/>
    <x v="9"/>
  </r>
  <r>
    <s v="70255-2195-000-00"/>
    <d v="2016-10-31T00:00:00"/>
    <n v="-352.89"/>
    <n v="0"/>
    <s v="USD"/>
    <s v="JRNLWA00343773"/>
    <s v="P"/>
    <s v="PO Log Accrual"/>
    <s v="MaribelV"/>
    <s v="0/JE IC"/>
    <m/>
    <m/>
    <x v="11"/>
  </r>
  <r>
    <s v="70255-2195-000-00"/>
    <d v="2016-10-31T00:00:00"/>
    <n v="12.63"/>
    <n v="0"/>
    <s v="USD"/>
    <s v="JRNLWA00344972"/>
    <s v="P"/>
    <s v="Accrue Cameron Cole"/>
    <s v="HeatherWe"/>
    <s v="0/JE IC"/>
    <m/>
    <m/>
    <x v="12"/>
  </r>
  <r>
    <s v="70255-2195-000-00"/>
    <d v="2016-10-31T00:00:00"/>
    <n v="239.08"/>
    <n v="0"/>
    <s v="USD"/>
    <s v="JRNLWA00344973"/>
    <s v="P"/>
    <s v="LRQA, Cameron Cole Allocation"/>
    <s v="HeatherWe"/>
    <s v="0/JE IC"/>
    <m/>
    <m/>
    <x v="13"/>
  </r>
  <r>
    <s v="70255-2195-000-00"/>
    <d v="2016-10-31T00:00:00"/>
    <n v="355"/>
    <n v="0"/>
    <s v="USD"/>
    <s v="JRNLWA00345224"/>
    <s v="P"/>
    <s v="PO Log Accrual"/>
    <s v="HeatherWe"/>
    <s v="0/JE IC"/>
    <m/>
    <m/>
    <x v="14"/>
  </r>
  <r>
    <s v="70255-2195-000-00"/>
    <d v="2016-11-17T00:00:00"/>
    <n v="346.22"/>
    <n v="0"/>
    <s v="USD"/>
    <s v="JRNLWA00345494"/>
    <s v="P"/>
    <s v="From Voucher Posting."/>
    <s v="RosemaryS"/>
    <s v="0/JE IC"/>
    <s v="212TRANSUE"/>
    <m/>
    <x v="0"/>
  </r>
  <r>
    <s v="70255-2195-000-00"/>
    <d v="2016-11-30T00:00:00"/>
    <n v="-12.63"/>
    <n v="0"/>
    <s v="USD"/>
    <s v="JRNLWA00344995"/>
    <s v="P"/>
    <s v="Accrue Cameron Cole"/>
    <s v="AdamJo"/>
    <s v="0/JE IC"/>
    <m/>
    <m/>
    <x v="12"/>
  </r>
  <r>
    <s v="70255-2195-000-00"/>
    <d v="2016-11-30T00:00:00"/>
    <n v="-355"/>
    <n v="0"/>
    <s v="USD"/>
    <s v="JRNLWA00345273"/>
    <s v="P"/>
    <s v="PO Log Accrual"/>
    <s v="AdamJo"/>
    <s v="0/JE IC"/>
    <m/>
    <m/>
    <x v="14"/>
  </r>
  <r>
    <s v="70255-2195-000-00"/>
    <d v="2016-11-30T00:00:00"/>
    <n v="30.6"/>
    <n v="0"/>
    <s v="USD"/>
    <s v="JRNLWA00346348"/>
    <s v="P"/>
    <s v="Accrue Cameron Cole, LRQA"/>
    <s v="HeatherWe"/>
    <s v="0/JE IC"/>
    <m/>
    <m/>
    <x v="15"/>
  </r>
  <r>
    <s v="70255-2195-000-00"/>
    <d v="2016-11-30T00:00:00"/>
    <n v="340.43"/>
    <n v="0"/>
    <s v="USD"/>
    <s v="JRNLWA00346519"/>
    <s v="P"/>
    <s v="Exp 15 PO Log Accrual"/>
    <s v="HeatherWe"/>
    <s v="0/JE IC"/>
    <m/>
    <m/>
    <x v="11"/>
  </r>
  <r>
    <s v="70255-2195-000-00"/>
    <d v="2016-12-08T00:00:00"/>
    <n v="340.43"/>
    <n v="0"/>
    <s v="USD"/>
    <s v="JRNLWA00346834"/>
    <s v="P"/>
    <s v="From Voucher Posting."/>
    <s v="RosemaryS"/>
    <s v="0/JE IC"/>
    <s v="212TRANSUE"/>
    <m/>
    <x v="0"/>
  </r>
  <r>
    <s v="70255-2195-000-00"/>
    <d v="2016-12-28T00:00:00"/>
    <n v="346.67"/>
    <n v="0"/>
    <s v="USD"/>
    <s v="JRNLWA00347038"/>
    <s v="P"/>
    <s v="From Voucher Posting."/>
    <s v="RosemaryS"/>
    <s v="0/JE IC"/>
    <s v="212TRANSUE"/>
    <m/>
    <x v="0"/>
  </r>
  <r>
    <s v="70255-2195-000-00"/>
    <d v="2016-12-31T00:00:00"/>
    <n v="-30.6"/>
    <n v="0"/>
    <s v="USD"/>
    <s v="JRNLWA00346357"/>
    <s v="P"/>
    <s v="Accrue Cameron Cole, LRQA"/>
    <s v="HeatherWe"/>
    <s v="0/JE IC"/>
    <m/>
    <m/>
    <x v="15"/>
  </r>
  <r>
    <s v="70255-2195-000-00"/>
    <d v="2016-12-31T00:00:00"/>
    <n v="-340.43"/>
    <n v="0"/>
    <s v="USD"/>
    <s v="JRNLWA00346567"/>
    <s v="P"/>
    <s v="Exp 15 PO Log Accrual"/>
    <s v="HeatherWe"/>
    <s v="0/JE IC"/>
    <m/>
    <m/>
    <x v="11"/>
  </r>
  <r>
    <s v="70255-2195-000-00"/>
    <d v="2016-12-31T00:00:00"/>
    <n v="7.11"/>
    <n v="0"/>
    <s v="USD"/>
    <s v="JRNLWA00347802"/>
    <s v="P"/>
    <s v="LRQA, Cameron Cole Allocation"/>
    <s v="AdamJo"/>
    <s v="0/JE IC"/>
    <m/>
    <m/>
    <x v="16"/>
  </r>
  <r>
    <s v="70255-2195-000-00"/>
    <d v="2017-01-31T00:00:00"/>
    <n v="480"/>
    <n v="0"/>
    <s v="USD"/>
    <s v="JRNLWA00349054"/>
    <s v="P"/>
    <s v="PCard Activity January- Wester"/>
    <s v="AdamJo"/>
    <s v="0/JE IC"/>
    <m/>
    <m/>
    <x v="17"/>
  </r>
  <r>
    <s v="70255-2195-000-00"/>
    <d v="2017-01-31T00:00:00"/>
    <n v="349.11"/>
    <n v="0"/>
    <s v="USD"/>
    <s v="JRNLWA00349501"/>
    <s v="P"/>
    <s v="Exp 15 PO Log Accrual"/>
    <s v="HeatherWe"/>
    <s v="0/JE IC"/>
    <m/>
    <m/>
    <x v="11"/>
  </r>
  <r>
    <s v="70255-2195-000-00"/>
    <d v="2017-01-31T00:00:00"/>
    <n v="87.88"/>
    <n v="0"/>
    <s v="USD"/>
    <s v="JRNLWA00349948"/>
    <s v="P"/>
    <s v="LRQA, Cameron Cole Accrual"/>
    <s v="MaribelV"/>
    <s v="0/JE IC"/>
    <m/>
    <m/>
    <x v="18"/>
  </r>
  <r>
    <s v="70255-2195-000-00"/>
    <d v="2017-02-16T00:00:00"/>
    <n v="349.11"/>
    <n v="0"/>
    <s v="USD"/>
    <s v="JRNLWA00350072"/>
    <s v="P"/>
    <s v="From Voucher Posting."/>
    <s v="RosemaryS"/>
    <s v="0/JE IC"/>
    <s v="212TRANSUE"/>
    <m/>
    <x v="0"/>
  </r>
  <r>
    <s v="70255-2195-000-00"/>
    <d v="2017-02-28T00:00:00"/>
    <n v="-349.11"/>
    <n v="0"/>
    <s v="USD"/>
    <s v="JRNLWA00349572"/>
    <s v="P"/>
    <s v="Exp 15 PO Log Accrual"/>
    <s v="HeatherWe"/>
    <s v="0/JE IC"/>
    <m/>
    <m/>
    <x v="11"/>
  </r>
  <r>
    <s v="70255-2195-000-00"/>
    <d v="2017-02-28T00:00:00"/>
    <n v="-87.88"/>
    <n v="0"/>
    <s v="USD"/>
    <s v="JRNLWA00349981"/>
    <s v="P"/>
    <s v="LRQA, Cameron Cole Accrual"/>
    <s v="AdamJo"/>
    <s v="0/JE IC"/>
    <m/>
    <m/>
    <x v="18"/>
  </r>
  <r>
    <s v="70255-2195-000-00"/>
    <d v="2017-02-28T00:00:00"/>
    <n v="87.88"/>
    <n v="0"/>
    <s v="USD"/>
    <s v="JRNLWA00350863"/>
    <s v="P"/>
    <s v="LRQA, Cameron Cole Allocation"/>
    <s v="AdamJo"/>
    <s v="0/JE IC"/>
    <m/>
    <m/>
    <x v="19"/>
  </r>
  <r>
    <s v="70255-2195-000-00"/>
    <d v="2017-02-28T00:00:00"/>
    <n v="155.47999999999999"/>
    <n v="0"/>
    <s v="USD"/>
    <s v="JRNLWA00350864"/>
    <s v="P"/>
    <s v="LRQA, Cameron Cole Accrual"/>
    <s v="AdamJo"/>
    <s v="0/JE IC"/>
    <m/>
    <m/>
    <x v="20"/>
  </r>
  <r>
    <s v="70255-2195-000-00"/>
    <d v="2017-02-28T00:00:00"/>
    <n v="349.11"/>
    <n v="0"/>
    <s v="USD"/>
    <s v="JRNLWA00351089"/>
    <s v="P"/>
    <s v="Exp 15 PO Log Accrual"/>
    <s v="HeatherWe"/>
    <s v="0/JE IC"/>
    <m/>
    <m/>
    <x v="11"/>
  </r>
  <r>
    <s v="70255-2195-000-00"/>
    <d v="2017-03-16T00:00:00"/>
    <n v="349.11"/>
    <n v="0"/>
    <s v="USD"/>
    <s v="JRNLWA00351578"/>
    <s v="P"/>
    <s v="From Voucher Posting."/>
    <s v="JeffS"/>
    <s v="0/JE IC"/>
    <s v="212TRANSUE"/>
    <m/>
    <x v="0"/>
  </r>
  <r>
    <s v="70255-2195-000-00"/>
    <d v="2017-03-31T00:00:00"/>
    <n v="-155.47999999999999"/>
    <n v="0"/>
    <s v="USD"/>
    <s v="JRNLWA00350869"/>
    <s v="P"/>
    <s v="LRQA, Cameron Cole Accrual"/>
    <s v="MaribelV"/>
    <s v="0/JE IC"/>
    <m/>
    <m/>
    <x v="20"/>
  </r>
  <r>
    <s v="70255-2195-000-00"/>
    <d v="2017-03-31T00:00:00"/>
    <n v="-349.11"/>
    <n v="0"/>
    <s v="USD"/>
    <s v="JRNLWA00351197"/>
    <s v="P"/>
    <s v="Exp 15 PO Log Accrual"/>
    <s v="AdamJo"/>
    <s v="0/JE IC"/>
    <m/>
    <m/>
    <x v="11"/>
  </r>
  <r>
    <s v="70255-2195-000-00"/>
    <d v="2017-03-31T00:00:00"/>
    <n v="25"/>
    <n v="0"/>
    <s v="USD"/>
    <s v="JRNLWA00352304"/>
    <s v="P"/>
    <s v="OPEX 13- P Card Accrual"/>
    <s v="AdamJo"/>
    <s v="0/JE IC"/>
    <m/>
    <m/>
    <x v="17"/>
  </r>
  <r>
    <s v="70255-2195-000-00"/>
    <d v="2017-03-31T00:00:00"/>
    <n v="155.47999999999999"/>
    <n v="0"/>
    <s v="USD"/>
    <s v="JRNLWA00352346"/>
    <s v="P"/>
    <s v="LRQA, Cameron Cole Allocation"/>
    <s v="AdamJo"/>
    <s v="0/JE IC"/>
    <m/>
    <m/>
    <x v="21"/>
  </r>
  <r>
    <s v="70255-2195-000-00"/>
    <d v="2017-03-31T00:00:00"/>
    <n v="277.22000000000003"/>
    <n v="0"/>
    <s v="USD"/>
    <s v="JRNLWA00352695"/>
    <s v="P"/>
    <s v="LRQA, Cameron Cole Accrual"/>
    <s v="AdamJo"/>
    <s v="0/JE IC"/>
    <m/>
    <m/>
    <x v="22"/>
  </r>
  <r>
    <s v="70255-2195-000-00"/>
    <d v="2017-03-31T00:00:00"/>
    <n v="340.43"/>
    <n v="0"/>
    <s v="USD"/>
    <s v="JRNLWA00352708"/>
    <s v="P"/>
    <s v="2017-03 Exp 15 PO Log Accrual"/>
    <s v="AdamJo"/>
    <s v="0/JE IC"/>
    <m/>
    <m/>
    <x v="23"/>
  </r>
  <r>
    <s v="70255-2195-000-00"/>
    <d v="2017-04-17T00:00:00"/>
    <n v="349.11"/>
    <n v="0"/>
    <s v="USD"/>
    <s v="JRNLWA00353117"/>
    <s v="P"/>
    <s v="From Voucher Posting."/>
    <s v="RosemaryS"/>
    <s v="0/JE IC"/>
    <s v="212TRANSUE"/>
    <m/>
    <x v="0"/>
  </r>
  <r>
    <s v="70255-2195-000-00"/>
    <d v="2017-04-30T00:00:00"/>
    <n v="-25"/>
    <n v="0"/>
    <s v="USD"/>
    <s v="JRNLWA00352349"/>
    <s v="P"/>
    <s v="OPEX 13- P Card Accrual"/>
    <s v="AdamJo"/>
    <s v="0/JE IC"/>
    <m/>
    <m/>
    <x v="17"/>
  </r>
  <r>
    <s v="70255-2195-000-00"/>
    <d v="2017-04-30T00:00:00"/>
    <n v="-277.22000000000003"/>
    <n v="0"/>
    <s v="USD"/>
    <s v="JRNLWA00352848"/>
    <s v="P"/>
    <s v="LRQA, Cameron Cole Accrual"/>
    <s v="MaribelV"/>
    <s v="0/JE IC"/>
    <m/>
    <m/>
    <x v="22"/>
  </r>
  <r>
    <s v="70255-2195-000-00"/>
    <d v="2017-04-30T00:00:00"/>
    <n v="-340.43"/>
    <n v="0"/>
    <s v="USD"/>
    <s v="JRNLWA00352853"/>
    <s v="P"/>
    <s v="2017-03 Exp 15 PO Log Accrual"/>
    <s v="MaribelV"/>
    <s v="0/JE IC"/>
    <m/>
    <m/>
    <x v="23"/>
  </r>
  <r>
    <s v="70255-2195-000-00"/>
    <d v="2017-04-30T00:00:00"/>
    <n v="25"/>
    <n v="0"/>
    <s v="USD"/>
    <s v="JRNLWA00353598"/>
    <s v="P"/>
    <s v="PCard Activity April - Western"/>
    <s v="HeatherWe"/>
    <s v="0/JE IC"/>
    <m/>
    <m/>
    <x v="17"/>
  </r>
  <r>
    <s v="70255-2195-000-00"/>
    <d v="2017-04-30T00:00:00"/>
    <n v="277.22000000000003"/>
    <n v="0"/>
    <s v="USD"/>
    <s v="JRNLWA00353928"/>
    <s v="P"/>
    <s v="LRQA, Cameron Cole Allocation"/>
    <s v="HeatherWe"/>
    <s v="0/JE IC"/>
    <m/>
    <m/>
    <x v="24"/>
  </r>
  <r>
    <s v="70255-2195-000-00"/>
    <d v="2017-04-30T00:00:00"/>
    <n v="340.43"/>
    <n v="0"/>
    <s v="USD"/>
    <s v="JRNLWA00354218"/>
    <s v="P"/>
    <s v="2017-04 Exp 15 PO Log Accrual"/>
    <s v="HeatherWe"/>
    <s v="0/JE IC"/>
    <m/>
    <m/>
    <x v="23"/>
  </r>
  <r>
    <s v="70255-2195-000-00"/>
    <d v="2017-04-30T00:00:00"/>
    <n v="338.35"/>
    <n v="0"/>
    <s v="USD"/>
    <s v="JRNLWA00354223"/>
    <s v="P"/>
    <s v="LRQA, Cameron Cole Accrual"/>
    <s v="HeatherWe"/>
    <s v="0/JE IC"/>
    <m/>
    <m/>
    <x v="25"/>
  </r>
  <r>
    <s v="70255-2195-000-00"/>
    <d v="2017-05-18T00:00:00"/>
    <n v="349.11"/>
    <n v="0"/>
    <s v="USD"/>
    <s v="JRNLWA00354710"/>
    <s v="P"/>
    <s v="From Voucher Posting."/>
    <s v="RosemaryS"/>
    <s v="0/JE IC"/>
    <s v="212TRANSUE"/>
    <m/>
    <x v="0"/>
  </r>
  <r>
    <s v="70255-2195-000-00"/>
    <d v="2017-05-31T00:00:00"/>
    <n v="-340.43"/>
    <n v="0"/>
    <s v="USD"/>
    <s v="JRNLWA00354314"/>
    <s v="P"/>
    <s v="2017-04 Exp 15 PO Log Accrual"/>
    <s v="MaribelV"/>
    <s v="0/JE IC"/>
    <m/>
    <m/>
    <x v="23"/>
  </r>
  <r>
    <s v="70255-2195-000-00"/>
    <d v="2017-05-31T00:00:00"/>
    <n v="-338.35"/>
    <n v="0"/>
    <s v="USD"/>
    <s v="JRNLWA00354316"/>
    <s v="P"/>
    <s v="LRQA, Cameron Cole Accrual"/>
    <s v="MaribelV"/>
    <s v="0/JE IC"/>
    <m/>
    <m/>
    <x v="25"/>
  </r>
  <r>
    <s v="70255-2195-000-00"/>
    <d v="2017-05-31T00:00:00"/>
    <n v="338.35"/>
    <n v="0"/>
    <s v="USD"/>
    <s v="JRNLWA00355806"/>
    <s v="P"/>
    <s v="LRQA, Cameron Cole Allocation"/>
    <s v="HeatherWe"/>
    <s v="0/JE IC"/>
    <m/>
    <m/>
    <x v="26"/>
  </r>
  <r>
    <s v="70255-2195-000-00"/>
    <d v="2017-05-31T00:00:00"/>
    <n v="340.43"/>
    <n v="0"/>
    <s v="USD"/>
    <s v="JRNLWA00355808"/>
    <s v="P"/>
    <s v="2017-05 Exp 15 PO Log Accrual"/>
    <s v="HeatherWe"/>
    <s v="0/JE IC"/>
    <m/>
    <m/>
    <x v="23"/>
  </r>
  <r>
    <s v="70255-2195-000-00"/>
    <d v="2017-05-31T00:00:00"/>
    <n v="311.87"/>
    <n v="0"/>
    <s v="USD"/>
    <s v="JRNLWA00355969"/>
    <s v="P"/>
    <s v="LRQA, Cameron Cole Accrual"/>
    <s v="MaribelV"/>
    <s v="0/JE IC"/>
    <m/>
    <m/>
    <x v="27"/>
  </r>
  <r>
    <s v="70255-2195-000-00"/>
    <d v="2017-06-14T00:00:00"/>
    <n v="349.11"/>
    <n v="0"/>
    <s v="USD"/>
    <s v="JRNLWA00356173"/>
    <s v="P"/>
    <s v="From Voucher Posting."/>
    <s v="RosemaryS"/>
    <s v="0/JE IC"/>
    <s v="212TRANSUE"/>
    <m/>
    <x v="0"/>
  </r>
  <r>
    <s v="70255-2195-000-00"/>
    <d v="2017-06-30T00:00:00"/>
    <n v="-340.43"/>
    <n v="0"/>
    <s v="USD"/>
    <s v="JRNLWA00355916"/>
    <s v="P"/>
    <s v="2017-05 Exp 15 PO Log Accrual"/>
    <s v="HeatherWe"/>
    <s v="0/JE IC"/>
    <m/>
    <m/>
    <x v="23"/>
  </r>
  <r>
    <s v="70255-2195-000-00"/>
    <d v="2017-06-30T00:00:00"/>
    <n v="-311.87"/>
    <n v="0"/>
    <s v="USD"/>
    <s v="JRNLWA00355997"/>
    <s v="P"/>
    <s v="LRQA, Cameron Cole Accrual"/>
    <s v="HeatherWe"/>
    <s v="0/JE IC"/>
    <m/>
    <m/>
    <x v="27"/>
  </r>
  <r>
    <s v="70255-2195-000-00"/>
    <d v="2017-06-30T00:00:00"/>
    <n v="311.87"/>
    <n v="0"/>
    <s v="USD"/>
    <s v="JRNLWA00356746"/>
    <s v="P"/>
    <s v="LRQA, Cameron Cole Allocation"/>
    <s v="HeatherWe"/>
    <s v="0/JE IC"/>
    <m/>
    <m/>
    <x v="28"/>
  </r>
  <r>
    <s v="70255-2195-000-00"/>
    <d v="2017-06-30T00:00:00"/>
    <n v="70.14"/>
    <n v="0"/>
    <s v="USD"/>
    <s v="JRNLWA00357085"/>
    <s v="P"/>
    <s v="LRQA, Cameron Cole Accrual"/>
    <s v="MaribelV"/>
    <s v="0/JE IC"/>
    <m/>
    <m/>
    <x v="29"/>
  </r>
  <r>
    <s v="70255-2195-000-00"/>
    <d v="2017-06-30T00:00:00"/>
    <n v="349.11"/>
    <n v="0"/>
    <s v="USD"/>
    <s v="JRNLWA00357477"/>
    <s v="P"/>
    <s v="2017-06 Exp 15 PO Log Accrual"/>
    <s v="MaribelV"/>
    <s v="0/JE IC"/>
    <m/>
    <m/>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24:C171"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47">
        <item x="12"/>
        <item x="3"/>
        <item x="45"/>
        <item x="5"/>
        <item x="4"/>
        <item x="36"/>
        <item x="11"/>
        <item x="9"/>
        <item x="22"/>
        <item x="23"/>
        <item x="41"/>
        <item x="24"/>
        <item x="0"/>
        <item x="15"/>
        <item x="38"/>
        <item x="21"/>
        <item x="1"/>
        <item x="7"/>
        <item x="39"/>
        <item x="32"/>
        <item x="43"/>
        <item x="27"/>
        <item x="10"/>
        <item x="8"/>
        <item x="35"/>
        <item x="13"/>
        <item x="31"/>
        <item x="34"/>
        <item x="40"/>
        <item x="29"/>
        <item x="2"/>
        <item x="33"/>
        <item x="37"/>
        <item x="6"/>
        <item x="42"/>
        <item x="20"/>
        <item x="30"/>
        <item x="26"/>
        <item x="25"/>
        <item x="16"/>
        <item x="18"/>
        <item x="14"/>
        <item x="44"/>
        <item x="28"/>
        <item n="XOCHIMILCO ~CHRISTIE HERBST" x="17"/>
        <item x="19"/>
        <item t="default"/>
      </items>
    </pivotField>
  </pivotFields>
  <rowFields count="1">
    <field x="12"/>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Items count="1">
    <i/>
  </colItems>
  <dataFields count="1">
    <dataField name="Sum of Amount USD" fld="2" baseField="0" baseItem="0" numFmtId="4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49:C62"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3">
        <item x="0"/>
        <item x="1"/>
        <item x="2"/>
        <item x="3"/>
        <item x="4"/>
        <item x="5"/>
        <item x="6"/>
        <item x="7"/>
        <item x="8"/>
        <item x="9"/>
        <item x="10"/>
        <item x="11"/>
        <item t="default"/>
      </items>
    </pivotField>
  </pivotFields>
  <rowFields count="1">
    <field x="12"/>
  </rowFields>
  <rowItems count="13">
    <i>
      <x/>
    </i>
    <i>
      <x v="1"/>
    </i>
    <i>
      <x v="2"/>
    </i>
    <i>
      <x v="3"/>
    </i>
    <i>
      <x v="4"/>
    </i>
    <i>
      <x v="5"/>
    </i>
    <i>
      <x v="6"/>
    </i>
    <i>
      <x v="7"/>
    </i>
    <i>
      <x v="8"/>
    </i>
    <i>
      <x v="9"/>
    </i>
    <i>
      <x v="10"/>
    </i>
    <i>
      <x v="11"/>
    </i>
    <i t="grand">
      <x/>
    </i>
  </rowItems>
  <colItems count="1">
    <i/>
  </colItems>
  <dataFields count="1">
    <dataField name="Sum of Amount USD" fld="2"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94:C125"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s>
  <rowFields count="1">
    <field x="1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ount USD" fld="2" baseField="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8.bin"/><Relationship Id="rId1" Type="http://schemas.openxmlformats.org/officeDocument/2006/relationships/pivotTable" Target="../pivotTables/pivotTable1.xml"/><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9.bin"/><Relationship Id="rId1" Type="http://schemas.openxmlformats.org/officeDocument/2006/relationships/pivotTable" Target="../pivotTables/pivotTable2.xml"/><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0.bin"/><Relationship Id="rId1" Type="http://schemas.openxmlformats.org/officeDocument/2006/relationships/pivotTable" Target="../pivotTables/pivotTable3.xml"/><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E207"/>
  <sheetViews>
    <sheetView showGridLines="0" tabSelected="1" zoomScale="75" zoomScaleNormal="75" workbookViewId="0">
      <selection activeCell="C27" sqref="C27"/>
    </sheetView>
  </sheetViews>
  <sheetFormatPr defaultColWidth="13.85546875" defaultRowHeight="12.75" outlineLevelRow="1"/>
  <cols>
    <col min="1" max="1" width="6.85546875" style="123" customWidth="1"/>
    <col min="2" max="2" width="2.28515625" style="123" customWidth="1"/>
    <col min="3" max="3" width="19.42578125" style="123" bestFit="1" customWidth="1"/>
    <col min="4" max="4" width="14.140625" style="123" customWidth="1"/>
    <col min="5" max="5" width="3.85546875" style="123" customWidth="1"/>
    <col min="6" max="6" width="2" style="123" customWidth="1"/>
    <col min="7" max="7" width="15.5703125" style="123" customWidth="1"/>
    <col min="8" max="8" width="1.85546875" style="123" customWidth="1"/>
    <col min="9" max="9" width="15.5703125" style="123" customWidth="1"/>
    <col min="10" max="10" width="1.85546875" style="123" customWidth="1"/>
    <col min="11" max="11" width="15.5703125" style="123" customWidth="1"/>
    <col min="12" max="12" width="1.85546875" style="123" customWidth="1"/>
    <col min="13" max="13" width="15.5703125" style="123" customWidth="1"/>
    <col min="14" max="14" width="1.85546875" style="123" customWidth="1"/>
    <col min="15" max="15" width="15.5703125" style="123" customWidth="1"/>
    <col min="16" max="16" width="1.85546875" style="123" customWidth="1"/>
    <col min="17" max="17" width="15.5703125" style="123" customWidth="1"/>
    <col min="18" max="18" width="1.85546875" style="123" customWidth="1"/>
    <col min="19" max="19" width="15.5703125" style="123" customWidth="1"/>
    <col min="20" max="20" width="1.85546875" style="123" customWidth="1"/>
    <col min="21" max="21" width="15.5703125" style="123" customWidth="1"/>
    <col min="22" max="22" width="1.85546875" style="123" customWidth="1"/>
    <col min="23" max="23" width="15.5703125" style="123" customWidth="1"/>
    <col min="24" max="24" width="1.85546875" style="123" customWidth="1"/>
    <col min="25" max="25" width="15.5703125" style="123" customWidth="1"/>
    <col min="26" max="26" width="1.85546875" style="123" customWidth="1"/>
    <col min="27" max="27" width="15.5703125" style="123" customWidth="1"/>
    <col min="28" max="28" width="1.85546875" style="123" customWidth="1"/>
    <col min="29" max="29" width="15.5703125" style="123" customWidth="1"/>
    <col min="30" max="30" width="1.85546875" style="123" customWidth="1"/>
    <col min="31" max="31" width="3.140625" style="123" customWidth="1"/>
    <col min="32" max="32" width="2.85546875" style="123" customWidth="1"/>
    <col min="33" max="265" width="13.85546875" style="123"/>
    <col min="266" max="266" width="7" style="123" customWidth="1"/>
    <col min="267" max="267" width="16.5703125" style="123" customWidth="1"/>
    <col min="268" max="268" width="4.28515625" style="123" customWidth="1"/>
    <col min="269" max="269" width="6.85546875" style="123" customWidth="1"/>
    <col min="270" max="271" width="2.28515625" style="123" customWidth="1"/>
    <col min="272" max="272" width="10.85546875" style="123" customWidth="1"/>
    <col min="273" max="273" width="3.85546875" style="123" customWidth="1"/>
    <col min="274" max="274" width="2" style="123" customWidth="1"/>
    <col min="275" max="275" width="15.5703125" style="123" customWidth="1"/>
    <col min="276" max="276" width="1.85546875" style="123" customWidth="1"/>
    <col min="277" max="277" width="15.5703125" style="123" customWidth="1"/>
    <col min="278" max="278" width="1.85546875" style="123" customWidth="1"/>
    <col min="279" max="279" width="15.5703125" style="123" customWidth="1"/>
    <col min="280" max="280" width="1.85546875" style="123" customWidth="1"/>
    <col min="281" max="281" width="15.5703125" style="123" customWidth="1"/>
    <col min="282" max="282" width="3.140625" style="123" customWidth="1"/>
    <col min="283" max="283" width="15.5703125" style="123" customWidth="1"/>
    <col min="284" max="284" width="14.28515625" style="123" customWidth="1"/>
    <col min="285" max="285" width="15.5703125" style="123" customWidth="1"/>
    <col min="286" max="286" width="1.85546875" style="123" customWidth="1"/>
    <col min="287" max="287" width="15.5703125" style="123" customWidth="1"/>
    <col min="288" max="288" width="2.85546875" style="123" customWidth="1"/>
    <col min="289" max="521" width="13.85546875" style="123"/>
    <col min="522" max="522" width="7" style="123" customWidth="1"/>
    <col min="523" max="523" width="16.5703125" style="123" customWidth="1"/>
    <col min="524" max="524" width="4.28515625" style="123" customWidth="1"/>
    <col min="525" max="525" width="6.85546875" style="123" customWidth="1"/>
    <col min="526" max="527" width="2.28515625" style="123" customWidth="1"/>
    <col min="528" max="528" width="10.85546875" style="123" customWidth="1"/>
    <col min="529" max="529" width="3.85546875" style="123" customWidth="1"/>
    <col min="530" max="530" width="2" style="123" customWidth="1"/>
    <col min="531" max="531" width="15.5703125" style="123" customWidth="1"/>
    <col min="532" max="532" width="1.85546875" style="123" customWidth="1"/>
    <col min="533" max="533" width="15.5703125" style="123" customWidth="1"/>
    <col min="534" max="534" width="1.85546875" style="123" customWidth="1"/>
    <col min="535" max="535" width="15.5703125" style="123" customWidth="1"/>
    <col min="536" max="536" width="1.85546875" style="123" customWidth="1"/>
    <col min="537" max="537" width="15.5703125" style="123" customWidth="1"/>
    <col min="538" max="538" width="3.140625" style="123" customWidth="1"/>
    <col min="539" max="539" width="15.5703125" style="123" customWidth="1"/>
    <col min="540" max="540" width="14.28515625" style="123" customWidth="1"/>
    <col min="541" max="541" width="15.5703125" style="123" customWidth="1"/>
    <col min="542" max="542" width="1.85546875" style="123" customWidth="1"/>
    <col min="543" max="543" width="15.5703125" style="123" customWidth="1"/>
    <col min="544" max="544" width="2.85546875" style="123" customWidth="1"/>
    <col min="545" max="777" width="13.85546875" style="123"/>
    <col min="778" max="778" width="7" style="123" customWidth="1"/>
    <col min="779" max="779" width="16.5703125" style="123" customWidth="1"/>
    <col min="780" max="780" width="4.28515625" style="123" customWidth="1"/>
    <col min="781" max="781" width="6.85546875" style="123" customWidth="1"/>
    <col min="782" max="783" width="2.28515625" style="123" customWidth="1"/>
    <col min="784" max="784" width="10.85546875" style="123" customWidth="1"/>
    <col min="785" max="785" width="3.85546875" style="123" customWidth="1"/>
    <col min="786" max="786" width="2" style="123" customWidth="1"/>
    <col min="787" max="787" width="15.5703125" style="123" customWidth="1"/>
    <col min="788" max="788" width="1.85546875" style="123" customWidth="1"/>
    <col min="789" max="789" width="15.5703125" style="123" customWidth="1"/>
    <col min="790" max="790" width="1.85546875" style="123" customWidth="1"/>
    <col min="791" max="791" width="15.5703125" style="123" customWidth="1"/>
    <col min="792" max="792" width="1.85546875" style="123" customWidth="1"/>
    <col min="793" max="793" width="15.5703125" style="123" customWidth="1"/>
    <col min="794" max="794" width="3.140625" style="123" customWidth="1"/>
    <col min="795" max="795" width="15.5703125" style="123" customWidth="1"/>
    <col min="796" max="796" width="14.28515625" style="123" customWidth="1"/>
    <col min="797" max="797" width="15.5703125" style="123" customWidth="1"/>
    <col min="798" max="798" width="1.85546875" style="123" customWidth="1"/>
    <col min="799" max="799" width="15.5703125" style="123" customWidth="1"/>
    <col min="800" max="800" width="2.85546875" style="123" customWidth="1"/>
    <col min="801" max="1033" width="13.85546875" style="123"/>
    <col min="1034" max="1034" width="7" style="123" customWidth="1"/>
    <col min="1035" max="1035" width="16.5703125" style="123" customWidth="1"/>
    <col min="1036" max="1036" width="4.28515625" style="123" customWidth="1"/>
    <col min="1037" max="1037" width="6.85546875" style="123" customWidth="1"/>
    <col min="1038" max="1039" width="2.28515625" style="123" customWidth="1"/>
    <col min="1040" max="1040" width="10.85546875" style="123" customWidth="1"/>
    <col min="1041" max="1041" width="3.85546875" style="123" customWidth="1"/>
    <col min="1042" max="1042" width="2" style="123" customWidth="1"/>
    <col min="1043" max="1043" width="15.5703125" style="123" customWidth="1"/>
    <col min="1044" max="1044" width="1.85546875" style="123" customWidth="1"/>
    <col min="1045" max="1045" width="15.5703125" style="123" customWidth="1"/>
    <col min="1046" max="1046" width="1.85546875" style="123" customWidth="1"/>
    <col min="1047" max="1047" width="15.5703125" style="123" customWidth="1"/>
    <col min="1048" max="1048" width="1.85546875" style="123" customWidth="1"/>
    <col min="1049" max="1049" width="15.5703125" style="123" customWidth="1"/>
    <col min="1050" max="1050" width="3.140625" style="123" customWidth="1"/>
    <col min="1051" max="1051" width="15.5703125" style="123" customWidth="1"/>
    <col min="1052" max="1052" width="14.28515625" style="123" customWidth="1"/>
    <col min="1053" max="1053" width="15.5703125" style="123" customWidth="1"/>
    <col min="1054" max="1054" width="1.85546875" style="123" customWidth="1"/>
    <col min="1055" max="1055" width="15.5703125" style="123" customWidth="1"/>
    <col min="1056" max="1056" width="2.85546875" style="123" customWidth="1"/>
    <col min="1057" max="1289" width="13.85546875" style="123"/>
    <col min="1290" max="1290" width="7" style="123" customWidth="1"/>
    <col min="1291" max="1291" width="16.5703125" style="123" customWidth="1"/>
    <col min="1292" max="1292" width="4.28515625" style="123" customWidth="1"/>
    <col min="1293" max="1293" width="6.85546875" style="123" customWidth="1"/>
    <col min="1294" max="1295" width="2.28515625" style="123" customWidth="1"/>
    <col min="1296" max="1296" width="10.85546875" style="123" customWidth="1"/>
    <col min="1297" max="1297" width="3.85546875" style="123" customWidth="1"/>
    <col min="1298" max="1298" width="2" style="123" customWidth="1"/>
    <col min="1299" max="1299" width="15.5703125" style="123" customWidth="1"/>
    <col min="1300" max="1300" width="1.85546875" style="123" customWidth="1"/>
    <col min="1301" max="1301" width="15.5703125" style="123" customWidth="1"/>
    <col min="1302" max="1302" width="1.85546875" style="123" customWidth="1"/>
    <col min="1303" max="1303" width="15.5703125" style="123" customWidth="1"/>
    <col min="1304" max="1304" width="1.85546875" style="123" customWidth="1"/>
    <col min="1305" max="1305" width="15.5703125" style="123" customWidth="1"/>
    <col min="1306" max="1306" width="3.140625" style="123" customWidth="1"/>
    <col min="1307" max="1307" width="15.5703125" style="123" customWidth="1"/>
    <col min="1308" max="1308" width="14.28515625" style="123" customWidth="1"/>
    <col min="1309" max="1309" width="15.5703125" style="123" customWidth="1"/>
    <col min="1310" max="1310" width="1.85546875" style="123" customWidth="1"/>
    <col min="1311" max="1311" width="15.5703125" style="123" customWidth="1"/>
    <col min="1312" max="1312" width="2.85546875" style="123" customWidth="1"/>
    <col min="1313" max="1545" width="13.85546875" style="123"/>
    <col min="1546" max="1546" width="7" style="123" customWidth="1"/>
    <col min="1547" max="1547" width="16.5703125" style="123" customWidth="1"/>
    <col min="1548" max="1548" width="4.28515625" style="123" customWidth="1"/>
    <col min="1549" max="1549" width="6.85546875" style="123" customWidth="1"/>
    <col min="1550" max="1551" width="2.28515625" style="123" customWidth="1"/>
    <col min="1552" max="1552" width="10.85546875" style="123" customWidth="1"/>
    <col min="1553" max="1553" width="3.85546875" style="123" customWidth="1"/>
    <col min="1554" max="1554" width="2" style="123" customWidth="1"/>
    <col min="1555" max="1555" width="15.5703125" style="123" customWidth="1"/>
    <col min="1556" max="1556" width="1.85546875" style="123" customWidth="1"/>
    <col min="1557" max="1557" width="15.5703125" style="123" customWidth="1"/>
    <col min="1558" max="1558" width="1.85546875" style="123" customWidth="1"/>
    <col min="1559" max="1559" width="15.5703125" style="123" customWidth="1"/>
    <col min="1560" max="1560" width="1.85546875" style="123" customWidth="1"/>
    <col min="1561" max="1561" width="15.5703125" style="123" customWidth="1"/>
    <col min="1562" max="1562" width="3.140625" style="123" customWidth="1"/>
    <col min="1563" max="1563" width="15.5703125" style="123" customWidth="1"/>
    <col min="1564" max="1564" width="14.28515625" style="123" customWidth="1"/>
    <col min="1565" max="1565" width="15.5703125" style="123" customWidth="1"/>
    <col min="1566" max="1566" width="1.85546875" style="123" customWidth="1"/>
    <col min="1567" max="1567" width="15.5703125" style="123" customWidth="1"/>
    <col min="1568" max="1568" width="2.85546875" style="123" customWidth="1"/>
    <col min="1569" max="1801" width="13.85546875" style="123"/>
    <col min="1802" max="1802" width="7" style="123" customWidth="1"/>
    <col min="1803" max="1803" width="16.5703125" style="123" customWidth="1"/>
    <col min="1804" max="1804" width="4.28515625" style="123" customWidth="1"/>
    <col min="1805" max="1805" width="6.85546875" style="123" customWidth="1"/>
    <col min="1806" max="1807" width="2.28515625" style="123" customWidth="1"/>
    <col min="1808" max="1808" width="10.85546875" style="123" customWidth="1"/>
    <col min="1809" max="1809" width="3.85546875" style="123" customWidth="1"/>
    <col min="1810" max="1810" width="2" style="123" customWidth="1"/>
    <col min="1811" max="1811" width="15.5703125" style="123" customWidth="1"/>
    <col min="1812" max="1812" width="1.85546875" style="123" customWidth="1"/>
    <col min="1813" max="1813" width="15.5703125" style="123" customWidth="1"/>
    <col min="1814" max="1814" width="1.85546875" style="123" customWidth="1"/>
    <col min="1815" max="1815" width="15.5703125" style="123" customWidth="1"/>
    <col min="1816" max="1816" width="1.85546875" style="123" customWidth="1"/>
    <col min="1817" max="1817" width="15.5703125" style="123" customWidth="1"/>
    <col min="1818" max="1818" width="3.140625" style="123" customWidth="1"/>
    <col min="1819" max="1819" width="15.5703125" style="123" customWidth="1"/>
    <col min="1820" max="1820" width="14.28515625" style="123" customWidth="1"/>
    <col min="1821" max="1821" width="15.5703125" style="123" customWidth="1"/>
    <col min="1822" max="1822" width="1.85546875" style="123" customWidth="1"/>
    <col min="1823" max="1823" width="15.5703125" style="123" customWidth="1"/>
    <col min="1824" max="1824" width="2.85546875" style="123" customWidth="1"/>
    <col min="1825" max="2057" width="13.85546875" style="123"/>
    <col min="2058" max="2058" width="7" style="123" customWidth="1"/>
    <col min="2059" max="2059" width="16.5703125" style="123" customWidth="1"/>
    <col min="2060" max="2060" width="4.28515625" style="123" customWidth="1"/>
    <col min="2061" max="2061" width="6.85546875" style="123" customWidth="1"/>
    <col min="2062" max="2063" width="2.28515625" style="123" customWidth="1"/>
    <col min="2064" max="2064" width="10.85546875" style="123" customWidth="1"/>
    <col min="2065" max="2065" width="3.85546875" style="123" customWidth="1"/>
    <col min="2066" max="2066" width="2" style="123" customWidth="1"/>
    <col min="2067" max="2067" width="15.5703125" style="123" customWidth="1"/>
    <col min="2068" max="2068" width="1.85546875" style="123" customWidth="1"/>
    <col min="2069" max="2069" width="15.5703125" style="123" customWidth="1"/>
    <col min="2070" max="2070" width="1.85546875" style="123" customWidth="1"/>
    <col min="2071" max="2071" width="15.5703125" style="123" customWidth="1"/>
    <col min="2072" max="2072" width="1.85546875" style="123" customWidth="1"/>
    <col min="2073" max="2073" width="15.5703125" style="123" customWidth="1"/>
    <col min="2074" max="2074" width="3.140625" style="123" customWidth="1"/>
    <col min="2075" max="2075" width="15.5703125" style="123" customWidth="1"/>
    <col min="2076" max="2076" width="14.28515625" style="123" customWidth="1"/>
    <col min="2077" max="2077" width="15.5703125" style="123" customWidth="1"/>
    <col min="2078" max="2078" width="1.85546875" style="123" customWidth="1"/>
    <col min="2079" max="2079" width="15.5703125" style="123" customWidth="1"/>
    <col min="2080" max="2080" width="2.85546875" style="123" customWidth="1"/>
    <col min="2081" max="2313" width="13.85546875" style="123"/>
    <col min="2314" max="2314" width="7" style="123" customWidth="1"/>
    <col min="2315" max="2315" width="16.5703125" style="123" customWidth="1"/>
    <col min="2316" max="2316" width="4.28515625" style="123" customWidth="1"/>
    <col min="2317" max="2317" width="6.85546875" style="123" customWidth="1"/>
    <col min="2318" max="2319" width="2.28515625" style="123" customWidth="1"/>
    <col min="2320" max="2320" width="10.85546875" style="123" customWidth="1"/>
    <col min="2321" max="2321" width="3.85546875" style="123" customWidth="1"/>
    <col min="2322" max="2322" width="2" style="123" customWidth="1"/>
    <col min="2323" max="2323" width="15.5703125" style="123" customWidth="1"/>
    <col min="2324" max="2324" width="1.85546875" style="123" customWidth="1"/>
    <col min="2325" max="2325" width="15.5703125" style="123" customWidth="1"/>
    <col min="2326" max="2326" width="1.85546875" style="123" customWidth="1"/>
    <col min="2327" max="2327" width="15.5703125" style="123" customWidth="1"/>
    <col min="2328" max="2328" width="1.85546875" style="123" customWidth="1"/>
    <col min="2329" max="2329" width="15.5703125" style="123" customWidth="1"/>
    <col min="2330" max="2330" width="3.140625" style="123" customWidth="1"/>
    <col min="2331" max="2331" width="15.5703125" style="123" customWidth="1"/>
    <col min="2332" max="2332" width="14.28515625" style="123" customWidth="1"/>
    <col min="2333" max="2333" width="15.5703125" style="123" customWidth="1"/>
    <col min="2334" max="2334" width="1.85546875" style="123" customWidth="1"/>
    <col min="2335" max="2335" width="15.5703125" style="123" customWidth="1"/>
    <col min="2336" max="2336" width="2.85546875" style="123" customWidth="1"/>
    <col min="2337" max="2569" width="13.85546875" style="123"/>
    <col min="2570" max="2570" width="7" style="123" customWidth="1"/>
    <col min="2571" max="2571" width="16.5703125" style="123" customWidth="1"/>
    <col min="2572" max="2572" width="4.28515625" style="123" customWidth="1"/>
    <col min="2573" max="2573" width="6.85546875" style="123" customWidth="1"/>
    <col min="2574" max="2575" width="2.28515625" style="123" customWidth="1"/>
    <col min="2576" max="2576" width="10.85546875" style="123" customWidth="1"/>
    <col min="2577" max="2577" width="3.85546875" style="123" customWidth="1"/>
    <col min="2578" max="2578" width="2" style="123" customWidth="1"/>
    <col min="2579" max="2579" width="15.5703125" style="123" customWidth="1"/>
    <col min="2580" max="2580" width="1.85546875" style="123" customWidth="1"/>
    <col min="2581" max="2581" width="15.5703125" style="123" customWidth="1"/>
    <col min="2582" max="2582" width="1.85546875" style="123" customWidth="1"/>
    <col min="2583" max="2583" width="15.5703125" style="123" customWidth="1"/>
    <col min="2584" max="2584" width="1.85546875" style="123" customWidth="1"/>
    <col min="2585" max="2585" width="15.5703125" style="123" customWidth="1"/>
    <col min="2586" max="2586" width="3.140625" style="123" customWidth="1"/>
    <col min="2587" max="2587" width="15.5703125" style="123" customWidth="1"/>
    <col min="2588" max="2588" width="14.28515625" style="123" customWidth="1"/>
    <col min="2589" max="2589" width="15.5703125" style="123" customWidth="1"/>
    <col min="2590" max="2590" width="1.85546875" style="123" customWidth="1"/>
    <col min="2591" max="2591" width="15.5703125" style="123" customWidth="1"/>
    <col min="2592" max="2592" width="2.85546875" style="123" customWidth="1"/>
    <col min="2593" max="2825" width="13.85546875" style="123"/>
    <col min="2826" max="2826" width="7" style="123" customWidth="1"/>
    <col min="2827" max="2827" width="16.5703125" style="123" customWidth="1"/>
    <col min="2828" max="2828" width="4.28515625" style="123" customWidth="1"/>
    <col min="2829" max="2829" width="6.85546875" style="123" customWidth="1"/>
    <col min="2830" max="2831" width="2.28515625" style="123" customWidth="1"/>
    <col min="2832" max="2832" width="10.85546875" style="123" customWidth="1"/>
    <col min="2833" max="2833" width="3.85546875" style="123" customWidth="1"/>
    <col min="2834" max="2834" width="2" style="123" customWidth="1"/>
    <col min="2835" max="2835" width="15.5703125" style="123" customWidth="1"/>
    <col min="2836" max="2836" width="1.85546875" style="123" customWidth="1"/>
    <col min="2837" max="2837" width="15.5703125" style="123" customWidth="1"/>
    <col min="2838" max="2838" width="1.85546875" style="123" customWidth="1"/>
    <col min="2839" max="2839" width="15.5703125" style="123" customWidth="1"/>
    <col min="2840" max="2840" width="1.85546875" style="123" customWidth="1"/>
    <col min="2841" max="2841" width="15.5703125" style="123" customWidth="1"/>
    <col min="2842" max="2842" width="3.140625" style="123" customWidth="1"/>
    <col min="2843" max="2843" width="15.5703125" style="123" customWidth="1"/>
    <col min="2844" max="2844" width="14.28515625" style="123" customWidth="1"/>
    <col min="2845" max="2845" width="15.5703125" style="123" customWidth="1"/>
    <col min="2846" max="2846" width="1.85546875" style="123" customWidth="1"/>
    <col min="2847" max="2847" width="15.5703125" style="123" customWidth="1"/>
    <col min="2848" max="2848" width="2.85546875" style="123" customWidth="1"/>
    <col min="2849" max="3081" width="13.85546875" style="123"/>
    <col min="3082" max="3082" width="7" style="123" customWidth="1"/>
    <col min="3083" max="3083" width="16.5703125" style="123" customWidth="1"/>
    <col min="3084" max="3084" width="4.28515625" style="123" customWidth="1"/>
    <col min="3085" max="3085" width="6.85546875" style="123" customWidth="1"/>
    <col min="3086" max="3087" width="2.28515625" style="123" customWidth="1"/>
    <col min="3088" max="3088" width="10.85546875" style="123" customWidth="1"/>
    <col min="3089" max="3089" width="3.85546875" style="123" customWidth="1"/>
    <col min="3090" max="3090" width="2" style="123" customWidth="1"/>
    <col min="3091" max="3091" width="15.5703125" style="123" customWidth="1"/>
    <col min="3092" max="3092" width="1.85546875" style="123" customWidth="1"/>
    <col min="3093" max="3093" width="15.5703125" style="123" customWidth="1"/>
    <col min="3094" max="3094" width="1.85546875" style="123" customWidth="1"/>
    <col min="3095" max="3095" width="15.5703125" style="123" customWidth="1"/>
    <col min="3096" max="3096" width="1.85546875" style="123" customWidth="1"/>
    <col min="3097" max="3097" width="15.5703125" style="123" customWidth="1"/>
    <col min="3098" max="3098" width="3.140625" style="123" customWidth="1"/>
    <col min="3099" max="3099" width="15.5703125" style="123" customWidth="1"/>
    <col min="3100" max="3100" width="14.28515625" style="123" customWidth="1"/>
    <col min="3101" max="3101" width="15.5703125" style="123" customWidth="1"/>
    <col min="3102" max="3102" width="1.85546875" style="123" customWidth="1"/>
    <col min="3103" max="3103" width="15.5703125" style="123" customWidth="1"/>
    <col min="3104" max="3104" width="2.85546875" style="123" customWidth="1"/>
    <col min="3105" max="3337" width="13.85546875" style="123"/>
    <col min="3338" max="3338" width="7" style="123" customWidth="1"/>
    <col min="3339" max="3339" width="16.5703125" style="123" customWidth="1"/>
    <col min="3340" max="3340" width="4.28515625" style="123" customWidth="1"/>
    <col min="3341" max="3341" width="6.85546875" style="123" customWidth="1"/>
    <col min="3342" max="3343" width="2.28515625" style="123" customWidth="1"/>
    <col min="3344" max="3344" width="10.85546875" style="123" customWidth="1"/>
    <col min="3345" max="3345" width="3.85546875" style="123" customWidth="1"/>
    <col min="3346" max="3346" width="2" style="123" customWidth="1"/>
    <col min="3347" max="3347" width="15.5703125" style="123" customWidth="1"/>
    <col min="3348" max="3348" width="1.85546875" style="123" customWidth="1"/>
    <col min="3349" max="3349" width="15.5703125" style="123" customWidth="1"/>
    <col min="3350" max="3350" width="1.85546875" style="123" customWidth="1"/>
    <col min="3351" max="3351" width="15.5703125" style="123" customWidth="1"/>
    <col min="3352" max="3352" width="1.85546875" style="123" customWidth="1"/>
    <col min="3353" max="3353" width="15.5703125" style="123" customWidth="1"/>
    <col min="3354" max="3354" width="3.140625" style="123" customWidth="1"/>
    <col min="3355" max="3355" width="15.5703125" style="123" customWidth="1"/>
    <col min="3356" max="3356" width="14.28515625" style="123" customWidth="1"/>
    <col min="3357" max="3357" width="15.5703125" style="123" customWidth="1"/>
    <col min="3358" max="3358" width="1.85546875" style="123" customWidth="1"/>
    <col min="3359" max="3359" width="15.5703125" style="123" customWidth="1"/>
    <col min="3360" max="3360" width="2.85546875" style="123" customWidth="1"/>
    <col min="3361" max="3593" width="13.85546875" style="123"/>
    <col min="3594" max="3594" width="7" style="123" customWidth="1"/>
    <col min="3595" max="3595" width="16.5703125" style="123" customWidth="1"/>
    <col min="3596" max="3596" width="4.28515625" style="123" customWidth="1"/>
    <col min="3597" max="3597" width="6.85546875" style="123" customWidth="1"/>
    <col min="3598" max="3599" width="2.28515625" style="123" customWidth="1"/>
    <col min="3600" max="3600" width="10.85546875" style="123" customWidth="1"/>
    <col min="3601" max="3601" width="3.85546875" style="123" customWidth="1"/>
    <col min="3602" max="3602" width="2" style="123" customWidth="1"/>
    <col min="3603" max="3603" width="15.5703125" style="123" customWidth="1"/>
    <col min="3604" max="3604" width="1.85546875" style="123" customWidth="1"/>
    <col min="3605" max="3605" width="15.5703125" style="123" customWidth="1"/>
    <col min="3606" max="3606" width="1.85546875" style="123" customWidth="1"/>
    <col min="3607" max="3607" width="15.5703125" style="123" customWidth="1"/>
    <col min="3608" max="3608" width="1.85546875" style="123" customWidth="1"/>
    <col min="3609" max="3609" width="15.5703125" style="123" customWidth="1"/>
    <col min="3610" max="3610" width="3.140625" style="123" customWidth="1"/>
    <col min="3611" max="3611" width="15.5703125" style="123" customWidth="1"/>
    <col min="3612" max="3612" width="14.28515625" style="123" customWidth="1"/>
    <col min="3613" max="3613" width="15.5703125" style="123" customWidth="1"/>
    <col min="3614" max="3614" width="1.85546875" style="123" customWidth="1"/>
    <col min="3615" max="3615" width="15.5703125" style="123" customWidth="1"/>
    <col min="3616" max="3616" width="2.85546875" style="123" customWidth="1"/>
    <col min="3617" max="3849" width="13.85546875" style="123"/>
    <col min="3850" max="3850" width="7" style="123" customWidth="1"/>
    <col min="3851" max="3851" width="16.5703125" style="123" customWidth="1"/>
    <col min="3852" max="3852" width="4.28515625" style="123" customWidth="1"/>
    <col min="3853" max="3853" width="6.85546875" style="123" customWidth="1"/>
    <col min="3854" max="3855" width="2.28515625" style="123" customWidth="1"/>
    <col min="3856" max="3856" width="10.85546875" style="123" customWidth="1"/>
    <col min="3857" max="3857" width="3.85546875" style="123" customWidth="1"/>
    <col min="3858" max="3858" width="2" style="123" customWidth="1"/>
    <col min="3859" max="3859" width="15.5703125" style="123" customWidth="1"/>
    <col min="3860" max="3860" width="1.85546875" style="123" customWidth="1"/>
    <col min="3861" max="3861" width="15.5703125" style="123" customWidth="1"/>
    <col min="3862" max="3862" width="1.85546875" style="123" customWidth="1"/>
    <col min="3863" max="3863" width="15.5703125" style="123" customWidth="1"/>
    <col min="3864" max="3864" width="1.85546875" style="123" customWidth="1"/>
    <col min="3865" max="3865" width="15.5703125" style="123" customWidth="1"/>
    <col min="3866" max="3866" width="3.140625" style="123" customWidth="1"/>
    <col min="3867" max="3867" width="15.5703125" style="123" customWidth="1"/>
    <col min="3868" max="3868" width="14.28515625" style="123" customWidth="1"/>
    <col min="3869" max="3869" width="15.5703125" style="123" customWidth="1"/>
    <col min="3870" max="3870" width="1.85546875" style="123" customWidth="1"/>
    <col min="3871" max="3871" width="15.5703125" style="123" customWidth="1"/>
    <col min="3872" max="3872" width="2.85546875" style="123" customWidth="1"/>
    <col min="3873" max="4105" width="13.85546875" style="123"/>
    <col min="4106" max="4106" width="7" style="123" customWidth="1"/>
    <col min="4107" max="4107" width="16.5703125" style="123" customWidth="1"/>
    <col min="4108" max="4108" width="4.28515625" style="123" customWidth="1"/>
    <col min="4109" max="4109" width="6.85546875" style="123" customWidth="1"/>
    <col min="4110" max="4111" width="2.28515625" style="123" customWidth="1"/>
    <col min="4112" max="4112" width="10.85546875" style="123" customWidth="1"/>
    <col min="4113" max="4113" width="3.85546875" style="123" customWidth="1"/>
    <col min="4114" max="4114" width="2" style="123" customWidth="1"/>
    <col min="4115" max="4115" width="15.5703125" style="123" customWidth="1"/>
    <col min="4116" max="4116" width="1.85546875" style="123" customWidth="1"/>
    <col min="4117" max="4117" width="15.5703125" style="123" customWidth="1"/>
    <col min="4118" max="4118" width="1.85546875" style="123" customWidth="1"/>
    <col min="4119" max="4119" width="15.5703125" style="123" customWidth="1"/>
    <col min="4120" max="4120" width="1.85546875" style="123" customWidth="1"/>
    <col min="4121" max="4121" width="15.5703125" style="123" customWidth="1"/>
    <col min="4122" max="4122" width="3.140625" style="123" customWidth="1"/>
    <col min="4123" max="4123" width="15.5703125" style="123" customWidth="1"/>
    <col min="4124" max="4124" width="14.28515625" style="123" customWidth="1"/>
    <col min="4125" max="4125" width="15.5703125" style="123" customWidth="1"/>
    <col min="4126" max="4126" width="1.85546875" style="123" customWidth="1"/>
    <col min="4127" max="4127" width="15.5703125" style="123" customWidth="1"/>
    <col min="4128" max="4128" width="2.85546875" style="123" customWidth="1"/>
    <col min="4129" max="4361" width="13.85546875" style="123"/>
    <col min="4362" max="4362" width="7" style="123" customWidth="1"/>
    <col min="4363" max="4363" width="16.5703125" style="123" customWidth="1"/>
    <col min="4364" max="4364" width="4.28515625" style="123" customWidth="1"/>
    <col min="4365" max="4365" width="6.85546875" style="123" customWidth="1"/>
    <col min="4366" max="4367" width="2.28515625" style="123" customWidth="1"/>
    <col min="4368" max="4368" width="10.85546875" style="123" customWidth="1"/>
    <col min="4369" max="4369" width="3.85546875" style="123" customWidth="1"/>
    <col min="4370" max="4370" width="2" style="123" customWidth="1"/>
    <col min="4371" max="4371" width="15.5703125" style="123" customWidth="1"/>
    <col min="4372" max="4372" width="1.85546875" style="123" customWidth="1"/>
    <col min="4373" max="4373" width="15.5703125" style="123" customWidth="1"/>
    <col min="4374" max="4374" width="1.85546875" style="123" customWidth="1"/>
    <col min="4375" max="4375" width="15.5703125" style="123" customWidth="1"/>
    <col min="4376" max="4376" width="1.85546875" style="123" customWidth="1"/>
    <col min="4377" max="4377" width="15.5703125" style="123" customWidth="1"/>
    <col min="4378" max="4378" width="3.140625" style="123" customWidth="1"/>
    <col min="4379" max="4379" width="15.5703125" style="123" customWidth="1"/>
    <col min="4380" max="4380" width="14.28515625" style="123" customWidth="1"/>
    <col min="4381" max="4381" width="15.5703125" style="123" customWidth="1"/>
    <col min="4382" max="4382" width="1.85546875" style="123" customWidth="1"/>
    <col min="4383" max="4383" width="15.5703125" style="123" customWidth="1"/>
    <col min="4384" max="4384" width="2.85546875" style="123" customWidth="1"/>
    <col min="4385" max="4617" width="13.85546875" style="123"/>
    <col min="4618" max="4618" width="7" style="123" customWidth="1"/>
    <col min="4619" max="4619" width="16.5703125" style="123" customWidth="1"/>
    <col min="4620" max="4620" width="4.28515625" style="123" customWidth="1"/>
    <col min="4621" max="4621" width="6.85546875" style="123" customWidth="1"/>
    <col min="4622" max="4623" width="2.28515625" style="123" customWidth="1"/>
    <col min="4624" max="4624" width="10.85546875" style="123" customWidth="1"/>
    <col min="4625" max="4625" width="3.85546875" style="123" customWidth="1"/>
    <col min="4626" max="4626" width="2" style="123" customWidth="1"/>
    <col min="4627" max="4627" width="15.5703125" style="123" customWidth="1"/>
    <col min="4628" max="4628" width="1.85546875" style="123" customWidth="1"/>
    <col min="4629" max="4629" width="15.5703125" style="123" customWidth="1"/>
    <col min="4630" max="4630" width="1.85546875" style="123" customWidth="1"/>
    <col min="4631" max="4631" width="15.5703125" style="123" customWidth="1"/>
    <col min="4632" max="4632" width="1.85546875" style="123" customWidth="1"/>
    <col min="4633" max="4633" width="15.5703125" style="123" customWidth="1"/>
    <col min="4634" max="4634" width="3.140625" style="123" customWidth="1"/>
    <col min="4635" max="4635" width="15.5703125" style="123" customWidth="1"/>
    <col min="4636" max="4636" width="14.28515625" style="123" customWidth="1"/>
    <col min="4637" max="4637" width="15.5703125" style="123" customWidth="1"/>
    <col min="4638" max="4638" width="1.85546875" style="123" customWidth="1"/>
    <col min="4639" max="4639" width="15.5703125" style="123" customWidth="1"/>
    <col min="4640" max="4640" width="2.85546875" style="123" customWidth="1"/>
    <col min="4641" max="4873" width="13.85546875" style="123"/>
    <col min="4874" max="4874" width="7" style="123" customWidth="1"/>
    <col min="4875" max="4875" width="16.5703125" style="123" customWidth="1"/>
    <col min="4876" max="4876" width="4.28515625" style="123" customWidth="1"/>
    <col min="4877" max="4877" width="6.85546875" style="123" customWidth="1"/>
    <col min="4878" max="4879" width="2.28515625" style="123" customWidth="1"/>
    <col min="4880" max="4880" width="10.85546875" style="123" customWidth="1"/>
    <col min="4881" max="4881" width="3.85546875" style="123" customWidth="1"/>
    <col min="4882" max="4882" width="2" style="123" customWidth="1"/>
    <col min="4883" max="4883" width="15.5703125" style="123" customWidth="1"/>
    <col min="4884" max="4884" width="1.85546875" style="123" customWidth="1"/>
    <col min="4885" max="4885" width="15.5703125" style="123" customWidth="1"/>
    <col min="4886" max="4886" width="1.85546875" style="123" customWidth="1"/>
    <col min="4887" max="4887" width="15.5703125" style="123" customWidth="1"/>
    <col min="4888" max="4888" width="1.85546875" style="123" customWidth="1"/>
    <col min="4889" max="4889" width="15.5703125" style="123" customWidth="1"/>
    <col min="4890" max="4890" width="3.140625" style="123" customWidth="1"/>
    <col min="4891" max="4891" width="15.5703125" style="123" customWidth="1"/>
    <col min="4892" max="4892" width="14.28515625" style="123" customWidth="1"/>
    <col min="4893" max="4893" width="15.5703125" style="123" customWidth="1"/>
    <col min="4894" max="4894" width="1.85546875" style="123" customWidth="1"/>
    <col min="4895" max="4895" width="15.5703125" style="123" customWidth="1"/>
    <col min="4896" max="4896" width="2.85546875" style="123" customWidth="1"/>
    <col min="4897" max="5129" width="13.85546875" style="123"/>
    <col min="5130" max="5130" width="7" style="123" customWidth="1"/>
    <col min="5131" max="5131" width="16.5703125" style="123" customWidth="1"/>
    <col min="5132" max="5132" width="4.28515625" style="123" customWidth="1"/>
    <col min="5133" max="5133" width="6.85546875" style="123" customWidth="1"/>
    <col min="5134" max="5135" width="2.28515625" style="123" customWidth="1"/>
    <col min="5136" max="5136" width="10.85546875" style="123" customWidth="1"/>
    <col min="5137" max="5137" width="3.85546875" style="123" customWidth="1"/>
    <col min="5138" max="5138" width="2" style="123" customWidth="1"/>
    <col min="5139" max="5139" width="15.5703125" style="123" customWidth="1"/>
    <col min="5140" max="5140" width="1.85546875" style="123" customWidth="1"/>
    <col min="5141" max="5141" width="15.5703125" style="123" customWidth="1"/>
    <col min="5142" max="5142" width="1.85546875" style="123" customWidth="1"/>
    <col min="5143" max="5143" width="15.5703125" style="123" customWidth="1"/>
    <col min="5144" max="5144" width="1.85546875" style="123" customWidth="1"/>
    <col min="5145" max="5145" width="15.5703125" style="123" customWidth="1"/>
    <col min="5146" max="5146" width="3.140625" style="123" customWidth="1"/>
    <col min="5147" max="5147" width="15.5703125" style="123" customWidth="1"/>
    <col min="5148" max="5148" width="14.28515625" style="123" customWidth="1"/>
    <col min="5149" max="5149" width="15.5703125" style="123" customWidth="1"/>
    <col min="5150" max="5150" width="1.85546875" style="123" customWidth="1"/>
    <col min="5151" max="5151" width="15.5703125" style="123" customWidth="1"/>
    <col min="5152" max="5152" width="2.85546875" style="123" customWidth="1"/>
    <col min="5153" max="5385" width="13.85546875" style="123"/>
    <col min="5386" max="5386" width="7" style="123" customWidth="1"/>
    <col min="5387" max="5387" width="16.5703125" style="123" customWidth="1"/>
    <col min="5388" max="5388" width="4.28515625" style="123" customWidth="1"/>
    <col min="5389" max="5389" width="6.85546875" style="123" customWidth="1"/>
    <col min="5390" max="5391" width="2.28515625" style="123" customWidth="1"/>
    <col min="5392" max="5392" width="10.85546875" style="123" customWidth="1"/>
    <col min="5393" max="5393" width="3.85546875" style="123" customWidth="1"/>
    <col min="5394" max="5394" width="2" style="123" customWidth="1"/>
    <col min="5395" max="5395" width="15.5703125" style="123" customWidth="1"/>
    <col min="5396" max="5396" width="1.85546875" style="123" customWidth="1"/>
    <col min="5397" max="5397" width="15.5703125" style="123" customWidth="1"/>
    <col min="5398" max="5398" width="1.85546875" style="123" customWidth="1"/>
    <col min="5399" max="5399" width="15.5703125" style="123" customWidth="1"/>
    <col min="5400" max="5400" width="1.85546875" style="123" customWidth="1"/>
    <col min="5401" max="5401" width="15.5703125" style="123" customWidth="1"/>
    <col min="5402" max="5402" width="3.140625" style="123" customWidth="1"/>
    <col min="5403" max="5403" width="15.5703125" style="123" customWidth="1"/>
    <col min="5404" max="5404" width="14.28515625" style="123" customWidth="1"/>
    <col min="5405" max="5405" width="15.5703125" style="123" customWidth="1"/>
    <col min="5406" max="5406" width="1.85546875" style="123" customWidth="1"/>
    <col min="5407" max="5407" width="15.5703125" style="123" customWidth="1"/>
    <col min="5408" max="5408" width="2.85546875" style="123" customWidth="1"/>
    <col min="5409" max="5641" width="13.85546875" style="123"/>
    <col min="5642" max="5642" width="7" style="123" customWidth="1"/>
    <col min="5643" max="5643" width="16.5703125" style="123" customWidth="1"/>
    <col min="5644" max="5644" width="4.28515625" style="123" customWidth="1"/>
    <col min="5645" max="5645" width="6.85546875" style="123" customWidth="1"/>
    <col min="5646" max="5647" width="2.28515625" style="123" customWidth="1"/>
    <col min="5648" max="5648" width="10.85546875" style="123" customWidth="1"/>
    <col min="5649" max="5649" width="3.85546875" style="123" customWidth="1"/>
    <col min="5650" max="5650" width="2" style="123" customWidth="1"/>
    <col min="5651" max="5651" width="15.5703125" style="123" customWidth="1"/>
    <col min="5652" max="5652" width="1.85546875" style="123" customWidth="1"/>
    <col min="5653" max="5653" width="15.5703125" style="123" customWidth="1"/>
    <col min="5654" max="5654" width="1.85546875" style="123" customWidth="1"/>
    <col min="5655" max="5655" width="15.5703125" style="123" customWidth="1"/>
    <col min="5656" max="5656" width="1.85546875" style="123" customWidth="1"/>
    <col min="5657" max="5657" width="15.5703125" style="123" customWidth="1"/>
    <col min="5658" max="5658" width="3.140625" style="123" customWidth="1"/>
    <col min="5659" max="5659" width="15.5703125" style="123" customWidth="1"/>
    <col min="5660" max="5660" width="14.28515625" style="123" customWidth="1"/>
    <col min="5661" max="5661" width="15.5703125" style="123" customWidth="1"/>
    <col min="5662" max="5662" width="1.85546875" style="123" customWidth="1"/>
    <col min="5663" max="5663" width="15.5703125" style="123" customWidth="1"/>
    <col min="5664" max="5664" width="2.85546875" style="123" customWidth="1"/>
    <col min="5665" max="5897" width="13.85546875" style="123"/>
    <col min="5898" max="5898" width="7" style="123" customWidth="1"/>
    <col min="5899" max="5899" width="16.5703125" style="123" customWidth="1"/>
    <col min="5900" max="5900" width="4.28515625" style="123" customWidth="1"/>
    <col min="5901" max="5901" width="6.85546875" style="123" customWidth="1"/>
    <col min="5902" max="5903" width="2.28515625" style="123" customWidth="1"/>
    <col min="5904" max="5904" width="10.85546875" style="123" customWidth="1"/>
    <col min="5905" max="5905" width="3.85546875" style="123" customWidth="1"/>
    <col min="5906" max="5906" width="2" style="123" customWidth="1"/>
    <col min="5907" max="5907" width="15.5703125" style="123" customWidth="1"/>
    <col min="5908" max="5908" width="1.85546875" style="123" customWidth="1"/>
    <col min="5909" max="5909" width="15.5703125" style="123" customWidth="1"/>
    <col min="5910" max="5910" width="1.85546875" style="123" customWidth="1"/>
    <col min="5911" max="5911" width="15.5703125" style="123" customWidth="1"/>
    <col min="5912" max="5912" width="1.85546875" style="123" customWidth="1"/>
    <col min="5913" max="5913" width="15.5703125" style="123" customWidth="1"/>
    <col min="5914" max="5914" width="3.140625" style="123" customWidth="1"/>
    <col min="5915" max="5915" width="15.5703125" style="123" customWidth="1"/>
    <col min="5916" max="5916" width="14.28515625" style="123" customWidth="1"/>
    <col min="5917" max="5917" width="15.5703125" style="123" customWidth="1"/>
    <col min="5918" max="5918" width="1.85546875" style="123" customWidth="1"/>
    <col min="5919" max="5919" width="15.5703125" style="123" customWidth="1"/>
    <col min="5920" max="5920" width="2.85546875" style="123" customWidth="1"/>
    <col min="5921" max="6153" width="13.85546875" style="123"/>
    <col min="6154" max="6154" width="7" style="123" customWidth="1"/>
    <col min="6155" max="6155" width="16.5703125" style="123" customWidth="1"/>
    <col min="6156" max="6156" width="4.28515625" style="123" customWidth="1"/>
    <col min="6157" max="6157" width="6.85546875" style="123" customWidth="1"/>
    <col min="6158" max="6159" width="2.28515625" style="123" customWidth="1"/>
    <col min="6160" max="6160" width="10.85546875" style="123" customWidth="1"/>
    <col min="6161" max="6161" width="3.85546875" style="123" customWidth="1"/>
    <col min="6162" max="6162" width="2" style="123" customWidth="1"/>
    <col min="6163" max="6163" width="15.5703125" style="123" customWidth="1"/>
    <col min="6164" max="6164" width="1.85546875" style="123" customWidth="1"/>
    <col min="6165" max="6165" width="15.5703125" style="123" customWidth="1"/>
    <col min="6166" max="6166" width="1.85546875" style="123" customWidth="1"/>
    <col min="6167" max="6167" width="15.5703125" style="123" customWidth="1"/>
    <col min="6168" max="6168" width="1.85546875" style="123" customWidth="1"/>
    <col min="6169" max="6169" width="15.5703125" style="123" customWidth="1"/>
    <col min="6170" max="6170" width="3.140625" style="123" customWidth="1"/>
    <col min="6171" max="6171" width="15.5703125" style="123" customWidth="1"/>
    <col min="6172" max="6172" width="14.28515625" style="123" customWidth="1"/>
    <col min="6173" max="6173" width="15.5703125" style="123" customWidth="1"/>
    <col min="6174" max="6174" width="1.85546875" style="123" customWidth="1"/>
    <col min="6175" max="6175" width="15.5703125" style="123" customWidth="1"/>
    <col min="6176" max="6176" width="2.85546875" style="123" customWidth="1"/>
    <col min="6177" max="6409" width="13.85546875" style="123"/>
    <col min="6410" max="6410" width="7" style="123" customWidth="1"/>
    <col min="6411" max="6411" width="16.5703125" style="123" customWidth="1"/>
    <col min="6412" max="6412" width="4.28515625" style="123" customWidth="1"/>
    <col min="6413" max="6413" width="6.85546875" style="123" customWidth="1"/>
    <col min="6414" max="6415" width="2.28515625" style="123" customWidth="1"/>
    <col min="6416" max="6416" width="10.85546875" style="123" customWidth="1"/>
    <col min="6417" max="6417" width="3.85546875" style="123" customWidth="1"/>
    <col min="6418" max="6418" width="2" style="123" customWidth="1"/>
    <col min="6419" max="6419" width="15.5703125" style="123" customWidth="1"/>
    <col min="6420" max="6420" width="1.85546875" style="123" customWidth="1"/>
    <col min="6421" max="6421" width="15.5703125" style="123" customWidth="1"/>
    <col min="6422" max="6422" width="1.85546875" style="123" customWidth="1"/>
    <col min="6423" max="6423" width="15.5703125" style="123" customWidth="1"/>
    <col min="6424" max="6424" width="1.85546875" style="123" customWidth="1"/>
    <col min="6425" max="6425" width="15.5703125" style="123" customWidth="1"/>
    <col min="6426" max="6426" width="3.140625" style="123" customWidth="1"/>
    <col min="6427" max="6427" width="15.5703125" style="123" customWidth="1"/>
    <col min="6428" max="6428" width="14.28515625" style="123" customWidth="1"/>
    <col min="6429" max="6429" width="15.5703125" style="123" customWidth="1"/>
    <col min="6430" max="6430" width="1.85546875" style="123" customWidth="1"/>
    <col min="6431" max="6431" width="15.5703125" style="123" customWidth="1"/>
    <col min="6432" max="6432" width="2.85546875" style="123" customWidth="1"/>
    <col min="6433" max="6665" width="13.85546875" style="123"/>
    <col min="6666" max="6666" width="7" style="123" customWidth="1"/>
    <col min="6667" max="6667" width="16.5703125" style="123" customWidth="1"/>
    <col min="6668" max="6668" width="4.28515625" style="123" customWidth="1"/>
    <col min="6669" max="6669" width="6.85546875" style="123" customWidth="1"/>
    <col min="6670" max="6671" width="2.28515625" style="123" customWidth="1"/>
    <col min="6672" max="6672" width="10.85546875" style="123" customWidth="1"/>
    <col min="6673" max="6673" width="3.85546875" style="123" customWidth="1"/>
    <col min="6674" max="6674" width="2" style="123" customWidth="1"/>
    <col min="6675" max="6675" width="15.5703125" style="123" customWidth="1"/>
    <col min="6676" max="6676" width="1.85546875" style="123" customWidth="1"/>
    <col min="6677" max="6677" width="15.5703125" style="123" customWidth="1"/>
    <col min="6678" max="6678" width="1.85546875" style="123" customWidth="1"/>
    <col min="6679" max="6679" width="15.5703125" style="123" customWidth="1"/>
    <col min="6680" max="6680" width="1.85546875" style="123" customWidth="1"/>
    <col min="6681" max="6681" width="15.5703125" style="123" customWidth="1"/>
    <col min="6682" max="6682" width="3.140625" style="123" customWidth="1"/>
    <col min="6683" max="6683" width="15.5703125" style="123" customWidth="1"/>
    <col min="6684" max="6684" width="14.28515625" style="123" customWidth="1"/>
    <col min="6685" max="6685" width="15.5703125" style="123" customWidth="1"/>
    <col min="6686" max="6686" width="1.85546875" style="123" customWidth="1"/>
    <col min="6687" max="6687" width="15.5703125" style="123" customWidth="1"/>
    <col min="6688" max="6688" width="2.85546875" style="123" customWidth="1"/>
    <col min="6689" max="6921" width="13.85546875" style="123"/>
    <col min="6922" max="6922" width="7" style="123" customWidth="1"/>
    <col min="6923" max="6923" width="16.5703125" style="123" customWidth="1"/>
    <col min="6924" max="6924" width="4.28515625" style="123" customWidth="1"/>
    <col min="6925" max="6925" width="6.85546875" style="123" customWidth="1"/>
    <col min="6926" max="6927" width="2.28515625" style="123" customWidth="1"/>
    <col min="6928" max="6928" width="10.85546875" style="123" customWidth="1"/>
    <col min="6929" max="6929" width="3.85546875" style="123" customWidth="1"/>
    <col min="6930" max="6930" width="2" style="123" customWidth="1"/>
    <col min="6931" max="6931" width="15.5703125" style="123" customWidth="1"/>
    <col min="6932" max="6932" width="1.85546875" style="123" customWidth="1"/>
    <col min="6933" max="6933" width="15.5703125" style="123" customWidth="1"/>
    <col min="6934" max="6934" width="1.85546875" style="123" customWidth="1"/>
    <col min="6935" max="6935" width="15.5703125" style="123" customWidth="1"/>
    <col min="6936" max="6936" width="1.85546875" style="123" customWidth="1"/>
    <col min="6937" max="6937" width="15.5703125" style="123" customWidth="1"/>
    <col min="6938" max="6938" width="3.140625" style="123" customWidth="1"/>
    <col min="6939" max="6939" width="15.5703125" style="123" customWidth="1"/>
    <col min="6940" max="6940" width="14.28515625" style="123" customWidth="1"/>
    <col min="6941" max="6941" width="15.5703125" style="123" customWidth="1"/>
    <col min="6942" max="6942" width="1.85546875" style="123" customWidth="1"/>
    <col min="6943" max="6943" width="15.5703125" style="123" customWidth="1"/>
    <col min="6944" max="6944" width="2.85546875" style="123" customWidth="1"/>
    <col min="6945" max="7177" width="13.85546875" style="123"/>
    <col min="7178" max="7178" width="7" style="123" customWidth="1"/>
    <col min="7179" max="7179" width="16.5703125" style="123" customWidth="1"/>
    <col min="7180" max="7180" width="4.28515625" style="123" customWidth="1"/>
    <col min="7181" max="7181" width="6.85546875" style="123" customWidth="1"/>
    <col min="7182" max="7183" width="2.28515625" style="123" customWidth="1"/>
    <col min="7184" max="7184" width="10.85546875" style="123" customWidth="1"/>
    <col min="7185" max="7185" width="3.85546875" style="123" customWidth="1"/>
    <col min="7186" max="7186" width="2" style="123" customWidth="1"/>
    <col min="7187" max="7187" width="15.5703125" style="123" customWidth="1"/>
    <col min="7188" max="7188" width="1.85546875" style="123" customWidth="1"/>
    <col min="7189" max="7189" width="15.5703125" style="123" customWidth="1"/>
    <col min="7190" max="7190" width="1.85546875" style="123" customWidth="1"/>
    <col min="7191" max="7191" width="15.5703125" style="123" customWidth="1"/>
    <col min="7192" max="7192" width="1.85546875" style="123" customWidth="1"/>
    <col min="7193" max="7193" width="15.5703125" style="123" customWidth="1"/>
    <col min="7194" max="7194" width="3.140625" style="123" customWidth="1"/>
    <col min="7195" max="7195" width="15.5703125" style="123" customWidth="1"/>
    <col min="7196" max="7196" width="14.28515625" style="123" customWidth="1"/>
    <col min="7197" max="7197" width="15.5703125" style="123" customWidth="1"/>
    <col min="7198" max="7198" width="1.85546875" style="123" customWidth="1"/>
    <col min="7199" max="7199" width="15.5703125" style="123" customWidth="1"/>
    <col min="7200" max="7200" width="2.85546875" style="123" customWidth="1"/>
    <col min="7201" max="7433" width="13.85546875" style="123"/>
    <col min="7434" max="7434" width="7" style="123" customWidth="1"/>
    <col min="7435" max="7435" width="16.5703125" style="123" customWidth="1"/>
    <col min="7436" max="7436" width="4.28515625" style="123" customWidth="1"/>
    <col min="7437" max="7437" width="6.85546875" style="123" customWidth="1"/>
    <col min="7438" max="7439" width="2.28515625" style="123" customWidth="1"/>
    <col min="7440" max="7440" width="10.85546875" style="123" customWidth="1"/>
    <col min="7441" max="7441" width="3.85546875" style="123" customWidth="1"/>
    <col min="7442" max="7442" width="2" style="123" customWidth="1"/>
    <col min="7443" max="7443" width="15.5703125" style="123" customWidth="1"/>
    <col min="7444" max="7444" width="1.85546875" style="123" customWidth="1"/>
    <col min="7445" max="7445" width="15.5703125" style="123" customWidth="1"/>
    <col min="7446" max="7446" width="1.85546875" style="123" customWidth="1"/>
    <col min="7447" max="7447" width="15.5703125" style="123" customWidth="1"/>
    <col min="7448" max="7448" width="1.85546875" style="123" customWidth="1"/>
    <col min="7449" max="7449" width="15.5703125" style="123" customWidth="1"/>
    <col min="7450" max="7450" width="3.140625" style="123" customWidth="1"/>
    <col min="7451" max="7451" width="15.5703125" style="123" customWidth="1"/>
    <col min="7452" max="7452" width="14.28515625" style="123" customWidth="1"/>
    <col min="7453" max="7453" width="15.5703125" style="123" customWidth="1"/>
    <col min="7454" max="7454" width="1.85546875" style="123" customWidth="1"/>
    <col min="7455" max="7455" width="15.5703125" style="123" customWidth="1"/>
    <col min="7456" max="7456" width="2.85546875" style="123" customWidth="1"/>
    <col min="7457" max="7689" width="13.85546875" style="123"/>
    <col min="7690" max="7690" width="7" style="123" customWidth="1"/>
    <col min="7691" max="7691" width="16.5703125" style="123" customWidth="1"/>
    <col min="7692" max="7692" width="4.28515625" style="123" customWidth="1"/>
    <col min="7693" max="7693" width="6.85546875" style="123" customWidth="1"/>
    <col min="7694" max="7695" width="2.28515625" style="123" customWidth="1"/>
    <col min="7696" max="7696" width="10.85546875" style="123" customWidth="1"/>
    <col min="7697" max="7697" width="3.85546875" style="123" customWidth="1"/>
    <col min="7698" max="7698" width="2" style="123" customWidth="1"/>
    <col min="7699" max="7699" width="15.5703125" style="123" customWidth="1"/>
    <col min="7700" max="7700" width="1.85546875" style="123" customWidth="1"/>
    <col min="7701" max="7701" width="15.5703125" style="123" customWidth="1"/>
    <col min="7702" max="7702" width="1.85546875" style="123" customWidth="1"/>
    <col min="7703" max="7703" width="15.5703125" style="123" customWidth="1"/>
    <col min="7704" max="7704" width="1.85546875" style="123" customWidth="1"/>
    <col min="7705" max="7705" width="15.5703125" style="123" customWidth="1"/>
    <col min="7706" max="7706" width="3.140625" style="123" customWidth="1"/>
    <col min="7707" max="7707" width="15.5703125" style="123" customWidth="1"/>
    <col min="7708" max="7708" width="14.28515625" style="123" customWidth="1"/>
    <col min="7709" max="7709" width="15.5703125" style="123" customWidth="1"/>
    <col min="7710" max="7710" width="1.85546875" style="123" customWidth="1"/>
    <col min="7711" max="7711" width="15.5703125" style="123" customWidth="1"/>
    <col min="7712" max="7712" width="2.85546875" style="123" customWidth="1"/>
    <col min="7713" max="7945" width="13.85546875" style="123"/>
    <col min="7946" max="7946" width="7" style="123" customWidth="1"/>
    <col min="7947" max="7947" width="16.5703125" style="123" customWidth="1"/>
    <col min="7948" max="7948" width="4.28515625" style="123" customWidth="1"/>
    <col min="7949" max="7949" width="6.85546875" style="123" customWidth="1"/>
    <col min="7950" max="7951" width="2.28515625" style="123" customWidth="1"/>
    <col min="7952" max="7952" width="10.85546875" style="123" customWidth="1"/>
    <col min="7953" max="7953" width="3.85546875" style="123" customWidth="1"/>
    <col min="7954" max="7954" width="2" style="123" customWidth="1"/>
    <col min="7955" max="7955" width="15.5703125" style="123" customWidth="1"/>
    <col min="7956" max="7956" width="1.85546875" style="123" customWidth="1"/>
    <col min="7957" max="7957" width="15.5703125" style="123" customWidth="1"/>
    <col min="7958" max="7958" width="1.85546875" style="123" customWidth="1"/>
    <col min="7959" max="7959" width="15.5703125" style="123" customWidth="1"/>
    <col min="7960" max="7960" width="1.85546875" style="123" customWidth="1"/>
    <col min="7961" max="7961" width="15.5703125" style="123" customWidth="1"/>
    <col min="7962" max="7962" width="3.140625" style="123" customWidth="1"/>
    <col min="7963" max="7963" width="15.5703125" style="123" customWidth="1"/>
    <col min="7964" max="7964" width="14.28515625" style="123" customWidth="1"/>
    <col min="7965" max="7965" width="15.5703125" style="123" customWidth="1"/>
    <col min="7966" max="7966" width="1.85546875" style="123" customWidth="1"/>
    <col min="7967" max="7967" width="15.5703125" style="123" customWidth="1"/>
    <col min="7968" max="7968" width="2.85546875" style="123" customWidth="1"/>
    <col min="7969" max="8201" width="13.85546875" style="123"/>
    <col min="8202" max="8202" width="7" style="123" customWidth="1"/>
    <col min="8203" max="8203" width="16.5703125" style="123" customWidth="1"/>
    <col min="8204" max="8204" width="4.28515625" style="123" customWidth="1"/>
    <col min="8205" max="8205" width="6.85546875" style="123" customWidth="1"/>
    <col min="8206" max="8207" width="2.28515625" style="123" customWidth="1"/>
    <col min="8208" max="8208" width="10.85546875" style="123" customWidth="1"/>
    <col min="8209" max="8209" width="3.85546875" style="123" customWidth="1"/>
    <col min="8210" max="8210" width="2" style="123" customWidth="1"/>
    <col min="8211" max="8211" width="15.5703125" style="123" customWidth="1"/>
    <col min="8212" max="8212" width="1.85546875" style="123" customWidth="1"/>
    <col min="8213" max="8213" width="15.5703125" style="123" customWidth="1"/>
    <col min="8214" max="8214" width="1.85546875" style="123" customWidth="1"/>
    <col min="8215" max="8215" width="15.5703125" style="123" customWidth="1"/>
    <col min="8216" max="8216" width="1.85546875" style="123" customWidth="1"/>
    <col min="8217" max="8217" width="15.5703125" style="123" customWidth="1"/>
    <col min="8218" max="8218" width="3.140625" style="123" customWidth="1"/>
    <col min="8219" max="8219" width="15.5703125" style="123" customWidth="1"/>
    <col min="8220" max="8220" width="14.28515625" style="123" customWidth="1"/>
    <col min="8221" max="8221" width="15.5703125" style="123" customWidth="1"/>
    <col min="8222" max="8222" width="1.85546875" style="123" customWidth="1"/>
    <col min="8223" max="8223" width="15.5703125" style="123" customWidth="1"/>
    <col min="8224" max="8224" width="2.85546875" style="123" customWidth="1"/>
    <col min="8225" max="8457" width="13.85546875" style="123"/>
    <col min="8458" max="8458" width="7" style="123" customWidth="1"/>
    <col min="8459" max="8459" width="16.5703125" style="123" customWidth="1"/>
    <col min="8460" max="8460" width="4.28515625" style="123" customWidth="1"/>
    <col min="8461" max="8461" width="6.85546875" style="123" customWidth="1"/>
    <col min="8462" max="8463" width="2.28515625" style="123" customWidth="1"/>
    <col min="8464" max="8464" width="10.85546875" style="123" customWidth="1"/>
    <col min="8465" max="8465" width="3.85546875" style="123" customWidth="1"/>
    <col min="8466" max="8466" width="2" style="123" customWidth="1"/>
    <col min="8467" max="8467" width="15.5703125" style="123" customWidth="1"/>
    <col min="8468" max="8468" width="1.85546875" style="123" customWidth="1"/>
    <col min="8469" max="8469" width="15.5703125" style="123" customWidth="1"/>
    <col min="8470" max="8470" width="1.85546875" style="123" customWidth="1"/>
    <col min="8471" max="8471" width="15.5703125" style="123" customWidth="1"/>
    <col min="8472" max="8472" width="1.85546875" style="123" customWidth="1"/>
    <col min="8473" max="8473" width="15.5703125" style="123" customWidth="1"/>
    <col min="8474" max="8474" width="3.140625" style="123" customWidth="1"/>
    <col min="8475" max="8475" width="15.5703125" style="123" customWidth="1"/>
    <col min="8476" max="8476" width="14.28515625" style="123" customWidth="1"/>
    <col min="8477" max="8477" width="15.5703125" style="123" customWidth="1"/>
    <col min="8478" max="8478" width="1.85546875" style="123" customWidth="1"/>
    <col min="8479" max="8479" width="15.5703125" style="123" customWidth="1"/>
    <col min="8480" max="8480" width="2.85546875" style="123" customWidth="1"/>
    <col min="8481" max="8713" width="13.85546875" style="123"/>
    <col min="8714" max="8714" width="7" style="123" customWidth="1"/>
    <col min="8715" max="8715" width="16.5703125" style="123" customWidth="1"/>
    <col min="8716" max="8716" width="4.28515625" style="123" customWidth="1"/>
    <col min="8717" max="8717" width="6.85546875" style="123" customWidth="1"/>
    <col min="8718" max="8719" width="2.28515625" style="123" customWidth="1"/>
    <col min="8720" max="8720" width="10.85546875" style="123" customWidth="1"/>
    <col min="8721" max="8721" width="3.85546875" style="123" customWidth="1"/>
    <col min="8722" max="8722" width="2" style="123" customWidth="1"/>
    <col min="8723" max="8723" width="15.5703125" style="123" customWidth="1"/>
    <col min="8724" max="8724" width="1.85546875" style="123" customWidth="1"/>
    <col min="8725" max="8725" width="15.5703125" style="123" customWidth="1"/>
    <col min="8726" max="8726" width="1.85546875" style="123" customWidth="1"/>
    <col min="8727" max="8727" width="15.5703125" style="123" customWidth="1"/>
    <col min="8728" max="8728" width="1.85546875" style="123" customWidth="1"/>
    <col min="8729" max="8729" width="15.5703125" style="123" customWidth="1"/>
    <col min="8730" max="8730" width="3.140625" style="123" customWidth="1"/>
    <col min="8731" max="8731" width="15.5703125" style="123" customWidth="1"/>
    <col min="8732" max="8732" width="14.28515625" style="123" customWidth="1"/>
    <col min="8733" max="8733" width="15.5703125" style="123" customWidth="1"/>
    <col min="8734" max="8734" width="1.85546875" style="123" customWidth="1"/>
    <col min="8735" max="8735" width="15.5703125" style="123" customWidth="1"/>
    <col min="8736" max="8736" width="2.85546875" style="123" customWidth="1"/>
    <col min="8737" max="8969" width="13.85546875" style="123"/>
    <col min="8970" max="8970" width="7" style="123" customWidth="1"/>
    <col min="8971" max="8971" width="16.5703125" style="123" customWidth="1"/>
    <col min="8972" max="8972" width="4.28515625" style="123" customWidth="1"/>
    <col min="8973" max="8973" width="6.85546875" style="123" customWidth="1"/>
    <col min="8974" max="8975" width="2.28515625" style="123" customWidth="1"/>
    <col min="8976" max="8976" width="10.85546875" style="123" customWidth="1"/>
    <col min="8977" max="8977" width="3.85546875" style="123" customWidth="1"/>
    <col min="8978" max="8978" width="2" style="123" customWidth="1"/>
    <col min="8979" max="8979" width="15.5703125" style="123" customWidth="1"/>
    <col min="8980" max="8980" width="1.85546875" style="123" customWidth="1"/>
    <col min="8981" max="8981" width="15.5703125" style="123" customWidth="1"/>
    <col min="8982" max="8982" width="1.85546875" style="123" customWidth="1"/>
    <col min="8983" max="8983" width="15.5703125" style="123" customWidth="1"/>
    <col min="8984" max="8984" width="1.85546875" style="123" customWidth="1"/>
    <col min="8985" max="8985" width="15.5703125" style="123" customWidth="1"/>
    <col min="8986" max="8986" width="3.140625" style="123" customWidth="1"/>
    <col min="8987" max="8987" width="15.5703125" style="123" customWidth="1"/>
    <col min="8988" max="8988" width="14.28515625" style="123" customWidth="1"/>
    <col min="8989" max="8989" width="15.5703125" style="123" customWidth="1"/>
    <col min="8990" max="8990" width="1.85546875" style="123" customWidth="1"/>
    <col min="8991" max="8991" width="15.5703125" style="123" customWidth="1"/>
    <col min="8992" max="8992" width="2.85546875" style="123" customWidth="1"/>
    <col min="8993" max="9225" width="13.85546875" style="123"/>
    <col min="9226" max="9226" width="7" style="123" customWidth="1"/>
    <col min="9227" max="9227" width="16.5703125" style="123" customWidth="1"/>
    <col min="9228" max="9228" width="4.28515625" style="123" customWidth="1"/>
    <col min="9229" max="9229" width="6.85546875" style="123" customWidth="1"/>
    <col min="9230" max="9231" width="2.28515625" style="123" customWidth="1"/>
    <col min="9232" max="9232" width="10.85546875" style="123" customWidth="1"/>
    <col min="9233" max="9233" width="3.85546875" style="123" customWidth="1"/>
    <col min="9234" max="9234" width="2" style="123" customWidth="1"/>
    <col min="9235" max="9235" width="15.5703125" style="123" customWidth="1"/>
    <col min="9236" max="9236" width="1.85546875" style="123" customWidth="1"/>
    <col min="9237" max="9237" width="15.5703125" style="123" customWidth="1"/>
    <col min="9238" max="9238" width="1.85546875" style="123" customWidth="1"/>
    <col min="9239" max="9239" width="15.5703125" style="123" customWidth="1"/>
    <col min="9240" max="9240" width="1.85546875" style="123" customWidth="1"/>
    <col min="9241" max="9241" width="15.5703125" style="123" customWidth="1"/>
    <col min="9242" max="9242" width="3.140625" style="123" customWidth="1"/>
    <col min="9243" max="9243" width="15.5703125" style="123" customWidth="1"/>
    <col min="9244" max="9244" width="14.28515625" style="123" customWidth="1"/>
    <col min="9245" max="9245" width="15.5703125" style="123" customWidth="1"/>
    <col min="9246" max="9246" width="1.85546875" style="123" customWidth="1"/>
    <col min="9247" max="9247" width="15.5703125" style="123" customWidth="1"/>
    <col min="9248" max="9248" width="2.85546875" style="123" customWidth="1"/>
    <col min="9249" max="9481" width="13.85546875" style="123"/>
    <col min="9482" max="9482" width="7" style="123" customWidth="1"/>
    <col min="9483" max="9483" width="16.5703125" style="123" customWidth="1"/>
    <col min="9484" max="9484" width="4.28515625" style="123" customWidth="1"/>
    <col min="9485" max="9485" width="6.85546875" style="123" customWidth="1"/>
    <col min="9486" max="9487" width="2.28515625" style="123" customWidth="1"/>
    <col min="9488" max="9488" width="10.85546875" style="123" customWidth="1"/>
    <col min="9489" max="9489" width="3.85546875" style="123" customWidth="1"/>
    <col min="9490" max="9490" width="2" style="123" customWidth="1"/>
    <col min="9491" max="9491" width="15.5703125" style="123" customWidth="1"/>
    <col min="9492" max="9492" width="1.85546875" style="123" customWidth="1"/>
    <col min="9493" max="9493" width="15.5703125" style="123" customWidth="1"/>
    <col min="9494" max="9494" width="1.85546875" style="123" customWidth="1"/>
    <col min="9495" max="9495" width="15.5703125" style="123" customWidth="1"/>
    <col min="9496" max="9496" width="1.85546875" style="123" customWidth="1"/>
    <col min="9497" max="9497" width="15.5703125" style="123" customWidth="1"/>
    <col min="9498" max="9498" width="3.140625" style="123" customWidth="1"/>
    <col min="9499" max="9499" width="15.5703125" style="123" customWidth="1"/>
    <col min="9500" max="9500" width="14.28515625" style="123" customWidth="1"/>
    <col min="9501" max="9501" width="15.5703125" style="123" customWidth="1"/>
    <col min="9502" max="9502" width="1.85546875" style="123" customWidth="1"/>
    <col min="9503" max="9503" width="15.5703125" style="123" customWidth="1"/>
    <col min="9504" max="9504" width="2.85546875" style="123" customWidth="1"/>
    <col min="9505" max="9737" width="13.85546875" style="123"/>
    <col min="9738" max="9738" width="7" style="123" customWidth="1"/>
    <col min="9739" max="9739" width="16.5703125" style="123" customWidth="1"/>
    <col min="9740" max="9740" width="4.28515625" style="123" customWidth="1"/>
    <col min="9741" max="9741" width="6.85546875" style="123" customWidth="1"/>
    <col min="9742" max="9743" width="2.28515625" style="123" customWidth="1"/>
    <col min="9744" max="9744" width="10.85546875" style="123" customWidth="1"/>
    <col min="9745" max="9745" width="3.85546875" style="123" customWidth="1"/>
    <col min="9746" max="9746" width="2" style="123" customWidth="1"/>
    <col min="9747" max="9747" width="15.5703125" style="123" customWidth="1"/>
    <col min="9748" max="9748" width="1.85546875" style="123" customWidth="1"/>
    <col min="9749" max="9749" width="15.5703125" style="123" customWidth="1"/>
    <col min="9750" max="9750" width="1.85546875" style="123" customWidth="1"/>
    <col min="9751" max="9751" width="15.5703125" style="123" customWidth="1"/>
    <col min="9752" max="9752" width="1.85546875" style="123" customWidth="1"/>
    <col min="9753" max="9753" width="15.5703125" style="123" customWidth="1"/>
    <col min="9754" max="9754" width="3.140625" style="123" customWidth="1"/>
    <col min="9755" max="9755" width="15.5703125" style="123" customWidth="1"/>
    <col min="9756" max="9756" width="14.28515625" style="123" customWidth="1"/>
    <col min="9757" max="9757" width="15.5703125" style="123" customWidth="1"/>
    <col min="9758" max="9758" width="1.85546875" style="123" customWidth="1"/>
    <col min="9759" max="9759" width="15.5703125" style="123" customWidth="1"/>
    <col min="9760" max="9760" width="2.85546875" style="123" customWidth="1"/>
    <col min="9761" max="9993" width="13.85546875" style="123"/>
    <col min="9994" max="9994" width="7" style="123" customWidth="1"/>
    <col min="9995" max="9995" width="16.5703125" style="123" customWidth="1"/>
    <col min="9996" max="9996" width="4.28515625" style="123" customWidth="1"/>
    <col min="9997" max="9997" width="6.85546875" style="123" customWidth="1"/>
    <col min="9998" max="9999" width="2.28515625" style="123" customWidth="1"/>
    <col min="10000" max="10000" width="10.85546875" style="123" customWidth="1"/>
    <col min="10001" max="10001" width="3.85546875" style="123" customWidth="1"/>
    <col min="10002" max="10002" width="2" style="123" customWidth="1"/>
    <col min="10003" max="10003" width="15.5703125" style="123" customWidth="1"/>
    <col min="10004" max="10004" width="1.85546875" style="123" customWidth="1"/>
    <col min="10005" max="10005" width="15.5703125" style="123" customWidth="1"/>
    <col min="10006" max="10006" width="1.85546875" style="123" customWidth="1"/>
    <col min="10007" max="10007" width="15.5703125" style="123" customWidth="1"/>
    <col min="10008" max="10008" width="1.85546875" style="123" customWidth="1"/>
    <col min="10009" max="10009" width="15.5703125" style="123" customWidth="1"/>
    <col min="10010" max="10010" width="3.140625" style="123" customWidth="1"/>
    <col min="10011" max="10011" width="15.5703125" style="123" customWidth="1"/>
    <col min="10012" max="10012" width="14.28515625" style="123" customWidth="1"/>
    <col min="10013" max="10013" width="15.5703125" style="123" customWidth="1"/>
    <col min="10014" max="10014" width="1.85546875" style="123" customWidth="1"/>
    <col min="10015" max="10015" width="15.5703125" style="123" customWidth="1"/>
    <col min="10016" max="10016" width="2.85546875" style="123" customWidth="1"/>
    <col min="10017" max="10249" width="13.85546875" style="123"/>
    <col min="10250" max="10250" width="7" style="123" customWidth="1"/>
    <col min="10251" max="10251" width="16.5703125" style="123" customWidth="1"/>
    <col min="10252" max="10252" width="4.28515625" style="123" customWidth="1"/>
    <col min="10253" max="10253" width="6.85546875" style="123" customWidth="1"/>
    <col min="10254" max="10255" width="2.28515625" style="123" customWidth="1"/>
    <col min="10256" max="10256" width="10.85546875" style="123" customWidth="1"/>
    <col min="10257" max="10257" width="3.85546875" style="123" customWidth="1"/>
    <col min="10258" max="10258" width="2" style="123" customWidth="1"/>
    <col min="10259" max="10259" width="15.5703125" style="123" customWidth="1"/>
    <col min="10260" max="10260" width="1.85546875" style="123" customWidth="1"/>
    <col min="10261" max="10261" width="15.5703125" style="123" customWidth="1"/>
    <col min="10262" max="10262" width="1.85546875" style="123" customWidth="1"/>
    <col min="10263" max="10263" width="15.5703125" style="123" customWidth="1"/>
    <col min="10264" max="10264" width="1.85546875" style="123" customWidth="1"/>
    <col min="10265" max="10265" width="15.5703125" style="123" customWidth="1"/>
    <col min="10266" max="10266" width="3.140625" style="123" customWidth="1"/>
    <col min="10267" max="10267" width="15.5703125" style="123" customWidth="1"/>
    <col min="10268" max="10268" width="14.28515625" style="123" customWidth="1"/>
    <col min="10269" max="10269" width="15.5703125" style="123" customWidth="1"/>
    <col min="10270" max="10270" width="1.85546875" style="123" customWidth="1"/>
    <col min="10271" max="10271" width="15.5703125" style="123" customWidth="1"/>
    <col min="10272" max="10272" width="2.85546875" style="123" customWidth="1"/>
    <col min="10273" max="10505" width="13.85546875" style="123"/>
    <col min="10506" max="10506" width="7" style="123" customWidth="1"/>
    <col min="10507" max="10507" width="16.5703125" style="123" customWidth="1"/>
    <col min="10508" max="10508" width="4.28515625" style="123" customWidth="1"/>
    <col min="10509" max="10509" width="6.85546875" style="123" customWidth="1"/>
    <col min="10510" max="10511" width="2.28515625" style="123" customWidth="1"/>
    <col min="10512" max="10512" width="10.85546875" style="123" customWidth="1"/>
    <col min="10513" max="10513" width="3.85546875" style="123" customWidth="1"/>
    <col min="10514" max="10514" width="2" style="123" customWidth="1"/>
    <col min="10515" max="10515" width="15.5703125" style="123" customWidth="1"/>
    <col min="10516" max="10516" width="1.85546875" style="123" customWidth="1"/>
    <col min="10517" max="10517" width="15.5703125" style="123" customWidth="1"/>
    <col min="10518" max="10518" width="1.85546875" style="123" customWidth="1"/>
    <col min="10519" max="10519" width="15.5703125" style="123" customWidth="1"/>
    <col min="10520" max="10520" width="1.85546875" style="123" customWidth="1"/>
    <col min="10521" max="10521" width="15.5703125" style="123" customWidth="1"/>
    <col min="10522" max="10522" width="3.140625" style="123" customWidth="1"/>
    <col min="10523" max="10523" width="15.5703125" style="123" customWidth="1"/>
    <col min="10524" max="10524" width="14.28515625" style="123" customWidth="1"/>
    <col min="10525" max="10525" width="15.5703125" style="123" customWidth="1"/>
    <col min="10526" max="10526" width="1.85546875" style="123" customWidth="1"/>
    <col min="10527" max="10527" width="15.5703125" style="123" customWidth="1"/>
    <col min="10528" max="10528" width="2.85546875" style="123" customWidth="1"/>
    <col min="10529" max="10761" width="13.85546875" style="123"/>
    <col min="10762" max="10762" width="7" style="123" customWidth="1"/>
    <col min="10763" max="10763" width="16.5703125" style="123" customWidth="1"/>
    <col min="10764" max="10764" width="4.28515625" style="123" customWidth="1"/>
    <col min="10765" max="10765" width="6.85546875" style="123" customWidth="1"/>
    <col min="10766" max="10767" width="2.28515625" style="123" customWidth="1"/>
    <col min="10768" max="10768" width="10.85546875" style="123" customWidth="1"/>
    <col min="10769" max="10769" width="3.85546875" style="123" customWidth="1"/>
    <col min="10770" max="10770" width="2" style="123" customWidth="1"/>
    <col min="10771" max="10771" width="15.5703125" style="123" customWidth="1"/>
    <col min="10772" max="10772" width="1.85546875" style="123" customWidth="1"/>
    <col min="10773" max="10773" width="15.5703125" style="123" customWidth="1"/>
    <col min="10774" max="10774" width="1.85546875" style="123" customWidth="1"/>
    <col min="10775" max="10775" width="15.5703125" style="123" customWidth="1"/>
    <col min="10776" max="10776" width="1.85546875" style="123" customWidth="1"/>
    <col min="10777" max="10777" width="15.5703125" style="123" customWidth="1"/>
    <col min="10778" max="10778" width="3.140625" style="123" customWidth="1"/>
    <col min="10779" max="10779" width="15.5703125" style="123" customWidth="1"/>
    <col min="10780" max="10780" width="14.28515625" style="123" customWidth="1"/>
    <col min="10781" max="10781" width="15.5703125" style="123" customWidth="1"/>
    <col min="10782" max="10782" width="1.85546875" style="123" customWidth="1"/>
    <col min="10783" max="10783" width="15.5703125" style="123" customWidth="1"/>
    <col min="10784" max="10784" width="2.85546875" style="123" customWidth="1"/>
    <col min="10785" max="11017" width="13.85546875" style="123"/>
    <col min="11018" max="11018" width="7" style="123" customWidth="1"/>
    <col min="11019" max="11019" width="16.5703125" style="123" customWidth="1"/>
    <col min="11020" max="11020" width="4.28515625" style="123" customWidth="1"/>
    <col min="11021" max="11021" width="6.85546875" style="123" customWidth="1"/>
    <col min="11022" max="11023" width="2.28515625" style="123" customWidth="1"/>
    <col min="11024" max="11024" width="10.85546875" style="123" customWidth="1"/>
    <col min="11025" max="11025" width="3.85546875" style="123" customWidth="1"/>
    <col min="11026" max="11026" width="2" style="123" customWidth="1"/>
    <col min="11027" max="11027" width="15.5703125" style="123" customWidth="1"/>
    <col min="11028" max="11028" width="1.85546875" style="123" customWidth="1"/>
    <col min="11029" max="11029" width="15.5703125" style="123" customWidth="1"/>
    <col min="11030" max="11030" width="1.85546875" style="123" customWidth="1"/>
    <col min="11031" max="11031" width="15.5703125" style="123" customWidth="1"/>
    <col min="11032" max="11032" width="1.85546875" style="123" customWidth="1"/>
    <col min="11033" max="11033" width="15.5703125" style="123" customWidth="1"/>
    <col min="11034" max="11034" width="3.140625" style="123" customWidth="1"/>
    <col min="11035" max="11035" width="15.5703125" style="123" customWidth="1"/>
    <col min="11036" max="11036" width="14.28515625" style="123" customWidth="1"/>
    <col min="11037" max="11037" width="15.5703125" style="123" customWidth="1"/>
    <col min="11038" max="11038" width="1.85546875" style="123" customWidth="1"/>
    <col min="11039" max="11039" width="15.5703125" style="123" customWidth="1"/>
    <col min="11040" max="11040" width="2.85546875" style="123" customWidth="1"/>
    <col min="11041" max="11273" width="13.85546875" style="123"/>
    <col min="11274" max="11274" width="7" style="123" customWidth="1"/>
    <col min="11275" max="11275" width="16.5703125" style="123" customWidth="1"/>
    <col min="11276" max="11276" width="4.28515625" style="123" customWidth="1"/>
    <col min="11277" max="11277" width="6.85546875" style="123" customWidth="1"/>
    <col min="11278" max="11279" width="2.28515625" style="123" customWidth="1"/>
    <col min="11280" max="11280" width="10.85546875" style="123" customWidth="1"/>
    <col min="11281" max="11281" width="3.85546875" style="123" customWidth="1"/>
    <col min="11282" max="11282" width="2" style="123" customWidth="1"/>
    <col min="11283" max="11283" width="15.5703125" style="123" customWidth="1"/>
    <col min="11284" max="11284" width="1.85546875" style="123" customWidth="1"/>
    <col min="11285" max="11285" width="15.5703125" style="123" customWidth="1"/>
    <col min="11286" max="11286" width="1.85546875" style="123" customWidth="1"/>
    <col min="11287" max="11287" width="15.5703125" style="123" customWidth="1"/>
    <col min="11288" max="11288" width="1.85546875" style="123" customWidth="1"/>
    <col min="11289" max="11289" width="15.5703125" style="123" customWidth="1"/>
    <col min="11290" max="11290" width="3.140625" style="123" customWidth="1"/>
    <col min="11291" max="11291" width="15.5703125" style="123" customWidth="1"/>
    <col min="11292" max="11292" width="14.28515625" style="123" customWidth="1"/>
    <col min="11293" max="11293" width="15.5703125" style="123" customWidth="1"/>
    <col min="11294" max="11294" width="1.85546875" style="123" customWidth="1"/>
    <col min="11295" max="11295" width="15.5703125" style="123" customWidth="1"/>
    <col min="11296" max="11296" width="2.85546875" style="123" customWidth="1"/>
    <col min="11297" max="11529" width="13.85546875" style="123"/>
    <col min="11530" max="11530" width="7" style="123" customWidth="1"/>
    <col min="11531" max="11531" width="16.5703125" style="123" customWidth="1"/>
    <col min="11532" max="11532" width="4.28515625" style="123" customWidth="1"/>
    <col min="11533" max="11533" width="6.85546875" style="123" customWidth="1"/>
    <col min="11534" max="11535" width="2.28515625" style="123" customWidth="1"/>
    <col min="11536" max="11536" width="10.85546875" style="123" customWidth="1"/>
    <col min="11537" max="11537" width="3.85546875" style="123" customWidth="1"/>
    <col min="11538" max="11538" width="2" style="123" customWidth="1"/>
    <col min="11539" max="11539" width="15.5703125" style="123" customWidth="1"/>
    <col min="11540" max="11540" width="1.85546875" style="123" customWidth="1"/>
    <col min="11541" max="11541" width="15.5703125" style="123" customWidth="1"/>
    <col min="11542" max="11542" width="1.85546875" style="123" customWidth="1"/>
    <col min="11543" max="11543" width="15.5703125" style="123" customWidth="1"/>
    <col min="11544" max="11544" width="1.85546875" style="123" customWidth="1"/>
    <col min="11545" max="11545" width="15.5703125" style="123" customWidth="1"/>
    <col min="11546" max="11546" width="3.140625" style="123" customWidth="1"/>
    <col min="11547" max="11547" width="15.5703125" style="123" customWidth="1"/>
    <col min="11548" max="11548" width="14.28515625" style="123" customWidth="1"/>
    <col min="11549" max="11549" width="15.5703125" style="123" customWidth="1"/>
    <col min="11550" max="11550" width="1.85546875" style="123" customWidth="1"/>
    <col min="11551" max="11551" width="15.5703125" style="123" customWidth="1"/>
    <col min="11552" max="11552" width="2.85546875" style="123" customWidth="1"/>
    <col min="11553" max="11785" width="13.85546875" style="123"/>
    <col min="11786" max="11786" width="7" style="123" customWidth="1"/>
    <col min="11787" max="11787" width="16.5703125" style="123" customWidth="1"/>
    <col min="11788" max="11788" width="4.28515625" style="123" customWidth="1"/>
    <col min="11789" max="11789" width="6.85546875" style="123" customWidth="1"/>
    <col min="11790" max="11791" width="2.28515625" style="123" customWidth="1"/>
    <col min="11792" max="11792" width="10.85546875" style="123" customWidth="1"/>
    <col min="11793" max="11793" width="3.85546875" style="123" customWidth="1"/>
    <col min="11794" max="11794" width="2" style="123" customWidth="1"/>
    <col min="11795" max="11795" width="15.5703125" style="123" customWidth="1"/>
    <col min="11796" max="11796" width="1.85546875" style="123" customWidth="1"/>
    <col min="11797" max="11797" width="15.5703125" style="123" customWidth="1"/>
    <col min="11798" max="11798" width="1.85546875" style="123" customWidth="1"/>
    <col min="11799" max="11799" width="15.5703125" style="123" customWidth="1"/>
    <col min="11800" max="11800" width="1.85546875" style="123" customWidth="1"/>
    <col min="11801" max="11801" width="15.5703125" style="123" customWidth="1"/>
    <col min="11802" max="11802" width="3.140625" style="123" customWidth="1"/>
    <col min="11803" max="11803" width="15.5703125" style="123" customWidth="1"/>
    <col min="11804" max="11804" width="14.28515625" style="123" customWidth="1"/>
    <col min="11805" max="11805" width="15.5703125" style="123" customWidth="1"/>
    <col min="11806" max="11806" width="1.85546875" style="123" customWidth="1"/>
    <col min="11807" max="11807" width="15.5703125" style="123" customWidth="1"/>
    <col min="11808" max="11808" width="2.85546875" style="123" customWidth="1"/>
    <col min="11809" max="12041" width="13.85546875" style="123"/>
    <col min="12042" max="12042" width="7" style="123" customWidth="1"/>
    <col min="12043" max="12043" width="16.5703125" style="123" customWidth="1"/>
    <col min="12044" max="12044" width="4.28515625" style="123" customWidth="1"/>
    <col min="12045" max="12045" width="6.85546875" style="123" customWidth="1"/>
    <col min="12046" max="12047" width="2.28515625" style="123" customWidth="1"/>
    <col min="12048" max="12048" width="10.85546875" style="123" customWidth="1"/>
    <col min="12049" max="12049" width="3.85546875" style="123" customWidth="1"/>
    <col min="12050" max="12050" width="2" style="123" customWidth="1"/>
    <col min="12051" max="12051" width="15.5703125" style="123" customWidth="1"/>
    <col min="12052" max="12052" width="1.85546875" style="123" customWidth="1"/>
    <col min="12053" max="12053" width="15.5703125" style="123" customWidth="1"/>
    <col min="12054" max="12054" width="1.85546875" style="123" customWidth="1"/>
    <col min="12055" max="12055" width="15.5703125" style="123" customWidth="1"/>
    <col min="12056" max="12056" width="1.85546875" style="123" customWidth="1"/>
    <col min="12057" max="12057" width="15.5703125" style="123" customWidth="1"/>
    <col min="12058" max="12058" width="3.140625" style="123" customWidth="1"/>
    <col min="12059" max="12059" width="15.5703125" style="123" customWidth="1"/>
    <col min="12060" max="12060" width="14.28515625" style="123" customWidth="1"/>
    <col min="12061" max="12061" width="15.5703125" style="123" customWidth="1"/>
    <col min="12062" max="12062" width="1.85546875" style="123" customWidth="1"/>
    <col min="12063" max="12063" width="15.5703125" style="123" customWidth="1"/>
    <col min="12064" max="12064" width="2.85546875" style="123" customWidth="1"/>
    <col min="12065" max="12297" width="13.85546875" style="123"/>
    <col min="12298" max="12298" width="7" style="123" customWidth="1"/>
    <col min="12299" max="12299" width="16.5703125" style="123" customWidth="1"/>
    <col min="12300" max="12300" width="4.28515625" style="123" customWidth="1"/>
    <col min="12301" max="12301" width="6.85546875" style="123" customWidth="1"/>
    <col min="12302" max="12303" width="2.28515625" style="123" customWidth="1"/>
    <col min="12304" max="12304" width="10.85546875" style="123" customWidth="1"/>
    <col min="12305" max="12305" width="3.85546875" style="123" customWidth="1"/>
    <col min="12306" max="12306" width="2" style="123" customWidth="1"/>
    <col min="12307" max="12307" width="15.5703125" style="123" customWidth="1"/>
    <col min="12308" max="12308" width="1.85546875" style="123" customWidth="1"/>
    <col min="12309" max="12309" width="15.5703125" style="123" customWidth="1"/>
    <col min="12310" max="12310" width="1.85546875" style="123" customWidth="1"/>
    <col min="12311" max="12311" width="15.5703125" style="123" customWidth="1"/>
    <col min="12312" max="12312" width="1.85546875" style="123" customWidth="1"/>
    <col min="12313" max="12313" width="15.5703125" style="123" customWidth="1"/>
    <col min="12314" max="12314" width="3.140625" style="123" customWidth="1"/>
    <col min="12315" max="12315" width="15.5703125" style="123" customWidth="1"/>
    <col min="12316" max="12316" width="14.28515625" style="123" customWidth="1"/>
    <col min="12317" max="12317" width="15.5703125" style="123" customWidth="1"/>
    <col min="12318" max="12318" width="1.85546875" style="123" customWidth="1"/>
    <col min="12319" max="12319" width="15.5703125" style="123" customWidth="1"/>
    <col min="12320" max="12320" width="2.85546875" style="123" customWidth="1"/>
    <col min="12321" max="12553" width="13.85546875" style="123"/>
    <col min="12554" max="12554" width="7" style="123" customWidth="1"/>
    <col min="12555" max="12555" width="16.5703125" style="123" customWidth="1"/>
    <col min="12556" max="12556" width="4.28515625" style="123" customWidth="1"/>
    <col min="12557" max="12557" width="6.85546875" style="123" customWidth="1"/>
    <col min="12558" max="12559" width="2.28515625" style="123" customWidth="1"/>
    <col min="12560" max="12560" width="10.85546875" style="123" customWidth="1"/>
    <col min="12561" max="12561" width="3.85546875" style="123" customWidth="1"/>
    <col min="12562" max="12562" width="2" style="123" customWidth="1"/>
    <col min="12563" max="12563" width="15.5703125" style="123" customWidth="1"/>
    <col min="12564" max="12564" width="1.85546875" style="123" customWidth="1"/>
    <col min="12565" max="12565" width="15.5703125" style="123" customWidth="1"/>
    <col min="12566" max="12566" width="1.85546875" style="123" customWidth="1"/>
    <col min="12567" max="12567" width="15.5703125" style="123" customWidth="1"/>
    <col min="12568" max="12568" width="1.85546875" style="123" customWidth="1"/>
    <col min="12569" max="12569" width="15.5703125" style="123" customWidth="1"/>
    <col min="12570" max="12570" width="3.140625" style="123" customWidth="1"/>
    <col min="12571" max="12571" width="15.5703125" style="123" customWidth="1"/>
    <col min="12572" max="12572" width="14.28515625" style="123" customWidth="1"/>
    <col min="12573" max="12573" width="15.5703125" style="123" customWidth="1"/>
    <col min="12574" max="12574" width="1.85546875" style="123" customWidth="1"/>
    <col min="12575" max="12575" width="15.5703125" style="123" customWidth="1"/>
    <col min="12576" max="12576" width="2.85546875" style="123" customWidth="1"/>
    <col min="12577" max="12809" width="13.85546875" style="123"/>
    <col min="12810" max="12810" width="7" style="123" customWidth="1"/>
    <col min="12811" max="12811" width="16.5703125" style="123" customWidth="1"/>
    <col min="12812" max="12812" width="4.28515625" style="123" customWidth="1"/>
    <col min="12813" max="12813" width="6.85546875" style="123" customWidth="1"/>
    <col min="12814" max="12815" width="2.28515625" style="123" customWidth="1"/>
    <col min="12816" max="12816" width="10.85546875" style="123" customWidth="1"/>
    <col min="12817" max="12817" width="3.85546875" style="123" customWidth="1"/>
    <col min="12818" max="12818" width="2" style="123" customWidth="1"/>
    <col min="12819" max="12819" width="15.5703125" style="123" customWidth="1"/>
    <col min="12820" max="12820" width="1.85546875" style="123" customWidth="1"/>
    <col min="12821" max="12821" width="15.5703125" style="123" customWidth="1"/>
    <col min="12822" max="12822" width="1.85546875" style="123" customWidth="1"/>
    <col min="12823" max="12823" width="15.5703125" style="123" customWidth="1"/>
    <col min="12824" max="12824" width="1.85546875" style="123" customWidth="1"/>
    <col min="12825" max="12825" width="15.5703125" style="123" customWidth="1"/>
    <col min="12826" max="12826" width="3.140625" style="123" customWidth="1"/>
    <col min="12827" max="12827" width="15.5703125" style="123" customWidth="1"/>
    <col min="12828" max="12828" width="14.28515625" style="123" customWidth="1"/>
    <col min="12829" max="12829" width="15.5703125" style="123" customWidth="1"/>
    <col min="12830" max="12830" width="1.85546875" style="123" customWidth="1"/>
    <col min="12831" max="12831" width="15.5703125" style="123" customWidth="1"/>
    <col min="12832" max="12832" width="2.85546875" style="123" customWidth="1"/>
    <col min="12833" max="13065" width="13.85546875" style="123"/>
    <col min="13066" max="13066" width="7" style="123" customWidth="1"/>
    <col min="13067" max="13067" width="16.5703125" style="123" customWidth="1"/>
    <col min="13068" max="13068" width="4.28515625" style="123" customWidth="1"/>
    <col min="13069" max="13069" width="6.85546875" style="123" customWidth="1"/>
    <col min="13070" max="13071" width="2.28515625" style="123" customWidth="1"/>
    <col min="13072" max="13072" width="10.85546875" style="123" customWidth="1"/>
    <col min="13073" max="13073" width="3.85546875" style="123" customWidth="1"/>
    <col min="13074" max="13074" width="2" style="123" customWidth="1"/>
    <col min="13075" max="13075" width="15.5703125" style="123" customWidth="1"/>
    <col min="13076" max="13076" width="1.85546875" style="123" customWidth="1"/>
    <col min="13077" max="13077" width="15.5703125" style="123" customWidth="1"/>
    <col min="13078" max="13078" width="1.85546875" style="123" customWidth="1"/>
    <col min="13079" max="13079" width="15.5703125" style="123" customWidth="1"/>
    <col min="13080" max="13080" width="1.85546875" style="123" customWidth="1"/>
    <col min="13081" max="13081" width="15.5703125" style="123" customWidth="1"/>
    <col min="13082" max="13082" width="3.140625" style="123" customWidth="1"/>
    <col min="13083" max="13083" width="15.5703125" style="123" customWidth="1"/>
    <col min="13084" max="13084" width="14.28515625" style="123" customWidth="1"/>
    <col min="13085" max="13085" width="15.5703125" style="123" customWidth="1"/>
    <col min="13086" max="13086" width="1.85546875" style="123" customWidth="1"/>
    <col min="13087" max="13087" width="15.5703125" style="123" customWidth="1"/>
    <col min="13088" max="13088" width="2.85546875" style="123" customWidth="1"/>
    <col min="13089" max="13321" width="13.85546875" style="123"/>
    <col min="13322" max="13322" width="7" style="123" customWidth="1"/>
    <col min="13323" max="13323" width="16.5703125" style="123" customWidth="1"/>
    <col min="13324" max="13324" width="4.28515625" style="123" customWidth="1"/>
    <col min="13325" max="13325" width="6.85546875" style="123" customWidth="1"/>
    <col min="13326" max="13327" width="2.28515625" style="123" customWidth="1"/>
    <col min="13328" max="13328" width="10.85546875" style="123" customWidth="1"/>
    <col min="13329" max="13329" width="3.85546875" style="123" customWidth="1"/>
    <col min="13330" max="13330" width="2" style="123" customWidth="1"/>
    <col min="13331" max="13331" width="15.5703125" style="123" customWidth="1"/>
    <col min="13332" max="13332" width="1.85546875" style="123" customWidth="1"/>
    <col min="13333" max="13333" width="15.5703125" style="123" customWidth="1"/>
    <col min="13334" max="13334" width="1.85546875" style="123" customWidth="1"/>
    <col min="13335" max="13335" width="15.5703125" style="123" customWidth="1"/>
    <col min="13336" max="13336" width="1.85546875" style="123" customWidth="1"/>
    <col min="13337" max="13337" width="15.5703125" style="123" customWidth="1"/>
    <col min="13338" max="13338" width="3.140625" style="123" customWidth="1"/>
    <col min="13339" max="13339" width="15.5703125" style="123" customWidth="1"/>
    <col min="13340" max="13340" width="14.28515625" style="123" customWidth="1"/>
    <col min="13341" max="13341" width="15.5703125" style="123" customWidth="1"/>
    <col min="13342" max="13342" width="1.85546875" style="123" customWidth="1"/>
    <col min="13343" max="13343" width="15.5703125" style="123" customWidth="1"/>
    <col min="13344" max="13344" width="2.85546875" style="123" customWidth="1"/>
    <col min="13345" max="13577" width="13.85546875" style="123"/>
    <col min="13578" max="13578" width="7" style="123" customWidth="1"/>
    <col min="13579" max="13579" width="16.5703125" style="123" customWidth="1"/>
    <col min="13580" max="13580" width="4.28515625" style="123" customWidth="1"/>
    <col min="13581" max="13581" width="6.85546875" style="123" customWidth="1"/>
    <col min="13582" max="13583" width="2.28515625" style="123" customWidth="1"/>
    <col min="13584" max="13584" width="10.85546875" style="123" customWidth="1"/>
    <col min="13585" max="13585" width="3.85546875" style="123" customWidth="1"/>
    <col min="13586" max="13586" width="2" style="123" customWidth="1"/>
    <col min="13587" max="13587" width="15.5703125" style="123" customWidth="1"/>
    <col min="13588" max="13588" width="1.85546875" style="123" customWidth="1"/>
    <col min="13589" max="13589" width="15.5703125" style="123" customWidth="1"/>
    <col min="13590" max="13590" width="1.85546875" style="123" customWidth="1"/>
    <col min="13591" max="13591" width="15.5703125" style="123" customWidth="1"/>
    <col min="13592" max="13592" width="1.85546875" style="123" customWidth="1"/>
    <col min="13593" max="13593" width="15.5703125" style="123" customWidth="1"/>
    <col min="13594" max="13594" width="3.140625" style="123" customWidth="1"/>
    <col min="13595" max="13595" width="15.5703125" style="123" customWidth="1"/>
    <col min="13596" max="13596" width="14.28515625" style="123" customWidth="1"/>
    <col min="13597" max="13597" width="15.5703125" style="123" customWidth="1"/>
    <col min="13598" max="13598" width="1.85546875" style="123" customWidth="1"/>
    <col min="13599" max="13599" width="15.5703125" style="123" customWidth="1"/>
    <col min="13600" max="13600" width="2.85546875" style="123" customWidth="1"/>
    <col min="13601" max="13833" width="13.85546875" style="123"/>
    <col min="13834" max="13834" width="7" style="123" customWidth="1"/>
    <col min="13835" max="13835" width="16.5703125" style="123" customWidth="1"/>
    <col min="13836" max="13836" width="4.28515625" style="123" customWidth="1"/>
    <col min="13837" max="13837" width="6.85546875" style="123" customWidth="1"/>
    <col min="13838" max="13839" width="2.28515625" style="123" customWidth="1"/>
    <col min="13840" max="13840" width="10.85546875" style="123" customWidth="1"/>
    <col min="13841" max="13841" width="3.85546875" style="123" customWidth="1"/>
    <col min="13842" max="13842" width="2" style="123" customWidth="1"/>
    <col min="13843" max="13843" width="15.5703125" style="123" customWidth="1"/>
    <col min="13844" max="13844" width="1.85546875" style="123" customWidth="1"/>
    <col min="13845" max="13845" width="15.5703125" style="123" customWidth="1"/>
    <col min="13846" max="13846" width="1.85546875" style="123" customWidth="1"/>
    <col min="13847" max="13847" width="15.5703125" style="123" customWidth="1"/>
    <col min="13848" max="13848" width="1.85546875" style="123" customWidth="1"/>
    <col min="13849" max="13849" width="15.5703125" style="123" customWidth="1"/>
    <col min="13850" max="13850" width="3.140625" style="123" customWidth="1"/>
    <col min="13851" max="13851" width="15.5703125" style="123" customWidth="1"/>
    <col min="13852" max="13852" width="14.28515625" style="123" customWidth="1"/>
    <col min="13853" max="13853" width="15.5703125" style="123" customWidth="1"/>
    <col min="13854" max="13854" width="1.85546875" style="123" customWidth="1"/>
    <col min="13855" max="13855" width="15.5703125" style="123" customWidth="1"/>
    <col min="13856" max="13856" width="2.85546875" style="123" customWidth="1"/>
    <col min="13857" max="14089" width="13.85546875" style="123"/>
    <col min="14090" max="14090" width="7" style="123" customWidth="1"/>
    <col min="14091" max="14091" width="16.5703125" style="123" customWidth="1"/>
    <col min="14092" max="14092" width="4.28515625" style="123" customWidth="1"/>
    <col min="14093" max="14093" width="6.85546875" style="123" customWidth="1"/>
    <col min="14094" max="14095" width="2.28515625" style="123" customWidth="1"/>
    <col min="14096" max="14096" width="10.85546875" style="123" customWidth="1"/>
    <col min="14097" max="14097" width="3.85546875" style="123" customWidth="1"/>
    <col min="14098" max="14098" width="2" style="123" customWidth="1"/>
    <col min="14099" max="14099" width="15.5703125" style="123" customWidth="1"/>
    <col min="14100" max="14100" width="1.85546875" style="123" customWidth="1"/>
    <col min="14101" max="14101" width="15.5703125" style="123" customWidth="1"/>
    <col min="14102" max="14102" width="1.85546875" style="123" customWidth="1"/>
    <col min="14103" max="14103" width="15.5703125" style="123" customWidth="1"/>
    <col min="14104" max="14104" width="1.85546875" style="123" customWidth="1"/>
    <col min="14105" max="14105" width="15.5703125" style="123" customWidth="1"/>
    <col min="14106" max="14106" width="3.140625" style="123" customWidth="1"/>
    <col min="14107" max="14107" width="15.5703125" style="123" customWidth="1"/>
    <col min="14108" max="14108" width="14.28515625" style="123" customWidth="1"/>
    <col min="14109" max="14109" width="15.5703125" style="123" customWidth="1"/>
    <col min="14110" max="14110" width="1.85546875" style="123" customWidth="1"/>
    <col min="14111" max="14111" width="15.5703125" style="123" customWidth="1"/>
    <col min="14112" max="14112" width="2.85546875" style="123" customWidth="1"/>
    <col min="14113" max="14345" width="13.85546875" style="123"/>
    <col min="14346" max="14346" width="7" style="123" customWidth="1"/>
    <col min="14347" max="14347" width="16.5703125" style="123" customWidth="1"/>
    <col min="14348" max="14348" width="4.28515625" style="123" customWidth="1"/>
    <col min="14349" max="14349" width="6.85546875" style="123" customWidth="1"/>
    <col min="14350" max="14351" width="2.28515625" style="123" customWidth="1"/>
    <col min="14352" max="14352" width="10.85546875" style="123" customWidth="1"/>
    <col min="14353" max="14353" width="3.85546875" style="123" customWidth="1"/>
    <col min="14354" max="14354" width="2" style="123" customWidth="1"/>
    <col min="14355" max="14355" width="15.5703125" style="123" customWidth="1"/>
    <col min="14356" max="14356" width="1.85546875" style="123" customWidth="1"/>
    <col min="14357" max="14357" width="15.5703125" style="123" customWidth="1"/>
    <col min="14358" max="14358" width="1.85546875" style="123" customWidth="1"/>
    <col min="14359" max="14359" width="15.5703125" style="123" customWidth="1"/>
    <col min="14360" max="14360" width="1.85546875" style="123" customWidth="1"/>
    <col min="14361" max="14361" width="15.5703125" style="123" customWidth="1"/>
    <col min="14362" max="14362" width="3.140625" style="123" customWidth="1"/>
    <col min="14363" max="14363" width="15.5703125" style="123" customWidth="1"/>
    <col min="14364" max="14364" width="14.28515625" style="123" customWidth="1"/>
    <col min="14365" max="14365" width="15.5703125" style="123" customWidth="1"/>
    <col min="14366" max="14366" width="1.85546875" style="123" customWidth="1"/>
    <col min="14367" max="14367" width="15.5703125" style="123" customWidth="1"/>
    <col min="14368" max="14368" width="2.85546875" style="123" customWidth="1"/>
    <col min="14369" max="14601" width="13.85546875" style="123"/>
    <col min="14602" max="14602" width="7" style="123" customWidth="1"/>
    <col min="14603" max="14603" width="16.5703125" style="123" customWidth="1"/>
    <col min="14604" max="14604" width="4.28515625" style="123" customWidth="1"/>
    <col min="14605" max="14605" width="6.85546875" style="123" customWidth="1"/>
    <col min="14606" max="14607" width="2.28515625" style="123" customWidth="1"/>
    <col min="14608" max="14608" width="10.85546875" style="123" customWidth="1"/>
    <col min="14609" max="14609" width="3.85546875" style="123" customWidth="1"/>
    <col min="14610" max="14610" width="2" style="123" customWidth="1"/>
    <col min="14611" max="14611" width="15.5703125" style="123" customWidth="1"/>
    <col min="14612" max="14612" width="1.85546875" style="123" customWidth="1"/>
    <col min="14613" max="14613" width="15.5703125" style="123" customWidth="1"/>
    <col min="14614" max="14614" width="1.85546875" style="123" customWidth="1"/>
    <col min="14615" max="14615" width="15.5703125" style="123" customWidth="1"/>
    <col min="14616" max="14616" width="1.85546875" style="123" customWidth="1"/>
    <col min="14617" max="14617" width="15.5703125" style="123" customWidth="1"/>
    <col min="14618" max="14618" width="3.140625" style="123" customWidth="1"/>
    <col min="14619" max="14619" width="15.5703125" style="123" customWidth="1"/>
    <col min="14620" max="14620" width="14.28515625" style="123" customWidth="1"/>
    <col min="14621" max="14621" width="15.5703125" style="123" customWidth="1"/>
    <col min="14622" max="14622" width="1.85546875" style="123" customWidth="1"/>
    <col min="14623" max="14623" width="15.5703125" style="123" customWidth="1"/>
    <col min="14624" max="14624" width="2.85546875" style="123" customWidth="1"/>
    <col min="14625" max="14857" width="13.85546875" style="123"/>
    <col min="14858" max="14858" width="7" style="123" customWidth="1"/>
    <col min="14859" max="14859" width="16.5703125" style="123" customWidth="1"/>
    <col min="14860" max="14860" width="4.28515625" style="123" customWidth="1"/>
    <col min="14861" max="14861" width="6.85546875" style="123" customWidth="1"/>
    <col min="14862" max="14863" width="2.28515625" style="123" customWidth="1"/>
    <col min="14864" max="14864" width="10.85546875" style="123" customWidth="1"/>
    <col min="14865" max="14865" width="3.85546875" style="123" customWidth="1"/>
    <col min="14866" max="14866" width="2" style="123" customWidth="1"/>
    <col min="14867" max="14867" width="15.5703125" style="123" customWidth="1"/>
    <col min="14868" max="14868" width="1.85546875" style="123" customWidth="1"/>
    <col min="14869" max="14869" width="15.5703125" style="123" customWidth="1"/>
    <col min="14870" max="14870" width="1.85546875" style="123" customWidth="1"/>
    <col min="14871" max="14871" width="15.5703125" style="123" customWidth="1"/>
    <col min="14872" max="14872" width="1.85546875" style="123" customWidth="1"/>
    <col min="14873" max="14873" width="15.5703125" style="123" customWidth="1"/>
    <col min="14874" max="14874" width="3.140625" style="123" customWidth="1"/>
    <col min="14875" max="14875" width="15.5703125" style="123" customWidth="1"/>
    <col min="14876" max="14876" width="14.28515625" style="123" customWidth="1"/>
    <col min="14877" max="14877" width="15.5703125" style="123" customWidth="1"/>
    <col min="14878" max="14878" width="1.85546875" style="123" customWidth="1"/>
    <col min="14879" max="14879" width="15.5703125" style="123" customWidth="1"/>
    <col min="14880" max="14880" width="2.85546875" style="123" customWidth="1"/>
    <col min="14881" max="15113" width="13.85546875" style="123"/>
    <col min="15114" max="15114" width="7" style="123" customWidth="1"/>
    <col min="15115" max="15115" width="16.5703125" style="123" customWidth="1"/>
    <col min="15116" max="15116" width="4.28515625" style="123" customWidth="1"/>
    <col min="15117" max="15117" width="6.85546875" style="123" customWidth="1"/>
    <col min="15118" max="15119" width="2.28515625" style="123" customWidth="1"/>
    <col min="15120" max="15120" width="10.85546875" style="123" customWidth="1"/>
    <col min="15121" max="15121" width="3.85546875" style="123" customWidth="1"/>
    <col min="15122" max="15122" width="2" style="123" customWidth="1"/>
    <col min="15123" max="15123" width="15.5703125" style="123" customWidth="1"/>
    <col min="15124" max="15124" width="1.85546875" style="123" customWidth="1"/>
    <col min="15125" max="15125" width="15.5703125" style="123" customWidth="1"/>
    <col min="15126" max="15126" width="1.85546875" style="123" customWidth="1"/>
    <col min="15127" max="15127" width="15.5703125" style="123" customWidth="1"/>
    <col min="15128" max="15128" width="1.85546875" style="123" customWidth="1"/>
    <col min="15129" max="15129" width="15.5703125" style="123" customWidth="1"/>
    <col min="15130" max="15130" width="3.140625" style="123" customWidth="1"/>
    <col min="15131" max="15131" width="15.5703125" style="123" customWidth="1"/>
    <col min="15132" max="15132" width="14.28515625" style="123" customWidth="1"/>
    <col min="15133" max="15133" width="15.5703125" style="123" customWidth="1"/>
    <col min="15134" max="15134" width="1.85546875" style="123" customWidth="1"/>
    <col min="15135" max="15135" width="15.5703125" style="123" customWidth="1"/>
    <col min="15136" max="15136" width="2.85546875" style="123" customWidth="1"/>
    <col min="15137" max="15369" width="13.85546875" style="123"/>
    <col min="15370" max="15370" width="7" style="123" customWidth="1"/>
    <col min="15371" max="15371" width="16.5703125" style="123" customWidth="1"/>
    <col min="15372" max="15372" width="4.28515625" style="123" customWidth="1"/>
    <col min="15373" max="15373" width="6.85546875" style="123" customWidth="1"/>
    <col min="15374" max="15375" width="2.28515625" style="123" customWidth="1"/>
    <col min="15376" max="15376" width="10.85546875" style="123" customWidth="1"/>
    <col min="15377" max="15377" width="3.85546875" style="123" customWidth="1"/>
    <col min="15378" max="15378" width="2" style="123" customWidth="1"/>
    <col min="15379" max="15379" width="15.5703125" style="123" customWidth="1"/>
    <col min="15380" max="15380" width="1.85546875" style="123" customWidth="1"/>
    <col min="15381" max="15381" width="15.5703125" style="123" customWidth="1"/>
    <col min="15382" max="15382" width="1.85546875" style="123" customWidth="1"/>
    <col min="15383" max="15383" width="15.5703125" style="123" customWidth="1"/>
    <col min="15384" max="15384" width="1.85546875" style="123" customWidth="1"/>
    <col min="15385" max="15385" width="15.5703125" style="123" customWidth="1"/>
    <col min="15386" max="15386" width="3.140625" style="123" customWidth="1"/>
    <col min="15387" max="15387" width="15.5703125" style="123" customWidth="1"/>
    <col min="15388" max="15388" width="14.28515625" style="123" customWidth="1"/>
    <col min="15389" max="15389" width="15.5703125" style="123" customWidth="1"/>
    <col min="15390" max="15390" width="1.85546875" style="123" customWidth="1"/>
    <col min="15391" max="15391" width="15.5703125" style="123" customWidth="1"/>
    <col min="15392" max="15392" width="2.85546875" style="123" customWidth="1"/>
    <col min="15393" max="15625" width="13.85546875" style="123"/>
    <col min="15626" max="15626" width="7" style="123" customWidth="1"/>
    <col min="15627" max="15627" width="16.5703125" style="123" customWidth="1"/>
    <col min="15628" max="15628" width="4.28515625" style="123" customWidth="1"/>
    <col min="15629" max="15629" width="6.85546875" style="123" customWidth="1"/>
    <col min="15630" max="15631" width="2.28515625" style="123" customWidth="1"/>
    <col min="15632" max="15632" width="10.85546875" style="123" customWidth="1"/>
    <col min="15633" max="15633" width="3.85546875" style="123" customWidth="1"/>
    <col min="15634" max="15634" width="2" style="123" customWidth="1"/>
    <col min="15635" max="15635" width="15.5703125" style="123" customWidth="1"/>
    <col min="15636" max="15636" width="1.85546875" style="123" customWidth="1"/>
    <col min="15637" max="15637" width="15.5703125" style="123" customWidth="1"/>
    <col min="15638" max="15638" width="1.85546875" style="123" customWidth="1"/>
    <col min="15639" max="15639" width="15.5703125" style="123" customWidth="1"/>
    <col min="15640" max="15640" width="1.85546875" style="123" customWidth="1"/>
    <col min="15641" max="15641" width="15.5703125" style="123" customWidth="1"/>
    <col min="15642" max="15642" width="3.140625" style="123" customWidth="1"/>
    <col min="15643" max="15643" width="15.5703125" style="123" customWidth="1"/>
    <col min="15644" max="15644" width="14.28515625" style="123" customWidth="1"/>
    <col min="15645" max="15645" width="15.5703125" style="123" customWidth="1"/>
    <col min="15646" max="15646" width="1.85546875" style="123" customWidth="1"/>
    <col min="15647" max="15647" width="15.5703125" style="123" customWidth="1"/>
    <col min="15648" max="15648" width="2.85546875" style="123" customWidth="1"/>
    <col min="15649" max="15881" width="13.85546875" style="123"/>
    <col min="15882" max="15882" width="7" style="123" customWidth="1"/>
    <col min="15883" max="15883" width="16.5703125" style="123" customWidth="1"/>
    <col min="15884" max="15884" width="4.28515625" style="123" customWidth="1"/>
    <col min="15885" max="15885" width="6.85546875" style="123" customWidth="1"/>
    <col min="15886" max="15887" width="2.28515625" style="123" customWidth="1"/>
    <col min="15888" max="15888" width="10.85546875" style="123" customWidth="1"/>
    <col min="15889" max="15889" width="3.85546875" style="123" customWidth="1"/>
    <col min="15890" max="15890" width="2" style="123" customWidth="1"/>
    <col min="15891" max="15891" width="15.5703125" style="123" customWidth="1"/>
    <col min="15892" max="15892" width="1.85546875" style="123" customWidth="1"/>
    <col min="15893" max="15893" width="15.5703125" style="123" customWidth="1"/>
    <col min="15894" max="15894" width="1.85546875" style="123" customWidth="1"/>
    <col min="15895" max="15895" width="15.5703125" style="123" customWidth="1"/>
    <col min="15896" max="15896" width="1.85546875" style="123" customWidth="1"/>
    <col min="15897" max="15897" width="15.5703125" style="123" customWidth="1"/>
    <col min="15898" max="15898" width="3.140625" style="123" customWidth="1"/>
    <col min="15899" max="15899" width="15.5703125" style="123" customWidth="1"/>
    <col min="15900" max="15900" width="14.28515625" style="123" customWidth="1"/>
    <col min="15901" max="15901" width="15.5703125" style="123" customWidth="1"/>
    <col min="15902" max="15902" width="1.85546875" style="123" customWidth="1"/>
    <col min="15903" max="15903" width="15.5703125" style="123" customWidth="1"/>
    <col min="15904" max="15904" width="2.85546875" style="123" customWidth="1"/>
    <col min="15905" max="16137" width="13.85546875" style="123"/>
    <col min="16138" max="16138" width="7" style="123" customWidth="1"/>
    <col min="16139" max="16139" width="16.5703125" style="123" customWidth="1"/>
    <col min="16140" max="16140" width="4.28515625" style="123" customWidth="1"/>
    <col min="16141" max="16141" width="6.85546875" style="123" customWidth="1"/>
    <col min="16142" max="16143" width="2.28515625" style="123" customWidth="1"/>
    <col min="16144" max="16144" width="10.85546875" style="123" customWidth="1"/>
    <col min="16145" max="16145" width="3.85546875" style="123" customWidth="1"/>
    <col min="16146" max="16146" width="2" style="123" customWidth="1"/>
    <col min="16147" max="16147" width="15.5703125" style="123" customWidth="1"/>
    <col min="16148" max="16148" width="1.85546875" style="123" customWidth="1"/>
    <col min="16149" max="16149" width="15.5703125" style="123" customWidth="1"/>
    <col min="16150" max="16150" width="1.85546875" style="123" customWidth="1"/>
    <col min="16151" max="16151" width="15.5703125" style="123" customWidth="1"/>
    <col min="16152" max="16152" width="1.85546875" style="123" customWidth="1"/>
    <col min="16153" max="16153" width="15.5703125" style="123" customWidth="1"/>
    <col min="16154" max="16154" width="3.140625" style="123" customWidth="1"/>
    <col min="16155" max="16155" width="15.5703125" style="123" customWidth="1"/>
    <col min="16156" max="16156" width="14.28515625" style="123" customWidth="1"/>
    <col min="16157" max="16157" width="15.5703125" style="123" customWidth="1"/>
    <col min="16158" max="16158" width="1.85546875" style="123" customWidth="1"/>
    <col min="16159" max="16159" width="15.5703125" style="123" customWidth="1"/>
    <col min="16160" max="16160" width="2.85546875" style="123" customWidth="1"/>
    <col min="16161" max="16384" width="13.85546875" style="123"/>
  </cols>
  <sheetData>
    <row r="1" spans="1:32" s="193" customFormat="1" ht="15.75">
      <c r="A1" s="194" t="s">
        <v>0</v>
      </c>
      <c r="I1" s="1415" t="s">
        <v>493</v>
      </c>
      <c r="J1" s="1415"/>
      <c r="K1" s="1415"/>
      <c r="L1" s="1415"/>
      <c r="M1" s="1415"/>
      <c r="N1" s="1415"/>
      <c r="O1" s="1415"/>
      <c r="P1" s="1415"/>
      <c r="Q1" s="1415"/>
    </row>
    <row r="2" spans="1:32" s="193" customFormat="1" ht="15.75">
      <c r="A2" s="194" t="s">
        <v>492</v>
      </c>
      <c r="I2" s="1415"/>
      <c r="J2" s="1415"/>
      <c r="K2" s="1415"/>
      <c r="L2" s="1415"/>
      <c r="M2" s="1415"/>
      <c r="N2" s="1415"/>
      <c r="O2" s="1415"/>
      <c r="P2" s="1415"/>
      <c r="Q2" s="1415"/>
    </row>
    <row r="3" spans="1:32" s="193" customFormat="1" ht="15.75">
      <c r="A3" s="200" t="s">
        <v>2547</v>
      </c>
      <c r="I3" s="1415"/>
      <c r="J3" s="1415"/>
      <c r="K3" s="1415"/>
      <c r="L3" s="1415"/>
      <c r="M3" s="1415"/>
      <c r="N3" s="1415"/>
      <c r="O3" s="1415"/>
      <c r="P3" s="1415"/>
      <c r="Q3" s="1415"/>
    </row>
    <row r="4" spans="1:32" s="193" customFormat="1" ht="15">
      <c r="A4" s="1255"/>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1:32" s="201" customFormat="1" ht="15">
      <c r="AE5" s="193"/>
      <c r="AF5" s="193"/>
    </row>
    <row r="6" spans="1:32" s="201" customFormat="1" ht="15">
      <c r="AE6" s="193"/>
      <c r="AF6" s="193"/>
    </row>
    <row r="7" spans="1:32" s="201" customFormat="1" ht="15.75" thickBot="1">
      <c r="G7" s="147">
        <v>42552</v>
      </c>
      <c r="I7" s="147">
        <f>+G7+31</f>
        <v>42583</v>
      </c>
      <c r="K7" s="147">
        <f>+I7+31</f>
        <v>42614</v>
      </c>
      <c r="M7" s="147">
        <f>+K7+31</f>
        <v>42645</v>
      </c>
      <c r="O7" s="147">
        <f>+M7+31</f>
        <v>42676</v>
      </c>
      <c r="Q7" s="147">
        <f>+O7+31</f>
        <v>42707</v>
      </c>
      <c r="S7" s="147">
        <f>+Q7+31</f>
        <v>42738</v>
      </c>
      <c r="U7" s="147">
        <f>+S7+31</f>
        <v>42769</v>
      </c>
      <c r="W7" s="147">
        <f>+U7+31</f>
        <v>42800</v>
      </c>
      <c r="Y7" s="147">
        <f>+W7+31</f>
        <v>42831</v>
      </c>
      <c r="AA7" s="147">
        <f>+Y7+31</f>
        <v>42862</v>
      </c>
      <c r="AC7" s="147">
        <f>+AA7+31</f>
        <v>42893</v>
      </c>
      <c r="AE7" s="193"/>
    </row>
    <row r="8" spans="1:32" s="201" customFormat="1" ht="5.25" customHeight="1">
      <c r="C8" s="202"/>
      <c r="G8" s="203"/>
      <c r="I8" s="203"/>
      <c r="K8" s="203"/>
      <c r="M8" s="203"/>
      <c r="O8" s="203"/>
      <c r="Q8" s="203"/>
      <c r="S8" s="203"/>
      <c r="U8" s="203"/>
      <c r="W8" s="203"/>
      <c r="Y8" s="203"/>
      <c r="AA8" s="203"/>
      <c r="AC8" s="203"/>
      <c r="AE8" s="193"/>
    </row>
    <row r="9" spans="1:32" s="189" customFormat="1" ht="4.5" customHeight="1">
      <c r="AE9" s="193"/>
    </row>
    <row r="10" spans="1:32" s="189" customFormat="1" outlineLevel="1">
      <c r="A10" s="190">
        <v>10050</v>
      </c>
      <c r="B10" s="190" t="s">
        <v>336</v>
      </c>
      <c r="C10" s="191"/>
      <c r="D10" s="191"/>
      <c r="G10" s="192">
        <v>-1166.7</v>
      </c>
      <c r="I10" s="192">
        <v>-1046.6300000000001</v>
      </c>
      <c r="K10" s="192">
        <v>0</v>
      </c>
      <c r="M10" s="192">
        <v>-346.49</v>
      </c>
      <c r="O10" s="192">
        <v>-125.05</v>
      </c>
      <c r="Q10" s="192">
        <v>0</v>
      </c>
      <c r="S10" s="192">
        <v>-302.47000000000003</v>
      </c>
      <c r="U10" s="192">
        <v>-358.37</v>
      </c>
      <c r="W10" s="192">
        <v>0</v>
      </c>
      <c r="Y10" s="192">
        <v>443.32</v>
      </c>
      <c r="AA10" s="192">
        <v>3.6</v>
      </c>
      <c r="AC10" s="192">
        <v>968.57</v>
      </c>
    </row>
    <row r="11" spans="1:32" s="189" customFormat="1" outlineLevel="1">
      <c r="A11" s="190">
        <v>10051</v>
      </c>
      <c r="B11" s="190" t="s">
        <v>337</v>
      </c>
      <c r="C11" s="191"/>
      <c r="D11" s="191"/>
      <c r="G11" s="192">
        <v>900</v>
      </c>
      <c r="I11" s="192">
        <v>900</v>
      </c>
      <c r="K11" s="192">
        <v>900</v>
      </c>
      <c r="M11" s="192">
        <v>900</v>
      </c>
      <c r="O11" s="192">
        <v>900</v>
      </c>
      <c r="Q11" s="192">
        <v>900</v>
      </c>
      <c r="S11" s="192">
        <v>900</v>
      </c>
      <c r="U11" s="192">
        <v>900</v>
      </c>
      <c r="W11" s="192">
        <v>900</v>
      </c>
      <c r="Y11" s="192">
        <v>900</v>
      </c>
      <c r="AA11" s="192">
        <v>900</v>
      </c>
      <c r="AC11" s="192">
        <v>900</v>
      </c>
    </row>
    <row r="12" spans="1:32" s="189" customFormat="1" outlineLevel="1">
      <c r="A12" s="190">
        <v>10060</v>
      </c>
      <c r="B12" s="190" t="s">
        <v>338</v>
      </c>
      <c r="C12" s="191"/>
      <c r="D12" s="191"/>
      <c r="G12" s="192">
        <v>0</v>
      </c>
      <c r="I12" s="192">
        <v>0</v>
      </c>
      <c r="K12" s="192">
        <v>0</v>
      </c>
      <c r="M12" s="192">
        <v>0</v>
      </c>
      <c r="O12" s="192">
        <v>0</v>
      </c>
      <c r="Q12" s="192">
        <v>0</v>
      </c>
      <c r="S12" s="192">
        <v>0</v>
      </c>
      <c r="U12" s="192">
        <v>0</v>
      </c>
      <c r="W12" s="192">
        <v>0</v>
      </c>
      <c r="Y12" s="192">
        <v>0</v>
      </c>
      <c r="AA12" s="192">
        <v>0</v>
      </c>
      <c r="AC12" s="192">
        <v>0</v>
      </c>
    </row>
    <row r="13" spans="1:32" s="189" customFormat="1" outlineLevel="1">
      <c r="A13" s="190">
        <v>10070</v>
      </c>
      <c r="B13" s="190" t="s">
        <v>339</v>
      </c>
      <c r="C13" s="191"/>
      <c r="D13" s="191"/>
      <c r="G13" s="192">
        <v>-73797.86</v>
      </c>
      <c r="I13" s="192">
        <v>-102307.63</v>
      </c>
      <c r="K13" s="192">
        <v>-102307.63</v>
      </c>
      <c r="M13" s="192">
        <v>-102307.63</v>
      </c>
      <c r="O13" s="192">
        <v>-102307.63</v>
      </c>
      <c r="Q13" s="192">
        <v>-102307.63</v>
      </c>
      <c r="S13" s="192">
        <v>-102307.63</v>
      </c>
      <c r="U13" s="192">
        <v>-102307.63</v>
      </c>
      <c r="W13" s="192">
        <v>-102307.63</v>
      </c>
      <c r="Y13" s="192">
        <v>-102307.63</v>
      </c>
      <c r="AA13" s="192">
        <v>-102307.63</v>
      </c>
      <c r="AC13" s="192">
        <v>-103069.33</v>
      </c>
    </row>
    <row r="14" spans="1:32" s="189" customFormat="1" outlineLevel="1">
      <c r="A14" s="190">
        <v>10071</v>
      </c>
      <c r="B14" s="190" t="s">
        <v>340</v>
      </c>
      <c r="C14" s="191"/>
      <c r="D14" s="191"/>
      <c r="G14" s="192">
        <v>73797.86</v>
      </c>
      <c r="I14" s="192">
        <v>102307.63</v>
      </c>
      <c r="K14" s="192">
        <v>102307.63</v>
      </c>
      <c r="M14" s="192">
        <v>102307.63</v>
      </c>
      <c r="O14" s="192">
        <v>102307.63</v>
      </c>
      <c r="Q14" s="192">
        <v>102307.63</v>
      </c>
      <c r="S14" s="192">
        <v>102307.63</v>
      </c>
      <c r="U14" s="192">
        <v>102307.63</v>
      </c>
      <c r="W14" s="192">
        <v>102307.63</v>
      </c>
      <c r="Y14" s="192">
        <v>102307.63</v>
      </c>
      <c r="AA14" s="192">
        <v>102307.63</v>
      </c>
      <c r="AC14" s="192">
        <v>103069.33</v>
      </c>
    </row>
    <row r="15" spans="1:32" s="189" customFormat="1" outlineLevel="1">
      <c r="A15" s="190">
        <v>10092</v>
      </c>
      <c r="B15" s="190" t="s">
        <v>341</v>
      </c>
      <c r="C15" s="191"/>
      <c r="D15" s="191"/>
      <c r="G15" s="192">
        <v>0</v>
      </c>
      <c r="I15" s="192">
        <v>0</v>
      </c>
      <c r="K15" s="192">
        <v>0</v>
      </c>
      <c r="M15" s="192">
        <v>0</v>
      </c>
      <c r="O15" s="192">
        <v>42.47</v>
      </c>
      <c r="Q15" s="192">
        <v>42.47</v>
      </c>
      <c r="S15" s="192">
        <v>42.47</v>
      </c>
      <c r="U15" s="192">
        <v>61.59</v>
      </c>
      <c r="W15" s="192">
        <v>61.59</v>
      </c>
      <c r="Y15" s="192">
        <v>61.59</v>
      </c>
      <c r="AA15" s="192">
        <v>61.59</v>
      </c>
      <c r="AC15" s="192">
        <v>61.59</v>
      </c>
    </row>
    <row r="16" spans="1:32" s="189" customFormat="1" outlineLevel="1">
      <c r="A16" s="190">
        <v>10093</v>
      </c>
      <c r="B16" s="190" t="s">
        <v>342</v>
      </c>
      <c r="C16" s="191"/>
      <c r="D16" s="191"/>
      <c r="G16" s="192">
        <v>0</v>
      </c>
      <c r="I16" s="192">
        <v>0</v>
      </c>
      <c r="K16" s="192">
        <v>0</v>
      </c>
      <c r="M16" s="192">
        <v>0</v>
      </c>
      <c r="O16" s="192">
        <v>0</v>
      </c>
      <c r="Q16" s="192">
        <v>0</v>
      </c>
      <c r="S16" s="192">
        <v>0</v>
      </c>
      <c r="U16" s="192">
        <v>0</v>
      </c>
      <c r="W16" s="192">
        <v>0</v>
      </c>
      <c r="Y16" s="192">
        <v>0</v>
      </c>
      <c r="AA16" s="192">
        <v>0</v>
      </c>
      <c r="AC16" s="192">
        <v>0</v>
      </c>
    </row>
    <row r="17" spans="1:29" s="189" customFormat="1" outlineLevel="1">
      <c r="A17" s="190">
        <v>10095</v>
      </c>
      <c r="B17" s="190" t="s">
        <v>343</v>
      </c>
      <c r="C17" s="191"/>
      <c r="D17" s="191"/>
      <c r="G17" s="192">
        <v>0</v>
      </c>
      <c r="I17" s="192">
        <v>0</v>
      </c>
      <c r="K17" s="192">
        <v>0</v>
      </c>
      <c r="M17" s="192">
        <v>0</v>
      </c>
      <c r="O17" s="192">
        <v>0</v>
      </c>
      <c r="Q17" s="192">
        <v>0</v>
      </c>
      <c r="S17" s="192">
        <v>0</v>
      </c>
      <c r="U17" s="192">
        <v>0</v>
      </c>
      <c r="W17" s="192">
        <v>0</v>
      </c>
      <c r="Y17" s="192">
        <v>0</v>
      </c>
      <c r="AA17" s="192">
        <v>0</v>
      </c>
      <c r="AC17" s="192">
        <v>0</v>
      </c>
    </row>
    <row r="18" spans="1:29" s="189" customFormat="1" outlineLevel="1">
      <c r="A18" s="190">
        <v>10096</v>
      </c>
      <c r="B18" s="190" t="s">
        <v>344</v>
      </c>
      <c r="C18" s="191"/>
      <c r="D18" s="191"/>
      <c r="G18" s="192">
        <v>148.35</v>
      </c>
      <c r="I18" s="192">
        <v>148.35</v>
      </c>
      <c r="K18" s="192">
        <v>156.33000000000001</v>
      </c>
      <c r="M18" s="192">
        <v>-6294.76</v>
      </c>
      <c r="O18" s="192">
        <v>156.33000000000001</v>
      </c>
      <c r="Q18" s="192">
        <v>156.33000000000001</v>
      </c>
      <c r="S18" s="192">
        <v>156.33000000000001</v>
      </c>
      <c r="U18" s="192">
        <v>156.33000000000001</v>
      </c>
      <c r="W18" s="192">
        <v>156.33000000000001</v>
      </c>
      <c r="Y18" s="192">
        <v>156.33000000000001</v>
      </c>
      <c r="AA18" s="192">
        <v>156.33000000000001</v>
      </c>
      <c r="AC18" s="192">
        <v>863.72</v>
      </c>
    </row>
    <row r="19" spans="1:29" s="189" customFormat="1" outlineLevel="1">
      <c r="A19" s="190">
        <v>10097</v>
      </c>
      <c r="B19" s="190" t="s">
        <v>345</v>
      </c>
      <c r="C19" s="191"/>
      <c r="D19" s="191"/>
      <c r="G19" s="192">
        <v>486.11</v>
      </c>
      <c r="I19" s="192">
        <v>233.79</v>
      </c>
      <c r="K19" s="192">
        <v>0</v>
      </c>
      <c r="M19" s="192">
        <v>0</v>
      </c>
      <c r="O19" s="192">
        <v>9907.81</v>
      </c>
      <c r="Q19" s="192">
        <v>10068.530000000001</v>
      </c>
      <c r="S19" s="192">
        <v>10069.24</v>
      </c>
      <c r="U19" s="192">
        <v>9518.48</v>
      </c>
      <c r="W19" s="192">
        <v>9518.48</v>
      </c>
      <c r="Y19" s="192">
        <v>9299.74</v>
      </c>
      <c r="AA19" s="192">
        <v>8500.51</v>
      </c>
      <c r="AC19" s="192">
        <v>7810</v>
      </c>
    </row>
    <row r="20" spans="1:29" s="189" customFormat="1" outlineLevel="1">
      <c r="A20" s="190">
        <v>10098</v>
      </c>
      <c r="B20" s="190" t="s">
        <v>346</v>
      </c>
      <c r="C20" s="191"/>
      <c r="D20" s="191"/>
      <c r="G20" s="192">
        <v>963.06</v>
      </c>
      <c r="I20" s="192">
        <v>963.06</v>
      </c>
      <c r="K20" s="192">
        <v>963.06</v>
      </c>
      <c r="M20" s="192">
        <v>0</v>
      </c>
      <c r="O20" s="192">
        <v>27.03</v>
      </c>
      <c r="Q20" s="192">
        <v>27.03</v>
      </c>
      <c r="S20" s="192">
        <v>27.03</v>
      </c>
      <c r="U20" s="192">
        <v>27.03</v>
      </c>
      <c r="W20" s="192">
        <v>27.03</v>
      </c>
      <c r="Y20" s="192">
        <v>27.03</v>
      </c>
      <c r="AA20" s="192">
        <v>27.03</v>
      </c>
      <c r="AC20" s="192">
        <v>27.03</v>
      </c>
    </row>
    <row r="21" spans="1:29" s="189" customFormat="1" outlineLevel="1">
      <c r="A21" s="190">
        <v>10099</v>
      </c>
      <c r="B21" s="190" t="s">
        <v>347</v>
      </c>
      <c r="C21" s="191"/>
      <c r="D21" s="191"/>
      <c r="G21" s="192">
        <v>10044.82</v>
      </c>
      <c r="I21" s="192">
        <v>10098.719999999999</v>
      </c>
      <c r="K21" s="192">
        <v>1355.47</v>
      </c>
      <c r="M21" s="192">
        <v>311.05</v>
      </c>
      <c r="O21" s="192">
        <v>345.86</v>
      </c>
      <c r="Q21" s="192">
        <v>464.62</v>
      </c>
      <c r="S21" s="192">
        <v>595.20000000000005</v>
      </c>
      <c r="U21" s="192">
        <v>1030.9000000000001</v>
      </c>
      <c r="W21" s="192">
        <v>468.3</v>
      </c>
      <c r="Y21" s="192">
        <v>610.08000000000004</v>
      </c>
      <c r="AA21" s="192">
        <v>772</v>
      </c>
      <c r="AC21" s="192">
        <v>852.72</v>
      </c>
    </row>
    <row r="22" spans="1:29" s="189" customFormat="1" ht="4.5" customHeight="1" outlineLevel="1">
      <c r="G22" s="204"/>
      <c r="I22" s="204"/>
      <c r="K22" s="204"/>
      <c r="M22" s="204"/>
      <c r="O22" s="204"/>
      <c r="Q22" s="204"/>
      <c r="S22" s="204"/>
      <c r="U22" s="204"/>
      <c r="W22" s="204"/>
      <c r="Y22" s="204"/>
      <c r="AA22" s="204"/>
      <c r="AC22" s="204"/>
    </row>
    <row r="23" spans="1:29" s="189" customFormat="1">
      <c r="C23" s="189" t="s">
        <v>348</v>
      </c>
      <c r="G23" s="155">
        <f>SUM(G10:G22)</f>
        <v>11375.640000000003</v>
      </c>
      <c r="I23" s="155">
        <f>SUM(I10:I22)</f>
        <v>11297.289999999994</v>
      </c>
      <c r="K23" s="155">
        <f>SUM(K10:K22)</f>
        <v>3374.8599999999997</v>
      </c>
      <c r="M23" s="155">
        <f>SUM(M10:M22)</f>
        <v>-5430.2000000000053</v>
      </c>
      <c r="O23" s="155">
        <f>SUM(O10:O22)</f>
        <v>11254.449999999997</v>
      </c>
      <c r="Q23" s="155">
        <f>SUM(Q10:Q22)</f>
        <v>11658.980000000001</v>
      </c>
      <c r="S23" s="155">
        <f>SUM(S10:S22)</f>
        <v>11487.8</v>
      </c>
      <c r="U23" s="155">
        <f>SUM(U10:U22)</f>
        <v>11335.960000000005</v>
      </c>
      <c r="W23" s="155">
        <f>SUM(W10:W22)</f>
        <v>11131.73</v>
      </c>
      <c r="Y23" s="155">
        <f>SUM(Y10:Y22)</f>
        <v>11498.090000000007</v>
      </c>
      <c r="AA23" s="155">
        <f>SUM(AA10:AA22)</f>
        <v>10421.060000000007</v>
      </c>
      <c r="AC23" s="155">
        <f>SUM(AC10:AC22)</f>
        <v>11483.630000000006</v>
      </c>
    </row>
    <row r="24" spans="1:29" s="189" customFormat="1" outlineLevel="1">
      <c r="A24" s="190">
        <v>11501</v>
      </c>
      <c r="B24" s="190" t="s">
        <v>350</v>
      </c>
      <c r="C24" s="191"/>
      <c r="D24" s="191"/>
      <c r="G24" s="192">
        <v>1526732.76</v>
      </c>
      <c r="I24" s="192">
        <v>1591209.76</v>
      </c>
      <c r="K24" s="192">
        <v>1476748.49</v>
      </c>
      <c r="M24" s="192">
        <v>1523814.71</v>
      </c>
      <c r="O24" s="192">
        <v>1549014.03</v>
      </c>
      <c r="Q24" s="192">
        <v>1670515.12</v>
      </c>
      <c r="S24" s="192">
        <v>1455199.69</v>
      </c>
      <c r="U24" s="192">
        <v>1664742.54</v>
      </c>
      <c r="W24" s="192">
        <v>1522099.77</v>
      </c>
      <c r="Y24" s="192">
        <v>1647001.47</v>
      </c>
      <c r="AA24" s="192">
        <v>1577734.35</v>
      </c>
      <c r="AC24" s="192">
        <v>1647383.84</v>
      </c>
    </row>
    <row r="25" spans="1:29" s="189" customFormat="1" outlineLevel="1">
      <c r="A25" s="190">
        <v>11502</v>
      </c>
      <c r="B25" s="190" t="s">
        <v>351</v>
      </c>
      <c r="C25" s="191"/>
      <c r="D25" s="191"/>
      <c r="G25" s="192">
        <v>25482.06</v>
      </c>
      <c r="I25" s="192">
        <v>38476.589999999997</v>
      </c>
      <c r="K25" s="192">
        <v>32956.720000000001</v>
      </c>
      <c r="M25" s="192">
        <v>41036.589999999997</v>
      </c>
      <c r="O25" s="192">
        <v>27667.4</v>
      </c>
      <c r="Q25" s="192">
        <v>-19587.099999999999</v>
      </c>
      <c r="S25" s="192">
        <v>14998.41</v>
      </c>
      <c r="U25" s="192">
        <v>25850.38</v>
      </c>
      <c r="W25" s="192">
        <v>41111.53</v>
      </c>
      <c r="Y25" s="192">
        <v>35904.67</v>
      </c>
      <c r="AA25" s="192">
        <v>37504.42</v>
      </c>
      <c r="AC25" s="192">
        <v>54154.34</v>
      </c>
    </row>
    <row r="26" spans="1:29" s="189" customFormat="1" outlineLevel="1">
      <c r="A26" s="190">
        <v>11510</v>
      </c>
      <c r="B26" s="190" t="s">
        <v>352</v>
      </c>
      <c r="C26" s="191"/>
      <c r="D26" s="191"/>
      <c r="G26" s="192">
        <v>7527.8</v>
      </c>
      <c r="I26" s="192">
        <v>0</v>
      </c>
      <c r="K26" s="192">
        <v>0</v>
      </c>
      <c r="M26" s="192">
        <v>0</v>
      </c>
      <c r="O26" s="192">
        <v>0</v>
      </c>
      <c r="Q26" s="192">
        <v>0</v>
      </c>
      <c r="S26" s="192">
        <v>0</v>
      </c>
      <c r="U26" s="192">
        <v>0</v>
      </c>
      <c r="W26" s="192">
        <v>0</v>
      </c>
      <c r="Y26" s="192">
        <v>0</v>
      </c>
      <c r="AA26" s="192">
        <v>0</v>
      </c>
      <c r="AC26" s="192">
        <v>0</v>
      </c>
    </row>
    <row r="27" spans="1:29" s="189" customFormat="1" outlineLevel="1">
      <c r="A27" s="190">
        <v>11511</v>
      </c>
      <c r="B27" s="190" t="s">
        <v>353</v>
      </c>
      <c r="C27" s="191"/>
      <c r="D27" s="191"/>
      <c r="G27" s="192">
        <v>34310.14</v>
      </c>
      <c r="I27" s="192">
        <v>38541.15</v>
      </c>
      <c r="K27" s="192">
        <v>38556.949999999997</v>
      </c>
      <c r="M27" s="192">
        <v>37255.800000000003</v>
      </c>
      <c r="O27" s="192">
        <v>40362</v>
      </c>
      <c r="Q27" s="192">
        <v>39594.85</v>
      </c>
      <c r="S27" s="192">
        <v>45275.29</v>
      </c>
      <c r="U27" s="192">
        <v>52677.3</v>
      </c>
      <c r="W27" s="192">
        <v>56925.9</v>
      </c>
      <c r="Y27" s="192">
        <v>50241.49</v>
      </c>
      <c r="AA27" s="192">
        <v>46961.2</v>
      </c>
      <c r="AC27" s="192">
        <v>59560.95</v>
      </c>
    </row>
    <row r="28" spans="1:29" s="189" customFormat="1" outlineLevel="1">
      <c r="A28" s="190">
        <v>11800</v>
      </c>
      <c r="B28" s="190" t="s">
        <v>354</v>
      </c>
      <c r="C28" s="191"/>
      <c r="D28" s="191"/>
      <c r="G28" s="192">
        <v>0</v>
      </c>
      <c r="I28" s="192">
        <v>162.30000000000001</v>
      </c>
      <c r="K28" s="192">
        <v>0</v>
      </c>
      <c r="M28" s="192">
        <v>0</v>
      </c>
      <c r="O28" s="192">
        <v>4170.91</v>
      </c>
      <c r="Q28" s="192">
        <v>13694.61</v>
      </c>
      <c r="S28" s="192">
        <v>1180.31</v>
      </c>
      <c r="U28" s="192">
        <v>801.61</v>
      </c>
      <c r="W28" s="192">
        <v>801.61</v>
      </c>
      <c r="Y28" s="192">
        <v>20545.07</v>
      </c>
      <c r="AA28" s="192">
        <v>801.61</v>
      </c>
      <c r="AC28" s="192">
        <v>801.61</v>
      </c>
    </row>
    <row r="29" spans="1:29" s="189" customFormat="1" outlineLevel="1">
      <c r="A29" s="190">
        <v>11901</v>
      </c>
      <c r="B29" s="190" t="s">
        <v>355</v>
      </c>
      <c r="C29" s="191"/>
      <c r="D29" s="191"/>
      <c r="G29" s="192">
        <v>-548100.92000000004</v>
      </c>
      <c r="I29" s="192">
        <v>-559873.09</v>
      </c>
      <c r="K29" s="192">
        <v>-565698.5</v>
      </c>
      <c r="M29" s="192">
        <v>-570398.65</v>
      </c>
      <c r="O29" s="192">
        <v>-572603.62</v>
      </c>
      <c r="Q29" s="192">
        <v>-577340.64</v>
      </c>
      <c r="S29" s="192">
        <v>-584514.56999999995</v>
      </c>
      <c r="U29" s="192">
        <v>-582300.82999999996</v>
      </c>
      <c r="W29" s="192">
        <v>-589821.12</v>
      </c>
      <c r="Y29" s="192">
        <v>-592040.81000000006</v>
      </c>
      <c r="AA29" s="192">
        <v>-592184.25</v>
      </c>
      <c r="AC29" s="192">
        <v>-594357.07999999996</v>
      </c>
    </row>
    <row r="30" spans="1:29" s="189" customFormat="1" outlineLevel="1">
      <c r="A30" s="190">
        <v>11902</v>
      </c>
      <c r="B30" s="190" t="s">
        <v>356</v>
      </c>
      <c r="C30" s="191"/>
      <c r="D30" s="191"/>
      <c r="G30" s="192">
        <v>669572.74</v>
      </c>
      <c r="I30" s="192">
        <v>685764.07</v>
      </c>
      <c r="K30" s="192">
        <v>693316.02</v>
      </c>
      <c r="M30" s="192">
        <v>701133.31</v>
      </c>
      <c r="O30" s="192">
        <v>705941.87</v>
      </c>
      <c r="Q30" s="192">
        <v>711367.8</v>
      </c>
      <c r="S30" s="192">
        <v>718619.5</v>
      </c>
      <c r="U30" s="192">
        <v>725921.95</v>
      </c>
      <c r="W30" s="192">
        <v>732229.71</v>
      </c>
      <c r="Y30" s="192">
        <v>739460.68</v>
      </c>
      <c r="AA30" s="192">
        <v>743304.36</v>
      </c>
      <c r="AC30" s="192">
        <v>749099.65</v>
      </c>
    </row>
    <row r="31" spans="1:29" s="189" customFormat="1" outlineLevel="1">
      <c r="A31" s="190">
        <v>11903</v>
      </c>
      <c r="B31" s="190" t="s">
        <v>357</v>
      </c>
      <c r="C31" s="191"/>
      <c r="D31" s="191"/>
      <c r="G31" s="192">
        <v>-133192.19</v>
      </c>
      <c r="I31" s="192">
        <v>-135268.32999999999</v>
      </c>
      <c r="K31" s="192">
        <v>-136261.87</v>
      </c>
      <c r="M31" s="192">
        <v>-139004.34</v>
      </c>
      <c r="O31" s="192">
        <v>-143542.62</v>
      </c>
      <c r="Q31" s="192">
        <v>-145345.15</v>
      </c>
      <c r="S31" s="192">
        <v>-147461.45000000001</v>
      </c>
      <c r="U31" s="192">
        <v>-150242.01999999999</v>
      </c>
      <c r="W31" s="192">
        <v>-152601.57999999999</v>
      </c>
      <c r="Y31" s="192">
        <v>-155971.67000000001</v>
      </c>
      <c r="AA31" s="192">
        <v>-157068.5</v>
      </c>
      <c r="AC31" s="192">
        <v>-164503.29999999999</v>
      </c>
    </row>
    <row r="32" spans="1:29" s="189" customFormat="1" ht="5.0999999999999996" customHeight="1" outlineLevel="1">
      <c r="A32" s="191"/>
      <c r="B32" s="191"/>
      <c r="C32" s="191"/>
      <c r="D32" s="191"/>
      <c r="G32" s="158"/>
      <c r="I32" s="158"/>
      <c r="K32" s="158"/>
      <c r="M32" s="158"/>
      <c r="O32" s="158"/>
      <c r="Q32" s="158"/>
      <c r="S32" s="158"/>
      <c r="U32" s="158"/>
      <c r="W32" s="158"/>
      <c r="Y32" s="158"/>
      <c r="AA32" s="158"/>
      <c r="AC32" s="158"/>
    </row>
    <row r="33" spans="1:29" s="189" customFormat="1">
      <c r="C33" s="190" t="s">
        <v>358</v>
      </c>
      <c r="G33" s="155">
        <f>SUM(G24:G32)</f>
        <v>1582332.3900000001</v>
      </c>
      <c r="I33" s="155">
        <f>SUM(I24:I32)</f>
        <v>1659012.4499999997</v>
      </c>
      <c r="K33" s="155">
        <f>SUM(K24:K32)</f>
        <v>1539617.81</v>
      </c>
      <c r="M33" s="155">
        <f>SUM(M24:M32)</f>
        <v>1593837.4200000002</v>
      </c>
      <c r="O33" s="155">
        <f>SUM(O24:O32)</f>
        <v>1611009.9699999997</v>
      </c>
      <c r="Q33" s="155">
        <f>SUM(Q24:Q32)</f>
        <v>1692899.4900000005</v>
      </c>
      <c r="S33" s="155">
        <f>SUM(S24:S32)</f>
        <v>1503297.18</v>
      </c>
      <c r="U33" s="155">
        <f>SUM(U24:U32)</f>
        <v>1737450.93</v>
      </c>
      <c r="W33" s="155">
        <f>SUM(W24:W32)</f>
        <v>1610745.8199999998</v>
      </c>
      <c r="Y33" s="155">
        <f>SUM(Y24:Y32)</f>
        <v>1745140.9</v>
      </c>
      <c r="AA33" s="155">
        <f>SUM(AA24:AA32)</f>
        <v>1657053.19</v>
      </c>
      <c r="AC33" s="155">
        <f>SUM(AC24:AC32)</f>
        <v>1752140.01</v>
      </c>
    </row>
    <row r="34" spans="1:29" s="189" customFormat="1" outlineLevel="1">
      <c r="A34" s="190">
        <v>12001</v>
      </c>
      <c r="B34" s="190" t="s">
        <v>360</v>
      </c>
      <c r="C34" s="191"/>
      <c r="D34" s="191"/>
      <c r="G34" s="192">
        <v>88249.51</v>
      </c>
      <c r="I34" s="192">
        <v>88249.51</v>
      </c>
      <c r="K34" s="192">
        <v>93323.14</v>
      </c>
      <c r="M34" s="192">
        <v>93323.14</v>
      </c>
      <c r="O34" s="192">
        <v>93323.14</v>
      </c>
      <c r="Q34" s="192">
        <v>93323.14</v>
      </c>
      <c r="S34" s="192">
        <v>93323.14</v>
      </c>
      <c r="U34" s="192">
        <v>93323.14</v>
      </c>
      <c r="W34" s="192">
        <v>93323.14</v>
      </c>
      <c r="Y34" s="192">
        <v>93323.14</v>
      </c>
      <c r="AA34" s="192">
        <v>93323.14</v>
      </c>
      <c r="AC34" s="192">
        <v>93323.14</v>
      </c>
    </row>
    <row r="35" spans="1:29" s="189" customFormat="1" outlineLevel="1">
      <c r="A35" s="190">
        <v>12002</v>
      </c>
      <c r="B35" s="190" t="s">
        <v>361</v>
      </c>
      <c r="C35" s="191"/>
      <c r="D35" s="191"/>
      <c r="G35" s="192">
        <v>32197.759999999998</v>
      </c>
      <c r="I35" s="192">
        <v>39950.01</v>
      </c>
      <c r="K35" s="192">
        <v>42849.9</v>
      </c>
      <c r="M35" s="192">
        <v>5602.9</v>
      </c>
      <c r="O35" s="192">
        <v>17872.419999999998</v>
      </c>
      <c r="Q35" s="192">
        <v>24149.06</v>
      </c>
      <c r="S35" s="192">
        <v>39453.360000000001</v>
      </c>
      <c r="U35" s="192">
        <v>26248.38</v>
      </c>
      <c r="W35" s="192">
        <v>25636.07</v>
      </c>
      <c r="Y35" s="192">
        <v>11907.98</v>
      </c>
      <c r="AA35" s="192">
        <v>14281.27</v>
      </c>
      <c r="AC35" s="192">
        <v>14277.88</v>
      </c>
    </row>
    <row r="36" spans="1:29" s="189" customFormat="1" outlineLevel="1">
      <c r="A36" s="190">
        <v>12003</v>
      </c>
      <c r="B36" s="190" t="s">
        <v>362</v>
      </c>
      <c r="C36" s="191"/>
      <c r="D36" s="191"/>
      <c r="G36" s="192">
        <v>8910.93</v>
      </c>
      <c r="I36" s="192">
        <v>8910.93</v>
      </c>
      <c r="K36" s="192">
        <v>9501.11</v>
      </c>
      <c r="M36" s="192">
        <v>9501.11</v>
      </c>
      <c r="O36" s="192">
        <v>9501.11</v>
      </c>
      <c r="Q36" s="192">
        <v>9501.11</v>
      </c>
      <c r="S36" s="192">
        <v>9501.11</v>
      </c>
      <c r="U36" s="192">
        <v>9501.11</v>
      </c>
      <c r="W36" s="192">
        <v>9501.11</v>
      </c>
      <c r="Y36" s="192">
        <v>9501.11</v>
      </c>
      <c r="AA36" s="192">
        <v>9501.11</v>
      </c>
      <c r="AC36" s="192">
        <v>9501.11</v>
      </c>
    </row>
    <row r="37" spans="1:29" s="189" customFormat="1" outlineLevel="1">
      <c r="A37" s="190">
        <v>12004</v>
      </c>
      <c r="B37" s="190" t="s">
        <v>363</v>
      </c>
      <c r="C37" s="191"/>
      <c r="D37" s="191"/>
      <c r="G37" s="192">
        <v>20012.39</v>
      </c>
      <c r="I37" s="192">
        <v>20012.39</v>
      </c>
      <c r="K37" s="192">
        <v>17758.990000000002</v>
      </c>
      <c r="M37" s="192">
        <v>17758.990000000002</v>
      </c>
      <c r="O37" s="192">
        <v>17758.990000000002</v>
      </c>
      <c r="Q37" s="192">
        <v>17758.990000000002</v>
      </c>
      <c r="S37" s="192">
        <v>17758.990000000002</v>
      </c>
      <c r="U37" s="192">
        <v>17758.990000000002</v>
      </c>
      <c r="W37" s="192">
        <v>17758.990000000002</v>
      </c>
      <c r="Y37" s="192">
        <v>17758.990000000002</v>
      </c>
      <c r="AA37" s="192">
        <v>17758.990000000002</v>
      </c>
      <c r="AC37" s="192">
        <v>17758.990000000002</v>
      </c>
    </row>
    <row r="38" spans="1:29" s="189" customFormat="1" outlineLevel="1">
      <c r="A38" s="190">
        <v>12005</v>
      </c>
      <c r="B38" s="190" t="s">
        <v>364</v>
      </c>
      <c r="C38" s="191"/>
      <c r="D38" s="191"/>
      <c r="G38" s="192">
        <v>10608.72</v>
      </c>
      <c r="I38" s="192">
        <v>10608.72</v>
      </c>
      <c r="K38" s="192">
        <v>18983.75</v>
      </c>
      <c r="M38" s="192">
        <v>18983.75</v>
      </c>
      <c r="O38" s="192">
        <v>18983.75</v>
      </c>
      <c r="Q38" s="192">
        <v>18983.75</v>
      </c>
      <c r="S38" s="192">
        <v>18983.75</v>
      </c>
      <c r="U38" s="192">
        <v>18983.75</v>
      </c>
      <c r="W38" s="192">
        <v>18983.75</v>
      </c>
      <c r="Y38" s="192">
        <v>18983.75</v>
      </c>
      <c r="AA38" s="192">
        <v>18983.75</v>
      </c>
      <c r="AC38" s="192">
        <v>18983.75</v>
      </c>
    </row>
    <row r="39" spans="1:29" s="189" customFormat="1" ht="5.0999999999999996" customHeight="1" outlineLevel="1">
      <c r="A39" s="191"/>
      <c r="B39" s="191"/>
      <c r="C39" s="191"/>
      <c r="D39" s="191"/>
      <c r="G39" s="158"/>
      <c r="I39" s="158"/>
      <c r="K39" s="158"/>
      <c r="M39" s="158"/>
      <c r="O39" s="158"/>
      <c r="Q39" s="158"/>
      <c r="S39" s="158"/>
      <c r="U39" s="158"/>
      <c r="W39" s="158"/>
      <c r="Y39" s="158"/>
      <c r="AA39" s="158"/>
      <c r="AC39" s="158"/>
    </row>
    <row r="40" spans="1:29" s="189" customFormat="1">
      <c r="C40" s="190" t="s">
        <v>365</v>
      </c>
      <c r="G40" s="155">
        <f>SUM(G34:G39)</f>
        <v>159979.30999999997</v>
      </c>
      <c r="I40" s="155">
        <f>SUM(I34:I39)</f>
        <v>167731.55999999997</v>
      </c>
      <c r="K40" s="155">
        <f>SUM(K34:K39)</f>
        <v>182416.89</v>
      </c>
      <c r="M40" s="155">
        <f>SUM(M34:M39)</f>
        <v>145169.89000000001</v>
      </c>
      <c r="O40" s="155">
        <f>SUM(O34:O39)</f>
        <v>157439.41</v>
      </c>
      <c r="Q40" s="155">
        <f>SUM(Q34:Q39)</f>
        <v>163716.04999999999</v>
      </c>
      <c r="S40" s="155">
        <f>SUM(S34:S39)</f>
        <v>179020.34999999998</v>
      </c>
      <c r="U40" s="155">
        <f>SUM(U34:U39)</f>
        <v>165815.37</v>
      </c>
      <c r="W40" s="155">
        <f>SUM(W34:W39)</f>
        <v>165203.06</v>
      </c>
      <c r="Y40" s="155">
        <f>SUM(Y34:Y39)</f>
        <v>151474.97</v>
      </c>
      <c r="AA40" s="155">
        <f>SUM(AA34:AA39)</f>
        <v>153848.26</v>
      </c>
      <c r="AC40" s="155">
        <f>SUM(AC34:AC39)</f>
        <v>153844.87</v>
      </c>
    </row>
    <row r="41" spans="1:29" s="189" customFormat="1" outlineLevel="1">
      <c r="A41" s="190">
        <v>13001</v>
      </c>
      <c r="B41" s="190" t="s">
        <v>367</v>
      </c>
      <c r="C41" s="191"/>
      <c r="D41" s="191"/>
      <c r="G41" s="192">
        <v>13187.5</v>
      </c>
      <c r="I41" s="192">
        <v>10550</v>
      </c>
      <c r="K41" s="192">
        <v>7912.5</v>
      </c>
      <c r="M41" s="192">
        <v>45543</v>
      </c>
      <c r="O41" s="192">
        <v>45005.5</v>
      </c>
      <c r="Q41" s="192">
        <v>42368</v>
      </c>
      <c r="S41" s="192">
        <v>38837.33</v>
      </c>
      <c r="U41" s="192">
        <v>35306.660000000003</v>
      </c>
      <c r="W41" s="192">
        <v>31775.99</v>
      </c>
      <c r="Y41" s="192">
        <v>28245.32</v>
      </c>
      <c r="AA41" s="192">
        <v>24714.65</v>
      </c>
      <c r="AC41" s="192">
        <v>21183.98</v>
      </c>
    </row>
    <row r="42" spans="1:29" s="189" customFormat="1" outlineLevel="1">
      <c r="A42" s="190">
        <v>13002</v>
      </c>
      <c r="B42" s="190" t="s">
        <v>368</v>
      </c>
      <c r="C42" s="191"/>
      <c r="D42" s="191"/>
      <c r="G42" s="192">
        <v>250</v>
      </c>
      <c r="I42" s="192">
        <v>125</v>
      </c>
      <c r="K42" s="192">
        <v>1250</v>
      </c>
      <c r="M42" s="192">
        <v>1145.83</v>
      </c>
      <c r="O42" s="192">
        <v>1041.6600000000001</v>
      </c>
      <c r="Q42" s="192">
        <v>937.5</v>
      </c>
      <c r="S42" s="192">
        <v>833.33</v>
      </c>
      <c r="U42" s="192">
        <v>729.16</v>
      </c>
      <c r="W42" s="192">
        <v>624.99</v>
      </c>
      <c r="Y42" s="192">
        <v>520.82000000000005</v>
      </c>
      <c r="AA42" s="192">
        <v>416.65</v>
      </c>
      <c r="AC42" s="192">
        <v>312.48</v>
      </c>
    </row>
    <row r="43" spans="1:29" s="189" customFormat="1" outlineLevel="1">
      <c r="A43" s="190">
        <v>13003</v>
      </c>
      <c r="B43" s="190" t="s">
        <v>369</v>
      </c>
      <c r="C43" s="191"/>
      <c r="D43" s="191"/>
      <c r="G43" s="192">
        <v>1836</v>
      </c>
      <c r="I43" s="192">
        <v>1530</v>
      </c>
      <c r="K43" s="192">
        <v>1377</v>
      </c>
      <c r="M43" s="192">
        <v>1224</v>
      </c>
      <c r="O43" s="192">
        <v>1071</v>
      </c>
      <c r="Q43" s="192">
        <v>918</v>
      </c>
      <c r="S43" s="192">
        <v>765</v>
      </c>
      <c r="U43" s="192">
        <v>612</v>
      </c>
      <c r="W43" s="192">
        <v>459</v>
      </c>
      <c r="Y43" s="192">
        <v>306</v>
      </c>
      <c r="AA43" s="192">
        <v>153</v>
      </c>
      <c r="AC43" s="192">
        <v>0</v>
      </c>
    </row>
    <row r="44" spans="1:29" s="189" customFormat="1" outlineLevel="1">
      <c r="A44" s="190">
        <v>13004</v>
      </c>
      <c r="B44" s="190" t="s">
        <v>370</v>
      </c>
      <c r="C44" s="191"/>
      <c r="D44" s="191"/>
      <c r="G44" s="192">
        <v>14354.66</v>
      </c>
      <c r="I44" s="192">
        <v>11483.72</v>
      </c>
      <c r="K44" s="192">
        <v>8612.7800000000007</v>
      </c>
      <c r="M44" s="192">
        <v>5741.88</v>
      </c>
      <c r="O44" s="192">
        <v>2870.98</v>
      </c>
      <c r="Q44" s="192">
        <v>0</v>
      </c>
      <c r="S44" s="192">
        <v>0</v>
      </c>
      <c r="U44" s="192">
        <v>0</v>
      </c>
      <c r="W44" s="192">
        <v>0</v>
      </c>
      <c r="Y44" s="192">
        <v>22817.5</v>
      </c>
      <c r="AA44" s="192">
        <v>19965.310000000001</v>
      </c>
      <c r="AC44" s="192">
        <v>17113.12</v>
      </c>
    </row>
    <row r="45" spans="1:29" s="189" customFormat="1" outlineLevel="1">
      <c r="A45" s="190">
        <v>13007</v>
      </c>
      <c r="B45" s="190" t="s">
        <v>371</v>
      </c>
      <c r="C45" s="191"/>
      <c r="D45" s="191"/>
      <c r="G45" s="192">
        <v>0</v>
      </c>
      <c r="I45" s="192">
        <v>477.1</v>
      </c>
      <c r="K45" s="192">
        <v>477.1</v>
      </c>
      <c r="M45" s="192">
        <v>477.1</v>
      </c>
      <c r="O45" s="192">
        <v>477.1</v>
      </c>
      <c r="Q45" s="192">
        <v>477.1</v>
      </c>
      <c r="S45" s="192">
        <v>0</v>
      </c>
      <c r="U45" s="192">
        <v>0</v>
      </c>
      <c r="W45" s="192">
        <v>0</v>
      </c>
      <c r="Y45" s="192">
        <v>0</v>
      </c>
      <c r="AA45" s="192">
        <v>0</v>
      </c>
      <c r="AC45" s="192">
        <v>0</v>
      </c>
    </row>
    <row r="46" spans="1:29" s="189" customFormat="1" outlineLevel="1">
      <c r="A46" s="190">
        <v>13008</v>
      </c>
      <c r="B46" s="190" t="s">
        <v>372</v>
      </c>
      <c r="C46" s="191"/>
      <c r="D46" s="191"/>
      <c r="G46" s="192">
        <v>9092.49</v>
      </c>
      <c r="I46" s="192">
        <v>8365.48</v>
      </c>
      <c r="K46" s="192">
        <v>7638.44</v>
      </c>
      <c r="M46" s="192">
        <v>6911.4</v>
      </c>
      <c r="O46" s="192">
        <v>6184.36</v>
      </c>
      <c r="Q46" s="192">
        <v>5456.18</v>
      </c>
      <c r="S46" s="192">
        <v>4729.12</v>
      </c>
      <c r="U46" s="192">
        <v>4002.06</v>
      </c>
      <c r="W46" s="192">
        <v>3558.49</v>
      </c>
      <c r="Y46" s="192">
        <v>3248.32</v>
      </c>
      <c r="AA46" s="192">
        <v>8686.93</v>
      </c>
      <c r="AC46" s="192">
        <v>7771.63</v>
      </c>
    </row>
    <row r="47" spans="1:29" s="189" customFormat="1" ht="3.75" customHeight="1" outlineLevel="1">
      <c r="A47" s="191"/>
      <c r="B47" s="191"/>
      <c r="C47" s="191"/>
      <c r="D47" s="191"/>
      <c r="G47" s="158"/>
      <c r="I47" s="158"/>
      <c r="K47" s="158"/>
      <c r="M47" s="158"/>
      <c r="O47" s="158"/>
      <c r="Q47" s="158"/>
      <c r="S47" s="158"/>
      <c r="U47" s="158"/>
      <c r="W47" s="158"/>
      <c r="Y47" s="158"/>
      <c r="AA47" s="158"/>
      <c r="AC47" s="158"/>
    </row>
    <row r="48" spans="1:29" s="189" customFormat="1">
      <c r="C48" s="190" t="s">
        <v>373</v>
      </c>
      <c r="G48" s="155">
        <f>SUM(G41:G47)</f>
        <v>38720.65</v>
      </c>
      <c r="I48" s="155">
        <f>SUM(I41:I47)</f>
        <v>32531.3</v>
      </c>
      <c r="K48" s="155">
        <f>SUM(K41:K47)</f>
        <v>27267.819999999996</v>
      </c>
      <c r="M48" s="155">
        <f>SUM(M41:M47)</f>
        <v>61043.21</v>
      </c>
      <c r="O48" s="155">
        <f>SUM(O41:O47)</f>
        <v>56650.600000000006</v>
      </c>
      <c r="Q48" s="155">
        <f>SUM(Q41:Q47)</f>
        <v>50156.78</v>
      </c>
      <c r="S48" s="155">
        <f>SUM(S41:S47)</f>
        <v>45164.780000000006</v>
      </c>
      <c r="U48" s="155">
        <f>SUM(U41:U47)</f>
        <v>40649.880000000005</v>
      </c>
      <c r="W48" s="155">
        <f>SUM(W41:W47)</f>
        <v>36418.47</v>
      </c>
      <c r="Y48" s="155">
        <f>SUM(Y41:Y47)</f>
        <v>55137.96</v>
      </c>
      <c r="AA48" s="155">
        <f>SUM(AA41:AA47)</f>
        <v>53936.54</v>
      </c>
      <c r="AC48" s="155">
        <f>SUM(AC41:AC47)</f>
        <v>46381.21</v>
      </c>
    </row>
    <row r="49" spans="1:29" s="164" customFormat="1" outlineLevel="1"/>
    <row r="50" spans="1:29" s="189" customFormat="1" ht="3.75" customHeight="1" outlineLevel="1">
      <c r="A50" s="191"/>
      <c r="B50" s="191"/>
      <c r="C50" s="191"/>
      <c r="D50" s="191"/>
      <c r="G50" s="158"/>
      <c r="I50" s="158"/>
      <c r="K50" s="158"/>
      <c r="M50" s="158"/>
      <c r="O50" s="158"/>
      <c r="Q50" s="158"/>
      <c r="S50" s="158"/>
      <c r="U50" s="158"/>
      <c r="W50" s="158"/>
      <c r="Y50" s="158"/>
      <c r="AA50" s="158"/>
      <c r="AC50" s="158"/>
    </row>
    <row r="51" spans="1:29" s="189" customFormat="1">
      <c r="C51" s="190" t="s">
        <v>375</v>
      </c>
      <c r="G51" s="155">
        <f>SUM(G49:G50)</f>
        <v>0</v>
      </c>
      <c r="I51" s="155">
        <f>SUM(I49:I50)</f>
        <v>0</v>
      </c>
      <c r="K51" s="155">
        <f>SUM(K49:K50)</f>
        <v>0</v>
      </c>
      <c r="M51" s="155">
        <f>SUM(M49:M50)</f>
        <v>0</v>
      </c>
      <c r="O51" s="155">
        <f>SUM(O49:O50)</f>
        <v>0</v>
      </c>
      <c r="Q51" s="155">
        <f>SUM(Q49:Q50)</f>
        <v>0</v>
      </c>
      <c r="S51" s="155">
        <f>SUM(S49:S50)</f>
        <v>0</v>
      </c>
      <c r="U51" s="155">
        <f>SUM(U49:U50)</f>
        <v>0</v>
      </c>
      <c r="W51" s="155">
        <f>SUM(W49:W50)</f>
        <v>0</v>
      </c>
      <c r="Y51" s="155">
        <f>SUM(Y49:Y50)</f>
        <v>0</v>
      </c>
      <c r="AA51" s="155">
        <f>SUM(AA49:AA50)</f>
        <v>0</v>
      </c>
      <c r="AC51" s="155">
        <f>SUM(AC49:AC50)</f>
        <v>0</v>
      </c>
    </row>
    <row r="52" spans="1:29" s="189" customFormat="1" ht="7.5" customHeight="1">
      <c r="G52" s="157"/>
      <c r="I52" s="157"/>
      <c r="K52" s="157"/>
      <c r="M52" s="157"/>
      <c r="O52" s="157"/>
      <c r="Q52" s="157"/>
      <c r="S52" s="157"/>
      <c r="U52" s="157"/>
      <c r="W52" s="157"/>
      <c r="Y52" s="157"/>
      <c r="AA52" s="157"/>
      <c r="AC52" s="157"/>
    </row>
    <row r="53" spans="1:29" s="189" customFormat="1">
      <c r="B53" s="205" t="s">
        <v>376</v>
      </c>
      <c r="G53" s="161">
        <f>SUM(G23,G33,G40,G48,G51)</f>
        <v>1792407.99</v>
      </c>
      <c r="I53" s="161">
        <f>SUM(I23,I33,I40,I48,I51)</f>
        <v>1870572.5999999999</v>
      </c>
      <c r="K53" s="161">
        <f>SUM(K23,K33,K40,K48,K51)</f>
        <v>1752677.3800000001</v>
      </c>
      <c r="M53" s="161">
        <f>SUM(M23,M33,M40,M48,M51)</f>
        <v>1794620.3200000003</v>
      </c>
      <c r="O53" s="161">
        <f>SUM(O23,O33,O40,O48,O51)</f>
        <v>1836354.4299999997</v>
      </c>
      <c r="Q53" s="161">
        <f>SUM(Q23,Q33,Q40,Q48,Q51)</f>
        <v>1918431.3000000005</v>
      </c>
      <c r="S53" s="161">
        <f>SUM(S23,S33,S40,S48,S51)</f>
        <v>1738970.11</v>
      </c>
      <c r="U53" s="161">
        <f>SUM(U23,U33,U40,U48,U51)</f>
        <v>1955252.1399999997</v>
      </c>
      <c r="W53" s="161">
        <f>SUM(W23,W33,W40,W48,W51)</f>
        <v>1823499.0799999998</v>
      </c>
      <c r="Y53" s="161">
        <f>SUM(Y23,Y33,Y40,Y48,Y51)</f>
        <v>1963251.92</v>
      </c>
      <c r="AA53" s="161">
        <f>SUM(AA23,AA33,AA40,AA48,AA51)</f>
        <v>1875259.05</v>
      </c>
      <c r="AC53" s="161">
        <f>SUM(AC23,AC33,AC40,AC48,AC51)</f>
        <v>1963849.7200000002</v>
      </c>
    </row>
    <row r="54" spans="1:29" s="189" customFormat="1" ht="7.5" customHeight="1">
      <c r="G54" s="157"/>
      <c r="I54" s="157"/>
      <c r="K54" s="157"/>
      <c r="M54" s="157"/>
      <c r="O54" s="157"/>
      <c r="Q54" s="157"/>
      <c r="S54" s="157"/>
      <c r="U54" s="157"/>
      <c r="W54" s="157"/>
      <c r="Y54" s="157"/>
      <c r="AA54" s="157"/>
      <c r="AC54" s="157"/>
    </row>
    <row r="55" spans="1:29" s="189" customFormat="1" outlineLevel="1">
      <c r="G55" s="157"/>
      <c r="I55" s="157"/>
      <c r="K55" s="157"/>
      <c r="M55" s="157"/>
      <c r="O55" s="157"/>
      <c r="Q55" s="157"/>
      <c r="S55" s="157"/>
      <c r="U55" s="157"/>
      <c r="W55" s="157"/>
      <c r="Y55" s="157"/>
      <c r="AA55" s="157"/>
      <c r="AC55" s="157"/>
    </row>
    <row r="56" spans="1:29" s="189" customFormat="1" outlineLevel="1">
      <c r="A56" s="190">
        <v>14002</v>
      </c>
      <c r="B56" s="190" t="s">
        <v>378</v>
      </c>
      <c r="C56" s="191"/>
      <c r="D56" s="191"/>
      <c r="G56" s="192">
        <v>410740</v>
      </c>
      <c r="I56" s="192">
        <v>410740</v>
      </c>
      <c r="K56" s="192">
        <v>410740</v>
      </c>
      <c r="M56" s="192">
        <v>410740</v>
      </c>
      <c r="O56" s="192">
        <v>410740</v>
      </c>
      <c r="Q56" s="192">
        <v>410740</v>
      </c>
      <c r="S56" s="192">
        <v>410740</v>
      </c>
      <c r="U56" s="192">
        <v>410740</v>
      </c>
      <c r="W56" s="192">
        <v>410740</v>
      </c>
      <c r="Y56" s="192">
        <v>410740</v>
      </c>
      <c r="AA56" s="192">
        <v>410740</v>
      </c>
      <c r="AC56" s="192">
        <v>410740</v>
      </c>
    </row>
    <row r="57" spans="1:29" s="189" customFormat="1" outlineLevel="1">
      <c r="A57" s="190">
        <v>14004</v>
      </c>
      <c r="B57" s="190" t="s">
        <v>379</v>
      </c>
      <c r="C57" s="191"/>
      <c r="D57" s="191"/>
      <c r="G57" s="192">
        <v>0</v>
      </c>
      <c r="I57" s="192">
        <v>-17406.080000000002</v>
      </c>
      <c r="K57" s="192">
        <v>-17406.080000000002</v>
      </c>
      <c r="M57" s="192">
        <v>-17406.080000000002</v>
      </c>
      <c r="O57" s="192">
        <v>-17406.080000000002</v>
      </c>
      <c r="Q57" s="192">
        <v>-17406.080000000002</v>
      </c>
      <c r="S57" s="192">
        <v>-17406.080000000002</v>
      </c>
      <c r="U57" s="192">
        <v>-17406.080000000002</v>
      </c>
      <c r="W57" s="192">
        <v>-17406.080000000002</v>
      </c>
      <c r="Y57" s="192">
        <v>-17406.080000000002</v>
      </c>
      <c r="AA57" s="192">
        <v>-17406.080000000002</v>
      </c>
      <c r="AC57" s="192">
        <v>-17406.080000000002</v>
      </c>
    </row>
    <row r="58" spans="1:29" s="189" customFormat="1" outlineLevel="1">
      <c r="A58" s="190">
        <v>14011</v>
      </c>
      <c r="B58" s="190" t="s">
        <v>380</v>
      </c>
      <c r="C58" s="191"/>
      <c r="D58" s="191"/>
      <c r="G58" s="192">
        <v>390832.85</v>
      </c>
      <c r="I58" s="192">
        <v>390832.85</v>
      </c>
      <c r="K58" s="192">
        <v>390832.85</v>
      </c>
      <c r="M58" s="192">
        <v>390832.85</v>
      </c>
      <c r="O58" s="192">
        <v>390832.85</v>
      </c>
      <c r="Q58" s="192">
        <v>390832.85</v>
      </c>
      <c r="S58" s="192">
        <v>390832.85</v>
      </c>
      <c r="U58" s="192">
        <v>390832.85</v>
      </c>
      <c r="W58" s="192">
        <v>390832.85</v>
      </c>
      <c r="Y58" s="192">
        <v>390832.85</v>
      </c>
      <c r="AA58" s="192">
        <v>390832.85</v>
      </c>
      <c r="AC58" s="192">
        <v>390832.85</v>
      </c>
    </row>
    <row r="59" spans="1:29" s="189" customFormat="1" outlineLevel="1">
      <c r="A59" s="190">
        <v>14016</v>
      </c>
      <c r="B59" s="190" t="s">
        <v>381</v>
      </c>
      <c r="C59" s="191"/>
      <c r="D59" s="191"/>
      <c r="G59" s="192">
        <v>-70469.789999999994</v>
      </c>
      <c r="I59" s="192">
        <v>-73728.83</v>
      </c>
      <c r="K59" s="192">
        <v>-76987.88</v>
      </c>
      <c r="M59" s="192">
        <v>-80246.899999999994</v>
      </c>
      <c r="O59" s="192">
        <v>-83505.95</v>
      </c>
      <c r="Q59" s="192">
        <v>-86764.97</v>
      </c>
      <c r="S59" s="192">
        <v>-90023.99</v>
      </c>
      <c r="U59" s="192">
        <v>-93283.05</v>
      </c>
      <c r="W59" s="192">
        <v>-96542.080000000002</v>
      </c>
      <c r="Y59" s="192">
        <v>-99801.13</v>
      </c>
      <c r="AA59" s="192">
        <v>-103060.16</v>
      </c>
      <c r="AC59" s="192">
        <v>-106319.21</v>
      </c>
    </row>
    <row r="60" spans="1:29" s="189" customFormat="1" outlineLevel="1">
      <c r="A60" s="190">
        <v>14031</v>
      </c>
      <c r="B60" s="190" t="s">
        <v>382</v>
      </c>
      <c r="C60" s="191"/>
      <c r="D60" s="191"/>
      <c r="G60" s="192">
        <v>10790</v>
      </c>
      <c r="I60" s="192">
        <v>10790</v>
      </c>
      <c r="K60" s="192">
        <v>10790</v>
      </c>
      <c r="M60" s="192">
        <v>10790</v>
      </c>
      <c r="O60" s="192">
        <v>10790</v>
      </c>
      <c r="Q60" s="192">
        <v>10790</v>
      </c>
      <c r="S60" s="192">
        <v>10790</v>
      </c>
      <c r="U60" s="192">
        <v>10790</v>
      </c>
      <c r="W60" s="192">
        <v>10790</v>
      </c>
      <c r="Y60" s="192">
        <v>10790</v>
      </c>
      <c r="AA60" s="192">
        <v>10790</v>
      </c>
      <c r="AC60" s="192">
        <v>10790</v>
      </c>
    </row>
    <row r="61" spans="1:29" s="189" customFormat="1" outlineLevel="1">
      <c r="A61" s="190">
        <v>14036</v>
      </c>
      <c r="B61" s="190" t="s">
        <v>383</v>
      </c>
      <c r="C61" s="191"/>
      <c r="D61" s="191"/>
      <c r="G61" s="192">
        <v>-10790</v>
      </c>
      <c r="I61" s="192">
        <v>-10790</v>
      </c>
      <c r="K61" s="192">
        <v>-10790</v>
      </c>
      <c r="M61" s="192">
        <v>-10790</v>
      </c>
      <c r="O61" s="192">
        <v>-10790</v>
      </c>
      <c r="Q61" s="192">
        <v>-10790</v>
      </c>
      <c r="S61" s="192">
        <v>-10790</v>
      </c>
      <c r="U61" s="192">
        <v>-10790</v>
      </c>
      <c r="W61" s="192">
        <v>-10790</v>
      </c>
      <c r="Y61" s="192">
        <v>-10790</v>
      </c>
      <c r="AA61" s="192">
        <v>-10790</v>
      </c>
      <c r="AC61" s="192">
        <v>-10790</v>
      </c>
    </row>
    <row r="62" spans="1:29" s="189" customFormat="1" outlineLevel="1">
      <c r="A62" s="190">
        <v>14041</v>
      </c>
      <c r="B62" s="190" t="s">
        <v>384</v>
      </c>
      <c r="C62" s="191"/>
      <c r="D62" s="191"/>
      <c r="G62" s="192">
        <v>4483454.3099999996</v>
      </c>
      <c r="I62" s="192">
        <v>4483454.3099999996</v>
      </c>
      <c r="K62" s="192">
        <v>4703053.47</v>
      </c>
      <c r="M62" s="192">
        <v>4965926.93</v>
      </c>
      <c r="O62" s="192">
        <v>4992817.93</v>
      </c>
      <c r="Q62" s="192">
        <v>4992817.93</v>
      </c>
      <c r="S62" s="192">
        <v>4992817.93</v>
      </c>
      <c r="U62" s="192">
        <v>5003548.59</v>
      </c>
      <c r="W62" s="192">
        <v>5024758.13</v>
      </c>
      <c r="Y62" s="192">
        <v>5024758.13</v>
      </c>
      <c r="AA62" s="192">
        <v>5337370.07</v>
      </c>
      <c r="AC62" s="192">
        <v>5576746.8899999997</v>
      </c>
    </row>
    <row r="63" spans="1:29" s="189" customFormat="1" outlineLevel="1">
      <c r="A63" s="190">
        <v>14042</v>
      </c>
      <c r="B63" s="190" t="s">
        <v>385</v>
      </c>
      <c r="C63" s="191"/>
      <c r="D63" s="191"/>
      <c r="G63" s="192">
        <v>1341075</v>
      </c>
      <c r="I63" s="192">
        <v>1341075</v>
      </c>
      <c r="K63" s="192">
        <v>1341075</v>
      </c>
      <c r="M63" s="192">
        <v>1341075</v>
      </c>
      <c r="O63" s="192">
        <v>1341075</v>
      </c>
      <c r="Q63" s="192">
        <v>1341075</v>
      </c>
      <c r="S63" s="192">
        <v>1341075</v>
      </c>
      <c r="U63" s="192">
        <v>1341075</v>
      </c>
      <c r="W63" s="192">
        <v>1341075</v>
      </c>
      <c r="Y63" s="192">
        <v>1341075</v>
      </c>
      <c r="AA63" s="192">
        <v>1341075</v>
      </c>
      <c r="AC63" s="192">
        <v>1341075</v>
      </c>
    </row>
    <row r="64" spans="1:29" s="189" customFormat="1" outlineLevel="1">
      <c r="A64" s="190">
        <v>14043</v>
      </c>
      <c r="B64" s="190" t="s">
        <v>386</v>
      </c>
      <c r="C64" s="191"/>
      <c r="D64" s="191"/>
      <c r="G64" s="192">
        <v>890862.36</v>
      </c>
      <c r="I64" s="192">
        <v>890862.36</v>
      </c>
      <c r="K64" s="192">
        <v>890862.36</v>
      </c>
      <c r="M64" s="192">
        <v>1029606.49</v>
      </c>
      <c r="O64" s="192">
        <v>1029606.49</v>
      </c>
      <c r="Q64" s="192">
        <v>1029606.49</v>
      </c>
      <c r="S64" s="192">
        <v>1029606.49</v>
      </c>
      <c r="U64" s="192">
        <v>1154294.25</v>
      </c>
      <c r="W64" s="192">
        <v>1154294.25</v>
      </c>
      <c r="Y64" s="192">
        <v>1154294.25</v>
      </c>
      <c r="AA64" s="192">
        <v>1047624.25</v>
      </c>
      <c r="AC64" s="192">
        <v>1047624.25</v>
      </c>
    </row>
    <row r="65" spans="1:29" s="189" customFormat="1" outlineLevel="1">
      <c r="A65" s="190">
        <v>14044</v>
      </c>
      <c r="B65" s="190" t="s">
        <v>387</v>
      </c>
      <c r="C65" s="191"/>
      <c r="D65" s="191"/>
      <c r="G65" s="192">
        <v>-394041.29</v>
      </c>
      <c r="I65" s="192">
        <v>-433636.19</v>
      </c>
      <c r="K65" s="192">
        <v>-479139.45</v>
      </c>
      <c r="M65" s="192">
        <v>-479139.45</v>
      </c>
      <c r="O65" s="192">
        <v>-479139.45</v>
      </c>
      <c r="Q65" s="192">
        <v>-479139.45</v>
      </c>
      <c r="S65" s="192">
        <v>-479139.45</v>
      </c>
      <c r="U65" s="192">
        <v>-479139.45</v>
      </c>
      <c r="W65" s="192">
        <v>-479139.45</v>
      </c>
      <c r="Y65" s="192">
        <v>-479139.45</v>
      </c>
      <c r="AA65" s="192">
        <v>-479139.45</v>
      </c>
      <c r="AC65" s="192">
        <v>-582471.28</v>
      </c>
    </row>
    <row r="66" spans="1:29" s="189" customFormat="1" outlineLevel="1">
      <c r="A66" s="190">
        <v>14046</v>
      </c>
      <c r="B66" s="190" t="s">
        <v>388</v>
      </c>
      <c r="C66" s="191"/>
      <c r="D66" s="191"/>
      <c r="G66" s="192">
        <v>-3442208.87</v>
      </c>
      <c r="I66" s="192">
        <v>-3486724.03</v>
      </c>
      <c r="K66" s="192">
        <v>-3534899.25</v>
      </c>
      <c r="M66" s="192">
        <v>-3583434.95</v>
      </c>
      <c r="O66" s="192">
        <v>-3632717.66</v>
      </c>
      <c r="Q66" s="192">
        <v>-3682000.4</v>
      </c>
      <c r="S66" s="192">
        <v>-3730886.93</v>
      </c>
      <c r="U66" s="192">
        <v>-3779773.45</v>
      </c>
      <c r="W66" s="192">
        <v>-3829554.88</v>
      </c>
      <c r="Y66" s="192">
        <v>-3878834.2</v>
      </c>
      <c r="AA66" s="192">
        <v>-3928661.99</v>
      </c>
      <c r="AC66" s="192">
        <v>-3982925.34</v>
      </c>
    </row>
    <row r="67" spans="1:29" s="189" customFormat="1" outlineLevel="1">
      <c r="A67" s="190">
        <v>14047</v>
      </c>
      <c r="B67" s="190" t="s">
        <v>386</v>
      </c>
      <c r="C67" s="191"/>
      <c r="D67" s="191"/>
      <c r="G67" s="192">
        <v>-679159.07</v>
      </c>
      <c r="I67" s="192">
        <v>-679159.07</v>
      </c>
      <c r="K67" s="192">
        <v>-679159.07</v>
      </c>
      <c r="M67" s="192">
        <v>-817903.2</v>
      </c>
      <c r="O67" s="192">
        <v>-817903.2</v>
      </c>
      <c r="Q67" s="192">
        <v>-817903.2</v>
      </c>
      <c r="S67" s="192">
        <v>-817903.2</v>
      </c>
      <c r="U67" s="192">
        <v>-942590.96</v>
      </c>
      <c r="W67" s="192">
        <v>-942590.96</v>
      </c>
      <c r="Y67" s="192">
        <v>-942590.96</v>
      </c>
      <c r="AA67" s="192">
        <v>-835920.96</v>
      </c>
      <c r="AC67" s="192">
        <v>-835920.96</v>
      </c>
    </row>
    <row r="68" spans="1:29" s="189" customFormat="1" outlineLevel="1">
      <c r="A68" s="190">
        <v>14048</v>
      </c>
      <c r="B68" s="190" t="s">
        <v>387</v>
      </c>
      <c r="C68" s="191"/>
      <c r="D68" s="191"/>
      <c r="G68" s="192">
        <v>384561.71</v>
      </c>
      <c r="I68" s="192">
        <v>424156.61</v>
      </c>
      <c r="K68" s="192">
        <v>469659.87</v>
      </c>
      <c r="M68" s="192">
        <v>469659.87</v>
      </c>
      <c r="O68" s="192">
        <v>469659.87</v>
      </c>
      <c r="Q68" s="192">
        <v>469659.87</v>
      </c>
      <c r="S68" s="192">
        <v>469659.87</v>
      </c>
      <c r="U68" s="192">
        <v>469659.87</v>
      </c>
      <c r="W68" s="192">
        <v>469659.87</v>
      </c>
      <c r="Y68" s="192">
        <v>469659.87</v>
      </c>
      <c r="AA68" s="192">
        <v>469659.87</v>
      </c>
      <c r="AC68" s="192">
        <v>572991.69999999995</v>
      </c>
    </row>
    <row r="69" spans="1:29" s="189" customFormat="1" outlineLevel="1">
      <c r="A69" s="190">
        <v>14051</v>
      </c>
      <c r="B69" s="190" t="s">
        <v>389</v>
      </c>
      <c r="C69" s="191"/>
      <c r="D69" s="191"/>
      <c r="G69" s="192">
        <v>1367387.55</v>
      </c>
      <c r="I69" s="192">
        <v>1367387.55</v>
      </c>
      <c r="K69" s="192">
        <v>1429367.55</v>
      </c>
      <c r="M69" s="192">
        <v>1429367.55</v>
      </c>
      <c r="O69" s="192">
        <v>1429367.55</v>
      </c>
      <c r="Q69" s="192">
        <v>1429367.55</v>
      </c>
      <c r="S69" s="192">
        <v>1429367.55</v>
      </c>
      <c r="U69" s="192">
        <v>1464045.43</v>
      </c>
      <c r="W69" s="192">
        <v>1464045.43</v>
      </c>
      <c r="Y69" s="192">
        <v>1521865.97</v>
      </c>
      <c r="AA69" s="192">
        <v>1646344.28</v>
      </c>
      <c r="AC69" s="192">
        <v>1646344.28</v>
      </c>
    </row>
    <row r="70" spans="1:29" s="189" customFormat="1" outlineLevel="1">
      <c r="A70" s="190">
        <v>14052</v>
      </c>
      <c r="B70" s="190" t="s">
        <v>390</v>
      </c>
      <c r="C70" s="191"/>
      <c r="D70" s="191"/>
      <c r="G70" s="192">
        <v>775600</v>
      </c>
      <c r="I70" s="192">
        <v>775600</v>
      </c>
      <c r="K70" s="192">
        <v>775600</v>
      </c>
      <c r="M70" s="192">
        <v>775600</v>
      </c>
      <c r="O70" s="192">
        <v>775600</v>
      </c>
      <c r="Q70" s="192">
        <v>775600</v>
      </c>
      <c r="S70" s="192">
        <v>775600</v>
      </c>
      <c r="U70" s="192">
        <v>775600</v>
      </c>
      <c r="W70" s="192">
        <v>775600</v>
      </c>
      <c r="Y70" s="192">
        <v>775600</v>
      </c>
      <c r="AA70" s="192">
        <v>775600</v>
      </c>
      <c r="AC70" s="192">
        <v>775600</v>
      </c>
    </row>
    <row r="71" spans="1:29" s="189" customFormat="1" outlineLevel="1">
      <c r="A71" s="190">
        <v>14053</v>
      </c>
      <c r="B71" s="190" t="s">
        <v>391</v>
      </c>
      <c r="C71" s="191"/>
      <c r="D71" s="191"/>
      <c r="G71" s="192">
        <v>283219.89</v>
      </c>
      <c r="I71" s="192">
        <v>283219.89</v>
      </c>
      <c r="K71" s="192">
        <v>283219.89</v>
      </c>
      <c r="M71" s="192">
        <v>283219.89</v>
      </c>
      <c r="O71" s="192">
        <v>283219.89</v>
      </c>
      <c r="Q71" s="192">
        <v>283219.89</v>
      </c>
      <c r="S71" s="192">
        <v>283219.89</v>
      </c>
      <c r="U71" s="192">
        <v>283219.89</v>
      </c>
      <c r="W71" s="192">
        <v>283219.89</v>
      </c>
      <c r="Y71" s="192">
        <v>283219.89</v>
      </c>
      <c r="AA71" s="192">
        <v>283219.89</v>
      </c>
      <c r="AC71" s="192">
        <v>283219.89</v>
      </c>
    </row>
    <row r="72" spans="1:29" s="189" customFormat="1" outlineLevel="1">
      <c r="A72" s="190">
        <v>14054</v>
      </c>
      <c r="B72" s="190" t="s">
        <v>392</v>
      </c>
      <c r="C72" s="191"/>
      <c r="D72" s="191"/>
      <c r="G72" s="192">
        <v>-107324.69</v>
      </c>
      <c r="I72" s="192">
        <v>-107324.69</v>
      </c>
      <c r="K72" s="192">
        <v>-107324.69</v>
      </c>
      <c r="M72" s="192">
        <v>-107324.69</v>
      </c>
      <c r="O72" s="192">
        <v>-107324.69</v>
      </c>
      <c r="Q72" s="192">
        <v>-107324.69</v>
      </c>
      <c r="S72" s="192">
        <v>-107324.69</v>
      </c>
      <c r="U72" s="192">
        <v>-107324.69</v>
      </c>
      <c r="W72" s="192">
        <v>-107324.69</v>
      </c>
      <c r="Y72" s="192">
        <v>-107324.69</v>
      </c>
      <c r="AA72" s="192">
        <v>-107324.69</v>
      </c>
      <c r="AC72" s="192">
        <v>-107324.69</v>
      </c>
    </row>
    <row r="73" spans="1:29" s="189" customFormat="1" outlineLevel="1">
      <c r="A73" s="190">
        <v>14056</v>
      </c>
      <c r="B73" s="190" t="s">
        <v>393</v>
      </c>
      <c r="C73" s="191"/>
      <c r="D73" s="191"/>
      <c r="G73" s="192">
        <v>-1404683.52</v>
      </c>
      <c r="I73" s="192">
        <v>-1417332.77</v>
      </c>
      <c r="K73" s="192">
        <v>-1431273.42</v>
      </c>
      <c r="M73" s="192">
        <v>-1444353.09</v>
      </c>
      <c r="O73" s="192">
        <v>-1457432.74</v>
      </c>
      <c r="Q73" s="192">
        <v>-1470512.43</v>
      </c>
      <c r="S73" s="192">
        <v>-1483592.19</v>
      </c>
      <c r="U73" s="192">
        <v>-1497084.75</v>
      </c>
      <c r="W73" s="192">
        <v>-1510577.29</v>
      </c>
      <c r="Y73" s="192">
        <v>-1524471.31</v>
      </c>
      <c r="AA73" s="192">
        <v>-1538164.47</v>
      </c>
      <c r="AC73" s="192">
        <v>-1552544.5</v>
      </c>
    </row>
    <row r="74" spans="1:29" s="189" customFormat="1" outlineLevel="1">
      <c r="A74" s="190">
        <v>14057</v>
      </c>
      <c r="B74" s="190" t="s">
        <v>394</v>
      </c>
      <c r="C74" s="191"/>
      <c r="D74" s="191"/>
      <c r="G74" s="192">
        <v>-135801.88</v>
      </c>
      <c r="I74" s="192">
        <v>-135801.88</v>
      </c>
      <c r="K74" s="192">
        <v>-135801.88</v>
      </c>
      <c r="M74" s="192">
        <v>-135801.88</v>
      </c>
      <c r="O74" s="192">
        <v>-135801.88</v>
      </c>
      <c r="Q74" s="192">
        <v>-135801.88</v>
      </c>
      <c r="S74" s="192">
        <v>-135801.88</v>
      </c>
      <c r="U74" s="192">
        <v>-135801.88</v>
      </c>
      <c r="W74" s="192">
        <v>-135801.88</v>
      </c>
      <c r="Y74" s="192">
        <v>-135801.88</v>
      </c>
      <c r="AA74" s="192">
        <v>-135801.88</v>
      </c>
      <c r="AC74" s="192">
        <v>-135801.88</v>
      </c>
    </row>
    <row r="75" spans="1:29" s="189" customFormat="1" outlineLevel="1">
      <c r="A75" s="190">
        <v>14058</v>
      </c>
      <c r="B75" s="190" t="s">
        <v>395</v>
      </c>
      <c r="C75" s="191"/>
      <c r="D75" s="191"/>
      <c r="G75" s="192">
        <v>53997.99</v>
      </c>
      <c r="I75" s="192">
        <v>53997.99</v>
      </c>
      <c r="K75" s="192">
        <v>53997.99</v>
      </c>
      <c r="M75" s="192">
        <v>53997.99</v>
      </c>
      <c r="O75" s="192">
        <v>53997.99</v>
      </c>
      <c r="Q75" s="192">
        <v>53997.99</v>
      </c>
      <c r="S75" s="192">
        <v>53997.99</v>
      </c>
      <c r="U75" s="192">
        <v>53997.99</v>
      </c>
      <c r="W75" s="192">
        <v>53997.99</v>
      </c>
      <c r="Y75" s="192">
        <v>53997.99</v>
      </c>
      <c r="AA75" s="192">
        <v>53997.99</v>
      </c>
      <c r="AC75" s="192">
        <v>53997.99</v>
      </c>
    </row>
    <row r="76" spans="1:29" s="189" customFormat="1" outlineLevel="1">
      <c r="A76" s="190">
        <v>14071</v>
      </c>
      <c r="B76" s="190" t="s">
        <v>396</v>
      </c>
      <c r="C76" s="191"/>
      <c r="D76" s="191"/>
      <c r="G76" s="192">
        <v>117602.94</v>
      </c>
      <c r="I76" s="192">
        <v>117602.94</v>
      </c>
      <c r="K76" s="192">
        <v>117602.94</v>
      </c>
      <c r="M76" s="192">
        <v>145410.34</v>
      </c>
      <c r="O76" s="192">
        <v>145410.34</v>
      </c>
      <c r="Q76" s="192">
        <v>156185.78</v>
      </c>
      <c r="S76" s="192">
        <v>156185.78</v>
      </c>
      <c r="U76" s="192">
        <v>156185.78</v>
      </c>
      <c r="W76" s="192">
        <v>156185.78</v>
      </c>
      <c r="Y76" s="192">
        <v>156185.78</v>
      </c>
      <c r="AA76" s="192">
        <v>156185.78</v>
      </c>
      <c r="AC76" s="192">
        <v>156185.78</v>
      </c>
    </row>
    <row r="77" spans="1:29" s="189" customFormat="1" outlineLevel="1">
      <c r="A77" s="190">
        <v>14072</v>
      </c>
      <c r="B77" s="190" t="s">
        <v>397</v>
      </c>
      <c r="C77" s="191"/>
      <c r="D77" s="191"/>
      <c r="G77" s="192">
        <v>34650</v>
      </c>
      <c r="I77" s="192">
        <v>34650</v>
      </c>
      <c r="K77" s="192">
        <v>34650</v>
      </c>
      <c r="M77" s="192">
        <v>34650</v>
      </c>
      <c r="O77" s="192">
        <v>34650</v>
      </c>
      <c r="Q77" s="192">
        <v>34650</v>
      </c>
      <c r="S77" s="192">
        <v>34650</v>
      </c>
      <c r="U77" s="192">
        <v>34650</v>
      </c>
      <c r="W77" s="192">
        <v>34650</v>
      </c>
      <c r="Y77" s="192">
        <v>34650</v>
      </c>
      <c r="AA77" s="192">
        <v>34650</v>
      </c>
      <c r="AC77" s="192">
        <v>34650</v>
      </c>
    </row>
    <row r="78" spans="1:29" s="189" customFormat="1" outlineLevel="1">
      <c r="A78" s="190">
        <v>14073</v>
      </c>
      <c r="B78" s="190" t="s">
        <v>398</v>
      </c>
      <c r="C78" s="191"/>
      <c r="D78" s="191"/>
      <c r="G78" s="192">
        <v>10350</v>
      </c>
      <c r="I78" s="192">
        <v>10350</v>
      </c>
      <c r="K78" s="192">
        <v>10350</v>
      </c>
      <c r="M78" s="192">
        <v>10350</v>
      </c>
      <c r="O78" s="192">
        <v>10350</v>
      </c>
      <c r="Q78" s="192">
        <v>10350</v>
      </c>
      <c r="S78" s="192">
        <v>10350</v>
      </c>
      <c r="U78" s="192">
        <v>10350</v>
      </c>
      <c r="W78" s="192">
        <v>10350</v>
      </c>
      <c r="Y78" s="192">
        <v>10350</v>
      </c>
      <c r="AA78" s="192">
        <v>10350</v>
      </c>
      <c r="AC78" s="192">
        <v>10350</v>
      </c>
    </row>
    <row r="79" spans="1:29" s="189" customFormat="1" outlineLevel="1">
      <c r="A79" s="190">
        <v>14076</v>
      </c>
      <c r="B79" s="190" t="s">
        <v>399</v>
      </c>
      <c r="C79" s="191"/>
      <c r="D79" s="191"/>
      <c r="G79" s="192">
        <v>-148602.17000000001</v>
      </c>
      <c r="I79" s="192">
        <v>-149084.69</v>
      </c>
      <c r="K79" s="192">
        <v>-149567.22</v>
      </c>
      <c r="M79" s="192">
        <v>-150049.75</v>
      </c>
      <c r="O79" s="192">
        <v>-150995.73000000001</v>
      </c>
      <c r="Q79" s="192">
        <v>-151875.72</v>
      </c>
      <c r="S79" s="192">
        <v>-152755.73000000001</v>
      </c>
      <c r="U79" s="192">
        <v>-153635.73000000001</v>
      </c>
      <c r="W79" s="192">
        <v>-154515.68</v>
      </c>
      <c r="Y79" s="192">
        <v>-155359.60999999999</v>
      </c>
      <c r="AA79" s="192">
        <v>-156187.89000000001</v>
      </c>
      <c r="AC79" s="192">
        <v>-157016.18</v>
      </c>
    </row>
    <row r="80" spans="1:29" s="189" customFormat="1" outlineLevel="1">
      <c r="A80" s="190">
        <v>14077</v>
      </c>
      <c r="B80" s="190" t="s">
        <v>400</v>
      </c>
      <c r="C80" s="191"/>
      <c r="D80" s="191"/>
      <c r="G80" s="192">
        <v>-6555</v>
      </c>
      <c r="I80" s="192">
        <v>-6555</v>
      </c>
      <c r="K80" s="192">
        <v>-6555</v>
      </c>
      <c r="M80" s="192">
        <v>-6555</v>
      </c>
      <c r="O80" s="192">
        <v>-6555</v>
      </c>
      <c r="Q80" s="192">
        <v>-6555</v>
      </c>
      <c r="S80" s="192">
        <v>-6555</v>
      </c>
      <c r="U80" s="192">
        <v>-6555</v>
      </c>
      <c r="W80" s="192">
        <v>-6555</v>
      </c>
      <c r="Y80" s="192">
        <v>-6555</v>
      </c>
      <c r="AA80" s="192">
        <v>-6555</v>
      </c>
      <c r="AC80" s="192">
        <v>-6555</v>
      </c>
    </row>
    <row r="81" spans="1:29" s="189" customFormat="1" outlineLevel="1">
      <c r="A81" s="190">
        <v>14081</v>
      </c>
      <c r="B81" s="190" t="s">
        <v>401</v>
      </c>
      <c r="C81" s="191"/>
      <c r="D81" s="191"/>
      <c r="G81" s="192">
        <v>73024.72</v>
      </c>
      <c r="I81" s="192">
        <v>73024.72</v>
      </c>
      <c r="K81" s="192">
        <v>73024.72</v>
      </c>
      <c r="M81" s="192">
        <v>73024.72</v>
      </c>
      <c r="O81" s="192">
        <v>73024.72</v>
      </c>
      <c r="Q81" s="192">
        <v>73024.72</v>
      </c>
      <c r="S81" s="192">
        <v>73024.72</v>
      </c>
      <c r="U81" s="192">
        <v>73024.72</v>
      </c>
      <c r="W81" s="192">
        <v>73024.72</v>
      </c>
      <c r="Y81" s="192">
        <v>73024.72</v>
      </c>
      <c r="AA81" s="192">
        <v>73024.72</v>
      </c>
      <c r="AC81" s="192">
        <v>73024.72</v>
      </c>
    </row>
    <row r="82" spans="1:29" s="189" customFormat="1" outlineLevel="1">
      <c r="A82" s="190">
        <v>14082</v>
      </c>
      <c r="B82" s="190" t="s">
        <v>402</v>
      </c>
      <c r="C82" s="191"/>
      <c r="D82" s="191"/>
      <c r="G82" s="192">
        <v>834400</v>
      </c>
      <c r="I82" s="192">
        <v>834400</v>
      </c>
      <c r="K82" s="192">
        <v>834400</v>
      </c>
      <c r="M82" s="192">
        <v>834400</v>
      </c>
      <c r="O82" s="192">
        <v>834400</v>
      </c>
      <c r="Q82" s="192">
        <v>834400</v>
      </c>
      <c r="S82" s="192">
        <v>834400</v>
      </c>
      <c r="U82" s="192">
        <v>834400</v>
      </c>
      <c r="W82" s="192">
        <v>834400</v>
      </c>
      <c r="Y82" s="192">
        <v>834400</v>
      </c>
      <c r="AA82" s="192">
        <v>834400</v>
      </c>
      <c r="AC82" s="192">
        <v>834400</v>
      </c>
    </row>
    <row r="83" spans="1:29" s="189" customFormat="1" outlineLevel="1">
      <c r="A83" s="190">
        <v>14086</v>
      </c>
      <c r="B83" s="190" t="s">
        <v>403</v>
      </c>
      <c r="C83" s="191"/>
      <c r="D83" s="191"/>
      <c r="G83" s="192">
        <v>-358057.82</v>
      </c>
      <c r="I83" s="192">
        <v>-362143.03</v>
      </c>
      <c r="K83" s="192">
        <v>-366228.26</v>
      </c>
      <c r="M83" s="192">
        <v>-370313.43</v>
      </c>
      <c r="O83" s="192">
        <v>-374398.66</v>
      </c>
      <c r="Q83" s="192">
        <v>-378483.84</v>
      </c>
      <c r="S83" s="192">
        <v>-382569.03</v>
      </c>
      <c r="U83" s="192">
        <v>-386654.28</v>
      </c>
      <c r="W83" s="192">
        <v>-390739.46</v>
      </c>
      <c r="Y83" s="192">
        <v>-394824.66</v>
      </c>
      <c r="AA83" s="192">
        <v>-398909.88</v>
      </c>
      <c r="AC83" s="192">
        <v>-402995.11</v>
      </c>
    </row>
    <row r="84" spans="1:29" s="189" customFormat="1" outlineLevel="1">
      <c r="A84" s="190">
        <v>14101</v>
      </c>
      <c r="B84" s="190" t="s">
        <v>404</v>
      </c>
      <c r="C84" s="191"/>
      <c r="D84" s="191"/>
      <c r="G84" s="192">
        <v>15160.03</v>
      </c>
      <c r="I84" s="192">
        <v>15160.03</v>
      </c>
      <c r="K84" s="192">
        <v>15160.03</v>
      </c>
      <c r="M84" s="192">
        <v>15160.03</v>
      </c>
      <c r="O84" s="192">
        <v>15160.03</v>
      </c>
      <c r="Q84" s="192">
        <v>15160.03</v>
      </c>
      <c r="S84" s="192">
        <v>15160.03</v>
      </c>
      <c r="U84" s="192">
        <v>15160.03</v>
      </c>
      <c r="W84" s="192">
        <v>15160.03</v>
      </c>
      <c r="Y84" s="192">
        <v>15160.03</v>
      </c>
      <c r="AA84" s="192">
        <v>15160.03</v>
      </c>
      <c r="AC84" s="192">
        <v>15160.03</v>
      </c>
    </row>
    <row r="85" spans="1:29" s="189" customFormat="1" outlineLevel="1">
      <c r="A85" s="190">
        <v>14106</v>
      </c>
      <c r="B85" s="190" t="s">
        <v>405</v>
      </c>
      <c r="C85" s="191"/>
      <c r="D85" s="191"/>
      <c r="G85" s="192">
        <v>-14907.38</v>
      </c>
      <c r="I85" s="192">
        <v>-15160.03</v>
      </c>
      <c r="K85" s="192">
        <v>-15160.03</v>
      </c>
      <c r="M85" s="192">
        <v>-15160.03</v>
      </c>
      <c r="O85" s="192">
        <v>-15160.03</v>
      </c>
      <c r="Q85" s="192">
        <v>-15160.03</v>
      </c>
      <c r="S85" s="192">
        <v>-15160.03</v>
      </c>
      <c r="U85" s="192">
        <v>-15160.03</v>
      </c>
      <c r="W85" s="192">
        <v>-15160.03</v>
      </c>
      <c r="Y85" s="192">
        <v>-15160.03</v>
      </c>
      <c r="AA85" s="192">
        <v>-15160.03</v>
      </c>
      <c r="AC85" s="192">
        <v>-15160.03</v>
      </c>
    </row>
    <row r="86" spans="1:29" s="189" customFormat="1" outlineLevel="1">
      <c r="A86" s="190">
        <v>14111</v>
      </c>
      <c r="B86" s="190" t="s">
        <v>406</v>
      </c>
      <c r="C86" s="191"/>
      <c r="D86" s="191"/>
      <c r="G86" s="192">
        <v>45030.91</v>
      </c>
      <c r="I86" s="192">
        <v>56302.22</v>
      </c>
      <c r="K86" s="192">
        <v>56302.22</v>
      </c>
      <c r="M86" s="192">
        <v>56302.22</v>
      </c>
      <c r="O86" s="192">
        <v>56302.22</v>
      </c>
      <c r="Q86" s="192">
        <v>56302.22</v>
      </c>
      <c r="S86" s="192">
        <v>57314.57</v>
      </c>
      <c r="U86" s="192">
        <v>57484.61</v>
      </c>
      <c r="W86" s="192">
        <v>57484.61</v>
      </c>
      <c r="Y86" s="192">
        <v>57484.61</v>
      </c>
      <c r="AA86" s="192">
        <v>57484.61</v>
      </c>
      <c r="AC86" s="192">
        <v>57484.61</v>
      </c>
    </row>
    <row r="87" spans="1:29" s="189" customFormat="1" outlineLevel="1">
      <c r="A87" s="190">
        <v>14113</v>
      </c>
      <c r="B87" s="190" t="s">
        <v>407</v>
      </c>
      <c r="C87" s="191"/>
      <c r="D87" s="191"/>
      <c r="G87" s="192">
        <v>944.18</v>
      </c>
      <c r="I87" s="192">
        <v>944.18</v>
      </c>
      <c r="K87" s="192">
        <v>944.18</v>
      </c>
      <c r="M87" s="192">
        <v>944.18</v>
      </c>
      <c r="O87" s="192">
        <v>944.18</v>
      </c>
      <c r="Q87" s="192">
        <v>944.18</v>
      </c>
      <c r="S87" s="192">
        <v>944.18</v>
      </c>
      <c r="U87" s="192">
        <v>944.18</v>
      </c>
      <c r="W87" s="192">
        <v>944.18</v>
      </c>
      <c r="Y87" s="192">
        <v>944.18</v>
      </c>
      <c r="AA87" s="192">
        <v>944.18</v>
      </c>
      <c r="AC87" s="192">
        <v>944.18</v>
      </c>
    </row>
    <row r="88" spans="1:29" s="189" customFormat="1" outlineLevel="1">
      <c r="A88" s="190">
        <v>14116</v>
      </c>
      <c r="B88" s="190" t="s">
        <v>408</v>
      </c>
      <c r="C88" s="191"/>
      <c r="D88" s="191"/>
      <c r="G88" s="192">
        <v>-30532.23</v>
      </c>
      <c r="I88" s="192">
        <v>-33727.81</v>
      </c>
      <c r="K88" s="192">
        <v>-35913.050000000003</v>
      </c>
      <c r="M88" s="192">
        <v>-38098.28</v>
      </c>
      <c r="O88" s="192">
        <v>-40283.51</v>
      </c>
      <c r="Q88" s="192">
        <v>-42468.74</v>
      </c>
      <c r="S88" s="192">
        <v>-44643.86</v>
      </c>
      <c r="U88" s="192">
        <v>-46833.24</v>
      </c>
      <c r="W88" s="192">
        <v>-49022.59</v>
      </c>
      <c r="Y88" s="192">
        <v>-51193.77</v>
      </c>
      <c r="AA88" s="192">
        <v>-53364.95</v>
      </c>
      <c r="AC88" s="192">
        <v>-55506.239999999998</v>
      </c>
    </row>
    <row r="89" spans="1:29" s="189" customFormat="1" outlineLevel="1">
      <c r="A89" s="190">
        <v>14117</v>
      </c>
      <c r="B89" s="190" t="s">
        <v>409</v>
      </c>
      <c r="C89" s="191"/>
      <c r="D89" s="191"/>
      <c r="G89" s="192">
        <v>-5.53</v>
      </c>
      <c r="I89" s="192">
        <v>-5.53</v>
      </c>
      <c r="K89" s="192">
        <v>-5.53</v>
      </c>
      <c r="M89" s="192">
        <v>-5.53</v>
      </c>
      <c r="O89" s="192">
        <v>-5.53</v>
      </c>
      <c r="Q89" s="192">
        <v>-5.53</v>
      </c>
      <c r="S89" s="192">
        <v>-5.53</v>
      </c>
      <c r="U89" s="192">
        <v>-5.53</v>
      </c>
      <c r="W89" s="192">
        <v>-5.53</v>
      </c>
      <c r="Y89" s="192">
        <v>-5.53</v>
      </c>
      <c r="AA89" s="192">
        <v>-5.53</v>
      </c>
      <c r="AC89" s="192">
        <v>-5.53</v>
      </c>
    </row>
    <row r="90" spans="1:29" s="189" customFormat="1" outlineLevel="1">
      <c r="A90" s="190">
        <v>14121</v>
      </c>
      <c r="B90" s="190" t="s">
        <v>410</v>
      </c>
      <c r="C90" s="191"/>
      <c r="D90" s="191"/>
      <c r="G90" s="192">
        <v>0</v>
      </c>
      <c r="I90" s="192">
        <v>0</v>
      </c>
      <c r="K90" s="192">
        <v>0</v>
      </c>
      <c r="M90" s="192">
        <v>0</v>
      </c>
      <c r="O90" s="192">
        <v>0</v>
      </c>
      <c r="Q90" s="192">
        <v>0</v>
      </c>
      <c r="S90" s="192">
        <v>0</v>
      </c>
      <c r="U90" s="192">
        <v>0</v>
      </c>
      <c r="W90" s="192">
        <v>0</v>
      </c>
      <c r="Y90" s="192">
        <v>0</v>
      </c>
      <c r="AA90" s="192">
        <v>0</v>
      </c>
      <c r="AC90" s="192">
        <v>37363</v>
      </c>
    </row>
    <row r="91" spans="1:29" s="189" customFormat="1" outlineLevel="1">
      <c r="A91" s="190">
        <v>14201</v>
      </c>
      <c r="B91" s="190" t="s">
        <v>411</v>
      </c>
      <c r="C91" s="191"/>
      <c r="D91" s="191"/>
      <c r="G91" s="192">
        <v>381152.45</v>
      </c>
      <c r="I91" s="192">
        <v>381853.26</v>
      </c>
      <c r="K91" s="192">
        <v>261053.63</v>
      </c>
      <c r="M91" s="192">
        <v>0</v>
      </c>
      <c r="O91" s="192">
        <v>0</v>
      </c>
      <c r="Q91" s="192">
        <v>0</v>
      </c>
      <c r="S91" s="192">
        <v>10900.7</v>
      </c>
      <c r="U91" s="192">
        <v>0</v>
      </c>
      <c r="W91" s="192">
        <v>170672.15</v>
      </c>
      <c r="Y91" s="192">
        <v>305417.69</v>
      </c>
      <c r="AA91" s="192">
        <v>132647.44</v>
      </c>
      <c r="AC91" s="192">
        <v>135088.16</v>
      </c>
    </row>
    <row r="92" spans="1:29" s="189" customFormat="1" ht="4.5" customHeight="1" outlineLevel="1">
      <c r="A92" s="206"/>
      <c r="G92" s="158"/>
      <c r="I92" s="158"/>
      <c r="K92" s="158"/>
      <c r="M92" s="158"/>
      <c r="O92" s="158"/>
      <c r="Q92" s="158"/>
      <c r="S92" s="158"/>
      <c r="U92" s="158"/>
      <c r="W92" s="158"/>
      <c r="Y92" s="158"/>
      <c r="AA92" s="158"/>
      <c r="AC92" s="158"/>
    </row>
    <row r="93" spans="1:29" s="189" customFormat="1">
      <c r="C93" s="189" t="s">
        <v>412</v>
      </c>
      <c r="G93" s="155">
        <f>SUM(G56:G92)</f>
        <v>5101697.6499999994</v>
      </c>
      <c r="I93" s="155">
        <f>SUM(I56:I92)</f>
        <v>5027824.2799999993</v>
      </c>
      <c r="K93" s="155">
        <f>SUM(K56:K92)</f>
        <v>5116475.8899999997</v>
      </c>
      <c r="M93" s="155">
        <f>SUM(M56:M92)</f>
        <v>5074475.799999998</v>
      </c>
      <c r="O93" s="155">
        <f>SUM(O56:O92)</f>
        <v>5028528.9499999974</v>
      </c>
      <c r="Q93" s="155">
        <f>SUM(Q56:Q92)</f>
        <v>4966532.5399999991</v>
      </c>
      <c r="S93" s="155">
        <f>SUM(S56:S92)</f>
        <v>4906079.9599999981</v>
      </c>
      <c r="U93" s="155">
        <f>SUM(U56:U92)</f>
        <v>4867965.0699999975</v>
      </c>
      <c r="W93" s="155">
        <f>SUM(W56:W92)</f>
        <v>4986159.28</v>
      </c>
      <c r="Y93" s="155">
        <f>SUM(Y56:Y92)</f>
        <v>5105192.6599999992</v>
      </c>
      <c r="AA93" s="155">
        <f>SUM(AA56:AA92)</f>
        <v>5295648</v>
      </c>
      <c r="AC93" s="155">
        <f>SUM(AC56:AC92)</f>
        <v>5495871.2999999989</v>
      </c>
    </row>
    <row r="94" spans="1:29" s="164" customFormat="1" outlineLevel="1"/>
    <row r="95" spans="1:29" s="189" customFormat="1" ht="5.0999999999999996" customHeight="1" outlineLevel="1">
      <c r="A95" s="191"/>
      <c r="B95" s="191"/>
      <c r="C95" s="191"/>
      <c r="D95" s="191"/>
      <c r="G95" s="158"/>
      <c r="I95" s="158"/>
      <c r="K95" s="158"/>
      <c r="M95" s="158"/>
      <c r="O95" s="158"/>
      <c r="Q95" s="158"/>
      <c r="S95" s="158"/>
      <c r="U95" s="158"/>
      <c r="W95" s="158"/>
      <c r="Y95" s="158"/>
      <c r="AA95" s="158"/>
      <c r="AC95" s="158"/>
    </row>
    <row r="96" spans="1:29" s="189" customFormat="1">
      <c r="C96" s="190" t="s">
        <v>414</v>
      </c>
      <c r="G96" s="155">
        <f>SUM(G94:G95)</f>
        <v>0</v>
      </c>
      <c r="I96" s="155">
        <f>SUM(I94:I95)</f>
        <v>0</v>
      </c>
      <c r="K96" s="155">
        <f>SUM(K94:K95)</f>
        <v>0</v>
      </c>
      <c r="M96" s="155">
        <f>SUM(M94:M95)</f>
        <v>0</v>
      </c>
      <c r="O96" s="155">
        <f>SUM(O94:O95)</f>
        <v>0</v>
      </c>
      <c r="Q96" s="155">
        <f>SUM(Q94:Q95)</f>
        <v>0</v>
      </c>
      <c r="S96" s="155">
        <f>SUM(S94:S95)</f>
        <v>0</v>
      </c>
      <c r="U96" s="155">
        <f>SUM(U94:U95)</f>
        <v>0</v>
      </c>
      <c r="W96" s="155">
        <f>SUM(W94:W95)</f>
        <v>0</v>
      </c>
      <c r="Y96" s="155">
        <f>SUM(Y94:Y95)</f>
        <v>0</v>
      </c>
      <c r="AA96" s="155">
        <f>SUM(AA94:AA95)</f>
        <v>0</v>
      </c>
      <c r="AC96" s="155">
        <f>SUM(AC94:AC95)</f>
        <v>0</v>
      </c>
    </row>
    <row r="97" spans="1:29" s="189" customFormat="1" outlineLevel="1">
      <c r="A97" s="190">
        <v>15111</v>
      </c>
      <c r="B97" s="190" t="s">
        <v>416</v>
      </c>
      <c r="C97" s="191"/>
      <c r="D97" s="191"/>
      <c r="G97" s="192">
        <v>886998.82</v>
      </c>
      <c r="I97" s="192">
        <v>886998.82</v>
      </c>
      <c r="K97" s="192">
        <v>886998.82</v>
      </c>
      <c r="M97" s="192">
        <v>886998.82</v>
      </c>
      <c r="O97" s="192">
        <v>886998.82</v>
      </c>
      <c r="Q97" s="192">
        <v>886998.82</v>
      </c>
      <c r="S97" s="192">
        <v>886998.82</v>
      </c>
      <c r="U97" s="192">
        <v>886998.82</v>
      </c>
      <c r="W97" s="192">
        <v>886998.82</v>
      </c>
      <c r="Y97" s="192">
        <v>886998.82</v>
      </c>
      <c r="AA97" s="192">
        <v>886998.82</v>
      </c>
      <c r="AC97" s="192">
        <v>886998.82</v>
      </c>
    </row>
    <row r="98" spans="1:29" s="189" customFormat="1" outlineLevel="1">
      <c r="A98" s="190">
        <v>15112</v>
      </c>
      <c r="B98" s="190" t="s">
        <v>417</v>
      </c>
      <c r="C98" s="191"/>
      <c r="D98" s="191"/>
      <c r="G98" s="192">
        <v>342745.35</v>
      </c>
      <c r="I98" s="192">
        <v>342745.35</v>
      </c>
      <c r="K98" s="192">
        <v>342745.35</v>
      </c>
      <c r="M98" s="192">
        <v>342745.35</v>
      </c>
      <c r="O98" s="192">
        <v>342745.35</v>
      </c>
      <c r="Q98" s="192">
        <v>342745.35</v>
      </c>
      <c r="S98" s="192">
        <v>342745.35</v>
      </c>
      <c r="U98" s="192">
        <v>342745.35</v>
      </c>
      <c r="W98" s="192">
        <v>342745.35</v>
      </c>
      <c r="Y98" s="192">
        <v>342745.35</v>
      </c>
      <c r="AA98" s="192">
        <v>342745.35</v>
      </c>
      <c r="AC98" s="192">
        <v>342745.35</v>
      </c>
    </row>
    <row r="99" spans="1:29" s="189" customFormat="1" ht="4.5" customHeight="1" outlineLevel="1">
      <c r="A99" s="206"/>
      <c r="G99" s="158"/>
      <c r="I99" s="158"/>
      <c r="K99" s="158"/>
      <c r="M99" s="158"/>
      <c r="O99" s="158"/>
      <c r="Q99" s="158"/>
      <c r="S99" s="158"/>
      <c r="U99" s="158"/>
      <c r="W99" s="158"/>
      <c r="Y99" s="158"/>
      <c r="AA99" s="158"/>
      <c r="AC99" s="158"/>
    </row>
    <row r="100" spans="1:29" s="189" customFormat="1">
      <c r="C100" s="189" t="s">
        <v>418</v>
      </c>
      <c r="G100" s="155">
        <f>SUM(G97:G99)</f>
        <v>1229744.17</v>
      </c>
      <c r="I100" s="155">
        <f>SUM(I97:I99)</f>
        <v>1229744.17</v>
      </c>
      <c r="K100" s="155">
        <f>SUM(K97:K99)</f>
        <v>1229744.17</v>
      </c>
      <c r="M100" s="155">
        <f>SUM(M97:M99)</f>
        <v>1229744.17</v>
      </c>
      <c r="O100" s="155">
        <f>SUM(O97:O99)</f>
        <v>1229744.17</v>
      </c>
      <c r="Q100" s="155">
        <f>SUM(Q97:Q99)</f>
        <v>1229744.17</v>
      </c>
      <c r="S100" s="155">
        <f>SUM(S97:S99)</f>
        <v>1229744.17</v>
      </c>
      <c r="U100" s="155">
        <f>SUM(U97:U99)</f>
        <v>1229744.17</v>
      </c>
      <c r="W100" s="155">
        <f>SUM(W97:W99)</f>
        <v>1229744.17</v>
      </c>
      <c r="Y100" s="155">
        <f>SUM(Y97:Y99)</f>
        <v>1229744.17</v>
      </c>
      <c r="AA100" s="155">
        <f>SUM(AA97:AA99)</f>
        <v>1229744.17</v>
      </c>
      <c r="AC100" s="155">
        <f>SUM(AC97:AC99)</f>
        <v>1229744.17</v>
      </c>
    </row>
    <row r="101" spans="1:29" s="189" customFormat="1" outlineLevel="1">
      <c r="A101" s="190">
        <v>15222</v>
      </c>
      <c r="B101" s="190" t="s">
        <v>420</v>
      </c>
      <c r="C101" s="191"/>
      <c r="D101" s="191"/>
      <c r="G101" s="192">
        <v>141653.54999999999</v>
      </c>
      <c r="I101" s="192">
        <v>141653.54999999999</v>
      </c>
      <c r="K101" s="192">
        <v>141653.54999999999</v>
      </c>
      <c r="M101" s="192">
        <v>141653.54999999999</v>
      </c>
      <c r="O101" s="192">
        <v>141653.54999999999</v>
      </c>
      <c r="Q101" s="192">
        <v>141653.54999999999</v>
      </c>
      <c r="S101" s="192">
        <v>141653.54999999999</v>
      </c>
      <c r="U101" s="192">
        <v>141653.54999999999</v>
      </c>
      <c r="W101" s="192">
        <v>141653.54999999999</v>
      </c>
      <c r="Y101" s="192">
        <v>141653.54999999999</v>
      </c>
      <c r="AA101" s="192">
        <v>141653.54999999999</v>
      </c>
      <c r="AC101" s="192">
        <v>141653.54999999999</v>
      </c>
    </row>
    <row r="102" spans="1:29" s="189" customFormat="1" outlineLevel="1">
      <c r="A102" s="190">
        <v>15226</v>
      </c>
      <c r="B102" s="190" t="s">
        <v>421</v>
      </c>
      <c r="C102" s="191"/>
      <c r="D102" s="191"/>
      <c r="G102" s="192">
        <v>-51939.64</v>
      </c>
      <c r="I102" s="192">
        <v>-51939.64</v>
      </c>
      <c r="K102" s="192">
        <v>-51939.64</v>
      </c>
      <c r="M102" s="192">
        <v>-51939.64</v>
      </c>
      <c r="O102" s="192">
        <v>-51939.64</v>
      </c>
      <c r="Q102" s="192">
        <v>-51939.64</v>
      </c>
      <c r="S102" s="192">
        <v>-51939.64</v>
      </c>
      <c r="U102" s="192">
        <v>-51939.64</v>
      </c>
      <c r="W102" s="192">
        <v>-51939.64</v>
      </c>
      <c r="Y102" s="192">
        <v>-51939.64</v>
      </c>
      <c r="AA102" s="192">
        <v>-51939.64</v>
      </c>
      <c r="AC102" s="192">
        <v>-51939.64</v>
      </c>
    </row>
    <row r="103" spans="1:29" s="189" customFormat="1" outlineLevel="1">
      <c r="A103" s="190">
        <v>15227</v>
      </c>
      <c r="B103" s="190" t="s">
        <v>422</v>
      </c>
      <c r="C103" s="191"/>
      <c r="D103" s="191"/>
      <c r="G103" s="192">
        <v>-89713.91</v>
      </c>
      <c r="I103" s="192">
        <v>-89713.91</v>
      </c>
      <c r="K103" s="192">
        <v>-89713.91</v>
      </c>
      <c r="M103" s="192">
        <v>-89713.91</v>
      </c>
      <c r="O103" s="192">
        <v>-89713.91</v>
      </c>
      <c r="Q103" s="192">
        <v>-89713.91</v>
      </c>
      <c r="S103" s="192">
        <v>-89713.91</v>
      </c>
      <c r="U103" s="192">
        <v>-89713.91</v>
      </c>
      <c r="W103" s="192">
        <v>-89713.91</v>
      </c>
      <c r="Y103" s="192">
        <v>-89713.91</v>
      </c>
      <c r="AA103" s="192">
        <v>-89713.91</v>
      </c>
      <c r="AC103" s="192">
        <v>-89713.91</v>
      </c>
    </row>
    <row r="104" spans="1:29" s="189" customFormat="1" outlineLevel="1">
      <c r="A104" s="190">
        <v>15252</v>
      </c>
      <c r="B104" s="190" t="s">
        <v>423</v>
      </c>
      <c r="C104" s="191"/>
      <c r="D104" s="191"/>
      <c r="G104" s="192">
        <v>2597940.2599999998</v>
      </c>
      <c r="I104" s="192">
        <v>2597940.2599999998</v>
      </c>
      <c r="K104" s="192">
        <v>2597940.2599999998</v>
      </c>
      <c r="M104" s="192">
        <v>2597940.2599999998</v>
      </c>
      <c r="O104" s="192">
        <v>2597940.2599999998</v>
      </c>
      <c r="Q104" s="192">
        <v>2597940.2599999998</v>
      </c>
      <c r="S104" s="192">
        <v>2597940.2599999998</v>
      </c>
      <c r="U104" s="192">
        <v>2597940.2599999998</v>
      </c>
      <c r="W104" s="192">
        <v>2597940.2599999998</v>
      </c>
      <c r="Y104" s="192">
        <v>2597940.2599999998</v>
      </c>
      <c r="AA104" s="192">
        <v>2597940.2599999998</v>
      </c>
      <c r="AC104" s="192">
        <v>2597940.2599999998</v>
      </c>
    </row>
    <row r="105" spans="1:29" s="189" customFormat="1" outlineLevel="1">
      <c r="A105" s="190">
        <v>15256</v>
      </c>
      <c r="B105" s="190" t="s">
        <v>424</v>
      </c>
      <c r="C105" s="191"/>
      <c r="D105" s="191"/>
      <c r="G105" s="192">
        <v>-370045.71</v>
      </c>
      <c r="I105" s="192">
        <v>-376898.4</v>
      </c>
      <c r="K105" s="192">
        <v>-383751.11</v>
      </c>
      <c r="M105" s="192">
        <v>-390603.81</v>
      </c>
      <c r="O105" s="192">
        <v>-397456.5</v>
      </c>
      <c r="Q105" s="192">
        <v>-404309.2</v>
      </c>
      <c r="S105" s="192">
        <v>-411161.9</v>
      </c>
      <c r="U105" s="192">
        <v>-418014.59</v>
      </c>
      <c r="W105" s="192">
        <v>-424867.3</v>
      </c>
      <c r="Y105" s="192">
        <v>-431720</v>
      </c>
      <c r="AA105" s="192">
        <v>-438572.69</v>
      </c>
      <c r="AC105" s="192">
        <v>-445425.39</v>
      </c>
    </row>
    <row r="106" spans="1:29" s="189" customFormat="1" outlineLevel="1">
      <c r="A106" s="190">
        <v>15257</v>
      </c>
      <c r="B106" s="190" t="s">
        <v>425</v>
      </c>
      <c r="C106" s="191"/>
      <c r="D106" s="191"/>
      <c r="G106" s="192">
        <v>-260402.54</v>
      </c>
      <c r="I106" s="192">
        <v>-260402.54</v>
      </c>
      <c r="K106" s="192">
        <v>-260402.54</v>
      </c>
      <c r="M106" s="192">
        <v>-260402.54</v>
      </c>
      <c r="O106" s="192">
        <v>-260402.54</v>
      </c>
      <c r="Q106" s="192">
        <v>-260402.54</v>
      </c>
      <c r="S106" s="192">
        <v>-260402.54</v>
      </c>
      <c r="U106" s="192">
        <v>-260402.54</v>
      </c>
      <c r="W106" s="192">
        <v>-260402.54</v>
      </c>
      <c r="Y106" s="192">
        <v>-260402.54</v>
      </c>
      <c r="AA106" s="192">
        <v>-260402.54</v>
      </c>
      <c r="AC106" s="192">
        <v>-260402.54</v>
      </c>
    </row>
    <row r="107" spans="1:29" s="189" customFormat="1" outlineLevel="1">
      <c r="A107" s="190">
        <v>15261</v>
      </c>
      <c r="B107" s="190" t="s">
        <v>426</v>
      </c>
      <c r="C107" s="191"/>
      <c r="D107" s="191"/>
      <c r="G107" s="192">
        <v>9552800.7799999993</v>
      </c>
      <c r="I107" s="192">
        <v>9552800.7799999993</v>
      </c>
      <c r="K107" s="192">
        <v>9552800.7799999993</v>
      </c>
      <c r="M107" s="192">
        <v>9552800.7799999993</v>
      </c>
      <c r="O107" s="192">
        <v>9552800.7799999993</v>
      </c>
      <c r="Q107" s="192">
        <v>9552800.7799999993</v>
      </c>
      <c r="S107" s="192">
        <v>9552800.7799999993</v>
      </c>
      <c r="U107" s="192">
        <v>9552800.7799999993</v>
      </c>
      <c r="W107" s="192">
        <v>9552800.7799999993</v>
      </c>
      <c r="Y107" s="192">
        <v>9552800.7799999993</v>
      </c>
      <c r="AA107" s="192">
        <v>9552800.7799999993</v>
      </c>
      <c r="AC107" s="192">
        <v>9552800.7799999993</v>
      </c>
    </row>
    <row r="108" spans="1:29" s="189" customFormat="1" ht="5.0999999999999996" customHeight="1" outlineLevel="1">
      <c r="A108" s="191"/>
      <c r="B108" s="191"/>
      <c r="C108" s="191"/>
      <c r="D108" s="191"/>
      <c r="G108" s="158"/>
      <c r="I108" s="158"/>
      <c r="K108" s="158"/>
      <c r="M108" s="158"/>
      <c r="O108" s="158"/>
      <c r="Q108" s="158"/>
      <c r="S108" s="158"/>
      <c r="U108" s="158"/>
      <c r="W108" s="158"/>
      <c r="Y108" s="158"/>
      <c r="AA108" s="158"/>
      <c r="AC108" s="158"/>
    </row>
    <row r="109" spans="1:29" s="189" customFormat="1">
      <c r="C109" s="190" t="s">
        <v>427</v>
      </c>
      <c r="D109" s="207"/>
      <c r="E109" s="207"/>
      <c r="F109" s="207"/>
      <c r="G109" s="155">
        <f>SUM(G101:G108)</f>
        <v>11520292.789999999</v>
      </c>
      <c r="I109" s="155">
        <f>SUM(I101:I108)</f>
        <v>11513440.1</v>
      </c>
      <c r="K109" s="155">
        <f>SUM(K101:K108)</f>
        <v>11506587.389999999</v>
      </c>
      <c r="M109" s="155">
        <f>SUM(M101:M108)</f>
        <v>11499734.689999999</v>
      </c>
      <c r="O109" s="155">
        <f>SUM(O101:O108)</f>
        <v>11492882</v>
      </c>
      <c r="Q109" s="155">
        <f>SUM(Q101:Q108)</f>
        <v>11486029.299999999</v>
      </c>
      <c r="S109" s="155">
        <f>SUM(S101:S108)</f>
        <v>11479176.6</v>
      </c>
      <c r="U109" s="155">
        <f>SUM(U101:U108)</f>
        <v>11472323.91</v>
      </c>
      <c r="W109" s="155">
        <f>SUM(W101:W108)</f>
        <v>11465471.199999999</v>
      </c>
      <c r="Y109" s="155">
        <f>SUM(Y101:Y108)</f>
        <v>11458618.5</v>
      </c>
      <c r="AA109" s="155">
        <f>SUM(AA101:AA108)</f>
        <v>11451765.809999999</v>
      </c>
      <c r="AC109" s="155">
        <f>SUM(AC101:AC108)</f>
        <v>11444913.109999999</v>
      </c>
    </row>
    <row r="110" spans="1:29" s="189" customFormat="1" outlineLevel="1">
      <c r="A110" s="190"/>
      <c r="B110" s="190"/>
      <c r="C110" s="191"/>
      <c r="D110" s="191"/>
      <c r="G110" s="192"/>
      <c r="I110" s="192"/>
      <c r="K110" s="192"/>
      <c r="M110" s="192"/>
      <c r="O110" s="192"/>
      <c r="Q110" s="192"/>
      <c r="S110" s="192"/>
      <c r="U110" s="192"/>
      <c r="W110" s="192"/>
      <c r="Y110" s="192"/>
      <c r="AA110" s="192"/>
      <c r="AC110" s="192"/>
    </row>
    <row r="111" spans="1:29" s="189" customFormat="1" ht="5.0999999999999996" customHeight="1" outlineLevel="1">
      <c r="A111" s="191"/>
      <c r="B111" s="191"/>
      <c r="C111" s="191"/>
      <c r="D111" s="191"/>
      <c r="G111" s="158"/>
      <c r="I111" s="158"/>
      <c r="K111" s="158"/>
      <c r="M111" s="158"/>
      <c r="O111" s="158"/>
      <c r="Q111" s="158"/>
      <c r="S111" s="158"/>
      <c r="U111" s="158"/>
      <c r="W111" s="158"/>
      <c r="Y111" s="158"/>
      <c r="AA111" s="158"/>
      <c r="AC111" s="158"/>
    </row>
    <row r="112" spans="1:29" s="189" customFormat="1">
      <c r="C112" s="190" t="s">
        <v>429</v>
      </c>
      <c r="D112" s="207"/>
      <c r="E112" s="207"/>
      <c r="F112" s="207"/>
      <c r="G112" s="155">
        <f>SUM(G110:G111)</f>
        <v>0</v>
      </c>
      <c r="I112" s="155">
        <f>SUM(I110:I111)</f>
        <v>0</v>
      </c>
      <c r="K112" s="155">
        <f>SUM(K110:K111)</f>
        <v>0</v>
      </c>
      <c r="M112" s="155">
        <f>SUM(M110:M111)</f>
        <v>0</v>
      </c>
      <c r="O112" s="155">
        <f>SUM(O110:O111)</f>
        <v>0</v>
      </c>
      <c r="Q112" s="155">
        <f>SUM(Q110:Q111)</f>
        <v>0</v>
      </c>
      <c r="S112" s="155">
        <f>SUM(S110:S111)</f>
        <v>0</v>
      </c>
      <c r="U112" s="155">
        <f>SUM(U110:U111)</f>
        <v>0</v>
      </c>
      <c r="W112" s="155">
        <f>SUM(W110:W111)</f>
        <v>0</v>
      </c>
      <c r="Y112" s="155">
        <f>SUM(Y110:Y111)</f>
        <v>0</v>
      </c>
      <c r="AA112" s="155">
        <f>SUM(AA110:AA111)</f>
        <v>0</v>
      </c>
      <c r="AC112" s="155">
        <f>SUM(AC110:AC111)</f>
        <v>0</v>
      </c>
    </row>
    <row r="113" spans="1:29" s="164" customFormat="1" outlineLevel="1"/>
    <row r="114" spans="1:29" s="189" customFormat="1" ht="4.5" customHeight="1" outlineLevel="1">
      <c r="A114" s="206"/>
      <c r="G114" s="158"/>
      <c r="I114" s="158"/>
      <c r="K114" s="158"/>
      <c r="M114" s="158"/>
      <c r="O114" s="158"/>
      <c r="Q114" s="158"/>
      <c r="S114" s="158"/>
      <c r="U114" s="158"/>
      <c r="W114" s="158"/>
      <c r="Y114" s="158"/>
      <c r="AA114" s="158"/>
      <c r="AC114" s="158"/>
    </row>
    <row r="115" spans="1:29" s="189" customFormat="1">
      <c r="C115" s="189" t="s">
        <v>431</v>
      </c>
      <c r="G115" s="155">
        <f>SUM(G113:G114)</f>
        <v>0</v>
      </c>
      <c r="I115" s="155">
        <f>SUM(I113:I114)</f>
        <v>0</v>
      </c>
      <c r="K115" s="155">
        <f>SUM(K113:K114)</f>
        <v>0</v>
      </c>
      <c r="M115" s="155">
        <f>SUM(M113:M114)</f>
        <v>0</v>
      </c>
      <c r="O115" s="155">
        <f>SUM(O113:O114)</f>
        <v>0</v>
      </c>
      <c r="Q115" s="155">
        <f>SUM(Q113:Q114)</f>
        <v>0</v>
      </c>
      <c r="S115" s="155">
        <f>SUM(S113:S114)</f>
        <v>0</v>
      </c>
      <c r="U115" s="155">
        <f>SUM(U113:U114)</f>
        <v>0</v>
      </c>
      <c r="W115" s="155">
        <f>SUM(W113:W114)</f>
        <v>0</v>
      </c>
      <c r="Y115" s="155">
        <f>SUM(Y113:Y114)</f>
        <v>0</v>
      </c>
      <c r="AA115" s="155">
        <f>SUM(AA113:AA114)</f>
        <v>0</v>
      </c>
      <c r="AC115" s="155">
        <f>SUM(AC113:AC114)</f>
        <v>0</v>
      </c>
    </row>
    <row r="116" spans="1:29" s="164" customFormat="1" outlineLevel="1"/>
    <row r="117" spans="1:29" s="189" customFormat="1" ht="5.0999999999999996" customHeight="1" outlineLevel="1">
      <c r="A117" s="191"/>
      <c r="B117" s="191"/>
      <c r="C117" s="191"/>
      <c r="D117" s="191"/>
      <c r="G117" s="158"/>
      <c r="I117" s="158"/>
      <c r="K117" s="158"/>
      <c r="M117" s="158"/>
      <c r="O117" s="158"/>
      <c r="Q117" s="158"/>
      <c r="S117" s="158"/>
      <c r="U117" s="158"/>
      <c r="W117" s="158"/>
      <c r="Y117" s="158"/>
      <c r="AA117" s="158"/>
      <c r="AC117" s="158"/>
    </row>
    <row r="118" spans="1:29" s="189" customFormat="1">
      <c r="C118" s="190" t="s">
        <v>433</v>
      </c>
      <c r="G118" s="155">
        <f>SUM(G116:G117)</f>
        <v>0</v>
      </c>
      <c r="I118" s="155">
        <f>SUM(I116:I117)</f>
        <v>0</v>
      </c>
      <c r="K118" s="155">
        <f>SUM(K116:K117)</f>
        <v>0</v>
      </c>
      <c r="M118" s="155">
        <f>SUM(M116:M117)</f>
        <v>0</v>
      </c>
      <c r="O118" s="155">
        <f>SUM(O116:O117)</f>
        <v>0</v>
      </c>
      <c r="Q118" s="155">
        <f>SUM(Q116:Q117)</f>
        <v>0</v>
      </c>
      <c r="S118" s="155">
        <f>SUM(S116:S117)</f>
        <v>0</v>
      </c>
      <c r="U118" s="155">
        <f>SUM(U116:U117)</f>
        <v>0</v>
      </c>
      <c r="W118" s="155">
        <f>SUM(W116:W117)</f>
        <v>0</v>
      </c>
      <c r="Y118" s="155">
        <f>SUM(Y116:Y117)</f>
        <v>0</v>
      </c>
      <c r="AA118" s="155">
        <f>SUM(AA116:AA117)</f>
        <v>0</v>
      </c>
      <c r="AC118" s="155">
        <f>SUM(AC116:AC117)</f>
        <v>0</v>
      </c>
    </row>
    <row r="119" spans="1:29" s="164" customFormat="1" outlineLevel="1"/>
    <row r="120" spans="1:29" s="189" customFormat="1" ht="5.0999999999999996" customHeight="1" outlineLevel="1">
      <c r="A120" s="191"/>
      <c r="B120" s="191"/>
      <c r="C120" s="191"/>
      <c r="D120" s="191"/>
      <c r="G120" s="158"/>
      <c r="I120" s="158"/>
      <c r="K120" s="158"/>
      <c r="M120" s="158"/>
      <c r="O120" s="158"/>
      <c r="Q120" s="158"/>
      <c r="S120" s="158"/>
      <c r="U120" s="158"/>
      <c r="W120" s="158"/>
      <c r="Y120" s="158"/>
      <c r="AA120" s="158"/>
      <c r="AC120" s="158"/>
    </row>
    <row r="121" spans="1:29" s="189" customFormat="1">
      <c r="C121" s="190" t="s">
        <v>435</v>
      </c>
      <c r="G121" s="155">
        <f>SUM(G119:G120)</f>
        <v>0</v>
      </c>
      <c r="I121" s="155">
        <f>SUM(I119:I120)</f>
        <v>0</v>
      </c>
      <c r="K121" s="155">
        <f>SUM(K119:K120)</f>
        <v>0</v>
      </c>
      <c r="M121" s="155">
        <f>SUM(M119:M120)</f>
        <v>0</v>
      </c>
      <c r="O121" s="155">
        <f>SUM(O119:O120)</f>
        <v>0</v>
      </c>
      <c r="Q121" s="155">
        <f>SUM(Q119:Q120)</f>
        <v>0</v>
      </c>
      <c r="S121" s="155">
        <f>SUM(S119:S120)</f>
        <v>0</v>
      </c>
      <c r="U121" s="155">
        <f>SUM(U119:U120)</f>
        <v>0</v>
      </c>
      <c r="W121" s="155">
        <f>SUM(W119:W120)</f>
        <v>0</v>
      </c>
      <c r="Y121" s="155">
        <f>SUM(Y119:Y120)</f>
        <v>0</v>
      </c>
      <c r="AA121" s="155">
        <f>SUM(AA119:AA120)</f>
        <v>0</v>
      </c>
      <c r="AC121" s="155">
        <f>SUM(AC119:AC120)</f>
        <v>0</v>
      </c>
    </row>
    <row r="122" spans="1:29" s="189" customFormat="1" outlineLevel="1">
      <c r="A122" s="190">
        <v>17100</v>
      </c>
      <c r="B122" s="190" t="s">
        <v>437</v>
      </c>
      <c r="C122" s="191"/>
      <c r="D122" s="191"/>
      <c r="G122" s="192">
        <v>126216.1</v>
      </c>
      <c r="I122" s="192">
        <v>209754.09</v>
      </c>
      <c r="K122" s="192">
        <v>347365.79</v>
      </c>
      <c r="M122" s="192">
        <v>553100.97</v>
      </c>
      <c r="O122" s="192">
        <v>653806.66</v>
      </c>
      <c r="Q122" s="192">
        <v>718917.33</v>
      </c>
      <c r="S122" s="192">
        <v>888077.02</v>
      </c>
      <c r="U122" s="192">
        <v>923805.87</v>
      </c>
      <c r="W122" s="192">
        <v>1219026.29</v>
      </c>
      <c r="Y122" s="192">
        <v>1072594.19</v>
      </c>
      <c r="AA122" s="192">
        <v>1132566.29</v>
      </c>
      <c r="AC122" s="192">
        <v>1174621.31</v>
      </c>
    </row>
    <row r="123" spans="1:29" s="189" customFormat="1" outlineLevel="1">
      <c r="A123" s="190">
        <v>18100</v>
      </c>
      <c r="B123" s="190" t="s">
        <v>438</v>
      </c>
      <c r="C123" s="191"/>
      <c r="D123" s="191"/>
      <c r="G123" s="192">
        <v>-14457593.98</v>
      </c>
      <c r="I123" s="192">
        <v>-14457593.98</v>
      </c>
      <c r="K123" s="192">
        <v>-14457593.98</v>
      </c>
      <c r="M123" s="192">
        <v>-14457593.98</v>
      </c>
      <c r="O123" s="192">
        <v>-14457593.98</v>
      </c>
      <c r="Q123" s="192">
        <v>-14457593.98</v>
      </c>
      <c r="S123" s="192">
        <v>-14457593.98</v>
      </c>
      <c r="U123" s="192">
        <v>-14457593.98</v>
      </c>
      <c r="W123" s="192">
        <v>-14457593.98</v>
      </c>
      <c r="Y123" s="192">
        <v>-14457593.98</v>
      </c>
      <c r="AA123" s="192">
        <v>-14457593.98</v>
      </c>
      <c r="AC123" s="192">
        <v>-14457593.98</v>
      </c>
    </row>
    <row r="124" spans="1:29" s="189" customFormat="1" ht="5.0999999999999996" customHeight="1" outlineLevel="1">
      <c r="A124" s="191"/>
      <c r="B124" s="191"/>
      <c r="C124" s="191"/>
      <c r="D124" s="191"/>
      <c r="G124" s="158"/>
      <c r="I124" s="158"/>
      <c r="K124" s="158"/>
      <c r="M124" s="158"/>
      <c r="O124" s="158"/>
      <c r="Q124" s="158"/>
      <c r="S124" s="158"/>
      <c r="U124" s="158"/>
      <c r="W124" s="158"/>
      <c r="Y124" s="158"/>
      <c r="AA124" s="158"/>
      <c r="AC124" s="158"/>
    </row>
    <row r="125" spans="1:29" s="189" customFormat="1">
      <c r="C125" s="190" t="s">
        <v>439</v>
      </c>
      <c r="G125" s="155">
        <f>SUM(G122:G124)</f>
        <v>-14331377.880000001</v>
      </c>
      <c r="I125" s="155">
        <f>SUM(I122:I124)</f>
        <v>-14247839.890000001</v>
      </c>
      <c r="K125" s="155">
        <f>SUM(K122:K124)</f>
        <v>-14110228.190000001</v>
      </c>
      <c r="M125" s="155">
        <f>SUM(M122:M124)</f>
        <v>-13904493.01</v>
      </c>
      <c r="O125" s="155">
        <f>SUM(O122:O124)</f>
        <v>-13803787.32</v>
      </c>
      <c r="Q125" s="155">
        <f>SUM(Q122:Q124)</f>
        <v>-13738676.65</v>
      </c>
      <c r="S125" s="155">
        <f>SUM(S122:S124)</f>
        <v>-13569516.960000001</v>
      </c>
      <c r="U125" s="155">
        <f>SUM(U122:U124)</f>
        <v>-13533788.110000001</v>
      </c>
      <c r="W125" s="155">
        <f>SUM(W122:W124)</f>
        <v>-13238567.690000001</v>
      </c>
      <c r="Y125" s="155">
        <f>SUM(Y122:Y124)</f>
        <v>-13384999.790000001</v>
      </c>
      <c r="AA125" s="155">
        <f>SUM(AA122:AA124)</f>
        <v>-13325027.690000001</v>
      </c>
      <c r="AC125" s="155">
        <f>SUM(AC122:AC124)</f>
        <v>-13282972.67</v>
      </c>
    </row>
    <row r="126" spans="1:29" s="189" customFormat="1" ht="7.5" customHeight="1">
      <c r="G126" s="157"/>
      <c r="I126" s="157"/>
      <c r="K126" s="157"/>
      <c r="M126" s="157"/>
      <c r="O126" s="157"/>
      <c r="Q126" s="157"/>
      <c r="S126" s="157"/>
      <c r="U126" s="157"/>
      <c r="W126" s="157"/>
      <c r="Y126" s="157"/>
      <c r="AA126" s="157"/>
      <c r="AC126" s="157"/>
    </row>
    <row r="127" spans="1:29" s="189" customFormat="1" ht="13.5" thickBot="1">
      <c r="B127" s="205" t="s">
        <v>440</v>
      </c>
      <c r="G127" s="181">
        <f>SUM(G93,G96,G100,G109,G112,G115,G118,G121,G125,G53)</f>
        <v>5312764.7199999988</v>
      </c>
      <c r="I127" s="181">
        <f>SUM(I93,I96,I100,I109,I112,I115,I118,I121,I125,I53)</f>
        <v>5393741.2599999961</v>
      </c>
      <c r="K127" s="181">
        <f>SUM(K93,K96,K100,K109,K112,K115,K118,K121,K125,K53)</f>
        <v>5495256.6399999978</v>
      </c>
      <c r="M127" s="181">
        <f>SUM(M93,M96,M100,M109,M112,M115,M118,M121,M125,M53)</f>
        <v>5694081.9699999969</v>
      </c>
      <c r="O127" s="181">
        <f>SUM(O93,O96,O100,O109,O112,O115,O118,O121,O125,O53)</f>
        <v>5783722.2299999967</v>
      </c>
      <c r="Q127" s="181">
        <f>SUM(Q93,Q96,Q100,Q109,Q112,Q115,Q118,Q121,Q125,Q53)</f>
        <v>5862060.6599999983</v>
      </c>
      <c r="S127" s="181">
        <f>SUM(S93,S96,S100,S109,S112,S115,S118,S121,S125,S53)</f>
        <v>5784453.8799999962</v>
      </c>
      <c r="U127" s="181">
        <f>SUM(U93,U96,U100,U109,U112,U115,U118,U121,U125,U53)</f>
        <v>5991497.1799999969</v>
      </c>
      <c r="W127" s="181">
        <f>SUM(W93,W96,W100,W109,W112,W115,W118,W121,W125,W53)</f>
        <v>6266306.0399999972</v>
      </c>
      <c r="Y127" s="181">
        <f>SUM(Y93,Y96,Y100,Y109,Y112,Y115,Y118,Y121,Y125,Y53)</f>
        <v>6371807.4599999972</v>
      </c>
      <c r="AA127" s="181">
        <f>SUM(AA93,AA96,AA100,AA109,AA112,AA115,AA118,AA121,AA125,AA53)</f>
        <v>6527389.3399999952</v>
      </c>
      <c r="AC127" s="181">
        <f>SUM(AC93,AC96,AC100,AC109,AC112,AC115,AC118,AC121,AC125,AC53)</f>
        <v>6851405.629999999</v>
      </c>
    </row>
    <row r="128" spans="1:29" s="189" customFormat="1" ht="7.5" customHeight="1" thickTop="1">
      <c r="G128" s="157"/>
      <c r="I128" s="157"/>
      <c r="K128" s="157"/>
      <c r="M128" s="157"/>
      <c r="O128" s="157"/>
      <c r="Q128" s="157"/>
      <c r="S128" s="157"/>
      <c r="U128" s="157"/>
      <c r="W128" s="157"/>
      <c r="Y128" s="157"/>
      <c r="AA128" s="157"/>
      <c r="AC128" s="157"/>
    </row>
    <row r="129" spans="1:29" s="189" customFormat="1" outlineLevel="1">
      <c r="G129" s="157"/>
      <c r="I129" s="157"/>
      <c r="K129" s="157"/>
      <c r="M129" s="157"/>
      <c r="O129" s="157"/>
      <c r="Q129" s="157"/>
      <c r="S129" s="157"/>
      <c r="U129" s="157"/>
      <c r="W129" s="157"/>
      <c r="Y129" s="157"/>
      <c r="AA129" s="157"/>
      <c r="AC129" s="157"/>
    </row>
    <row r="130" spans="1:29" s="164" customFormat="1" outlineLevel="1"/>
    <row r="131" spans="1:29" s="189" customFormat="1" ht="5.0999999999999996" customHeight="1" outlineLevel="1">
      <c r="A131" s="191"/>
      <c r="B131" s="191"/>
      <c r="C131" s="191"/>
      <c r="D131" s="191"/>
      <c r="G131" s="158"/>
      <c r="I131" s="158"/>
      <c r="K131" s="158"/>
      <c r="M131" s="158"/>
      <c r="O131" s="158"/>
      <c r="Q131" s="158"/>
      <c r="S131" s="158"/>
      <c r="U131" s="158"/>
      <c r="W131" s="158"/>
      <c r="Y131" s="158"/>
      <c r="AA131" s="158"/>
      <c r="AC131" s="158"/>
    </row>
    <row r="132" spans="1:29" s="189" customFormat="1">
      <c r="C132" s="190" t="s">
        <v>442</v>
      </c>
      <c r="G132" s="155">
        <f>SUM(G130:G131)</f>
        <v>0</v>
      </c>
      <c r="I132" s="155">
        <f>SUM(I130:I131)</f>
        <v>0</v>
      </c>
      <c r="K132" s="155">
        <f>SUM(K130:K131)</f>
        <v>0</v>
      </c>
      <c r="M132" s="155">
        <f>SUM(M130:M131)</f>
        <v>0</v>
      </c>
      <c r="O132" s="155">
        <f>SUM(O130:O131)</f>
        <v>0</v>
      </c>
      <c r="Q132" s="155">
        <f>SUM(Q130:Q131)</f>
        <v>0</v>
      </c>
      <c r="S132" s="155">
        <f>SUM(S130:S131)</f>
        <v>0</v>
      </c>
      <c r="U132" s="155">
        <f>SUM(U130:U131)</f>
        <v>0</v>
      </c>
      <c r="W132" s="155">
        <f>SUM(W130:W131)</f>
        <v>0</v>
      </c>
      <c r="Y132" s="155">
        <f>SUM(Y130:Y131)</f>
        <v>0</v>
      </c>
      <c r="AA132" s="155">
        <f>SUM(AA130:AA131)</f>
        <v>0</v>
      </c>
      <c r="AC132" s="155">
        <f>SUM(AC130:AC131)</f>
        <v>0</v>
      </c>
    </row>
    <row r="133" spans="1:29" s="189" customFormat="1" outlineLevel="1">
      <c r="A133" s="190">
        <v>20120</v>
      </c>
      <c r="B133" s="190" t="s">
        <v>444</v>
      </c>
      <c r="C133" s="191"/>
      <c r="D133" s="191"/>
      <c r="G133" s="192">
        <v>414687.94</v>
      </c>
      <c r="I133" s="192">
        <v>452890.57</v>
      </c>
      <c r="K133" s="192">
        <v>425744.86</v>
      </c>
      <c r="M133" s="192">
        <v>432495.21</v>
      </c>
      <c r="O133" s="192">
        <v>438658.88</v>
      </c>
      <c r="Q133" s="192">
        <v>388557.31</v>
      </c>
      <c r="S133" s="192">
        <v>352691.15</v>
      </c>
      <c r="U133" s="192">
        <v>383468.63</v>
      </c>
      <c r="W133" s="192">
        <v>492758.95</v>
      </c>
      <c r="Y133" s="192">
        <v>465959.15</v>
      </c>
      <c r="AA133" s="192">
        <v>475487.09</v>
      </c>
      <c r="AC133" s="192">
        <v>545917.53</v>
      </c>
    </row>
    <row r="134" spans="1:29" s="189" customFormat="1" outlineLevel="1">
      <c r="A134" s="190">
        <v>20121</v>
      </c>
      <c r="B134" s="190" t="s">
        <v>445</v>
      </c>
      <c r="C134" s="191"/>
      <c r="D134" s="191"/>
      <c r="G134" s="192">
        <v>0</v>
      </c>
      <c r="I134" s="192">
        <v>0</v>
      </c>
      <c r="K134" s="192">
        <v>0</v>
      </c>
      <c r="M134" s="192">
        <v>0</v>
      </c>
      <c r="O134" s="192">
        <v>0</v>
      </c>
      <c r="Q134" s="192">
        <v>0</v>
      </c>
      <c r="S134" s="192">
        <v>0</v>
      </c>
      <c r="U134" s="192">
        <v>0</v>
      </c>
      <c r="W134" s="192">
        <v>0</v>
      </c>
      <c r="Y134" s="192">
        <v>0</v>
      </c>
      <c r="AA134" s="192">
        <v>0</v>
      </c>
      <c r="AC134" s="192">
        <v>37363</v>
      </c>
    </row>
    <row r="135" spans="1:29" s="189" customFormat="1" outlineLevel="1">
      <c r="A135" s="190">
        <v>20123</v>
      </c>
      <c r="B135" s="190" t="s">
        <v>446</v>
      </c>
      <c r="C135" s="191"/>
      <c r="D135" s="191"/>
      <c r="G135" s="192">
        <v>4136.88</v>
      </c>
      <c r="I135" s="192">
        <v>6683.41</v>
      </c>
      <c r="K135" s="192">
        <v>13851.11</v>
      </c>
      <c r="M135" s="192">
        <v>6670.87</v>
      </c>
      <c r="O135" s="192">
        <v>6690.6</v>
      </c>
      <c r="Q135" s="192">
        <v>12060.13</v>
      </c>
      <c r="S135" s="192">
        <v>-132.37</v>
      </c>
      <c r="U135" s="192">
        <v>8933.4599999999991</v>
      </c>
      <c r="W135" s="192">
        <v>10998.88</v>
      </c>
      <c r="Y135" s="192">
        <v>4331.42</v>
      </c>
      <c r="AA135" s="192">
        <v>4869.26</v>
      </c>
      <c r="AC135" s="192">
        <v>8767.57</v>
      </c>
    </row>
    <row r="136" spans="1:29" s="189" customFormat="1" outlineLevel="1">
      <c r="A136" s="190">
        <v>20140</v>
      </c>
      <c r="B136" s="190" t="s">
        <v>447</v>
      </c>
      <c r="C136" s="191"/>
      <c r="D136" s="191"/>
      <c r="G136" s="192">
        <v>10349.049999999999</v>
      </c>
      <c r="I136" s="192">
        <v>11162.66</v>
      </c>
      <c r="K136" s="192">
        <v>11042.69</v>
      </c>
      <c r="M136" s="192">
        <v>11058.78</v>
      </c>
      <c r="O136" s="192">
        <v>11054.58</v>
      </c>
      <c r="Q136" s="192">
        <v>11235.64</v>
      </c>
      <c r="S136" s="192">
        <v>11842.5</v>
      </c>
      <c r="U136" s="192">
        <v>14412.84</v>
      </c>
      <c r="W136" s="192">
        <v>12599.35</v>
      </c>
      <c r="Y136" s="192">
        <v>13291.4</v>
      </c>
      <c r="AA136" s="192">
        <v>13645.04</v>
      </c>
      <c r="AC136" s="192">
        <v>10347.69</v>
      </c>
    </row>
    <row r="137" spans="1:29" s="189" customFormat="1" outlineLevel="1">
      <c r="A137" s="190">
        <v>20170</v>
      </c>
      <c r="B137" s="190" t="s">
        <v>448</v>
      </c>
      <c r="C137" s="191"/>
      <c r="D137" s="191"/>
      <c r="G137" s="192">
        <v>17182.64</v>
      </c>
      <c r="I137" s="192">
        <v>17799.349999999999</v>
      </c>
      <c r="K137" s="192">
        <v>17763.009999999998</v>
      </c>
      <c r="M137" s="192">
        <v>18189.759999999998</v>
      </c>
      <c r="O137" s="192">
        <v>18471.97</v>
      </c>
      <c r="Q137" s="192">
        <v>17709.43</v>
      </c>
      <c r="S137" s="192">
        <v>17073.77</v>
      </c>
      <c r="U137" s="192">
        <v>17686.23</v>
      </c>
      <c r="W137" s="192">
        <v>19568.2</v>
      </c>
      <c r="Y137" s="192">
        <v>18722.740000000002</v>
      </c>
      <c r="AA137" s="192">
        <v>19567.77</v>
      </c>
      <c r="AC137" s="192">
        <v>20421.46</v>
      </c>
    </row>
    <row r="138" spans="1:29" s="189" customFormat="1" outlineLevel="1">
      <c r="A138" s="190">
        <v>20175</v>
      </c>
      <c r="B138" s="190" t="s">
        <v>449</v>
      </c>
      <c r="C138" s="191"/>
      <c r="D138" s="191"/>
      <c r="G138" s="192">
        <v>54729.9</v>
      </c>
      <c r="I138" s="192">
        <v>60310.55</v>
      </c>
      <c r="K138" s="192">
        <v>61395.95</v>
      </c>
      <c r="M138" s="192">
        <v>61862.36</v>
      </c>
      <c r="O138" s="192">
        <v>60460.15</v>
      </c>
      <c r="Q138" s="192">
        <v>57684.04</v>
      </c>
      <c r="S138" s="192">
        <v>56885.46</v>
      </c>
      <c r="U138" s="192">
        <v>58769.83</v>
      </c>
      <c r="W138" s="192">
        <v>66896.17</v>
      </c>
      <c r="Y138" s="192">
        <v>63954.34</v>
      </c>
      <c r="AA138" s="192">
        <v>68330.22</v>
      </c>
      <c r="AC138" s="192">
        <v>66979.34</v>
      </c>
    </row>
    <row r="139" spans="1:29" s="189" customFormat="1" outlineLevel="1">
      <c r="A139" s="190">
        <v>20178</v>
      </c>
      <c r="B139" s="190" t="s">
        <v>450</v>
      </c>
      <c r="C139" s="191"/>
      <c r="D139" s="191"/>
      <c r="G139" s="192">
        <v>24166</v>
      </c>
      <c r="I139" s="192">
        <v>27882</v>
      </c>
      <c r="K139" s="192">
        <v>31440</v>
      </c>
      <c r="M139" s="192">
        <v>35134</v>
      </c>
      <c r="O139" s="192">
        <v>38697</v>
      </c>
      <c r="Q139" s="192">
        <v>41892</v>
      </c>
      <c r="S139" s="192">
        <v>45531</v>
      </c>
      <c r="U139" s="192">
        <v>58477</v>
      </c>
      <c r="W139" s="192">
        <v>62950</v>
      </c>
      <c r="Y139" s="192">
        <v>17402.14</v>
      </c>
      <c r="AA139" s="192">
        <v>21992.14</v>
      </c>
      <c r="AC139" s="192">
        <v>26890.14</v>
      </c>
    </row>
    <row r="140" spans="1:29" s="189" customFormat="1" outlineLevel="1">
      <c r="A140" s="190">
        <v>20180</v>
      </c>
      <c r="B140" s="190" t="s">
        <v>451</v>
      </c>
      <c r="C140" s="191"/>
      <c r="D140" s="191"/>
      <c r="G140" s="192">
        <v>26792.97</v>
      </c>
      <c r="I140" s="192">
        <v>30324.43</v>
      </c>
      <c r="K140" s="192">
        <v>32071.57</v>
      </c>
      <c r="M140" s="192">
        <v>33536.94</v>
      </c>
      <c r="O140" s="192">
        <v>31753.59</v>
      </c>
      <c r="Q140" s="192">
        <v>31520.05</v>
      </c>
      <c r="S140" s="192">
        <v>28967.55</v>
      </c>
      <c r="U140" s="192">
        <v>31577.040000000001</v>
      </c>
      <c r="W140" s="192">
        <v>33320.480000000003</v>
      </c>
      <c r="Y140" s="192">
        <v>33508.94</v>
      </c>
      <c r="AA140" s="192">
        <v>33360.68</v>
      </c>
      <c r="AC140" s="192">
        <v>35940.870000000003</v>
      </c>
    </row>
    <row r="141" spans="1:29" s="189" customFormat="1" ht="5.0999999999999996" customHeight="1" outlineLevel="1">
      <c r="A141" s="191"/>
      <c r="B141" s="191"/>
      <c r="C141" s="191"/>
      <c r="D141" s="191"/>
      <c r="G141" s="158"/>
      <c r="I141" s="158"/>
      <c r="K141" s="158"/>
      <c r="M141" s="158"/>
      <c r="O141" s="158"/>
      <c r="Q141" s="158"/>
      <c r="S141" s="158"/>
      <c r="U141" s="158"/>
      <c r="W141" s="158"/>
      <c r="Y141" s="158"/>
      <c r="AA141" s="158"/>
      <c r="AC141" s="158"/>
    </row>
    <row r="142" spans="1:29" s="189" customFormat="1">
      <c r="C142" s="190" t="s">
        <v>452</v>
      </c>
      <c r="G142" s="155">
        <f>SUM(G133:G141)</f>
        <v>552045.38</v>
      </c>
      <c r="I142" s="155">
        <f>SUM(I133:I141)</f>
        <v>607052.97</v>
      </c>
      <c r="K142" s="155">
        <f>SUM(K133:K141)</f>
        <v>593309.18999999994</v>
      </c>
      <c r="M142" s="155">
        <f>SUM(M133:M141)</f>
        <v>598947.92000000016</v>
      </c>
      <c r="O142" s="155">
        <f>SUM(O133:O141)</f>
        <v>605786.77</v>
      </c>
      <c r="Q142" s="155">
        <f>SUM(Q133:Q141)</f>
        <v>560658.60000000009</v>
      </c>
      <c r="S142" s="155">
        <f>SUM(S133:S141)</f>
        <v>512859.06000000006</v>
      </c>
      <c r="U142" s="155">
        <f>SUM(U133:U141)</f>
        <v>573325.03</v>
      </c>
      <c r="W142" s="155">
        <f>SUM(W133:W141)</f>
        <v>699092.03</v>
      </c>
      <c r="Y142" s="155">
        <f>SUM(Y133:Y141)</f>
        <v>617170.13000000012</v>
      </c>
      <c r="AA142" s="155">
        <f>SUM(AA133:AA141)</f>
        <v>637252.20000000007</v>
      </c>
      <c r="AC142" s="155">
        <f>SUM(AC133:AC141)</f>
        <v>752627.59999999986</v>
      </c>
    </row>
    <row r="143" spans="1:29" s="189" customFormat="1" outlineLevel="1">
      <c r="A143" s="190">
        <v>20300</v>
      </c>
      <c r="B143" s="190" t="s">
        <v>454</v>
      </c>
      <c r="C143" s="191"/>
      <c r="D143" s="191"/>
      <c r="G143" s="192">
        <v>96135.7</v>
      </c>
      <c r="I143" s="192">
        <v>114948.12</v>
      </c>
      <c r="K143" s="192">
        <v>95609.58</v>
      </c>
      <c r="M143" s="192">
        <v>114842.2</v>
      </c>
      <c r="O143" s="192">
        <v>95709.56</v>
      </c>
      <c r="Q143" s="192">
        <v>114988.81</v>
      </c>
      <c r="S143" s="192">
        <v>95842.97</v>
      </c>
      <c r="U143" s="192">
        <v>115680.69</v>
      </c>
      <c r="W143" s="192">
        <v>97716.22</v>
      </c>
      <c r="Y143" s="192">
        <v>116655.86</v>
      </c>
      <c r="AA143" s="192">
        <v>99643.81</v>
      </c>
      <c r="AC143" s="192">
        <v>117887.36</v>
      </c>
    </row>
    <row r="144" spans="1:29" s="189" customFormat="1" ht="5.0999999999999996" customHeight="1" outlineLevel="1">
      <c r="A144" s="191"/>
      <c r="B144" s="191"/>
      <c r="C144" s="191"/>
      <c r="D144" s="191"/>
      <c r="G144" s="158"/>
      <c r="I144" s="158"/>
      <c r="K144" s="158"/>
      <c r="M144" s="158"/>
      <c r="O144" s="158"/>
      <c r="Q144" s="158"/>
      <c r="S144" s="158"/>
      <c r="U144" s="158"/>
      <c r="W144" s="158"/>
      <c r="Y144" s="158"/>
      <c r="AA144" s="158"/>
      <c r="AC144" s="158"/>
    </row>
    <row r="145" spans="1:29" s="189" customFormat="1">
      <c r="C145" s="190" t="s">
        <v>455</v>
      </c>
      <c r="G145" s="155">
        <f>SUM(G143:G144)</f>
        <v>96135.7</v>
      </c>
      <c r="I145" s="155">
        <f>SUM(I143:I144)</f>
        <v>114948.12</v>
      </c>
      <c r="K145" s="155">
        <f>SUM(K143:K144)</f>
        <v>95609.58</v>
      </c>
      <c r="M145" s="155">
        <f>SUM(M143:M144)</f>
        <v>114842.2</v>
      </c>
      <c r="O145" s="155">
        <f>SUM(O143:O144)</f>
        <v>95709.56</v>
      </c>
      <c r="Q145" s="155">
        <f>SUM(Q143:Q144)</f>
        <v>114988.81</v>
      </c>
      <c r="S145" s="155">
        <f>SUM(S143:S144)</f>
        <v>95842.97</v>
      </c>
      <c r="U145" s="155">
        <f>SUM(U143:U144)</f>
        <v>115680.69</v>
      </c>
      <c r="W145" s="155">
        <f>SUM(W143:W144)</f>
        <v>97716.22</v>
      </c>
      <c r="Y145" s="155">
        <f>SUM(Y143:Y144)</f>
        <v>116655.86</v>
      </c>
      <c r="AA145" s="155">
        <f>SUM(AA143:AA144)</f>
        <v>99643.81</v>
      </c>
      <c r="AC145" s="155">
        <f>SUM(AC143:AC144)</f>
        <v>117887.36</v>
      </c>
    </row>
    <row r="146" spans="1:29" s="189" customFormat="1" outlineLevel="1">
      <c r="A146" s="190">
        <v>20320</v>
      </c>
      <c r="B146" s="190" t="s">
        <v>457</v>
      </c>
      <c r="C146" s="191"/>
      <c r="D146" s="191"/>
      <c r="G146" s="192">
        <v>143295.73000000001</v>
      </c>
      <c r="I146" s="192">
        <v>41964.09</v>
      </c>
      <c r="K146" s="192">
        <v>71305.22</v>
      </c>
      <c r="M146" s="192">
        <v>91700.38</v>
      </c>
      <c r="O146" s="192">
        <v>118514.3</v>
      </c>
      <c r="Q146" s="192">
        <v>151414.43</v>
      </c>
      <c r="S146" s="192">
        <v>28487.65</v>
      </c>
      <c r="U146" s="192">
        <v>33173.85</v>
      </c>
      <c r="W146" s="192">
        <v>70375.44</v>
      </c>
      <c r="Y146" s="192">
        <v>73562.11</v>
      </c>
      <c r="AA146" s="192">
        <v>109775.45</v>
      </c>
      <c r="AC146" s="192">
        <v>139382.31</v>
      </c>
    </row>
    <row r="147" spans="1:29" s="189" customFormat="1" outlineLevel="1">
      <c r="A147" s="190">
        <v>20321</v>
      </c>
      <c r="B147" s="190" t="s">
        <v>458</v>
      </c>
      <c r="C147" s="191"/>
      <c r="D147" s="191"/>
      <c r="G147" s="192">
        <v>186507.93</v>
      </c>
      <c r="I147" s="192">
        <v>185669.8</v>
      </c>
      <c r="K147" s="192">
        <v>185973.14</v>
      </c>
      <c r="M147" s="192">
        <v>190612.03</v>
      </c>
      <c r="O147" s="192">
        <v>185043.16</v>
      </c>
      <c r="Q147" s="192">
        <v>182567.95</v>
      </c>
      <c r="S147" s="192">
        <v>189508.13</v>
      </c>
      <c r="U147" s="192">
        <v>196715.37</v>
      </c>
      <c r="W147" s="192">
        <v>191084.16</v>
      </c>
      <c r="Y147" s="192">
        <v>191822.5</v>
      </c>
      <c r="AA147" s="192">
        <v>193321.19</v>
      </c>
      <c r="AC147" s="192">
        <v>192436.25</v>
      </c>
    </row>
    <row r="148" spans="1:29" s="189" customFormat="1" outlineLevel="1">
      <c r="A148" s="190">
        <v>20340</v>
      </c>
      <c r="B148" s="190" t="s">
        <v>459</v>
      </c>
      <c r="C148" s="191"/>
      <c r="D148" s="191"/>
      <c r="G148" s="192">
        <v>49507.7</v>
      </c>
      <c r="I148" s="192">
        <v>51507.7</v>
      </c>
      <c r="K148" s="192">
        <v>53657.7</v>
      </c>
      <c r="M148" s="192">
        <v>38657.699999999997</v>
      </c>
      <c r="O148" s="192">
        <v>41157.699999999997</v>
      </c>
      <c r="Q148" s="192">
        <v>10953.75</v>
      </c>
      <c r="S148" s="192">
        <v>16585.150000000001</v>
      </c>
      <c r="U148" s="192">
        <v>22585.15</v>
      </c>
      <c r="W148" s="192">
        <v>28385.15</v>
      </c>
      <c r="Y148" s="192">
        <v>34185.15</v>
      </c>
      <c r="AA148" s="192">
        <v>39985.15</v>
      </c>
      <c r="AC148" s="192">
        <v>45785.15</v>
      </c>
    </row>
    <row r="149" spans="1:29" s="189" customFormat="1" outlineLevel="1">
      <c r="A149" s="190">
        <v>20351</v>
      </c>
      <c r="B149" s="190" t="s">
        <v>460</v>
      </c>
      <c r="C149" s="191"/>
      <c r="D149" s="191"/>
      <c r="G149" s="192">
        <v>7579.5</v>
      </c>
      <c r="I149" s="192">
        <v>3798.8</v>
      </c>
      <c r="K149" s="192">
        <v>5637.64</v>
      </c>
      <c r="M149" s="192">
        <v>7500.56</v>
      </c>
      <c r="O149" s="192">
        <v>3714.42</v>
      </c>
      <c r="Q149" s="192">
        <v>5567.05</v>
      </c>
      <c r="S149" s="192">
        <v>6867.05</v>
      </c>
      <c r="U149" s="192">
        <v>-70.56</v>
      </c>
      <c r="W149" s="192">
        <v>5882.98</v>
      </c>
      <c r="Y149" s="192">
        <v>7734.63</v>
      </c>
      <c r="AA149" s="192">
        <v>4017.71</v>
      </c>
      <c r="AC149" s="192">
        <v>6077.32</v>
      </c>
    </row>
    <row r="150" spans="1:29" s="189" customFormat="1" outlineLevel="1">
      <c r="A150" s="190">
        <v>20360</v>
      </c>
      <c r="B150" s="190" t="s">
        <v>461</v>
      </c>
      <c r="C150" s="191"/>
      <c r="D150" s="191"/>
      <c r="G150" s="192">
        <v>0</v>
      </c>
      <c r="I150" s="192">
        <v>0</v>
      </c>
      <c r="K150" s="192">
        <v>0</v>
      </c>
      <c r="M150" s="192">
        <v>0</v>
      </c>
      <c r="O150" s="192">
        <v>0</v>
      </c>
      <c r="Q150" s="192">
        <v>0</v>
      </c>
      <c r="S150" s="192">
        <v>2900</v>
      </c>
      <c r="U150" s="192">
        <v>5800</v>
      </c>
      <c r="W150" s="192">
        <v>8700</v>
      </c>
      <c r="Y150" s="192">
        <v>0</v>
      </c>
      <c r="AA150" s="192">
        <v>0</v>
      </c>
      <c r="AC150" s="192">
        <v>0</v>
      </c>
    </row>
    <row r="151" spans="1:29" s="189" customFormat="1" outlineLevel="1">
      <c r="A151" s="190">
        <v>20397</v>
      </c>
      <c r="B151" s="190" t="s">
        <v>462</v>
      </c>
      <c r="C151" s="191"/>
      <c r="D151" s="191"/>
      <c r="G151" s="192">
        <v>20.75</v>
      </c>
      <c r="I151" s="192">
        <v>79.45</v>
      </c>
      <c r="K151" s="192">
        <v>108.33</v>
      </c>
      <c r="M151" s="192">
        <v>108.33</v>
      </c>
      <c r="O151" s="192">
        <v>20.75</v>
      </c>
      <c r="Q151" s="192">
        <v>20.75</v>
      </c>
      <c r="S151" s="192">
        <v>20.75</v>
      </c>
      <c r="U151" s="192">
        <v>20.75</v>
      </c>
      <c r="W151" s="192">
        <v>20.75</v>
      </c>
      <c r="Y151" s="192">
        <v>20.75</v>
      </c>
      <c r="AA151" s="192">
        <v>20.75</v>
      </c>
      <c r="AC151" s="192">
        <v>20.75</v>
      </c>
    </row>
    <row r="152" spans="1:29" s="189" customFormat="1" ht="4.5" customHeight="1" outlineLevel="1">
      <c r="A152" s="206"/>
      <c r="G152" s="158"/>
      <c r="I152" s="158"/>
      <c r="K152" s="158"/>
      <c r="M152" s="158"/>
      <c r="O152" s="158"/>
      <c r="Q152" s="158"/>
      <c r="S152" s="158"/>
      <c r="U152" s="158"/>
      <c r="W152" s="158"/>
      <c r="Y152" s="158"/>
      <c r="AA152" s="158"/>
      <c r="AC152" s="158"/>
    </row>
    <row r="153" spans="1:29" s="189" customFormat="1">
      <c r="C153" s="189" t="s">
        <v>463</v>
      </c>
      <c r="G153" s="155">
        <f>SUM(G146:G152)</f>
        <v>386911.61000000004</v>
      </c>
      <c r="I153" s="155">
        <f>SUM(I146:I152)</f>
        <v>283019.83999999997</v>
      </c>
      <c r="K153" s="155">
        <f>SUM(K146:K152)</f>
        <v>316682.03000000003</v>
      </c>
      <c r="M153" s="155">
        <f>SUM(M146:M152)</f>
        <v>328579.00000000006</v>
      </c>
      <c r="O153" s="155">
        <f>SUM(O146:O152)</f>
        <v>348450.33</v>
      </c>
      <c r="Q153" s="155">
        <f>SUM(Q146:Q152)</f>
        <v>350523.93</v>
      </c>
      <c r="S153" s="155">
        <f>SUM(S146:S152)</f>
        <v>244368.72999999998</v>
      </c>
      <c r="U153" s="155">
        <f>SUM(U146:U152)</f>
        <v>258224.56</v>
      </c>
      <c r="W153" s="155">
        <f>SUM(W146:W152)</f>
        <v>304448.48</v>
      </c>
      <c r="Y153" s="155">
        <f>SUM(Y146:Y152)</f>
        <v>307325.14</v>
      </c>
      <c r="AA153" s="155">
        <f>SUM(AA146:AA152)</f>
        <v>347120.25000000006</v>
      </c>
      <c r="AC153" s="155">
        <f>SUM(AC146:AC152)</f>
        <v>383701.78</v>
      </c>
    </row>
    <row r="154" spans="1:29" s="189" customFormat="1" ht="7.5" customHeight="1">
      <c r="G154" s="157"/>
      <c r="I154" s="157"/>
      <c r="K154" s="157"/>
      <c r="M154" s="157"/>
      <c r="O154" s="157"/>
      <c r="Q154" s="157"/>
      <c r="S154" s="157"/>
      <c r="U154" s="157"/>
      <c r="W154" s="157"/>
      <c r="Y154" s="157"/>
      <c r="AA154" s="157"/>
      <c r="AC154" s="157"/>
    </row>
    <row r="155" spans="1:29" s="189" customFormat="1">
      <c r="B155" s="205" t="s">
        <v>464</v>
      </c>
      <c r="G155" s="161">
        <f>SUM(G132,G142,G145,G153)</f>
        <v>1035092.69</v>
      </c>
      <c r="I155" s="161">
        <f>SUM(I132,I142,I145,I153)</f>
        <v>1005020.9299999999</v>
      </c>
      <c r="K155" s="161">
        <f>SUM(K132,K142,K145,K153)</f>
        <v>1005600.7999999999</v>
      </c>
      <c r="M155" s="161">
        <f>SUM(M132,M142,M145,M153)</f>
        <v>1042369.1200000001</v>
      </c>
      <c r="O155" s="161">
        <f>SUM(O132,O142,O145,O153)</f>
        <v>1049946.6600000001</v>
      </c>
      <c r="Q155" s="161">
        <f>SUM(Q132,Q142,Q145,Q153)</f>
        <v>1026171.3400000001</v>
      </c>
      <c r="S155" s="161">
        <f>SUM(S132,S142,S145,S153)</f>
        <v>853070.76</v>
      </c>
      <c r="U155" s="161">
        <f>SUM(U132,U142,U145,U153)</f>
        <v>947230.28</v>
      </c>
      <c r="W155" s="161">
        <f>SUM(W132,W142,W145,W153)</f>
        <v>1101256.73</v>
      </c>
      <c r="Y155" s="161">
        <f>SUM(Y132,Y142,Y145,Y153)</f>
        <v>1041151.1300000001</v>
      </c>
      <c r="AA155" s="161">
        <f>SUM(AA132,AA142,AA145,AA153)</f>
        <v>1084016.26</v>
      </c>
      <c r="AC155" s="161">
        <f>SUM(AC132,AC142,AC145,AC153)</f>
        <v>1254216.7399999998</v>
      </c>
    </row>
    <row r="156" spans="1:29" s="189" customFormat="1" ht="7.5" customHeight="1">
      <c r="G156" s="157"/>
      <c r="I156" s="157"/>
      <c r="K156" s="157"/>
      <c r="M156" s="157"/>
      <c r="O156" s="157"/>
      <c r="Q156" s="157"/>
      <c r="S156" s="157"/>
      <c r="U156" s="157"/>
      <c r="W156" s="157"/>
      <c r="Y156" s="157"/>
      <c r="AA156" s="157"/>
      <c r="AC156" s="157"/>
    </row>
    <row r="157" spans="1:29" s="189" customFormat="1" outlineLevel="1">
      <c r="G157" s="157"/>
      <c r="I157" s="157"/>
      <c r="K157" s="157"/>
      <c r="M157" s="157"/>
      <c r="O157" s="157"/>
      <c r="Q157" s="157"/>
      <c r="S157" s="157"/>
      <c r="U157" s="157"/>
      <c r="W157" s="157"/>
      <c r="Y157" s="157"/>
      <c r="AA157" s="157"/>
      <c r="AC157" s="157"/>
    </row>
    <row r="158" spans="1:29" s="164" customFormat="1" outlineLevel="1"/>
    <row r="159" spans="1:29" s="189" customFormat="1" ht="5.0999999999999996" customHeight="1" outlineLevel="1">
      <c r="A159" s="191"/>
      <c r="B159" s="191"/>
      <c r="C159" s="191"/>
      <c r="D159" s="191"/>
      <c r="G159" s="158"/>
      <c r="I159" s="158"/>
      <c r="K159" s="158"/>
      <c r="M159" s="158"/>
      <c r="O159" s="158"/>
      <c r="Q159" s="158"/>
      <c r="S159" s="158"/>
      <c r="U159" s="158"/>
      <c r="W159" s="158"/>
      <c r="Y159" s="158"/>
      <c r="AA159" s="158"/>
      <c r="AC159" s="158"/>
    </row>
    <row r="160" spans="1:29" s="189" customFormat="1">
      <c r="C160" s="190" t="s">
        <v>466</v>
      </c>
      <c r="G160" s="155">
        <f>SUM(G158:G159)</f>
        <v>0</v>
      </c>
      <c r="I160" s="155">
        <f>SUM(I158:I159)</f>
        <v>0</v>
      </c>
      <c r="K160" s="155">
        <f>SUM(K158:K159)</f>
        <v>0</v>
      </c>
      <c r="M160" s="155">
        <f>SUM(M158:M159)</f>
        <v>0</v>
      </c>
      <c r="O160" s="155">
        <f>SUM(O158:O159)</f>
        <v>0</v>
      </c>
      <c r="Q160" s="155">
        <f>SUM(Q158:Q159)</f>
        <v>0</v>
      </c>
      <c r="S160" s="155">
        <f>SUM(S158:S159)</f>
        <v>0</v>
      </c>
      <c r="U160" s="155">
        <f>SUM(U158:U159)</f>
        <v>0</v>
      </c>
      <c r="W160" s="155">
        <f>SUM(W158:W159)</f>
        <v>0</v>
      </c>
      <c r="Y160" s="155">
        <f>SUM(Y158:Y159)</f>
        <v>0</v>
      </c>
      <c r="AA160" s="155">
        <f>SUM(AA158:AA159)</f>
        <v>0</v>
      </c>
      <c r="AC160" s="155">
        <f>SUM(AC158:AC159)</f>
        <v>0</v>
      </c>
    </row>
    <row r="161" spans="1:29" s="164" customFormat="1" outlineLevel="1"/>
    <row r="162" spans="1:29" s="189" customFormat="1" ht="5.0999999999999996" customHeight="1" outlineLevel="1">
      <c r="A162" s="191"/>
      <c r="B162" s="191"/>
      <c r="C162" s="191"/>
      <c r="D162" s="191"/>
      <c r="G162" s="158"/>
      <c r="I162" s="158"/>
      <c r="K162" s="158"/>
      <c r="M162" s="158"/>
      <c r="O162" s="158"/>
      <c r="Q162" s="158"/>
      <c r="S162" s="158"/>
      <c r="U162" s="158"/>
      <c r="W162" s="158"/>
      <c r="Y162" s="158"/>
      <c r="AA162" s="158"/>
      <c r="AC162" s="158"/>
    </row>
    <row r="163" spans="1:29" s="189" customFormat="1">
      <c r="C163" s="190" t="s">
        <v>468</v>
      </c>
      <c r="G163" s="155">
        <f>SUM(G161:G162)</f>
        <v>0</v>
      </c>
      <c r="I163" s="155">
        <f>SUM(I161:I162)</f>
        <v>0</v>
      </c>
      <c r="K163" s="155">
        <f>SUM(K161:K162)</f>
        <v>0</v>
      </c>
      <c r="M163" s="155">
        <f>SUM(M161:M162)</f>
        <v>0</v>
      </c>
      <c r="O163" s="155">
        <f>SUM(O161:O162)</f>
        <v>0</v>
      </c>
      <c r="Q163" s="155">
        <f>SUM(Q161:Q162)</f>
        <v>0</v>
      </c>
      <c r="S163" s="155">
        <f>SUM(S161:S162)</f>
        <v>0</v>
      </c>
      <c r="U163" s="155">
        <f>SUM(U161:U162)</f>
        <v>0</v>
      </c>
      <c r="W163" s="155">
        <f>SUM(W161:W162)</f>
        <v>0</v>
      </c>
      <c r="Y163" s="155">
        <f>SUM(Y161:Y162)</f>
        <v>0</v>
      </c>
      <c r="AA163" s="155">
        <f>SUM(AA161:AA162)</f>
        <v>0</v>
      </c>
      <c r="AC163" s="155">
        <f>SUM(AC161:AC162)</f>
        <v>0</v>
      </c>
    </row>
    <row r="164" spans="1:29" s="164" customFormat="1" outlineLevel="1"/>
    <row r="165" spans="1:29" s="189" customFormat="1" ht="5.0999999999999996" customHeight="1" outlineLevel="1">
      <c r="A165" s="191"/>
      <c r="B165" s="191"/>
      <c r="C165" s="191"/>
      <c r="D165" s="191"/>
      <c r="G165" s="158"/>
      <c r="I165" s="158"/>
      <c r="K165" s="158"/>
      <c r="M165" s="158"/>
      <c r="O165" s="158"/>
      <c r="Q165" s="158"/>
      <c r="S165" s="158"/>
      <c r="U165" s="158"/>
      <c r="W165" s="158"/>
      <c r="Y165" s="158"/>
      <c r="AA165" s="158"/>
      <c r="AC165" s="158"/>
    </row>
    <row r="166" spans="1:29" s="189" customFormat="1">
      <c r="C166" s="190" t="s">
        <v>470</v>
      </c>
      <c r="G166" s="155">
        <f>SUM(G164:G165)</f>
        <v>0</v>
      </c>
      <c r="I166" s="155">
        <f>SUM(I164:I165)</f>
        <v>0</v>
      </c>
      <c r="K166" s="155">
        <f>SUM(K164:K165)</f>
        <v>0</v>
      </c>
      <c r="M166" s="155">
        <f>SUM(M164:M165)</f>
        <v>0</v>
      </c>
      <c r="O166" s="155">
        <f>SUM(O164:O165)</f>
        <v>0</v>
      </c>
      <c r="Q166" s="155">
        <f>SUM(Q164:Q165)</f>
        <v>0</v>
      </c>
      <c r="S166" s="155">
        <f>SUM(S164:S165)</f>
        <v>0</v>
      </c>
      <c r="U166" s="155">
        <f>SUM(U164:U165)</f>
        <v>0</v>
      </c>
      <c r="W166" s="155">
        <f>SUM(W164:W165)</f>
        <v>0</v>
      </c>
      <c r="Y166" s="155">
        <f>SUM(Y164:Y165)</f>
        <v>0</v>
      </c>
      <c r="AA166" s="155">
        <f>SUM(AA164:AA165)</f>
        <v>0</v>
      </c>
      <c r="AC166" s="155">
        <f>SUM(AC164:AC165)</f>
        <v>0</v>
      </c>
    </row>
    <row r="167" spans="1:29" s="164" customFormat="1" outlineLevel="1"/>
    <row r="168" spans="1:29" s="189" customFormat="1" ht="5.0999999999999996" customHeight="1" outlineLevel="1">
      <c r="A168" s="191"/>
      <c r="B168" s="191"/>
      <c r="C168" s="191"/>
      <c r="D168" s="191"/>
      <c r="G168" s="158"/>
      <c r="I168" s="158"/>
      <c r="K168" s="158"/>
      <c r="M168" s="158"/>
      <c r="O168" s="158"/>
      <c r="Q168" s="158"/>
      <c r="S168" s="158"/>
      <c r="U168" s="158"/>
      <c r="W168" s="158"/>
      <c r="Y168" s="158"/>
      <c r="AA168" s="158"/>
      <c r="AC168" s="158"/>
    </row>
    <row r="169" spans="1:29" s="189" customFormat="1">
      <c r="C169" s="190" t="s">
        <v>472</v>
      </c>
      <c r="G169" s="155">
        <f>SUM(G167:G168)</f>
        <v>0</v>
      </c>
      <c r="I169" s="155">
        <f>SUM(I167:I168)</f>
        <v>0</v>
      </c>
      <c r="K169" s="155">
        <f>SUM(K167:K168)</f>
        <v>0</v>
      </c>
      <c r="M169" s="155">
        <f>SUM(M167:M168)</f>
        <v>0</v>
      </c>
      <c r="O169" s="155">
        <f>SUM(O167:O168)</f>
        <v>0</v>
      </c>
      <c r="Q169" s="155">
        <f>SUM(Q167:Q168)</f>
        <v>0</v>
      </c>
      <c r="S169" s="155">
        <f>SUM(S167:S168)</f>
        <v>0</v>
      </c>
      <c r="U169" s="155">
        <f>SUM(U167:U168)</f>
        <v>0</v>
      </c>
      <c r="W169" s="155">
        <f>SUM(W167:W168)</f>
        <v>0</v>
      </c>
      <c r="Y169" s="155">
        <f>SUM(Y167:Y168)</f>
        <v>0</v>
      </c>
      <c r="AA169" s="155">
        <f>SUM(AA167:AA168)</f>
        <v>0</v>
      </c>
      <c r="AC169" s="155">
        <f>SUM(AC167:AC168)</f>
        <v>0</v>
      </c>
    </row>
    <row r="170" spans="1:29" s="164" customFormat="1" outlineLevel="1"/>
    <row r="171" spans="1:29" s="189" customFormat="1" ht="5.0999999999999996" customHeight="1" outlineLevel="1">
      <c r="A171" s="191"/>
      <c r="B171" s="191"/>
      <c r="C171" s="191"/>
      <c r="D171" s="191"/>
      <c r="G171" s="158"/>
      <c r="I171" s="158"/>
      <c r="K171" s="158"/>
      <c r="M171" s="158"/>
      <c r="O171" s="158"/>
      <c r="Q171" s="158"/>
      <c r="S171" s="158"/>
      <c r="U171" s="158"/>
      <c r="W171" s="158"/>
      <c r="Y171" s="158"/>
      <c r="AA171" s="158"/>
      <c r="AC171" s="158"/>
    </row>
    <row r="172" spans="1:29" s="189" customFormat="1">
      <c r="C172" s="190" t="s">
        <v>474</v>
      </c>
      <c r="G172" s="155">
        <f>SUM(G170:G171)</f>
        <v>0</v>
      </c>
      <c r="I172" s="155">
        <f>SUM(I170:I171)</f>
        <v>0</v>
      </c>
      <c r="K172" s="155">
        <f>SUM(K170:K171)</f>
        <v>0</v>
      </c>
      <c r="M172" s="155">
        <f>SUM(M170:M171)</f>
        <v>0</v>
      </c>
      <c r="O172" s="155">
        <f>SUM(O170:O171)</f>
        <v>0</v>
      </c>
      <c r="Q172" s="155">
        <f>SUM(Q170:Q171)</f>
        <v>0</v>
      </c>
      <c r="S172" s="155">
        <f>SUM(S170:S171)</f>
        <v>0</v>
      </c>
      <c r="U172" s="155">
        <f>SUM(U170:U171)</f>
        <v>0</v>
      </c>
      <c r="W172" s="155">
        <f>SUM(W170:W171)</f>
        <v>0</v>
      </c>
      <c r="Y172" s="155">
        <f>SUM(Y170:Y171)</f>
        <v>0</v>
      </c>
      <c r="AA172" s="155">
        <f>SUM(AA170:AA171)</f>
        <v>0</v>
      </c>
      <c r="AC172" s="155">
        <f>SUM(AC170:AC171)</f>
        <v>0</v>
      </c>
    </row>
    <row r="173" spans="1:29" s="189" customFormat="1" ht="7.5" customHeight="1">
      <c r="G173" s="157"/>
      <c r="I173" s="157"/>
      <c r="K173" s="157"/>
      <c r="M173" s="157"/>
      <c r="O173" s="157"/>
      <c r="Q173" s="157"/>
      <c r="S173" s="157"/>
      <c r="U173" s="157"/>
      <c r="W173" s="157"/>
      <c r="Y173" s="157"/>
      <c r="AA173" s="157"/>
      <c r="AC173" s="157"/>
    </row>
    <row r="174" spans="1:29" s="189" customFormat="1">
      <c r="B174" s="205" t="s">
        <v>475</v>
      </c>
      <c r="G174" s="161">
        <f>SUM(G160,G166,G172,G155,G163,G169)</f>
        <v>1035092.69</v>
      </c>
      <c r="I174" s="161">
        <f>SUM(I160,I166,I172,I155,I163,I169)</f>
        <v>1005020.9299999999</v>
      </c>
      <c r="K174" s="161">
        <f>SUM(K160,K166,K172,K155,K163,K169)</f>
        <v>1005600.7999999999</v>
      </c>
      <c r="M174" s="161">
        <f>SUM(M160,M166,M172,M155,M163,M169)</f>
        <v>1042369.1200000001</v>
      </c>
      <c r="O174" s="161">
        <f>SUM(O160,O166,O172,O155,O163,O169)</f>
        <v>1049946.6600000001</v>
      </c>
      <c r="Q174" s="161">
        <f>SUM(Q160,Q166,Q172,Q155,Q163,Q169)</f>
        <v>1026171.3400000001</v>
      </c>
      <c r="S174" s="161">
        <f>SUM(S160,S166,S172,S155,S163,S169)</f>
        <v>853070.76</v>
      </c>
      <c r="U174" s="161">
        <f>SUM(U160,U166,U172,U155,U163,U169)</f>
        <v>947230.28</v>
      </c>
      <c r="W174" s="161">
        <f>SUM(W160,W166,W172,W155,W163,W169)</f>
        <v>1101256.73</v>
      </c>
      <c r="Y174" s="161">
        <f>SUM(Y160,Y166,Y172,Y155,Y163,Y169)</f>
        <v>1041151.1300000001</v>
      </c>
      <c r="AA174" s="161">
        <f>SUM(AA160,AA166,AA172,AA155,AA163,AA169)</f>
        <v>1084016.26</v>
      </c>
      <c r="AC174" s="161">
        <f>SUM(AC160,AC166,AC172,AC155,AC163,AC169)</f>
        <v>1254216.7399999998</v>
      </c>
    </row>
    <row r="175" spans="1:29" s="189" customFormat="1" ht="7.5" customHeight="1">
      <c r="G175" s="157"/>
      <c r="I175" s="157"/>
      <c r="K175" s="157"/>
      <c r="M175" s="157"/>
      <c r="O175" s="157"/>
      <c r="Q175" s="157"/>
      <c r="S175" s="157"/>
      <c r="U175" s="157"/>
      <c r="W175" s="157"/>
      <c r="Y175" s="157"/>
      <c r="AA175" s="157"/>
      <c r="AC175" s="157"/>
    </row>
    <row r="176" spans="1:29" s="164" customFormat="1" outlineLevel="1"/>
    <row r="177" spans="1:29" s="189" customFormat="1" ht="5.0999999999999996" customHeight="1" outlineLevel="1">
      <c r="A177" s="191"/>
      <c r="B177" s="191"/>
      <c r="C177" s="191"/>
      <c r="D177" s="191"/>
      <c r="G177" s="158"/>
      <c r="I177" s="158"/>
      <c r="K177" s="158"/>
      <c r="M177" s="158"/>
      <c r="O177" s="158"/>
      <c r="Q177" s="158"/>
      <c r="S177" s="158"/>
      <c r="U177" s="158"/>
      <c r="W177" s="158"/>
      <c r="Y177" s="158"/>
      <c r="AA177" s="158"/>
      <c r="AC177" s="158"/>
    </row>
    <row r="178" spans="1:29" s="189" customFormat="1">
      <c r="C178" s="190" t="s">
        <v>477</v>
      </c>
      <c r="G178" s="155">
        <f>SUM(G176:G177)</f>
        <v>0</v>
      </c>
      <c r="I178" s="155">
        <f>SUM(I176:I177)</f>
        <v>0</v>
      </c>
      <c r="K178" s="155">
        <f>SUM(K176:K177)</f>
        <v>0</v>
      </c>
      <c r="M178" s="155">
        <f>SUM(M176:M177)</f>
        <v>0</v>
      </c>
      <c r="O178" s="155">
        <f>SUM(O176:O177)</f>
        <v>0</v>
      </c>
      <c r="Q178" s="155">
        <f>SUM(Q176:Q177)</f>
        <v>0</v>
      </c>
      <c r="S178" s="155">
        <f>SUM(S176:S177)</f>
        <v>0</v>
      </c>
      <c r="U178" s="155">
        <f>SUM(U176:U177)</f>
        <v>0</v>
      </c>
      <c r="W178" s="155">
        <f>SUM(W176:W177)</f>
        <v>0</v>
      </c>
      <c r="Y178" s="155">
        <f>SUM(Y176:Y177)</f>
        <v>0</v>
      </c>
      <c r="AA178" s="155">
        <f>SUM(AA176:AA177)</f>
        <v>0</v>
      </c>
      <c r="AC178" s="155">
        <f>SUM(AC176:AC177)</f>
        <v>0</v>
      </c>
    </row>
    <row r="179" spans="1:29" s="164" customFormat="1" outlineLevel="1"/>
    <row r="180" spans="1:29" s="189" customFormat="1" ht="5.0999999999999996" customHeight="1" outlineLevel="1">
      <c r="A180" s="191"/>
      <c r="B180" s="191"/>
      <c r="C180" s="191"/>
      <c r="D180" s="191"/>
      <c r="G180" s="158"/>
      <c r="I180" s="158"/>
      <c r="K180" s="158"/>
      <c r="M180" s="158"/>
      <c r="O180" s="158"/>
      <c r="Q180" s="158"/>
      <c r="S180" s="158"/>
      <c r="U180" s="158"/>
      <c r="W180" s="158"/>
      <c r="Y180" s="158"/>
      <c r="AA180" s="158"/>
      <c r="AC180" s="158"/>
    </row>
    <row r="181" spans="1:29" s="189" customFormat="1">
      <c r="C181" s="190" t="s">
        <v>479</v>
      </c>
      <c r="G181" s="155">
        <f>SUM(G179:G180)</f>
        <v>0</v>
      </c>
      <c r="I181" s="155">
        <f>SUM(I179:I180)</f>
        <v>0</v>
      </c>
      <c r="K181" s="155">
        <f>SUM(K179:K180)</f>
        <v>0</v>
      </c>
      <c r="M181" s="155">
        <f>SUM(M179:M180)</f>
        <v>0</v>
      </c>
      <c r="O181" s="155">
        <f>SUM(O179:O180)</f>
        <v>0</v>
      </c>
      <c r="Q181" s="155">
        <f>SUM(Q179:Q180)</f>
        <v>0</v>
      </c>
      <c r="S181" s="155">
        <f>SUM(S179:S180)</f>
        <v>0</v>
      </c>
      <c r="U181" s="155">
        <f>SUM(U179:U180)</f>
        <v>0</v>
      </c>
      <c r="W181" s="155">
        <f>SUM(W179:W180)</f>
        <v>0</v>
      </c>
      <c r="Y181" s="155">
        <f>SUM(Y179:Y180)</f>
        <v>0</v>
      </c>
      <c r="AA181" s="155">
        <f>SUM(AA179:AA180)</f>
        <v>0</v>
      </c>
      <c r="AC181" s="155">
        <f>SUM(AC179:AC180)</f>
        <v>0</v>
      </c>
    </row>
    <row r="182" spans="1:29" s="164" customFormat="1" outlineLevel="1"/>
    <row r="183" spans="1:29" s="189" customFormat="1" ht="5.0999999999999996" customHeight="1" outlineLevel="1">
      <c r="A183" s="191"/>
      <c r="B183" s="191"/>
      <c r="C183" s="191"/>
      <c r="D183" s="191"/>
      <c r="G183" s="158"/>
      <c r="I183" s="158"/>
      <c r="K183" s="158"/>
      <c r="M183" s="158"/>
      <c r="O183" s="158"/>
      <c r="Q183" s="158"/>
      <c r="S183" s="158"/>
      <c r="U183" s="158"/>
      <c r="W183" s="158"/>
      <c r="Y183" s="158"/>
      <c r="AA183" s="158"/>
      <c r="AC183" s="158"/>
    </row>
    <row r="184" spans="1:29" s="189" customFormat="1">
      <c r="C184" s="190" t="s">
        <v>481</v>
      </c>
      <c r="G184" s="155">
        <f>SUM(G182:G183)</f>
        <v>0</v>
      </c>
      <c r="I184" s="155">
        <f>SUM(I182:I183)</f>
        <v>0</v>
      </c>
      <c r="K184" s="155">
        <f>SUM(K182:K183)</f>
        <v>0</v>
      </c>
      <c r="M184" s="155">
        <f>SUM(M182:M183)</f>
        <v>0</v>
      </c>
      <c r="O184" s="155">
        <f>SUM(O182:O183)</f>
        <v>0</v>
      </c>
      <c r="Q184" s="155">
        <f>SUM(Q182:Q183)</f>
        <v>0</v>
      </c>
      <c r="S184" s="155">
        <f>SUM(S182:S183)</f>
        <v>0</v>
      </c>
      <c r="U184" s="155">
        <f>SUM(U182:U183)</f>
        <v>0</v>
      </c>
      <c r="W184" s="155">
        <f>SUM(W182:W183)</f>
        <v>0</v>
      </c>
      <c r="Y184" s="155">
        <f>SUM(Y182:Y183)</f>
        <v>0</v>
      </c>
      <c r="AA184" s="155">
        <f>SUM(AA182:AA183)</f>
        <v>0</v>
      </c>
      <c r="AC184" s="155">
        <f>SUM(AC182:AC183)</f>
        <v>0</v>
      </c>
    </row>
    <row r="185" spans="1:29" s="164" customFormat="1" outlineLevel="1"/>
    <row r="186" spans="1:29" s="189" customFormat="1" ht="5.0999999999999996" customHeight="1" outlineLevel="1">
      <c r="A186" s="191"/>
      <c r="B186" s="191"/>
      <c r="C186" s="191"/>
      <c r="D186" s="191"/>
      <c r="G186" s="158"/>
      <c r="I186" s="158"/>
      <c r="K186" s="158"/>
      <c r="M186" s="158"/>
      <c r="O186" s="158"/>
      <c r="Q186" s="158"/>
      <c r="S186" s="158"/>
      <c r="U186" s="158"/>
      <c r="W186" s="158"/>
      <c r="Y186" s="158"/>
      <c r="AA186" s="158"/>
      <c r="AC186" s="158"/>
    </row>
    <row r="187" spans="1:29" s="189" customFormat="1">
      <c r="C187" s="190" t="s">
        <v>483</v>
      </c>
      <c r="G187" s="155">
        <f>SUM(G185:G186)</f>
        <v>0</v>
      </c>
      <c r="I187" s="155">
        <f>SUM(I185:I186)</f>
        <v>0</v>
      </c>
      <c r="K187" s="155">
        <f>SUM(K185:K186)</f>
        <v>0</v>
      </c>
      <c r="M187" s="155">
        <f>SUM(M185:M186)</f>
        <v>0</v>
      </c>
      <c r="O187" s="155">
        <f>SUM(O185:O186)</f>
        <v>0</v>
      </c>
      <c r="Q187" s="155">
        <f>SUM(Q185:Q186)</f>
        <v>0</v>
      </c>
      <c r="S187" s="155">
        <f>SUM(S185:S186)</f>
        <v>0</v>
      </c>
      <c r="U187" s="155">
        <f>SUM(U185:U186)</f>
        <v>0</v>
      </c>
      <c r="W187" s="155">
        <f>SUM(W185:W186)</f>
        <v>0</v>
      </c>
      <c r="Y187" s="155">
        <f>SUM(Y185:Y186)</f>
        <v>0</v>
      </c>
      <c r="AA187" s="155">
        <f>SUM(AA185:AA186)</f>
        <v>0</v>
      </c>
      <c r="AC187" s="155">
        <f>SUM(AC185:AC186)</f>
        <v>0</v>
      </c>
    </row>
    <row r="188" spans="1:29" s="164" customFormat="1" outlineLevel="1"/>
    <row r="189" spans="1:29" s="189" customFormat="1" ht="5.0999999999999996" customHeight="1" outlineLevel="1">
      <c r="A189" s="191"/>
      <c r="B189" s="191"/>
      <c r="C189" s="191"/>
      <c r="D189" s="191"/>
      <c r="G189" s="158"/>
      <c r="I189" s="158"/>
      <c r="K189" s="158"/>
      <c r="M189" s="158"/>
      <c r="O189" s="158"/>
      <c r="Q189" s="158"/>
      <c r="S189" s="158"/>
      <c r="U189" s="158"/>
      <c r="W189" s="158"/>
      <c r="Y189" s="158"/>
      <c r="AA189" s="158"/>
      <c r="AC189" s="158"/>
    </row>
    <row r="190" spans="1:29" s="189" customFormat="1">
      <c r="C190" s="190" t="s">
        <v>485</v>
      </c>
      <c r="G190" s="155">
        <f>SUM(G188:G189)</f>
        <v>0</v>
      </c>
      <c r="I190" s="155">
        <f>SUM(I188:I189)</f>
        <v>0</v>
      </c>
      <c r="K190" s="155">
        <f>SUM(K188:K189)</f>
        <v>0</v>
      </c>
      <c r="M190" s="155">
        <f>SUM(M188:M189)</f>
        <v>0</v>
      </c>
      <c r="O190" s="155">
        <f>SUM(O188:O189)</f>
        <v>0</v>
      </c>
      <c r="Q190" s="155">
        <f>SUM(Q188:Q189)</f>
        <v>0</v>
      </c>
      <c r="S190" s="155">
        <f>SUM(S188:S189)</f>
        <v>0</v>
      </c>
      <c r="U190" s="155">
        <f>SUM(U188:U189)</f>
        <v>0</v>
      </c>
      <c r="W190" s="155">
        <f>SUM(W188:W189)</f>
        <v>0</v>
      </c>
      <c r="Y190" s="155">
        <f>SUM(Y188:Y189)</f>
        <v>0</v>
      </c>
      <c r="AA190" s="155">
        <f>SUM(AA188:AA189)</f>
        <v>0</v>
      </c>
      <c r="AC190" s="155">
        <f>SUM(AC188:AC189)</f>
        <v>0</v>
      </c>
    </row>
    <row r="191" spans="1:29" s="164" customFormat="1" outlineLevel="1"/>
    <row r="192" spans="1:29" s="189" customFormat="1" ht="5.0999999999999996" customHeight="1" outlineLevel="1">
      <c r="A192" s="191"/>
      <c r="B192" s="191"/>
      <c r="C192" s="191"/>
      <c r="D192" s="191"/>
      <c r="G192" s="158"/>
      <c r="I192" s="158"/>
      <c r="K192" s="158"/>
      <c r="M192" s="158"/>
      <c r="O192" s="158"/>
      <c r="Q192" s="158"/>
      <c r="S192" s="158"/>
      <c r="U192" s="158"/>
      <c r="W192" s="158"/>
      <c r="Y192" s="158"/>
      <c r="AA192" s="158"/>
      <c r="AC192" s="158"/>
    </row>
    <row r="193" spans="1:265" s="189" customFormat="1">
      <c r="C193" s="190" t="s">
        <v>487</v>
      </c>
      <c r="G193" s="155">
        <f>SUM(G191:G192)</f>
        <v>0</v>
      </c>
      <c r="I193" s="155">
        <f>SUM(I191:I192)</f>
        <v>0</v>
      </c>
      <c r="K193" s="155">
        <f>SUM(K191:K192)</f>
        <v>0</v>
      </c>
      <c r="M193" s="155">
        <f>SUM(M191:M192)</f>
        <v>0</v>
      </c>
      <c r="O193" s="155">
        <f>SUM(O191:O192)</f>
        <v>0</v>
      </c>
      <c r="Q193" s="155">
        <f>SUM(Q191:Q192)</f>
        <v>0</v>
      </c>
      <c r="S193" s="155">
        <f>SUM(S191:S192)</f>
        <v>0</v>
      </c>
      <c r="U193" s="155">
        <f>SUM(U191:U192)</f>
        <v>0</v>
      </c>
      <c r="W193" s="155">
        <f>SUM(W191:W192)</f>
        <v>0</v>
      </c>
      <c r="Y193" s="155">
        <f>SUM(Y191:Y192)</f>
        <v>0</v>
      </c>
      <c r="AA193" s="155">
        <f>SUM(AA191:AA192)</f>
        <v>0</v>
      </c>
      <c r="AC193" s="155">
        <f>SUM(AC191:AC192)</f>
        <v>0</v>
      </c>
    </row>
    <row r="194" spans="1:265" s="189" customFormat="1" outlineLevel="1">
      <c r="A194" s="190">
        <v>29100</v>
      </c>
      <c r="B194" s="190" t="s">
        <v>489</v>
      </c>
      <c r="C194" s="191"/>
      <c r="D194" s="191"/>
      <c r="G194" s="192">
        <v>4277672.03</v>
      </c>
      <c r="I194" s="192">
        <v>4388720.33</v>
      </c>
      <c r="K194" s="192">
        <v>4489655.84</v>
      </c>
      <c r="M194" s="192">
        <v>4651712.8499999996</v>
      </c>
      <c r="O194" s="192">
        <v>4733775.57</v>
      </c>
      <c r="Q194" s="192">
        <v>4835889.32</v>
      </c>
      <c r="S194" s="192">
        <v>4931383.12</v>
      </c>
      <c r="U194" s="192">
        <v>5044266.9000000004</v>
      </c>
      <c r="W194" s="192">
        <v>5165049.3099999996</v>
      </c>
      <c r="Y194" s="192">
        <v>5330656.33</v>
      </c>
      <c r="AA194" s="192">
        <v>5443373.0800000001</v>
      </c>
      <c r="AC194" s="192">
        <v>5597188.8899999997</v>
      </c>
    </row>
    <row r="195" spans="1:265" s="189" customFormat="1" ht="5.0999999999999996" customHeight="1" outlineLevel="1">
      <c r="A195" s="191"/>
      <c r="B195" s="191"/>
      <c r="C195" s="191"/>
      <c r="D195" s="191"/>
      <c r="G195" s="158"/>
      <c r="I195" s="158"/>
      <c r="K195" s="158"/>
      <c r="M195" s="158"/>
      <c r="O195" s="158"/>
      <c r="Q195" s="158"/>
      <c r="S195" s="158"/>
      <c r="U195" s="158"/>
      <c r="W195" s="158"/>
      <c r="Y195" s="158"/>
      <c r="AA195" s="158"/>
      <c r="AC195" s="158"/>
    </row>
    <row r="196" spans="1:265" s="189" customFormat="1">
      <c r="C196" s="190" t="s">
        <v>489</v>
      </c>
      <c r="G196" s="155">
        <f>SUM(G194:G195)</f>
        <v>4277672.03</v>
      </c>
      <c r="I196" s="155">
        <f>SUM(I194:I195)</f>
        <v>4388720.33</v>
      </c>
      <c r="K196" s="155">
        <f>SUM(K194:K195)</f>
        <v>4489655.84</v>
      </c>
      <c r="M196" s="155">
        <f>SUM(M194:M195)</f>
        <v>4651712.8499999996</v>
      </c>
      <c r="O196" s="155">
        <f>SUM(O194:O195)</f>
        <v>4733775.57</v>
      </c>
      <c r="Q196" s="155">
        <f>SUM(Q194:Q195)</f>
        <v>4835889.32</v>
      </c>
      <c r="S196" s="155">
        <f>SUM(S194:S195)</f>
        <v>4931383.12</v>
      </c>
      <c r="U196" s="155">
        <f>SUM(U194:U195)</f>
        <v>5044266.9000000004</v>
      </c>
      <c r="W196" s="155">
        <f>SUM(W194:W195)</f>
        <v>5165049.3099999996</v>
      </c>
      <c r="Y196" s="155">
        <f>SUM(Y194:Y195)</f>
        <v>5330656.33</v>
      </c>
      <c r="AA196" s="155">
        <f>SUM(AA194:AA195)</f>
        <v>5443373.0800000001</v>
      </c>
      <c r="AC196" s="155">
        <f>SUM(AC194:AC195)</f>
        <v>5597188.8899999997</v>
      </c>
    </row>
    <row r="197" spans="1:265" s="189" customFormat="1" ht="7.5" customHeight="1">
      <c r="G197" s="157"/>
      <c r="I197" s="157"/>
      <c r="K197" s="157"/>
      <c r="M197" s="157"/>
      <c r="O197" s="157"/>
      <c r="Q197" s="157"/>
      <c r="S197" s="157"/>
      <c r="U197" s="157"/>
      <c r="W197" s="157"/>
      <c r="Y197" s="157"/>
      <c r="AA197" s="157"/>
      <c r="AC197" s="157"/>
    </row>
    <row r="198" spans="1:265" s="189" customFormat="1">
      <c r="B198" s="205" t="s">
        <v>489</v>
      </c>
      <c r="G198" s="161">
        <f>SUM(G178,G184,G190,G196,G187,G181,G193)</f>
        <v>4277672.03</v>
      </c>
      <c r="I198" s="161">
        <f>SUM(I178,I184,I190,I196,I187,I181,I193)</f>
        <v>4388720.33</v>
      </c>
      <c r="K198" s="161">
        <f>SUM(K178,K184,K190,K196,K187,K181,K193)</f>
        <v>4489655.84</v>
      </c>
      <c r="M198" s="161">
        <f>SUM(M178,M184,M190,M196,M187,M181,M193)</f>
        <v>4651712.8499999996</v>
      </c>
      <c r="O198" s="161">
        <f>SUM(O178,O184,O190,O196,O187,O181,O193)</f>
        <v>4733775.57</v>
      </c>
      <c r="Q198" s="161">
        <f>SUM(Q178,Q184,Q190,Q196,Q187,Q181,Q193)</f>
        <v>4835889.32</v>
      </c>
      <c r="S198" s="161">
        <f>SUM(S178,S184,S190,S196,S187,S181,S193)</f>
        <v>4931383.12</v>
      </c>
      <c r="U198" s="161">
        <f>SUM(U178,U184,U190,U196,U187,U181,U193)</f>
        <v>5044266.9000000004</v>
      </c>
      <c r="W198" s="161">
        <f>SUM(W178,W184,W190,W196,W187,W181,W193)</f>
        <v>5165049.3099999996</v>
      </c>
      <c r="Y198" s="161">
        <f>SUM(Y178,Y184,Y190,Y196,Y187,Y181,Y193)</f>
        <v>5330656.33</v>
      </c>
      <c r="AA198" s="161">
        <f>SUM(AA178,AA184,AA190,AA196,AA187,AA181,AA193)</f>
        <v>5443373.0800000001</v>
      </c>
      <c r="AC198" s="161">
        <f>SUM(AC178,AC184,AC190,AC196,AC187,AC181,AC193)</f>
        <v>5597188.8899999997</v>
      </c>
    </row>
    <row r="199" spans="1:265" s="189" customFormat="1" ht="7.5" customHeight="1">
      <c r="G199" s="157"/>
      <c r="I199" s="157"/>
      <c r="K199" s="157"/>
      <c r="M199" s="157"/>
      <c r="O199" s="157"/>
      <c r="Q199" s="157"/>
      <c r="S199" s="157"/>
      <c r="U199" s="157"/>
      <c r="W199" s="157"/>
      <c r="Y199" s="157"/>
      <c r="AA199" s="157"/>
      <c r="AC199" s="157"/>
    </row>
    <row r="200" spans="1:265" s="189" customFormat="1" ht="13.5" thickBot="1">
      <c r="B200" s="205" t="s">
        <v>490</v>
      </c>
      <c r="G200" s="181">
        <f>+G174+G198</f>
        <v>5312764.7200000007</v>
      </c>
      <c r="I200" s="181">
        <f>+I174+I198</f>
        <v>5393741.2599999998</v>
      </c>
      <c r="K200" s="181">
        <f>+K174+K198</f>
        <v>5495256.6399999997</v>
      </c>
      <c r="M200" s="181">
        <f>+M174+M198</f>
        <v>5694081.9699999997</v>
      </c>
      <c r="O200" s="181">
        <f>+O174+O198</f>
        <v>5783722.2300000004</v>
      </c>
      <c r="Q200" s="181">
        <f>+Q174+Q198</f>
        <v>5862060.6600000001</v>
      </c>
      <c r="S200" s="181">
        <f>+S174+S198</f>
        <v>5784453.8799999999</v>
      </c>
      <c r="U200" s="181">
        <f>+U174+U198</f>
        <v>5991497.1800000006</v>
      </c>
      <c r="W200" s="181">
        <f>+W174+W198</f>
        <v>6266306.0399999991</v>
      </c>
      <c r="Y200" s="181">
        <f>+Y174+Y198</f>
        <v>6371807.46</v>
      </c>
      <c r="AA200" s="181">
        <f>+AA174+AA198</f>
        <v>6527389.3399999999</v>
      </c>
      <c r="AC200" s="181">
        <f>+AC174+AC198</f>
        <v>6851405.629999999</v>
      </c>
    </row>
    <row r="201" spans="1:265" s="189" customFormat="1" ht="7.5" customHeight="1" thickTop="1">
      <c r="G201" s="157"/>
      <c r="I201" s="157"/>
      <c r="K201" s="157"/>
      <c r="M201" s="157"/>
      <c r="O201" s="157"/>
      <c r="Q201" s="157"/>
      <c r="S201" s="157"/>
      <c r="U201" s="157"/>
      <c r="W201" s="157"/>
      <c r="Y201" s="157"/>
      <c r="AA201" s="157"/>
      <c r="AC201" s="157"/>
    </row>
    <row r="202" spans="1:265" s="208" customFormat="1" ht="11.25">
      <c r="C202" s="208" t="s">
        <v>491</v>
      </c>
      <c r="G202" s="209">
        <f>G127-G200</f>
        <v>0</v>
      </c>
      <c r="I202" s="209">
        <f>I127-I200</f>
        <v>0</v>
      </c>
      <c r="K202" s="209">
        <f>K127-K200</f>
        <v>0</v>
      </c>
      <c r="M202" s="209">
        <f>M127-M200</f>
        <v>0</v>
      </c>
      <c r="O202" s="209">
        <f>O127-O200</f>
        <v>0</v>
      </c>
      <c r="Q202" s="209">
        <f>Q127-Q200</f>
        <v>0</v>
      </c>
      <c r="S202" s="209">
        <f>S127-S200</f>
        <v>0</v>
      </c>
      <c r="U202" s="209">
        <f>U127-U200</f>
        <v>0</v>
      </c>
      <c r="W202" s="209">
        <f>W127-W200</f>
        <v>0</v>
      </c>
      <c r="Y202" s="209">
        <f>Y127-Y200</f>
        <v>0</v>
      </c>
      <c r="AA202" s="209">
        <f>AA127-AA200</f>
        <v>0</v>
      </c>
      <c r="AC202" s="209">
        <f>AC127-AC200</f>
        <v>0</v>
      </c>
    </row>
    <row r="203" spans="1:265" s="182" customFormat="1" ht="9.75" customHeight="1">
      <c r="A203" s="189"/>
      <c r="B203" s="189"/>
      <c r="C203" s="190"/>
      <c r="D203" s="189"/>
      <c r="E203" s="123"/>
      <c r="F203" s="123"/>
      <c r="H203" s="123"/>
      <c r="J203" s="123"/>
      <c r="L203" s="123"/>
      <c r="N203" s="123"/>
      <c r="P203" s="123"/>
      <c r="R203" s="123"/>
      <c r="T203" s="123"/>
      <c r="V203" s="123"/>
      <c r="X203" s="123"/>
      <c r="Z203" s="123"/>
      <c r="AB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c r="IC203" s="123"/>
      <c r="ID203" s="123"/>
      <c r="IE203" s="123"/>
      <c r="IF203" s="123"/>
      <c r="IG203" s="123"/>
      <c r="IH203" s="123"/>
      <c r="II203" s="123"/>
      <c r="IJ203" s="123"/>
      <c r="IK203" s="123"/>
      <c r="IL203" s="123"/>
      <c r="IM203" s="123"/>
      <c r="IN203" s="123"/>
      <c r="IO203" s="123"/>
      <c r="IP203" s="123"/>
      <c r="IQ203" s="123"/>
      <c r="IR203" s="123"/>
      <c r="IS203" s="123"/>
      <c r="IT203" s="123"/>
      <c r="IU203" s="123"/>
      <c r="IV203" s="123"/>
      <c r="IW203" s="123"/>
      <c r="IX203" s="123"/>
      <c r="IY203" s="123"/>
      <c r="IZ203" s="123"/>
      <c r="JA203" s="123"/>
      <c r="JB203" s="123"/>
      <c r="JC203" s="123"/>
      <c r="JD203" s="123"/>
      <c r="JE203" s="123"/>
    </row>
    <row r="204" spans="1:265" ht="15" outlineLevel="1">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row>
    <row r="205" spans="1:265" ht="6" customHeight="1" outlineLevel="1">
      <c r="G205" s="158"/>
      <c r="H205" s="157"/>
      <c r="I205" s="158"/>
      <c r="J205" s="157"/>
      <c r="K205" s="158"/>
      <c r="L205" s="157"/>
      <c r="M205" s="158"/>
      <c r="N205" s="157"/>
      <c r="O205" s="158"/>
      <c r="P205" s="157"/>
      <c r="Q205" s="158"/>
      <c r="R205" s="157"/>
      <c r="S205" s="158"/>
      <c r="T205" s="157"/>
      <c r="U205" s="158"/>
      <c r="V205" s="157"/>
      <c r="W205" s="158"/>
      <c r="X205" s="157"/>
      <c r="Y205" s="158"/>
      <c r="Z205" s="157"/>
      <c r="AA205" s="158"/>
      <c r="AB205" s="157"/>
      <c r="AC205" s="158"/>
      <c r="AD205" s="157"/>
    </row>
    <row r="206" spans="1:265" s="126" customFormat="1">
      <c r="B206" s="126" t="s">
        <v>332</v>
      </c>
      <c r="G206" s="183">
        <f>SUM(G204:G205)</f>
        <v>0</v>
      </c>
      <c r="H206" s="211"/>
      <c r="I206" s="183">
        <f>SUM(I204:I205)</f>
        <v>0</v>
      </c>
      <c r="J206" s="211"/>
      <c r="K206" s="183">
        <f>SUM(K204:K205)</f>
        <v>0</v>
      </c>
      <c r="L206" s="211"/>
      <c r="M206" s="183">
        <f>SUM(M204:M205)</f>
        <v>0</v>
      </c>
      <c r="N206" s="211"/>
      <c r="O206" s="183">
        <f>SUM(O204:O205)</f>
        <v>0</v>
      </c>
      <c r="P206" s="211"/>
      <c r="Q206" s="183">
        <f>SUM(Q204:Q205)</f>
        <v>0</v>
      </c>
      <c r="R206" s="211"/>
      <c r="S206" s="183">
        <f>SUM(S204:S205)</f>
        <v>0</v>
      </c>
      <c r="T206" s="211"/>
      <c r="U206" s="183">
        <f>SUM(U204:U205)</f>
        <v>0</v>
      </c>
      <c r="V206" s="211"/>
      <c r="W206" s="183">
        <f>SUM(W204:W205)</f>
        <v>0</v>
      </c>
      <c r="X206" s="211"/>
      <c r="Y206" s="183">
        <f>SUM(Y204:Y205)</f>
        <v>0</v>
      </c>
      <c r="Z206" s="211"/>
      <c r="AA206" s="183">
        <f>SUM(AA204:AA205)</f>
        <v>0</v>
      </c>
      <c r="AB206" s="211"/>
      <c r="AC206" s="183">
        <f>SUM(AC204:AC205)</f>
        <v>0</v>
      </c>
      <c r="AD206" s="211"/>
      <c r="AE206" s="211"/>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c r="IC206" s="123"/>
      <c r="ID206" s="123"/>
      <c r="IE206" s="123"/>
      <c r="IF206" s="123"/>
      <c r="IG206" s="123"/>
      <c r="IH206" s="123"/>
      <c r="II206" s="123"/>
      <c r="IJ206" s="123"/>
      <c r="IK206" s="123"/>
      <c r="IL206" s="123"/>
      <c r="IM206" s="123"/>
      <c r="IN206" s="123"/>
      <c r="IO206" s="123"/>
      <c r="IP206" s="123"/>
      <c r="IQ206" s="123"/>
      <c r="IR206" s="123"/>
      <c r="IS206" s="123"/>
      <c r="IT206" s="123"/>
      <c r="IU206" s="123"/>
      <c r="IV206" s="123"/>
      <c r="IW206" s="123"/>
      <c r="IX206" s="123"/>
      <c r="IY206" s="123"/>
      <c r="IZ206" s="123"/>
      <c r="JA206" s="123"/>
      <c r="JB206" s="123"/>
      <c r="JC206" s="123"/>
      <c r="JD206" s="123"/>
      <c r="JE206" s="123"/>
    </row>
    <row r="207" spans="1:265">
      <c r="G207" s="212"/>
      <c r="H207" s="212"/>
      <c r="I207" s="21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3"/>
    </row>
  </sheetData>
  <mergeCells count="1">
    <mergeCell ref="I1:Q3"/>
  </mergeCells>
  <pageMargins left="0.5" right="0.5" top="0.39" bottom="0.4" header="0.25" footer="0.25"/>
  <pageSetup scale="69" pageOrder="overThenDown" orientation="landscape" errors="blank" horizontalDpi="4294967292" r:id="rId1"/>
  <headerFooter alignWithMargins="0">
    <oddHeader>&amp;R&amp;D - &amp;T</oddHeader>
    <oddFooter>&amp;L&amp;F - &amp;A&amp;RPage &amp;P of &amp;N</oddFooter>
  </headerFooter>
  <rowBreaks count="1" manualBreakCount="1">
    <brk id="129" max="30" man="1"/>
  </rowBreaks>
  <colBreaks count="1" manualBreakCount="1">
    <brk id="18" max="20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59"/>
  <sheetViews>
    <sheetView showGridLines="0" view="pageBreakPreview" zoomScale="85" zoomScaleNormal="115" zoomScaleSheetLayoutView="85" workbookViewId="0">
      <selection activeCell="G20" sqref="G20"/>
    </sheetView>
  </sheetViews>
  <sheetFormatPr defaultRowHeight="11.25"/>
  <cols>
    <col min="1" max="1" width="2.140625" style="458" customWidth="1"/>
    <col min="2" max="2" width="5" style="458" customWidth="1"/>
    <col min="3" max="3" width="16.85546875" style="458" bestFit="1" customWidth="1"/>
    <col min="4" max="4" width="3.28515625" style="458" customWidth="1"/>
    <col min="5" max="5" width="14.140625" style="458" bestFit="1" customWidth="1"/>
    <col min="6" max="6" width="9.28515625" style="458" bestFit="1" customWidth="1"/>
    <col min="7" max="7" width="6.7109375" style="458" customWidth="1"/>
    <col min="8" max="8" width="7.42578125" style="458" bestFit="1" customWidth="1"/>
    <col min="9" max="9" width="4" style="458" bestFit="1" customWidth="1"/>
    <col min="10" max="10" width="5.42578125" style="458" bestFit="1" customWidth="1"/>
    <col min="11" max="11" width="7.5703125" style="458" bestFit="1" customWidth="1"/>
    <col min="12" max="13" width="1.85546875" style="458" customWidth="1"/>
    <col min="14" max="14" width="10.7109375" style="458" bestFit="1" customWidth="1"/>
    <col min="15" max="15" width="11.140625" style="458" bestFit="1" customWidth="1"/>
    <col min="16" max="16" width="1.7109375" style="458" customWidth="1"/>
    <col min="17" max="19" width="9.140625" style="458"/>
    <col min="20" max="20" width="1.7109375" style="458" customWidth="1"/>
    <col min="21" max="21" width="12.42578125" style="458" customWidth="1"/>
    <col min="22" max="22" width="11" style="458" bestFit="1" customWidth="1"/>
    <col min="23" max="23" width="6.5703125" style="458" bestFit="1" customWidth="1"/>
    <col min="24" max="24" width="7.28515625" style="458" bestFit="1" customWidth="1"/>
    <col min="25" max="25" width="5.5703125" style="458" bestFit="1" customWidth="1"/>
    <col min="26" max="26" width="5.140625" style="458" bestFit="1" customWidth="1"/>
    <col min="27" max="27" width="7.42578125" style="458" bestFit="1" customWidth="1"/>
    <col min="28" max="28" width="10.5703125" style="458" bestFit="1" customWidth="1"/>
    <col min="29" max="29" width="6.5703125" style="458" bestFit="1" customWidth="1"/>
    <col min="30" max="30" width="9.5703125" style="458" bestFit="1" customWidth="1"/>
    <col min="31" max="31" width="7.42578125" style="458" bestFit="1" customWidth="1"/>
    <col min="32" max="32" width="9.42578125" style="458" bestFit="1" customWidth="1"/>
    <col min="33" max="33" width="2.140625" style="458" customWidth="1"/>
    <col min="34" max="34" width="2.7109375" style="458" customWidth="1"/>
    <col min="35" max="35" width="12.7109375" style="458" bestFit="1" customWidth="1"/>
    <col min="36" max="44" width="9.5703125" style="458" bestFit="1" customWidth="1"/>
    <col min="45" max="45" width="2.140625" style="458" customWidth="1"/>
    <col min="46" max="46" width="5" style="458" customWidth="1"/>
    <col min="47" max="251" width="9.140625" style="458"/>
    <col min="252" max="252" width="2.140625" style="458" customWidth="1"/>
    <col min="253" max="255" width="9.140625" style="458"/>
    <col min="256" max="256" width="11.7109375" style="458" bestFit="1" customWidth="1"/>
    <col min="257" max="257" width="9.28515625" style="458" bestFit="1" customWidth="1"/>
    <col min="258" max="258" width="9.140625" style="458"/>
    <col min="259" max="259" width="9.28515625" style="458" bestFit="1" customWidth="1"/>
    <col min="260" max="260" width="9.140625" style="458"/>
    <col min="261" max="261" width="9.28515625" style="458" bestFit="1" customWidth="1"/>
    <col min="262" max="262" width="10" style="458" bestFit="1" customWidth="1"/>
    <col min="263" max="271" width="9.140625" style="458"/>
    <col min="272" max="272" width="12.42578125" style="458" customWidth="1"/>
    <col min="273" max="280" width="9.28515625" style="458" bestFit="1" customWidth="1"/>
    <col min="281" max="281" width="9.85546875" style="458" bestFit="1" customWidth="1"/>
    <col min="282" max="286" width="9.140625" style="458"/>
    <col min="287" max="287" width="11" style="458" customWidth="1"/>
    <col min="288" max="289" width="11.28515625" style="458" customWidth="1"/>
    <col min="290" max="290" width="11.5703125" style="458" customWidth="1"/>
    <col min="291" max="291" width="11.28515625" style="458" customWidth="1"/>
    <col min="292" max="292" width="11.7109375" style="458" customWidth="1"/>
    <col min="293" max="293" width="10.7109375" style="458" customWidth="1"/>
    <col min="294" max="294" width="9.5703125" style="458" customWidth="1"/>
    <col min="295" max="295" width="10.28515625" style="458" customWidth="1"/>
    <col min="296" max="507" width="9.140625" style="458"/>
    <col min="508" max="508" width="2.140625" style="458" customWidth="1"/>
    <col min="509" max="511" width="9.140625" style="458"/>
    <col min="512" max="512" width="11.7109375" style="458" bestFit="1" customWidth="1"/>
    <col min="513" max="513" width="9.28515625" style="458" bestFit="1" customWidth="1"/>
    <col min="514" max="514" width="9.140625" style="458"/>
    <col min="515" max="515" width="9.28515625" style="458" bestFit="1" customWidth="1"/>
    <col min="516" max="516" width="9.140625" style="458"/>
    <col min="517" max="517" width="9.28515625" style="458" bestFit="1" customWidth="1"/>
    <col min="518" max="518" width="10" style="458" bestFit="1" customWidth="1"/>
    <col min="519" max="527" width="9.140625" style="458"/>
    <col min="528" max="528" width="12.42578125" style="458" customWidth="1"/>
    <col min="529" max="536" width="9.28515625" style="458" bestFit="1" customWidth="1"/>
    <col min="537" max="537" width="9.85546875" style="458" bestFit="1" customWidth="1"/>
    <col min="538" max="542" width="9.140625" style="458"/>
    <col min="543" max="543" width="11" style="458" customWidth="1"/>
    <col min="544" max="545" width="11.28515625" style="458" customWidth="1"/>
    <col min="546" max="546" width="11.5703125" style="458" customWidth="1"/>
    <col min="547" max="547" width="11.28515625" style="458" customWidth="1"/>
    <col min="548" max="548" width="11.7109375" style="458" customWidth="1"/>
    <col min="549" max="549" width="10.7109375" style="458" customWidth="1"/>
    <col min="550" max="550" width="9.5703125" style="458" customWidth="1"/>
    <col min="551" max="551" width="10.28515625" style="458" customWidth="1"/>
    <col min="552" max="763" width="9.140625" style="458"/>
    <col min="764" max="764" width="2.140625" style="458" customWidth="1"/>
    <col min="765" max="767" width="9.140625" style="458"/>
    <col min="768" max="768" width="11.7109375" style="458" bestFit="1" customWidth="1"/>
    <col min="769" max="769" width="9.28515625" style="458" bestFit="1" customWidth="1"/>
    <col min="770" max="770" width="9.140625" style="458"/>
    <col min="771" max="771" width="9.28515625" style="458" bestFit="1" customWidth="1"/>
    <col min="772" max="772" width="9.140625" style="458"/>
    <col min="773" max="773" width="9.28515625" style="458" bestFit="1" customWidth="1"/>
    <col min="774" max="774" width="10" style="458" bestFit="1" customWidth="1"/>
    <col min="775" max="783" width="9.140625" style="458"/>
    <col min="784" max="784" width="12.42578125" style="458" customWidth="1"/>
    <col min="785" max="792" width="9.28515625" style="458" bestFit="1" customWidth="1"/>
    <col min="793" max="793" width="9.85546875" style="458" bestFit="1" customWidth="1"/>
    <col min="794" max="798" width="9.140625" style="458"/>
    <col min="799" max="799" width="11" style="458" customWidth="1"/>
    <col min="800" max="801" width="11.28515625" style="458" customWidth="1"/>
    <col min="802" max="802" width="11.5703125" style="458" customWidth="1"/>
    <col min="803" max="803" width="11.28515625" style="458" customWidth="1"/>
    <col min="804" max="804" width="11.7109375" style="458" customWidth="1"/>
    <col min="805" max="805" width="10.7109375" style="458" customWidth="1"/>
    <col min="806" max="806" width="9.5703125" style="458" customWidth="1"/>
    <col min="807" max="807" width="10.28515625" style="458" customWidth="1"/>
    <col min="808" max="1019" width="9.140625" style="458"/>
    <col min="1020" max="1020" width="2.140625" style="458" customWidth="1"/>
    <col min="1021" max="1023" width="9.140625" style="458"/>
    <col min="1024" max="1024" width="11.7109375" style="458" bestFit="1" customWidth="1"/>
    <col min="1025" max="1025" width="9.28515625" style="458" bestFit="1" customWidth="1"/>
    <col min="1026" max="1026" width="9.140625" style="458"/>
    <col min="1027" max="1027" width="9.28515625" style="458" bestFit="1" customWidth="1"/>
    <col min="1028" max="1028" width="9.140625" style="458"/>
    <col min="1029" max="1029" width="9.28515625" style="458" bestFit="1" customWidth="1"/>
    <col min="1030" max="1030" width="10" style="458" bestFit="1" customWidth="1"/>
    <col min="1031" max="1039" width="9.140625" style="458"/>
    <col min="1040" max="1040" width="12.42578125" style="458" customWidth="1"/>
    <col min="1041" max="1048" width="9.28515625" style="458" bestFit="1" customWidth="1"/>
    <col min="1049" max="1049" width="9.85546875" style="458" bestFit="1" customWidth="1"/>
    <col min="1050" max="1054" width="9.140625" style="458"/>
    <col min="1055" max="1055" width="11" style="458" customWidth="1"/>
    <col min="1056" max="1057" width="11.28515625" style="458" customWidth="1"/>
    <col min="1058" max="1058" width="11.5703125" style="458" customWidth="1"/>
    <col min="1059" max="1059" width="11.28515625" style="458" customWidth="1"/>
    <col min="1060" max="1060" width="11.7109375" style="458" customWidth="1"/>
    <col min="1061" max="1061" width="10.7109375" style="458" customWidth="1"/>
    <col min="1062" max="1062" width="9.5703125" style="458" customWidth="1"/>
    <col min="1063" max="1063" width="10.28515625" style="458" customWidth="1"/>
    <col min="1064" max="1275" width="9.140625" style="458"/>
    <col min="1276" max="1276" width="2.140625" style="458" customWidth="1"/>
    <col min="1277" max="1279" width="9.140625" style="458"/>
    <col min="1280" max="1280" width="11.7109375" style="458" bestFit="1" customWidth="1"/>
    <col min="1281" max="1281" width="9.28515625" style="458" bestFit="1" customWidth="1"/>
    <col min="1282" max="1282" width="9.140625" style="458"/>
    <col min="1283" max="1283" width="9.28515625" style="458" bestFit="1" customWidth="1"/>
    <col min="1284" max="1284" width="9.140625" style="458"/>
    <col min="1285" max="1285" width="9.28515625" style="458" bestFit="1" customWidth="1"/>
    <col min="1286" max="1286" width="10" style="458" bestFit="1" customWidth="1"/>
    <col min="1287" max="1295" width="9.140625" style="458"/>
    <col min="1296" max="1296" width="12.42578125" style="458" customWidth="1"/>
    <col min="1297" max="1304" width="9.28515625" style="458" bestFit="1" customWidth="1"/>
    <col min="1305" max="1305" width="9.85546875" style="458" bestFit="1" customWidth="1"/>
    <col min="1306" max="1310" width="9.140625" style="458"/>
    <col min="1311" max="1311" width="11" style="458" customWidth="1"/>
    <col min="1312" max="1313" width="11.28515625" style="458" customWidth="1"/>
    <col min="1314" max="1314" width="11.5703125" style="458" customWidth="1"/>
    <col min="1315" max="1315" width="11.28515625" style="458" customWidth="1"/>
    <col min="1316" max="1316" width="11.7109375" style="458" customWidth="1"/>
    <col min="1317" max="1317" width="10.7109375" style="458" customWidth="1"/>
    <col min="1318" max="1318" width="9.5703125" style="458" customWidth="1"/>
    <col min="1319" max="1319" width="10.28515625" style="458" customWidth="1"/>
    <col min="1320" max="1531" width="9.140625" style="458"/>
    <col min="1532" max="1532" width="2.140625" style="458" customWidth="1"/>
    <col min="1533" max="1535" width="9.140625" style="458"/>
    <col min="1536" max="1536" width="11.7109375" style="458" bestFit="1" customWidth="1"/>
    <col min="1537" max="1537" width="9.28515625" style="458" bestFit="1" customWidth="1"/>
    <col min="1538" max="1538" width="9.140625" style="458"/>
    <col min="1539" max="1539" width="9.28515625" style="458" bestFit="1" customWidth="1"/>
    <col min="1540" max="1540" width="9.140625" style="458"/>
    <col min="1541" max="1541" width="9.28515625" style="458" bestFit="1" customWidth="1"/>
    <col min="1542" max="1542" width="10" style="458" bestFit="1" customWidth="1"/>
    <col min="1543" max="1551" width="9.140625" style="458"/>
    <col min="1552" max="1552" width="12.42578125" style="458" customWidth="1"/>
    <col min="1553" max="1560" width="9.28515625" style="458" bestFit="1" customWidth="1"/>
    <col min="1561" max="1561" width="9.85546875" style="458" bestFit="1" customWidth="1"/>
    <col min="1562" max="1566" width="9.140625" style="458"/>
    <col min="1567" max="1567" width="11" style="458" customWidth="1"/>
    <col min="1568" max="1569" width="11.28515625" style="458" customWidth="1"/>
    <col min="1570" max="1570" width="11.5703125" style="458" customWidth="1"/>
    <col min="1571" max="1571" width="11.28515625" style="458" customWidth="1"/>
    <col min="1572" max="1572" width="11.7109375" style="458" customWidth="1"/>
    <col min="1573" max="1573" width="10.7109375" style="458" customWidth="1"/>
    <col min="1574" max="1574" width="9.5703125" style="458" customWidth="1"/>
    <col min="1575" max="1575" width="10.28515625" style="458" customWidth="1"/>
    <col min="1576" max="1787" width="9.140625" style="458"/>
    <col min="1788" max="1788" width="2.140625" style="458" customWidth="1"/>
    <col min="1789" max="1791" width="9.140625" style="458"/>
    <col min="1792" max="1792" width="11.7109375" style="458" bestFit="1" customWidth="1"/>
    <col min="1793" max="1793" width="9.28515625" style="458" bestFit="1" customWidth="1"/>
    <col min="1794" max="1794" width="9.140625" style="458"/>
    <col min="1795" max="1795" width="9.28515625" style="458" bestFit="1" customWidth="1"/>
    <col min="1796" max="1796" width="9.140625" style="458"/>
    <col min="1797" max="1797" width="9.28515625" style="458" bestFit="1" customWidth="1"/>
    <col min="1798" max="1798" width="10" style="458" bestFit="1" customWidth="1"/>
    <col min="1799" max="1807" width="9.140625" style="458"/>
    <col min="1808" max="1808" width="12.42578125" style="458" customWidth="1"/>
    <col min="1809" max="1816" width="9.28515625" style="458" bestFit="1" customWidth="1"/>
    <col min="1817" max="1817" width="9.85546875" style="458" bestFit="1" customWidth="1"/>
    <col min="1818" max="1822" width="9.140625" style="458"/>
    <col min="1823" max="1823" width="11" style="458" customWidth="1"/>
    <col min="1824" max="1825" width="11.28515625" style="458" customWidth="1"/>
    <col min="1826" max="1826" width="11.5703125" style="458" customWidth="1"/>
    <col min="1827" max="1827" width="11.28515625" style="458" customWidth="1"/>
    <col min="1828" max="1828" width="11.7109375" style="458" customWidth="1"/>
    <col min="1829" max="1829" width="10.7109375" style="458" customWidth="1"/>
    <col min="1830" max="1830" width="9.5703125" style="458" customWidth="1"/>
    <col min="1831" max="1831" width="10.28515625" style="458" customWidth="1"/>
    <col min="1832" max="2043" width="9.140625" style="458"/>
    <col min="2044" max="2044" width="2.140625" style="458" customWidth="1"/>
    <col min="2045" max="2047" width="9.140625" style="458"/>
    <col min="2048" max="2048" width="11.7109375" style="458" bestFit="1" customWidth="1"/>
    <col min="2049" max="2049" width="9.28515625" style="458" bestFit="1" customWidth="1"/>
    <col min="2050" max="2050" width="9.140625" style="458"/>
    <col min="2051" max="2051" width="9.28515625" style="458" bestFit="1" customWidth="1"/>
    <col min="2052" max="2052" width="9.140625" style="458"/>
    <col min="2053" max="2053" width="9.28515625" style="458" bestFit="1" customWidth="1"/>
    <col min="2054" max="2054" width="10" style="458" bestFit="1" customWidth="1"/>
    <col min="2055" max="2063" width="9.140625" style="458"/>
    <col min="2064" max="2064" width="12.42578125" style="458" customWidth="1"/>
    <col min="2065" max="2072" width="9.28515625" style="458" bestFit="1" customWidth="1"/>
    <col min="2073" max="2073" width="9.85546875" style="458" bestFit="1" customWidth="1"/>
    <col min="2074" max="2078" width="9.140625" style="458"/>
    <col min="2079" max="2079" width="11" style="458" customWidth="1"/>
    <col min="2080" max="2081" width="11.28515625" style="458" customWidth="1"/>
    <col min="2082" max="2082" width="11.5703125" style="458" customWidth="1"/>
    <col min="2083" max="2083" width="11.28515625" style="458" customWidth="1"/>
    <col min="2084" max="2084" width="11.7109375" style="458" customWidth="1"/>
    <col min="2085" max="2085" width="10.7109375" style="458" customWidth="1"/>
    <col min="2086" max="2086" width="9.5703125" style="458" customWidth="1"/>
    <col min="2087" max="2087" width="10.28515625" style="458" customWidth="1"/>
    <col min="2088" max="2299" width="9.140625" style="458"/>
    <col min="2300" max="2300" width="2.140625" style="458" customWidth="1"/>
    <col min="2301" max="2303" width="9.140625" style="458"/>
    <col min="2304" max="2304" width="11.7109375" style="458" bestFit="1" customWidth="1"/>
    <col min="2305" max="2305" width="9.28515625" style="458" bestFit="1" customWidth="1"/>
    <col min="2306" max="2306" width="9.140625" style="458"/>
    <col min="2307" max="2307" width="9.28515625" style="458" bestFit="1" customWidth="1"/>
    <col min="2308" max="2308" width="9.140625" style="458"/>
    <col min="2309" max="2309" width="9.28515625" style="458" bestFit="1" customWidth="1"/>
    <col min="2310" max="2310" width="10" style="458" bestFit="1" customWidth="1"/>
    <col min="2311" max="2319" width="9.140625" style="458"/>
    <col min="2320" max="2320" width="12.42578125" style="458" customWidth="1"/>
    <col min="2321" max="2328" width="9.28515625" style="458" bestFit="1" customWidth="1"/>
    <col min="2329" max="2329" width="9.85546875" style="458" bestFit="1" customWidth="1"/>
    <col min="2330" max="2334" width="9.140625" style="458"/>
    <col min="2335" max="2335" width="11" style="458" customWidth="1"/>
    <col min="2336" max="2337" width="11.28515625" style="458" customWidth="1"/>
    <col min="2338" max="2338" width="11.5703125" style="458" customWidth="1"/>
    <col min="2339" max="2339" width="11.28515625" style="458" customWidth="1"/>
    <col min="2340" max="2340" width="11.7109375" style="458" customWidth="1"/>
    <col min="2341" max="2341" width="10.7109375" style="458" customWidth="1"/>
    <col min="2342" max="2342" width="9.5703125" style="458" customWidth="1"/>
    <col min="2343" max="2343" width="10.28515625" style="458" customWidth="1"/>
    <col min="2344" max="2555" width="9.140625" style="458"/>
    <col min="2556" max="2556" width="2.140625" style="458" customWidth="1"/>
    <col min="2557" max="2559" width="9.140625" style="458"/>
    <col min="2560" max="2560" width="11.7109375" style="458" bestFit="1" customWidth="1"/>
    <col min="2561" max="2561" width="9.28515625" style="458" bestFit="1" customWidth="1"/>
    <col min="2562" max="2562" width="9.140625" style="458"/>
    <col min="2563" max="2563" width="9.28515625" style="458" bestFit="1" customWidth="1"/>
    <col min="2564" max="2564" width="9.140625" style="458"/>
    <col min="2565" max="2565" width="9.28515625" style="458" bestFit="1" customWidth="1"/>
    <col min="2566" max="2566" width="10" style="458" bestFit="1" customWidth="1"/>
    <col min="2567" max="2575" width="9.140625" style="458"/>
    <col min="2576" max="2576" width="12.42578125" style="458" customWidth="1"/>
    <col min="2577" max="2584" width="9.28515625" style="458" bestFit="1" customWidth="1"/>
    <col min="2585" max="2585" width="9.85546875" style="458" bestFit="1" customWidth="1"/>
    <col min="2586" max="2590" width="9.140625" style="458"/>
    <col min="2591" max="2591" width="11" style="458" customWidth="1"/>
    <col min="2592" max="2593" width="11.28515625" style="458" customWidth="1"/>
    <col min="2594" max="2594" width="11.5703125" style="458" customWidth="1"/>
    <col min="2595" max="2595" width="11.28515625" style="458" customWidth="1"/>
    <col min="2596" max="2596" width="11.7109375" style="458" customWidth="1"/>
    <col min="2597" max="2597" width="10.7109375" style="458" customWidth="1"/>
    <col min="2598" max="2598" width="9.5703125" style="458" customWidth="1"/>
    <col min="2599" max="2599" width="10.28515625" style="458" customWidth="1"/>
    <col min="2600" max="2811" width="9.140625" style="458"/>
    <col min="2812" max="2812" width="2.140625" style="458" customWidth="1"/>
    <col min="2813" max="2815" width="9.140625" style="458"/>
    <col min="2816" max="2816" width="11.7109375" style="458" bestFit="1" customWidth="1"/>
    <col min="2817" max="2817" width="9.28515625" style="458" bestFit="1" customWidth="1"/>
    <col min="2818" max="2818" width="9.140625" style="458"/>
    <col min="2819" max="2819" width="9.28515625" style="458" bestFit="1" customWidth="1"/>
    <col min="2820" max="2820" width="9.140625" style="458"/>
    <col min="2821" max="2821" width="9.28515625" style="458" bestFit="1" customWidth="1"/>
    <col min="2822" max="2822" width="10" style="458" bestFit="1" customWidth="1"/>
    <col min="2823" max="2831" width="9.140625" style="458"/>
    <col min="2832" max="2832" width="12.42578125" style="458" customWidth="1"/>
    <col min="2833" max="2840" width="9.28515625" style="458" bestFit="1" customWidth="1"/>
    <col min="2841" max="2841" width="9.85546875" style="458" bestFit="1" customWidth="1"/>
    <col min="2842" max="2846" width="9.140625" style="458"/>
    <col min="2847" max="2847" width="11" style="458" customWidth="1"/>
    <col min="2848" max="2849" width="11.28515625" style="458" customWidth="1"/>
    <col min="2850" max="2850" width="11.5703125" style="458" customWidth="1"/>
    <col min="2851" max="2851" width="11.28515625" style="458" customWidth="1"/>
    <col min="2852" max="2852" width="11.7109375" style="458" customWidth="1"/>
    <col min="2853" max="2853" width="10.7109375" style="458" customWidth="1"/>
    <col min="2854" max="2854" width="9.5703125" style="458" customWidth="1"/>
    <col min="2855" max="2855" width="10.28515625" style="458" customWidth="1"/>
    <col min="2856" max="3067" width="9.140625" style="458"/>
    <col min="3068" max="3068" width="2.140625" style="458" customWidth="1"/>
    <col min="3069" max="3071" width="9.140625" style="458"/>
    <col min="3072" max="3072" width="11.7109375" style="458" bestFit="1" customWidth="1"/>
    <col min="3073" max="3073" width="9.28515625" style="458" bestFit="1" customWidth="1"/>
    <col min="3074" max="3074" width="9.140625" style="458"/>
    <col min="3075" max="3075" width="9.28515625" style="458" bestFit="1" customWidth="1"/>
    <col min="3076" max="3076" width="9.140625" style="458"/>
    <col min="3077" max="3077" width="9.28515625" style="458" bestFit="1" customWidth="1"/>
    <col min="3078" max="3078" width="10" style="458" bestFit="1" customWidth="1"/>
    <col min="3079" max="3087" width="9.140625" style="458"/>
    <col min="3088" max="3088" width="12.42578125" style="458" customWidth="1"/>
    <col min="3089" max="3096" width="9.28515625" style="458" bestFit="1" customWidth="1"/>
    <col min="3097" max="3097" width="9.85546875" style="458" bestFit="1" customWidth="1"/>
    <col min="3098" max="3102" width="9.140625" style="458"/>
    <col min="3103" max="3103" width="11" style="458" customWidth="1"/>
    <col min="3104" max="3105" width="11.28515625" style="458" customWidth="1"/>
    <col min="3106" max="3106" width="11.5703125" style="458" customWidth="1"/>
    <col min="3107" max="3107" width="11.28515625" style="458" customWidth="1"/>
    <col min="3108" max="3108" width="11.7109375" style="458" customWidth="1"/>
    <col min="3109" max="3109" width="10.7109375" style="458" customWidth="1"/>
    <col min="3110" max="3110" width="9.5703125" style="458" customWidth="1"/>
    <col min="3111" max="3111" width="10.28515625" style="458" customWidth="1"/>
    <col min="3112" max="3323" width="9.140625" style="458"/>
    <col min="3324" max="3324" width="2.140625" style="458" customWidth="1"/>
    <col min="3325" max="3327" width="9.140625" style="458"/>
    <col min="3328" max="3328" width="11.7109375" style="458" bestFit="1" customWidth="1"/>
    <col min="3329" max="3329" width="9.28515625" style="458" bestFit="1" customWidth="1"/>
    <col min="3330" max="3330" width="9.140625" style="458"/>
    <col min="3331" max="3331" width="9.28515625" style="458" bestFit="1" customWidth="1"/>
    <col min="3332" max="3332" width="9.140625" style="458"/>
    <col min="3333" max="3333" width="9.28515625" style="458" bestFit="1" customWidth="1"/>
    <col min="3334" max="3334" width="10" style="458" bestFit="1" customWidth="1"/>
    <col min="3335" max="3343" width="9.140625" style="458"/>
    <col min="3344" max="3344" width="12.42578125" style="458" customWidth="1"/>
    <col min="3345" max="3352" width="9.28515625" style="458" bestFit="1" customWidth="1"/>
    <col min="3353" max="3353" width="9.85546875" style="458" bestFit="1" customWidth="1"/>
    <col min="3354" max="3358" width="9.140625" style="458"/>
    <col min="3359" max="3359" width="11" style="458" customWidth="1"/>
    <col min="3360" max="3361" width="11.28515625" style="458" customWidth="1"/>
    <col min="3362" max="3362" width="11.5703125" style="458" customWidth="1"/>
    <col min="3363" max="3363" width="11.28515625" style="458" customWidth="1"/>
    <col min="3364" max="3364" width="11.7109375" style="458" customWidth="1"/>
    <col min="3365" max="3365" width="10.7109375" style="458" customWidth="1"/>
    <col min="3366" max="3366" width="9.5703125" style="458" customWidth="1"/>
    <col min="3367" max="3367" width="10.28515625" style="458" customWidth="1"/>
    <col min="3368" max="3579" width="9.140625" style="458"/>
    <col min="3580" max="3580" width="2.140625" style="458" customWidth="1"/>
    <col min="3581" max="3583" width="9.140625" style="458"/>
    <col min="3584" max="3584" width="11.7109375" style="458" bestFit="1" customWidth="1"/>
    <col min="3585" max="3585" width="9.28515625" style="458" bestFit="1" customWidth="1"/>
    <col min="3586" max="3586" width="9.140625" style="458"/>
    <col min="3587" max="3587" width="9.28515625" style="458" bestFit="1" customWidth="1"/>
    <col min="3588" max="3588" width="9.140625" style="458"/>
    <col min="3589" max="3589" width="9.28515625" style="458" bestFit="1" customWidth="1"/>
    <col min="3590" max="3590" width="10" style="458" bestFit="1" customWidth="1"/>
    <col min="3591" max="3599" width="9.140625" style="458"/>
    <col min="3600" max="3600" width="12.42578125" style="458" customWidth="1"/>
    <col min="3601" max="3608" width="9.28515625" style="458" bestFit="1" customWidth="1"/>
    <col min="3609" max="3609" width="9.85546875" style="458" bestFit="1" customWidth="1"/>
    <col min="3610" max="3614" width="9.140625" style="458"/>
    <col min="3615" max="3615" width="11" style="458" customWidth="1"/>
    <col min="3616" max="3617" width="11.28515625" style="458" customWidth="1"/>
    <col min="3618" max="3618" width="11.5703125" style="458" customWidth="1"/>
    <col min="3619" max="3619" width="11.28515625" style="458" customWidth="1"/>
    <col min="3620" max="3620" width="11.7109375" style="458" customWidth="1"/>
    <col min="3621" max="3621" width="10.7109375" style="458" customWidth="1"/>
    <col min="3622" max="3622" width="9.5703125" style="458" customWidth="1"/>
    <col min="3623" max="3623" width="10.28515625" style="458" customWidth="1"/>
    <col min="3624" max="3835" width="9.140625" style="458"/>
    <col min="3836" max="3836" width="2.140625" style="458" customWidth="1"/>
    <col min="3837" max="3839" width="9.140625" style="458"/>
    <col min="3840" max="3840" width="11.7109375" style="458" bestFit="1" customWidth="1"/>
    <col min="3841" max="3841" width="9.28515625" style="458" bestFit="1" customWidth="1"/>
    <col min="3842" max="3842" width="9.140625" style="458"/>
    <col min="3843" max="3843" width="9.28515625" style="458" bestFit="1" customWidth="1"/>
    <col min="3844" max="3844" width="9.140625" style="458"/>
    <col min="3845" max="3845" width="9.28515625" style="458" bestFit="1" customWidth="1"/>
    <col min="3846" max="3846" width="10" style="458" bestFit="1" customWidth="1"/>
    <col min="3847" max="3855" width="9.140625" style="458"/>
    <col min="3856" max="3856" width="12.42578125" style="458" customWidth="1"/>
    <col min="3857" max="3864" width="9.28515625" style="458" bestFit="1" customWidth="1"/>
    <col min="3865" max="3865" width="9.85546875" style="458" bestFit="1" customWidth="1"/>
    <col min="3866" max="3870" width="9.140625" style="458"/>
    <col min="3871" max="3871" width="11" style="458" customWidth="1"/>
    <col min="3872" max="3873" width="11.28515625" style="458" customWidth="1"/>
    <col min="3874" max="3874" width="11.5703125" style="458" customWidth="1"/>
    <col min="3875" max="3875" width="11.28515625" style="458" customWidth="1"/>
    <col min="3876" max="3876" width="11.7109375" style="458" customWidth="1"/>
    <col min="3877" max="3877" width="10.7109375" style="458" customWidth="1"/>
    <col min="3878" max="3878" width="9.5703125" style="458" customWidth="1"/>
    <col min="3879" max="3879" width="10.28515625" style="458" customWidth="1"/>
    <col min="3880" max="4091" width="9.140625" style="458"/>
    <col min="4092" max="4092" width="2.140625" style="458" customWidth="1"/>
    <col min="4093" max="4095" width="9.140625" style="458"/>
    <col min="4096" max="4096" width="11.7109375" style="458" bestFit="1" customWidth="1"/>
    <col min="4097" max="4097" width="9.28515625" style="458" bestFit="1" customWidth="1"/>
    <col min="4098" max="4098" width="9.140625" style="458"/>
    <col min="4099" max="4099" width="9.28515625" style="458" bestFit="1" customWidth="1"/>
    <col min="4100" max="4100" width="9.140625" style="458"/>
    <col min="4101" max="4101" width="9.28515625" style="458" bestFit="1" customWidth="1"/>
    <col min="4102" max="4102" width="10" style="458" bestFit="1" customWidth="1"/>
    <col min="4103" max="4111" width="9.140625" style="458"/>
    <col min="4112" max="4112" width="12.42578125" style="458" customWidth="1"/>
    <col min="4113" max="4120" width="9.28515625" style="458" bestFit="1" customWidth="1"/>
    <col min="4121" max="4121" width="9.85546875" style="458" bestFit="1" customWidth="1"/>
    <col min="4122" max="4126" width="9.140625" style="458"/>
    <col min="4127" max="4127" width="11" style="458" customWidth="1"/>
    <col min="4128" max="4129" width="11.28515625" style="458" customWidth="1"/>
    <col min="4130" max="4130" width="11.5703125" style="458" customWidth="1"/>
    <col min="4131" max="4131" width="11.28515625" style="458" customWidth="1"/>
    <col min="4132" max="4132" width="11.7109375" style="458" customWidth="1"/>
    <col min="4133" max="4133" width="10.7109375" style="458" customWidth="1"/>
    <col min="4134" max="4134" width="9.5703125" style="458" customWidth="1"/>
    <col min="4135" max="4135" width="10.28515625" style="458" customWidth="1"/>
    <col min="4136" max="4347" width="9.140625" style="458"/>
    <col min="4348" max="4348" width="2.140625" style="458" customWidth="1"/>
    <col min="4349" max="4351" width="9.140625" style="458"/>
    <col min="4352" max="4352" width="11.7109375" style="458" bestFit="1" customWidth="1"/>
    <col min="4353" max="4353" width="9.28515625" style="458" bestFit="1" customWidth="1"/>
    <col min="4354" max="4354" width="9.140625" style="458"/>
    <col min="4355" max="4355" width="9.28515625" style="458" bestFit="1" customWidth="1"/>
    <col min="4356" max="4356" width="9.140625" style="458"/>
    <col min="4357" max="4357" width="9.28515625" style="458" bestFit="1" customWidth="1"/>
    <col min="4358" max="4358" width="10" style="458" bestFit="1" customWidth="1"/>
    <col min="4359" max="4367" width="9.140625" style="458"/>
    <col min="4368" max="4368" width="12.42578125" style="458" customWidth="1"/>
    <col min="4369" max="4376" width="9.28515625" style="458" bestFit="1" customWidth="1"/>
    <col min="4377" max="4377" width="9.85546875" style="458" bestFit="1" customWidth="1"/>
    <col min="4378" max="4382" width="9.140625" style="458"/>
    <col min="4383" max="4383" width="11" style="458" customWidth="1"/>
    <col min="4384" max="4385" width="11.28515625" style="458" customWidth="1"/>
    <col min="4386" max="4386" width="11.5703125" style="458" customWidth="1"/>
    <col min="4387" max="4387" width="11.28515625" style="458" customWidth="1"/>
    <col min="4388" max="4388" width="11.7109375" style="458" customWidth="1"/>
    <col min="4389" max="4389" width="10.7109375" style="458" customWidth="1"/>
    <col min="4390" max="4390" width="9.5703125" style="458" customWidth="1"/>
    <col min="4391" max="4391" width="10.28515625" style="458" customWidth="1"/>
    <col min="4392" max="4603" width="9.140625" style="458"/>
    <col min="4604" max="4604" width="2.140625" style="458" customWidth="1"/>
    <col min="4605" max="4607" width="9.140625" style="458"/>
    <col min="4608" max="4608" width="11.7109375" style="458" bestFit="1" customWidth="1"/>
    <col min="4609" max="4609" width="9.28515625" style="458" bestFit="1" customWidth="1"/>
    <col min="4610" max="4610" width="9.140625" style="458"/>
    <col min="4611" max="4611" width="9.28515625" style="458" bestFit="1" customWidth="1"/>
    <col min="4612" max="4612" width="9.140625" style="458"/>
    <col min="4613" max="4613" width="9.28515625" style="458" bestFit="1" customWidth="1"/>
    <col min="4614" max="4614" width="10" style="458" bestFit="1" customWidth="1"/>
    <col min="4615" max="4623" width="9.140625" style="458"/>
    <col min="4624" max="4624" width="12.42578125" style="458" customWidth="1"/>
    <col min="4625" max="4632" width="9.28515625" style="458" bestFit="1" customWidth="1"/>
    <col min="4633" max="4633" width="9.85546875" style="458" bestFit="1" customWidth="1"/>
    <col min="4634" max="4638" width="9.140625" style="458"/>
    <col min="4639" max="4639" width="11" style="458" customWidth="1"/>
    <col min="4640" max="4641" width="11.28515625" style="458" customWidth="1"/>
    <col min="4642" max="4642" width="11.5703125" style="458" customWidth="1"/>
    <col min="4643" max="4643" width="11.28515625" style="458" customWidth="1"/>
    <col min="4644" max="4644" width="11.7109375" style="458" customWidth="1"/>
    <col min="4645" max="4645" width="10.7109375" style="458" customWidth="1"/>
    <col min="4646" max="4646" width="9.5703125" style="458" customWidth="1"/>
    <col min="4647" max="4647" width="10.28515625" style="458" customWidth="1"/>
    <col min="4648" max="4859" width="9.140625" style="458"/>
    <col min="4860" max="4860" width="2.140625" style="458" customWidth="1"/>
    <col min="4861" max="4863" width="9.140625" style="458"/>
    <col min="4864" max="4864" width="11.7109375" style="458" bestFit="1" customWidth="1"/>
    <col min="4865" max="4865" width="9.28515625" style="458" bestFit="1" customWidth="1"/>
    <col min="4866" max="4866" width="9.140625" style="458"/>
    <col min="4867" max="4867" width="9.28515625" style="458" bestFit="1" customWidth="1"/>
    <col min="4868" max="4868" width="9.140625" style="458"/>
    <col min="4869" max="4869" width="9.28515625" style="458" bestFit="1" customWidth="1"/>
    <col min="4870" max="4870" width="10" style="458" bestFit="1" customWidth="1"/>
    <col min="4871" max="4879" width="9.140625" style="458"/>
    <col min="4880" max="4880" width="12.42578125" style="458" customWidth="1"/>
    <col min="4881" max="4888" width="9.28515625" style="458" bestFit="1" customWidth="1"/>
    <col min="4889" max="4889" width="9.85546875" style="458" bestFit="1" customWidth="1"/>
    <col min="4890" max="4894" width="9.140625" style="458"/>
    <col min="4895" max="4895" width="11" style="458" customWidth="1"/>
    <col min="4896" max="4897" width="11.28515625" style="458" customWidth="1"/>
    <col min="4898" max="4898" width="11.5703125" style="458" customWidth="1"/>
    <col min="4899" max="4899" width="11.28515625" style="458" customWidth="1"/>
    <col min="4900" max="4900" width="11.7109375" style="458" customWidth="1"/>
    <col min="4901" max="4901" width="10.7109375" style="458" customWidth="1"/>
    <col min="4902" max="4902" width="9.5703125" style="458" customWidth="1"/>
    <col min="4903" max="4903" width="10.28515625" style="458" customWidth="1"/>
    <col min="4904" max="5115" width="9.140625" style="458"/>
    <col min="5116" max="5116" width="2.140625" style="458" customWidth="1"/>
    <col min="5117" max="5119" width="9.140625" style="458"/>
    <col min="5120" max="5120" width="11.7109375" style="458" bestFit="1" customWidth="1"/>
    <col min="5121" max="5121" width="9.28515625" style="458" bestFit="1" customWidth="1"/>
    <col min="5122" max="5122" width="9.140625" style="458"/>
    <col min="5123" max="5123" width="9.28515625" style="458" bestFit="1" customWidth="1"/>
    <col min="5124" max="5124" width="9.140625" style="458"/>
    <col min="5125" max="5125" width="9.28515625" style="458" bestFit="1" customWidth="1"/>
    <col min="5126" max="5126" width="10" style="458" bestFit="1" customWidth="1"/>
    <col min="5127" max="5135" width="9.140625" style="458"/>
    <col min="5136" max="5136" width="12.42578125" style="458" customWidth="1"/>
    <col min="5137" max="5144" width="9.28515625" style="458" bestFit="1" customWidth="1"/>
    <col min="5145" max="5145" width="9.85546875" style="458" bestFit="1" customWidth="1"/>
    <col min="5146" max="5150" width="9.140625" style="458"/>
    <col min="5151" max="5151" width="11" style="458" customWidth="1"/>
    <col min="5152" max="5153" width="11.28515625" style="458" customWidth="1"/>
    <col min="5154" max="5154" width="11.5703125" style="458" customWidth="1"/>
    <col min="5155" max="5155" width="11.28515625" style="458" customWidth="1"/>
    <col min="5156" max="5156" width="11.7109375" style="458" customWidth="1"/>
    <col min="5157" max="5157" width="10.7109375" style="458" customWidth="1"/>
    <col min="5158" max="5158" width="9.5703125" style="458" customWidth="1"/>
    <col min="5159" max="5159" width="10.28515625" style="458" customWidth="1"/>
    <col min="5160" max="5371" width="9.140625" style="458"/>
    <col min="5372" max="5372" width="2.140625" style="458" customWidth="1"/>
    <col min="5373" max="5375" width="9.140625" style="458"/>
    <col min="5376" max="5376" width="11.7109375" style="458" bestFit="1" customWidth="1"/>
    <col min="5377" max="5377" width="9.28515625" style="458" bestFit="1" customWidth="1"/>
    <col min="5378" max="5378" width="9.140625" style="458"/>
    <col min="5379" max="5379" width="9.28515625" style="458" bestFit="1" customWidth="1"/>
    <col min="5380" max="5380" width="9.140625" style="458"/>
    <col min="5381" max="5381" width="9.28515625" style="458" bestFit="1" customWidth="1"/>
    <col min="5382" max="5382" width="10" style="458" bestFit="1" customWidth="1"/>
    <col min="5383" max="5391" width="9.140625" style="458"/>
    <col min="5392" max="5392" width="12.42578125" style="458" customWidth="1"/>
    <col min="5393" max="5400" width="9.28515625" style="458" bestFit="1" customWidth="1"/>
    <col min="5401" max="5401" width="9.85546875" style="458" bestFit="1" customWidth="1"/>
    <col min="5402" max="5406" width="9.140625" style="458"/>
    <col min="5407" max="5407" width="11" style="458" customWidth="1"/>
    <col min="5408" max="5409" width="11.28515625" style="458" customWidth="1"/>
    <col min="5410" max="5410" width="11.5703125" style="458" customWidth="1"/>
    <col min="5411" max="5411" width="11.28515625" style="458" customWidth="1"/>
    <col min="5412" max="5412" width="11.7109375" style="458" customWidth="1"/>
    <col min="5413" max="5413" width="10.7109375" style="458" customWidth="1"/>
    <col min="5414" max="5414" width="9.5703125" style="458" customWidth="1"/>
    <col min="5415" max="5415" width="10.28515625" style="458" customWidth="1"/>
    <col min="5416" max="5627" width="9.140625" style="458"/>
    <col min="5628" max="5628" width="2.140625" style="458" customWidth="1"/>
    <col min="5629" max="5631" width="9.140625" style="458"/>
    <col min="5632" max="5632" width="11.7109375" style="458" bestFit="1" customWidth="1"/>
    <col min="5633" max="5633" width="9.28515625" style="458" bestFit="1" customWidth="1"/>
    <col min="5634" max="5634" width="9.140625" style="458"/>
    <col min="5635" max="5635" width="9.28515625" style="458" bestFit="1" customWidth="1"/>
    <col min="5636" max="5636" width="9.140625" style="458"/>
    <col min="5637" max="5637" width="9.28515625" style="458" bestFit="1" customWidth="1"/>
    <col min="5638" max="5638" width="10" style="458" bestFit="1" customWidth="1"/>
    <col min="5639" max="5647" width="9.140625" style="458"/>
    <col min="5648" max="5648" width="12.42578125" style="458" customWidth="1"/>
    <col min="5649" max="5656" width="9.28515625" style="458" bestFit="1" customWidth="1"/>
    <col min="5657" max="5657" width="9.85546875" style="458" bestFit="1" customWidth="1"/>
    <col min="5658" max="5662" width="9.140625" style="458"/>
    <col min="5663" max="5663" width="11" style="458" customWidth="1"/>
    <col min="5664" max="5665" width="11.28515625" style="458" customWidth="1"/>
    <col min="5666" max="5666" width="11.5703125" style="458" customWidth="1"/>
    <col min="5667" max="5667" width="11.28515625" style="458" customWidth="1"/>
    <col min="5668" max="5668" width="11.7109375" style="458" customWidth="1"/>
    <col min="5669" max="5669" width="10.7109375" style="458" customWidth="1"/>
    <col min="5670" max="5670" width="9.5703125" style="458" customWidth="1"/>
    <col min="5671" max="5671" width="10.28515625" style="458" customWidth="1"/>
    <col min="5672" max="5883" width="9.140625" style="458"/>
    <col min="5884" max="5884" width="2.140625" style="458" customWidth="1"/>
    <col min="5885" max="5887" width="9.140625" style="458"/>
    <col min="5888" max="5888" width="11.7109375" style="458" bestFit="1" customWidth="1"/>
    <col min="5889" max="5889" width="9.28515625" style="458" bestFit="1" customWidth="1"/>
    <col min="5890" max="5890" width="9.140625" style="458"/>
    <col min="5891" max="5891" width="9.28515625" style="458" bestFit="1" customWidth="1"/>
    <col min="5892" max="5892" width="9.140625" style="458"/>
    <col min="5893" max="5893" width="9.28515625" style="458" bestFit="1" customWidth="1"/>
    <col min="5894" max="5894" width="10" style="458" bestFit="1" customWidth="1"/>
    <col min="5895" max="5903" width="9.140625" style="458"/>
    <col min="5904" max="5904" width="12.42578125" style="458" customWidth="1"/>
    <col min="5905" max="5912" width="9.28515625" style="458" bestFit="1" customWidth="1"/>
    <col min="5913" max="5913" width="9.85546875" style="458" bestFit="1" customWidth="1"/>
    <col min="5914" max="5918" width="9.140625" style="458"/>
    <col min="5919" max="5919" width="11" style="458" customWidth="1"/>
    <col min="5920" max="5921" width="11.28515625" style="458" customWidth="1"/>
    <col min="5922" max="5922" width="11.5703125" style="458" customWidth="1"/>
    <col min="5923" max="5923" width="11.28515625" style="458" customWidth="1"/>
    <col min="5924" max="5924" width="11.7109375" style="458" customWidth="1"/>
    <col min="5925" max="5925" width="10.7109375" style="458" customWidth="1"/>
    <col min="5926" max="5926" width="9.5703125" style="458" customWidth="1"/>
    <col min="5927" max="5927" width="10.28515625" style="458" customWidth="1"/>
    <col min="5928" max="6139" width="9.140625" style="458"/>
    <col min="6140" max="6140" width="2.140625" style="458" customWidth="1"/>
    <col min="6141" max="6143" width="9.140625" style="458"/>
    <col min="6144" max="6144" width="11.7109375" style="458" bestFit="1" customWidth="1"/>
    <col min="6145" max="6145" width="9.28515625" style="458" bestFit="1" customWidth="1"/>
    <col min="6146" max="6146" width="9.140625" style="458"/>
    <col min="6147" max="6147" width="9.28515625" style="458" bestFit="1" customWidth="1"/>
    <col min="6148" max="6148" width="9.140625" style="458"/>
    <col min="6149" max="6149" width="9.28515625" style="458" bestFit="1" customWidth="1"/>
    <col min="6150" max="6150" width="10" style="458" bestFit="1" customWidth="1"/>
    <col min="6151" max="6159" width="9.140625" style="458"/>
    <col min="6160" max="6160" width="12.42578125" style="458" customWidth="1"/>
    <col min="6161" max="6168" width="9.28515625" style="458" bestFit="1" customWidth="1"/>
    <col min="6169" max="6169" width="9.85546875" style="458" bestFit="1" customWidth="1"/>
    <col min="6170" max="6174" width="9.140625" style="458"/>
    <col min="6175" max="6175" width="11" style="458" customWidth="1"/>
    <col min="6176" max="6177" width="11.28515625" style="458" customWidth="1"/>
    <col min="6178" max="6178" width="11.5703125" style="458" customWidth="1"/>
    <col min="6179" max="6179" width="11.28515625" style="458" customWidth="1"/>
    <col min="6180" max="6180" width="11.7109375" style="458" customWidth="1"/>
    <col min="6181" max="6181" width="10.7109375" style="458" customWidth="1"/>
    <col min="6182" max="6182" width="9.5703125" style="458" customWidth="1"/>
    <col min="6183" max="6183" width="10.28515625" style="458" customWidth="1"/>
    <col min="6184" max="6395" width="9.140625" style="458"/>
    <col min="6396" max="6396" width="2.140625" style="458" customWidth="1"/>
    <col min="6397" max="6399" width="9.140625" style="458"/>
    <col min="6400" max="6400" width="11.7109375" style="458" bestFit="1" customWidth="1"/>
    <col min="6401" max="6401" width="9.28515625" style="458" bestFit="1" customWidth="1"/>
    <col min="6402" max="6402" width="9.140625" style="458"/>
    <col min="6403" max="6403" width="9.28515625" style="458" bestFit="1" customWidth="1"/>
    <col min="6404" max="6404" width="9.140625" style="458"/>
    <col min="6405" max="6405" width="9.28515625" style="458" bestFit="1" customWidth="1"/>
    <col min="6406" max="6406" width="10" style="458" bestFit="1" customWidth="1"/>
    <col min="6407" max="6415" width="9.140625" style="458"/>
    <col min="6416" max="6416" width="12.42578125" style="458" customWidth="1"/>
    <col min="6417" max="6424" width="9.28515625" style="458" bestFit="1" customWidth="1"/>
    <col min="6425" max="6425" width="9.85546875" style="458" bestFit="1" customWidth="1"/>
    <col min="6426" max="6430" width="9.140625" style="458"/>
    <col min="6431" max="6431" width="11" style="458" customWidth="1"/>
    <col min="6432" max="6433" width="11.28515625" style="458" customWidth="1"/>
    <col min="6434" max="6434" width="11.5703125" style="458" customWidth="1"/>
    <col min="6435" max="6435" width="11.28515625" style="458" customWidth="1"/>
    <col min="6436" max="6436" width="11.7109375" style="458" customWidth="1"/>
    <col min="6437" max="6437" width="10.7109375" style="458" customWidth="1"/>
    <col min="6438" max="6438" width="9.5703125" style="458" customWidth="1"/>
    <col min="6439" max="6439" width="10.28515625" style="458" customWidth="1"/>
    <col min="6440" max="6651" width="9.140625" style="458"/>
    <col min="6652" max="6652" width="2.140625" style="458" customWidth="1"/>
    <col min="6653" max="6655" width="9.140625" style="458"/>
    <col min="6656" max="6656" width="11.7109375" style="458" bestFit="1" customWidth="1"/>
    <col min="6657" max="6657" width="9.28515625" style="458" bestFit="1" customWidth="1"/>
    <col min="6658" max="6658" width="9.140625" style="458"/>
    <col min="6659" max="6659" width="9.28515625" style="458" bestFit="1" customWidth="1"/>
    <col min="6660" max="6660" width="9.140625" style="458"/>
    <col min="6661" max="6661" width="9.28515625" style="458" bestFit="1" customWidth="1"/>
    <col min="6662" max="6662" width="10" style="458" bestFit="1" customWidth="1"/>
    <col min="6663" max="6671" width="9.140625" style="458"/>
    <col min="6672" max="6672" width="12.42578125" style="458" customWidth="1"/>
    <col min="6673" max="6680" width="9.28515625" style="458" bestFit="1" customWidth="1"/>
    <col min="6681" max="6681" width="9.85546875" style="458" bestFit="1" customWidth="1"/>
    <col min="6682" max="6686" width="9.140625" style="458"/>
    <col min="6687" max="6687" width="11" style="458" customWidth="1"/>
    <col min="6688" max="6689" width="11.28515625" style="458" customWidth="1"/>
    <col min="6690" max="6690" width="11.5703125" style="458" customWidth="1"/>
    <col min="6691" max="6691" width="11.28515625" style="458" customWidth="1"/>
    <col min="6692" max="6692" width="11.7109375" style="458" customWidth="1"/>
    <col min="6693" max="6693" width="10.7109375" style="458" customWidth="1"/>
    <col min="6694" max="6694" width="9.5703125" style="458" customWidth="1"/>
    <col min="6695" max="6695" width="10.28515625" style="458" customWidth="1"/>
    <col min="6696" max="6907" width="9.140625" style="458"/>
    <col min="6908" max="6908" width="2.140625" style="458" customWidth="1"/>
    <col min="6909" max="6911" width="9.140625" style="458"/>
    <col min="6912" max="6912" width="11.7109375" style="458" bestFit="1" customWidth="1"/>
    <col min="6913" max="6913" width="9.28515625" style="458" bestFit="1" customWidth="1"/>
    <col min="6914" max="6914" width="9.140625" style="458"/>
    <col min="6915" max="6915" width="9.28515625" style="458" bestFit="1" customWidth="1"/>
    <col min="6916" max="6916" width="9.140625" style="458"/>
    <col min="6917" max="6917" width="9.28515625" style="458" bestFit="1" customWidth="1"/>
    <col min="6918" max="6918" width="10" style="458" bestFit="1" customWidth="1"/>
    <col min="6919" max="6927" width="9.140625" style="458"/>
    <col min="6928" max="6928" width="12.42578125" style="458" customWidth="1"/>
    <col min="6929" max="6936" width="9.28515625" style="458" bestFit="1" customWidth="1"/>
    <col min="6937" max="6937" width="9.85546875" style="458" bestFit="1" customWidth="1"/>
    <col min="6938" max="6942" width="9.140625" style="458"/>
    <col min="6943" max="6943" width="11" style="458" customWidth="1"/>
    <col min="6944" max="6945" width="11.28515625" style="458" customWidth="1"/>
    <col min="6946" max="6946" width="11.5703125" style="458" customWidth="1"/>
    <col min="6947" max="6947" width="11.28515625" style="458" customWidth="1"/>
    <col min="6948" max="6948" width="11.7109375" style="458" customWidth="1"/>
    <col min="6949" max="6949" width="10.7109375" style="458" customWidth="1"/>
    <col min="6950" max="6950" width="9.5703125" style="458" customWidth="1"/>
    <col min="6951" max="6951" width="10.28515625" style="458" customWidth="1"/>
    <col min="6952" max="7163" width="9.140625" style="458"/>
    <col min="7164" max="7164" width="2.140625" style="458" customWidth="1"/>
    <col min="7165" max="7167" width="9.140625" style="458"/>
    <col min="7168" max="7168" width="11.7109375" style="458" bestFit="1" customWidth="1"/>
    <col min="7169" max="7169" width="9.28515625" style="458" bestFit="1" customWidth="1"/>
    <col min="7170" max="7170" width="9.140625" style="458"/>
    <col min="7171" max="7171" width="9.28515625" style="458" bestFit="1" customWidth="1"/>
    <col min="7172" max="7172" width="9.140625" style="458"/>
    <col min="7173" max="7173" width="9.28515625" style="458" bestFit="1" customWidth="1"/>
    <col min="7174" max="7174" width="10" style="458" bestFit="1" customWidth="1"/>
    <col min="7175" max="7183" width="9.140625" style="458"/>
    <col min="7184" max="7184" width="12.42578125" style="458" customWidth="1"/>
    <col min="7185" max="7192" width="9.28515625" style="458" bestFit="1" customWidth="1"/>
    <col min="7193" max="7193" width="9.85546875" style="458" bestFit="1" customWidth="1"/>
    <col min="7194" max="7198" width="9.140625" style="458"/>
    <col min="7199" max="7199" width="11" style="458" customWidth="1"/>
    <col min="7200" max="7201" width="11.28515625" style="458" customWidth="1"/>
    <col min="7202" max="7202" width="11.5703125" style="458" customWidth="1"/>
    <col min="7203" max="7203" width="11.28515625" style="458" customWidth="1"/>
    <col min="7204" max="7204" width="11.7109375" style="458" customWidth="1"/>
    <col min="7205" max="7205" width="10.7109375" style="458" customWidth="1"/>
    <col min="7206" max="7206" width="9.5703125" style="458" customWidth="1"/>
    <col min="7207" max="7207" width="10.28515625" style="458" customWidth="1"/>
    <col min="7208" max="7419" width="9.140625" style="458"/>
    <col min="7420" max="7420" width="2.140625" style="458" customWidth="1"/>
    <col min="7421" max="7423" width="9.140625" style="458"/>
    <col min="7424" max="7424" width="11.7109375" style="458" bestFit="1" customWidth="1"/>
    <col min="7425" max="7425" width="9.28515625" style="458" bestFit="1" customWidth="1"/>
    <col min="7426" max="7426" width="9.140625" style="458"/>
    <col min="7427" max="7427" width="9.28515625" style="458" bestFit="1" customWidth="1"/>
    <col min="7428" max="7428" width="9.140625" style="458"/>
    <col min="7429" max="7429" width="9.28515625" style="458" bestFit="1" customWidth="1"/>
    <col min="7430" max="7430" width="10" style="458" bestFit="1" customWidth="1"/>
    <col min="7431" max="7439" width="9.140625" style="458"/>
    <col min="7440" max="7440" width="12.42578125" style="458" customWidth="1"/>
    <col min="7441" max="7448" width="9.28515625" style="458" bestFit="1" customWidth="1"/>
    <col min="7449" max="7449" width="9.85546875" style="458" bestFit="1" customWidth="1"/>
    <col min="7450" max="7454" width="9.140625" style="458"/>
    <col min="7455" max="7455" width="11" style="458" customWidth="1"/>
    <col min="7456" max="7457" width="11.28515625" style="458" customWidth="1"/>
    <col min="7458" max="7458" width="11.5703125" style="458" customWidth="1"/>
    <col min="7459" max="7459" width="11.28515625" style="458" customWidth="1"/>
    <col min="7460" max="7460" width="11.7109375" style="458" customWidth="1"/>
    <col min="7461" max="7461" width="10.7109375" style="458" customWidth="1"/>
    <col min="7462" max="7462" width="9.5703125" style="458" customWidth="1"/>
    <col min="7463" max="7463" width="10.28515625" style="458" customWidth="1"/>
    <col min="7464" max="7675" width="9.140625" style="458"/>
    <col min="7676" max="7676" width="2.140625" style="458" customWidth="1"/>
    <col min="7677" max="7679" width="9.140625" style="458"/>
    <col min="7680" max="7680" width="11.7109375" style="458" bestFit="1" customWidth="1"/>
    <col min="7681" max="7681" width="9.28515625" style="458" bestFit="1" customWidth="1"/>
    <col min="7682" max="7682" width="9.140625" style="458"/>
    <col min="7683" max="7683" width="9.28515625" style="458" bestFit="1" customWidth="1"/>
    <col min="7684" max="7684" width="9.140625" style="458"/>
    <col min="7685" max="7685" width="9.28515625" style="458" bestFit="1" customWidth="1"/>
    <col min="7686" max="7686" width="10" style="458" bestFit="1" customWidth="1"/>
    <col min="7687" max="7695" width="9.140625" style="458"/>
    <col min="7696" max="7696" width="12.42578125" style="458" customWidth="1"/>
    <col min="7697" max="7704" width="9.28515625" style="458" bestFit="1" customWidth="1"/>
    <col min="7705" max="7705" width="9.85546875" style="458" bestFit="1" customWidth="1"/>
    <col min="7706" max="7710" width="9.140625" style="458"/>
    <col min="7711" max="7711" width="11" style="458" customWidth="1"/>
    <col min="7712" max="7713" width="11.28515625" style="458" customWidth="1"/>
    <col min="7714" max="7714" width="11.5703125" style="458" customWidth="1"/>
    <col min="7715" max="7715" width="11.28515625" style="458" customWidth="1"/>
    <col min="7716" max="7716" width="11.7109375" style="458" customWidth="1"/>
    <col min="7717" max="7717" width="10.7109375" style="458" customWidth="1"/>
    <col min="7718" max="7718" width="9.5703125" style="458" customWidth="1"/>
    <col min="7719" max="7719" width="10.28515625" style="458" customWidth="1"/>
    <col min="7720" max="7931" width="9.140625" style="458"/>
    <col min="7932" max="7932" width="2.140625" style="458" customWidth="1"/>
    <col min="7933" max="7935" width="9.140625" style="458"/>
    <col min="7936" max="7936" width="11.7109375" style="458" bestFit="1" customWidth="1"/>
    <col min="7937" max="7937" width="9.28515625" style="458" bestFit="1" customWidth="1"/>
    <col min="7938" max="7938" width="9.140625" style="458"/>
    <col min="7939" max="7939" width="9.28515625" style="458" bestFit="1" customWidth="1"/>
    <col min="7940" max="7940" width="9.140625" style="458"/>
    <col min="7941" max="7941" width="9.28515625" style="458" bestFit="1" customWidth="1"/>
    <col min="7942" max="7942" width="10" style="458" bestFit="1" customWidth="1"/>
    <col min="7943" max="7951" width="9.140625" style="458"/>
    <col min="7952" max="7952" width="12.42578125" style="458" customWidth="1"/>
    <col min="7953" max="7960" width="9.28515625" style="458" bestFit="1" customWidth="1"/>
    <col min="7961" max="7961" width="9.85546875" style="458" bestFit="1" customWidth="1"/>
    <col min="7962" max="7966" width="9.140625" style="458"/>
    <col min="7967" max="7967" width="11" style="458" customWidth="1"/>
    <col min="7968" max="7969" width="11.28515625" style="458" customWidth="1"/>
    <col min="7970" max="7970" width="11.5703125" style="458" customWidth="1"/>
    <col min="7971" max="7971" width="11.28515625" style="458" customWidth="1"/>
    <col min="7972" max="7972" width="11.7109375" style="458" customWidth="1"/>
    <col min="7973" max="7973" width="10.7109375" style="458" customWidth="1"/>
    <col min="7974" max="7974" width="9.5703125" style="458" customWidth="1"/>
    <col min="7975" max="7975" width="10.28515625" style="458" customWidth="1"/>
    <col min="7976" max="8187" width="9.140625" style="458"/>
    <col min="8188" max="8188" width="2.140625" style="458" customWidth="1"/>
    <col min="8189" max="8191" width="9.140625" style="458"/>
    <col min="8192" max="8192" width="11.7109375" style="458" bestFit="1" customWidth="1"/>
    <col min="8193" max="8193" width="9.28515625" style="458" bestFit="1" customWidth="1"/>
    <col min="8194" max="8194" width="9.140625" style="458"/>
    <col min="8195" max="8195" width="9.28515625" style="458" bestFit="1" customWidth="1"/>
    <col min="8196" max="8196" width="9.140625" style="458"/>
    <col min="8197" max="8197" width="9.28515625" style="458" bestFit="1" customWidth="1"/>
    <col min="8198" max="8198" width="10" style="458" bestFit="1" customWidth="1"/>
    <col min="8199" max="8207" width="9.140625" style="458"/>
    <col min="8208" max="8208" width="12.42578125" style="458" customWidth="1"/>
    <col min="8209" max="8216" width="9.28515625" style="458" bestFit="1" customWidth="1"/>
    <col min="8217" max="8217" width="9.85546875" style="458" bestFit="1" customWidth="1"/>
    <col min="8218" max="8222" width="9.140625" style="458"/>
    <col min="8223" max="8223" width="11" style="458" customWidth="1"/>
    <col min="8224" max="8225" width="11.28515625" style="458" customWidth="1"/>
    <col min="8226" max="8226" width="11.5703125" style="458" customWidth="1"/>
    <col min="8227" max="8227" width="11.28515625" style="458" customWidth="1"/>
    <col min="8228" max="8228" width="11.7109375" style="458" customWidth="1"/>
    <col min="8229" max="8229" width="10.7109375" style="458" customWidth="1"/>
    <col min="8230" max="8230" width="9.5703125" style="458" customWidth="1"/>
    <col min="8231" max="8231" width="10.28515625" style="458" customWidth="1"/>
    <col min="8232" max="8443" width="9.140625" style="458"/>
    <col min="8444" max="8444" width="2.140625" style="458" customWidth="1"/>
    <col min="8445" max="8447" width="9.140625" style="458"/>
    <col min="8448" max="8448" width="11.7109375" style="458" bestFit="1" customWidth="1"/>
    <col min="8449" max="8449" width="9.28515625" style="458" bestFit="1" customWidth="1"/>
    <col min="8450" max="8450" width="9.140625" style="458"/>
    <col min="8451" max="8451" width="9.28515625" style="458" bestFit="1" customWidth="1"/>
    <col min="8452" max="8452" width="9.140625" style="458"/>
    <col min="8453" max="8453" width="9.28515625" style="458" bestFit="1" customWidth="1"/>
    <col min="8454" max="8454" width="10" style="458" bestFit="1" customWidth="1"/>
    <col min="8455" max="8463" width="9.140625" style="458"/>
    <col min="8464" max="8464" width="12.42578125" style="458" customWidth="1"/>
    <col min="8465" max="8472" width="9.28515625" style="458" bestFit="1" customWidth="1"/>
    <col min="8473" max="8473" width="9.85546875" style="458" bestFit="1" customWidth="1"/>
    <col min="8474" max="8478" width="9.140625" style="458"/>
    <col min="8479" max="8479" width="11" style="458" customWidth="1"/>
    <col min="8480" max="8481" width="11.28515625" style="458" customWidth="1"/>
    <col min="8482" max="8482" width="11.5703125" style="458" customWidth="1"/>
    <col min="8483" max="8483" width="11.28515625" style="458" customWidth="1"/>
    <col min="8484" max="8484" width="11.7109375" style="458" customWidth="1"/>
    <col min="8485" max="8485" width="10.7109375" style="458" customWidth="1"/>
    <col min="8486" max="8486" width="9.5703125" style="458" customWidth="1"/>
    <col min="8487" max="8487" width="10.28515625" style="458" customWidth="1"/>
    <col min="8488" max="8699" width="9.140625" style="458"/>
    <col min="8700" max="8700" width="2.140625" style="458" customWidth="1"/>
    <col min="8701" max="8703" width="9.140625" style="458"/>
    <col min="8704" max="8704" width="11.7109375" style="458" bestFit="1" customWidth="1"/>
    <col min="8705" max="8705" width="9.28515625" style="458" bestFit="1" customWidth="1"/>
    <col min="8706" max="8706" width="9.140625" style="458"/>
    <col min="8707" max="8707" width="9.28515625" style="458" bestFit="1" customWidth="1"/>
    <col min="8708" max="8708" width="9.140625" style="458"/>
    <col min="8709" max="8709" width="9.28515625" style="458" bestFit="1" customWidth="1"/>
    <col min="8710" max="8710" width="10" style="458" bestFit="1" customWidth="1"/>
    <col min="8711" max="8719" width="9.140625" style="458"/>
    <col min="8720" max="8720" width="12.42578125" style="458" customWidth="1"/>
    <col min="8721" max="8728" width="9.28515625" style="458" bestFit="1" customWidth="1"/>
    <col min="8729" max="8729" width="9.85546875" style="458" bestFit="1" customWidth="1"/>
    <col min="8730" max="8734" width="9.140625" style="458"/>
    <col min="8735" max="8735" width="11" style="458" customWidth="1"/>
    <col min="8736" max="8737" width="11.28515625" style="458" customWidth="1"/>
    <col min="8738" max="8738" width="11.5703125" style="458" customWidth="1"/>
    <col min="8739" max="8739" width="11.28515625" style="458" customWidth="1"/>
    <col min="8740" max="8740" width="11.7109375" style="458" customWidth="1"/>
    <col min="8741" max="8741" width="10.7109375" style="458" customWidth="1"/>
    <col min="8742" max="8742" width="9.5703125" style="458" customWidth="1"/>
    <col min="8743" max="8743" width="10.28515625" style="458" customWidth="1"/>
    <col min="8744" max="8955" width="9.140625" style="458"/>
    <col min="8956" max="8956" width="2.140625" style="458" customWidth="1"/>
    <col min="8957" max="8959" width="9.140625" style="458"/>
    <col min="8960" max="8960" width="11.7109375" style="458" bestFit="1" customWidth="1"/>
    <col min="8961" max="8961" width="9.28515625" style="458" bestFit="1" customWidth="1"/>
    <col min="8962" max="8962" width="9.140625" style="458"/>
    <col min="8963" max="8963" width="9.28515625" style="458" bestFit="1" customWidth="1"/>
    <col min="8964" max="8964" width="9.140625" style="458"/>
    <col min="8965" max="8965" width="9.28515625" style="458" bestFit="1" customWidth="1"/>
    <col min="8966" max="8966" width="10" style="458" bestFit="1" customWidth="1"/>
    <col min="8967" max="8975" width="9.140625" style="458"/>
    <col min="8976" max="8976" width="12.42578125" style="458" customWidth="1"/>
    <col min="8977" max="8984" width="9.28515625" style="458" bestFit="1" customWidth="1"/>
    <col min="8985" max="8985" width="9.85546875" style="458" bestFit="1" customWidth="1"/>
    <col min="8986" max="8990" width="9.140625" style="458"/>
    <col min="8991" max="8991" width="11" style="458" customWidth="1"/>
    <col min="8992" max="8993" width="11.28515625" style="458" customWidth="1"/>
    <col min="8994" max="8994" width="11.5703125" style="458" customWidth="1"/>
    <col min="8995" max="8995" width="11.28515625" style="458" customWidth="1"/>
    <col min="8996" max="8996" width="11.7109375" style="458" customWidth="1"/>
    <col min="8997" max="8997" width="10.7109375" style="458" customWidth="1"/>
    <col min="8998" max="8998" width="9.5703125" style="458" customWidth="1"/>
    <col min="8999" max="8999" width="10.28515625" style="458" customWidth="1"/>
    <col min="9000" max="9211" width="9.140625" style="458"/>
    <col min="9212" max="9212" width="2.140625" style="458" customWidth="1"/>
    <col min="9213" max="9215" width="9.140625" style="458"/>
    <col min="9216" max="9216" width="11.7109375" style="458" bestFit="1" customWidth="1"/>
    <col min="9217" max="9217" width="9.28515625" style="458" bestFit="1" customWidth="1"/>
    <col min="9218" max="9218" width="9.140625" style="458"/>
    <col min="9219" max="9219" width="9.28515625" style="458" bestFit="1" customWidth="1"/>
    <col min="9220" max="9220" width="9.140625" style="458"/>
    <col min="9221" max="9221" width="9.28515625" style="458" bestFit="1" customWidth="1"/>
    <col min="9222" max="9222" width="10" style="458" bestFit="1" customWidth="1"/>
    <col min="9223" max="9231" width="9.140625" style="458"/>
    <col min="9232" max="9232" width="12.42578125" style="458" customWidth="1"/>
    <col min="9233" max="9240" width="9.28515625" style="458" bestFit="1" customWidth="1"/>
    <col min="9241" max="9241" width="9.85546875" style="458" bestFit="1" customWidth="1"/>
    <col min="9242" max="9246" width="9.140625" style="458"/>
    <col min="9247" max="9247" width="11" style="458" customWidth="1"/>
    <col min="9248" max="9249" width="11.28515625" style="458" customWidth="1"/>
    <col min="9250" max="9250" width="11.5703125" style="458" customWidth="1"/>
    <col min="9251" max="9251" width="11.28515625" style="458" customWidth="1"/>
    <col min="9252" max="9252" width="11.7109375" style="458" customWidth="1"/>
    <col min="9253" max="9253" width="10.7109375" style="458" customWidth="1"/>
    <col min="9254" max="9254" width="9.5703125" style="458" customWidth="1"/>
    <col min="9255" max="9255" width="10.28515625" style="458" customWidth="1"/>
    <col min="9256" max="9467" width="9.140625" style="458"/>
    <col min="9468" max="9468" width="2.140625" style="458" customWidth="1"/>
    <col min="9469" max="9471" width="9.140625" style="458"/>
    <col min="9472" max="9472" width="11.7109375" style="458" bestFit="1" customWidth="1"/>
    <col min="9473" max="9473" width="9.28515625" style="458" bestFit="1" customWidth="1"/>
    <col min="9474" max="9474" width="9.140625" style="458"/>
    <col min="9475" max="9475" width="9.28515625" style="458" bestFit="1" customWidth="1"/>
    <col min="9476" max="9476" width="9.140625" style="458"/>
    <col min="9477" max="9477" width="9.28515625" style="458" bestFit="1" customWidth="1"/>
    <col min="9478" max="9478" width="10" style="458" bestFit="1" customWidth="1"/>
    <col min="9479" max="9487" width="9.140625" style="458"/>
    <col min="9488" max="9488" width="12.42578125" style="458" customWidth="1"/>
    <col min="9489" max="9496" width="9.28515625" style="458" bestFit="1" customWidth="1"/>
    <col min="9497" max="9497" width="9.85546875" style="458" bestFit="1" customWidth="1"/>
    <col min="9498" max="9502" width="9.140625" style="458"/>
    <col min="9503" max="9503" width="11" style="458" customWidth="1"/>
    <col min="9504" max="9505" width="11.28515625" style="458" customWidth="1"/>
    <col min="9506" max="9506" width="11.5703125" style="458" customWidth="1"/>
    <col min="9507" max="9507" width="11.28515625" style="458" customWidth="1"/>
    <col min="9508" max="9508" width="11.7109375" style="458" customWidth="1"/>
    <col min="9509" max="9509" width="10.7109375" style="458" customWidth="1"/>
    <col min="9510" max="9510" width="9.5703125" style="458" customWidth="1"/>
    <col min="9511" max="9511" width="10.28515625" style="458" customWidth="1"/>
    <col min="9512" max="9723" width="9.140625" style="458"/>
    <col min="9724" max="9724" width="2.140625" style="458" customWidth="1"/>
    <col min="9725" max="9727" width="9.140625" style="458"/>
    <col min="9728" max="9728" width="11.7109375" style="458" bestFit="1" customWidth="1"/>
    <col min="9729" max="9729" width="9.28515625" style="458" bestFit="1" customWidth="1"/>
    <col min="9730" max="9730" width="9.140625" style="458"/>
    <col min="9731" max="9731" width="9.28515625" style="458" bestFit="1" customWidth="1"/>
    <col min="9732" max="9732" width="9.140625" style="458"/>
    <col min="9733" max="9733" width="9.28515625" style="458" bestFit="1" customWidth="1"/>
    <col min="9734" max="9734" width="10" style="458" bestFit="1" customWidth="1"/>
    <col min="9735" max="9743" width="9.140625" style="458"/>
    <col min="9744" max="9744" width="12.42578125" style="458" customWidth="1"/>
    <col min="9745" max="9752" width="9.28515625" style="458" bestFit="1" customWidth="1"/>
    <col min="9753" max="9753" width="9.85546875" style="458" bestFit="1" customWidth="1"/>
    <col min="9754" max="9758" width="9.140625" style="458"/>
    <col min="9759" max="9759" width="11" style="458" customWidth="1"/>
    <col min="9760" max="9761" width="11.28515625" style="458" customWidth="1"/>
    <col min="9762" max="9762" width="11.5703125" style="458" customWidth="1"/>
    <col min="9763" max="9763" width="11.28515625" style="458" customWidth="1"/>
    <col min="9764" max="9764" width="11.7109375" style="458" customWidth="1"/>
    <col min="9765" max="9765" width="10.7109375" style="458" customWidth="1"/>
    <col min="9766" max="9766" width="9.5703125" style="458" customWidth="1"/>
    <col min="9767" max="9767" width="10.28515625" style="458" customWidth="1"/>
    <col min="9768" max="9979" width="9.140625" style="458"/>
    <col min="9980" max="9980" width="2.140625" style="458" customWidth="1"/>
    <col min="9981" max="9983" width="9.140625" style="458"/>
    <col min="9984" max="9984" width="11.7109375" style="458" bestFit="1" customWidth="1"/>
    <col min="9985" max="9985" width="9.28515625" style="458" bestFit="1" customWidth="1"/>
    <col min="9986" max="9986" width="9.140625" style="458"/>
    <col min="9987" max="9987" width="9.28515625" style="458" bestFit="1" customWidth="1"/>
    <col min="9988" max="9988" width="9.140625" style="458"/>
    <col min="9989" max="9989" width="9.28515625" style="458" bestFit="1" customWidth="1"/>
    <col min="9990" max="9990" width="10" style="458" bestFit="1" customWidth="1"/>
    <col min="9991" max="9999" width="9.140625" style="458"/>
    <col min="10000" max="10000" width="12.42578125" style="458" customWidth="1"/>
    <col min="10001" max="10008" width="9.28515625" style="458" bestFit="1" customWidth="1"/>
    <col min="10009" max="10009" width="9.85546875" style="458" bestFit="1" customWidth="1"/>
    <col min="10010" max="10014" width="9.140625" style="458"/>
    <col min="10015" max="10015" width="11" style="458" customWidth="1"/>
    <col min="10016" max="10017" width="11.28515625" style="458" customWidth="1"/>
    <col min="10018" max="10018" width="11.5703125" style="458" customWidth="1"/>
    <col min="10019" max="10019" width="11.28515625" style="458" customWidth="1"/>
    <col min="10020" max="10020" width="11.7109375" style="458" customWidth="1"/>
    <col min="10021" max="10021" width="10.7109375" style="458" customWidth="1"/>
    <col min="10022" max="10022" width="9.5703125" style="458" customWidth="1"/>
    <col min="10023" max="10023" width="10.28515625" style="458" customWidth="1"/>
    <col min="10024" max="10235" width="9.140625" style="458"/>
    <col min="10236" max="10236" width="2.140625" style="458" customWidth="1"/>
    <col min="10237" max="10239" width="9.140625" style="458"/>
    <col min="10240" max="10240" width="11.7109375" style="458" bestFit="1" customWidth="1"/>
    <col min="10241" max="10241" width="9.28515625" style="458" bestFit="1" customWidth="1"/>
    <col min="10242" max="10242" width="9.140625" style="458"/>
    <col min="10243" max="10243" width="9.28515625" style="458" bestFit="1" customWidth="1"/>
    <col min="10244" max="10244" width="9.140625" style="458"/>
    <col min="10245" max="10245" width="9.28515625" style="458" bestFit="1" customWidth="1"/>
    <col min="10246" max="10246" width="10" style="458" bestFit="1" customWidth="1"/>
    <col min="10247" max="10255" width="9.140625" style="458"/>
    <col min="10256" max="10256" width="12.42578125" style="458" customWidth="1"/>
    <col min="10257" max="10264" width="9.28515625" style="458" bestFit="1" customWidth="1"/>
    <col min="10265" max="10265" width="9.85546875" style="458" bestFit="1" customWidth="1"/>
    <col min="10266" max="10270" width="9.140625" style="458"/>
    <col min="10271" max="10271" width="11" style="458" customWidth="1"/>
    <col min="10272" max="10273" width="11.28515625" style="458" customWidth="1"/>
    <col min="10274" max="10274" width="11.5703125" style="458" customWidth="1"/>
    <col min="10275" max="10275" width="11.28515625" style="458" customWidth="1"/>
    <col min="10276" max="10276" width="11.7109375" style="458" customWidth="1"/>
    <col min="10277" max="10277" width="10.7109375" style="458" customWidth="1"/>
    <col min="10278" max="10278" width="9.5703125" style="458" customWidth="1"/>
    <col min="10279" max="10279" width="10.28515625" style="458" customWidth="1"/>
    <col min="10280" max="10491" width="9.140625" style="458"/>
    <col min="10492" max="10492" width="2.140625" style="458" customWidth="1"/>
    <col min="10493" max="10495" width="9.140625" style="458"/>
    <col min="10496" max="10496" width="11.7109375" style="458" bestFit="1" customWidth="1"/>
    <col min="10497" max="10497" width="9.28515625" style="458" bestFit="1" customWidth="1"/>
    <col min="10498" max="10498" width="9.140625" style="458"/>
    <col min="10499" max="10499" width="9.28515625" style="458" bestFit="1" customWidth="1"/>
    <col min="10500" max="10500" width="9.140625" style="458"/>
    <col min="10501" max="10501" width="9.28515625" style="458" bestFit="1" customWidth="1"/>
    <col min="10502" max="10502" width="10" style="458" bestFit="1" customWidth="1"/>
    <col min="10503" max="10511" width="9.140625" style="458"/>
    <col min="10512" max="10512" width="12.42578125" style="458" customWidth="1"/>
    <col min="10513" max="10520" width="9.28515625" style="458" bestFit="1" customWidth="1"/>
    <col min="10521" max="10521" width="9.85546875" style="458" bestFit="1" customWidth="1"/>
    <col min="10522" max="10526" width="9.140625" style="458"/>
    <col min="10527" max="10527" width="11" style="458" customWidth="1"/>
    <col min="10528" max="10529" width="11.28515625" style="458" customWidth="1"/>
    <col min="10530" max="10530" width="11.5703125" style="458" customWidth="1"/>
    <col min="10531" max="10531" width="11.28515625" style="458" customWidth="1"/>
    <col min="10532" max="10532" width="11.7109375" style="458" customWidth="1"/>
    <col min="10533" max="10533" width="10.7109375" style="458" customWidth="1"/>
    <col min="10534" max="10534" width="9.5703125" style="458" customWidth="1"/>
    <col min="10535" max="10535" width="10.28515625" style="458" customWidth="1"/>
    <col min="10536" max="10747" width="9.140625" style="458"/>
    <col min="10748" max="10748" width="2.140625" style="458" customWidth="1"/>
    <col min="10749" max="10751" width="9.140625" style="458"/>
    <col min="10752" max="10752" width="11.7109375" style="458" bestFit="1" customWidth="1"/>
    <col min="10753" max="10753" width="9.28515625" style="458" bestFit="1" customWidth="1"/>
    <col min="10754" max="10754" width="9.140625" style="458"/>
    <col min="10755" max="10755" width="9.28515625" style="458" bestFit="1" customWidth="1"/>
    <col min="10756" max="10756" width="9.140625" style="458"/>
    <col min="10757" max="10757" width="9.28515625" style="458" bestFit="1" customWidth="1"/>
    <col min="10758" max="10758" width="10" style="458" bestFit="1" customWidth="1"/>
    <col min="10759" max="10767" width="9.140625" style="458"/>
    <col min="10768" max="10768" width="12.42578125" style="458" customWidth="1"/>
    <col min="10769" max="10776" width="9.28515625" style="458" bestFit="1" customWidth="1"/>
    <col min="10777" max="10777" width="9.85546875" style="458" bestFit="1" customWidth="1"/>
    <col min="10778" max="10782" width="9.140625" style="458"/>
    <col min="10783" max="10783" width="11" style="458" customWidth="1"/>
    <col min="10784" max="10785" width="11.28515625" style="458" customWidth="1"/>
    <col min="10786" max="10786" width="11.5703125" style="458" customWidth="1"/>
    <col min="10787" max="10787" width="11.28515625" style="458" customWidth="1"/>
    <col min="10788" max="10788" width="11.7109375" style="458" customWidth="1"/>
    <col min="10789" max="10789" width="10.7109375" style="458" customWidth="1"/>
    <col min="10790" max="10790" width="9.5703125" style="458" customWidth="1"/>
    <col min="10791" max="10791" width="10.28515625" style="458" customWidth="1"/>
    <col min="10792" max="11003" width="9.140625" style="458"/>
    <col min="11004" max="11004" width="2.140625" style="458" customWidth="1"/>
    <col min="11005" max="11007" width="9.140625" style="458"/>
    <col min="11008" max="11008" width="11.7109375" style="458" bestFit="1" customWidth="1"/>
    <col min="11009" max="11009" width="9.28515625" style="458" bestFit="1" customWidth="1"/>
    <col min="11010" max="11010" width="9.140625" style="458"/>
    <col min="11011" max="11011" width="9.28515625" style="458" bestFit="1" customWidth="1"/>
    <col min="11012" max="11012" width="9.140625" style="458"/>
    <col min="11013" max="11013" width="9.28515625" style="458" bestFit="1" customWidth="1"/>
    <col min="11014" max="11014" width="10" style="458" bestFit="1" customWidth="1"/>
    <col min="11015" max="11023" width="9.140625" style="458"/>
    <col min="11024" max="11024" width="12.42578125" style="458" customWidth="1"/>
    <col min="11025" max="11032" width="9.28515625" style="458" bestFit="1" customWidth="1"/>
    <col min="11033" max="11033" width="9.85546875" style="458" bestFit="1" customWidth="1"/>
    <col min="11034" max="11038" width="9.140625" style="458"/>
    <col min="11039" max="11039" width="11" style="458" customWidth="1"/>
    <col min="11040" max="11041" width="11.28515625" style="458" customWidth="1"/>
    <col min="11042" max="11042" width="11.5703125" style="458" customWidth="1"/>
    <col min="11043" max="11043" width="11.28515625" style="458" customWidth="1"/>
    <col min="11044" max="11044" width="11.7109375" style="458" customWidth="1"/>
    <col min="11045" max="11045" width="10.7109375" style="458" customWidth="1"/>
    <col min="11046" max="11046" width="9.5703125" style="458" customWidth="1"/>
    <col min="11047" max="11047" width="10.28515625" style="458" customWidth="1"/>
    <col min="11048" max="11259" width="9.140625" style="458"/>
    <col min="11260" max="11260" width="2.140625" style="458" customWidth="1"/>
    <col min="11261" max="11263" width="9.140625" style="458"/>
    <col min="11264" max="11264" width="11.7109375" style="458" bestFit="1" customWidth="1"/>
    <col min="11265" max="11265" width="9.28515625" style="458" bestFit="1" customWidth="1"/>
    <col min="11266" max="11266" width="9.140625" style="458"/>
    <col min="11267" max="11267" width="9.28515625" style="458" bestFit="1" customWidth="1"/>
    <col min="11268" max="11268" width="9.140625" style="458"/>
    <col min="11269" max="11269" width="9.28515625" style="458" bestFit="1" customWidth="1"/>
    <col min="11270" max="11270" width="10" style="458" bestFit="1" customWidth="1"/>
    <col min="11271" max="11279" width="9.140625" style="458"/>
    <col min="11280" max="11280" width="12.42578125" style="458" customWidth="1"/>
    <col min="11281" max="11288" width="9.28515625" style="458" bestFit="1" customWidth="1"/>
    <col min="11289" max="11289" width="9.85546875" style="458" bestFit="1" customWidth="1"/>
    <col min="11290" max="11294" width="9.140625" style="458"/>
    <col min="11295" max="11295" width="11" style="458" customWidth="1"/>
    <col min="11296" max="11297" width="11.28515625" style="458" customWidth="1"/>
    <col min="11298" max="11298" width="11.5703125" style="458" customWidth="1"/>
    <col min="11299" max="11299" width="11.28515625" style="458" customWidth="1"/>
    <col min="11300" max="11300" width="11.7109375" style="458" customWidth="1"/>
    <col min="11301" max="11301" width="10.7109375" style="458" customWidth="1"/>
    <col min="11302" max="11302" width="9.5703125" style="458" customWidth="1"/>
    <col min="11303" max="11303" width="10.28515625" style="458" customWidth="1"/>
    <col min="11304" max="11515" width="9.140625" style="458"/>
    <col min="11516" max="11516" width="2.140625" style="458" customWidth="1"/>
    <col min="11517" max="11519" width="9.140625" style="458"/>
    <col min="11520" max="11520" width="11.7109375" style="458" bestFit="1" customWidth="1"/>
    <col min="11521" max="11521" width="9.28515625" style="458" bestFit="1" customWidth="1"/>
    <col min="11522" max="11522" width="9.140625" style="458"/>
    <col min="11523" max="11523" width="9.28515625" style="458" bestFit="1" customWidth="1"/>
    <col min="11524" max="11524" width="9.140625" style="458"/>
    <col min="11525" max="11525" width="9.28515625" style="458" bestFit="1" customWidth="1"/>
    <col min="11526" max="11526" width="10" style="458" bestFit="1" customWidth="1"/>
    <col min="11527" max="11535" width="9.140625" style="458"/>
    <col min="11536" max="11536" width="12.42578125" style="458" customWidth="1"/>
    <col min="11537" max="11544" width="9.28515625" style="458" bestFit="1" customWidth="1"/>
    <col min="11545" max="11545" width="9.85546875" style="458" bestFit="1" customWidth="1"/>
    <col min="11546" max="11550" width="9.140625" style="458"/>
    <col min="11551" max="11551" width="11" style="458" customWidth="1"/>
    <col min="11552" max="11553" width="11.28515625" style="458" customWidth="1"/>
    <col min="11554" max="11554" width="11.5703125" style="458" customWidth="1"/>
    <col min="11555" max="11555" width="11.28515625" style="458" customWidth="1"/>
    <col min="11556" max="11556" width="11.7109375" style="458" customWidth="1"/>
    <col min="11557" max="11557" width="10.7109375" style="458" customWidth="1"/>
    <col min="11558" max="11558" width="9.5703125" style="458" customWidth="1"/>
    <col min="11559" max="11559" width="10.28515625" style="458" customWidth="1"/>
    <col min="11560" max="11771" width="9.140625" style="458"/>
    <col min="11772" max="11772" width="2.140625" style="458" customWidth="1"/>
    <col min="11773" max="11775" width="9.140625" style="458"/>
    <col min="11776" max="11776" width="11.7109375" style="458" bestFit="1" customWidth="1"/>
    <col min="11777" max="11777" width="9.28515625" style="458" bestFit="1" customWidth="1"/>
    <col min="11778" max="11778" width="9.140625" style="458"/>
    <col min="11779" max="11779" width="9.28515625" style="458" bestFit="1" customWidth="1"/>
    <col min="11780" max="11780" width="9.140625" style="458"/>
    <col min="11781" max="11781" width="9.28515625" style="458" bestFit="1" customWidth="1"/>
    <col min="11782" max="11782" width="10" style="458" bestFit="1" customWidth="1"/>
    <col min="11783" max="11791" width="9.140625" style="458"/>
    <col min="11792" max="11792" width="12.42578125" style="458" customWidth="1"/>
    <col min="11793" max="11800" width="9.28515625" style="458" bestFit="1" customWidth="1"/>
    <col min="11801" max="11801" width="9.85546875" style="458" bestFit="1" customWidth="1"/>
    <col min="11802" max="11806" width="9.140625" style="458"/>
    <col min="11807" max="11807" width="11" style="458" customWidth="1"/>
    <col min="11808" max="11809" width="11.28515625" style="458" customWidth="1"/>
    <col min="11810" max="11810" width="11.5703125" style="458" customWidth="1"/>
    <col min="11811" max="11811" width="11.28515625" style="458" customWidth="1"/>
    <col min="11812" max="11812" width="11.7109375" style="458" customWidth="1"/>
    <col min="11813" max="11813" width="10.7109375" style="458" customWidth="1"/>
    <col min="11814" max="11814" width="9.5703125" style="458" customWidth="1"/>
    <col min="11815" max="11815" width="10.28515625" style="458" customWidth="1"/>
    <col min="11816" max="12027" width="9.140625" style="458"/>
    <col min="12028" max="12028" width="2.140625" style="458" customWidth="1"/>
    <col min="12029" max="12031" width="9.140625" style="458"/>
    <col min="12032" max="12032" width="11.7109375" style="458" bestFit="1" customWidth="1"/>
    <col min="12033" max="12033" width="9.28515625" style="458" bestFit="1" customWidth="1"/>
    <col min="12034" max="12034" width="9.140625" style="458"/>
    <col min="12035" max="12035" width="9.28515625" style="458" bestFit="1" customWidth="1"/>
    <col min="12036" max="12036" width="9.140625" style="458"/>
    <col min="12037" max="12037" width="9.28515625" style="458" bestFit="1" customWidth="1"/>
    <col min="12038" max="12038" width="10" style="458" bestFit="1" customWidth="1"/>
    <col min="12039" max="12047" width="9.140625" style="458"/>
    <col min="12048" max="12048" width="12.42578125" style="458" customWidth="1"/>
    <col min="12049" max="12056" width="9.28515625" style="458" bestFit="1" customWidth="1"/>
    <col min="12057" max="12057" width="9.85546875" style="458" bestFit="1" customWidth="1"/>
    <col min="12058" max="12062" width="9.140625" style="458"/>
    <col min="12063" max="12063" width="11" style="458" customWidth="1"/>
    <col min="12064" max="12065" width="11.28515625" style="458" customWidth="1"/>
    <col min="12066" max="12066" width="11.5703125" style="458" customWidth="1"/>
    <col min="12067" max="12067" width="11.28515625" style="458" customWidth="1"/>
    <col min="12068" max="12068" width="11.7109375" style="458" customWidth="1"/>
    <col min="12069" max="12069" width="10.7109375" style="458" customWidth="1"/>
    <col min="12070" max="12070" width="9.5703125" style="458" customWidth="1"/>
    <col min="12071" max="12071" width="10.28515625" style="458" customWidth="1"/>
    <col min="12072" max="12283" width="9.140625" style="458"/>
    <col min="12284" max="12284" width="2.140625" style="458" customWidth="1"/>
    <col min="12285" max="12287" width="9.140625" style="458"/>
    <col min="12288" max="12288" width="11.7109375" style="458" bestFit="1" customWidth="1"/>
    <col min="12289" max="12289" width="9.28515625" style="458" bestFit="1" customWidth="1"/>
    <col min="12290" max="12290" width="9.140625" style="458"/>
    <col min="12291" max="12291" width="9.28515625" style="458" bestFit="1" customWidth="1"/>
    <col min="12292" max="12292" width="9.140625" style="458"/>
    <col min="12293" max="12293" width="9.28515625" style="458" bestFit="1" customWidth="1"/>
    <col min="12294" max="12294" width="10" style="458" bestFit="1" customWidth="1"/>
    <col min="12295" max="12303" width="9.140625" style="458"/>
    <col min="12304" max="12304" width="12.42578125" style="458" customWidth="1"/>
    <col min="12305" max="12312" width="9.28515625" style="458" bestFit="1" customWidth="1"/>
    <col min="12313" max="12313" width="9.85546875" style="458" bestFit="1" customWidth="1"/>
    <col min="12314" max="12318" width="9.140625" style="458"/>
    <col min="12319" max="12319" width="11" style="458" customWidth="1"/>
    <col min="12320" max="12321" width="11.28515625" style="458" customWidth="1"/>
    <col min="12322" max="12322" width="11.5703125" style="458" customWidth="1"/>
    <col min="12323" max="12323" width="11.28515625" style="458" customWidth="1"/>
    <col min="12324" max="12324" width="11.7109375" style="458" customWidth="1"/>
    <col min="12325" max="12325" width="10.7109375" style="458" customWidth="1"/>
    <col min="12326" max="12326" width="9.5703125" style="458" customWidth="1"/>
    <col min="12327" max="12327" width="10.28515625" style="458" customWidth="1"/>
    <col min="12328" max="12539" width="9.140625" style="458"/>
    <col min="12540" max="12540" width="2.140625" style="458" customWidth="1"/>
    <col min="12541" max="12543" width="9.140625" style="458"/>
    <col min="12544" max="12544" width="11.7109375" style="458" bestFit="1" customWidth="1"/>
    <col min="12545" max="12545" width="9.28515625" style="458" bestFit="1" customWidth="1"/>
    <col min="12546" max="12546" width="9.140625" style="458"/>
    <col min="12547" max="12547" width="9.28515625" style="458" bestFit="1" customWidth="1"/>
    <col min="12548" max="12548" width="9.140625" style="458"/>
    <col min="12549" max="12549" width="9.28515625" style="458" bestFit="1" customWidth="1"/>
    <col min="12550" max="12550" width="10" style="458" bestFit="1" customWidth="1"/>
    <col min="12551" max="12559" width="9.140625" style="458"/>
    <col min="12560" max="12560" width="12.42578125" style="458" customWidth="1"/>
    <col min="12561" max="12568" width="9.28515625" style="458" bestFit="1" customWidth="1"/>
    <col min="12569" max="12569" width="9.85546875" style="458" bestFit="1" customWidth="1"/>
    <col min="12570" max="12574" width="9.140625" style="458"/>
    <col min="12575" max="12575" width="11" style="458" customWidth="1"/>
    <col min="12576" max="12577" width="11.28515625" style="458" customWidth="1"/>
    <col min="12578" max="12578" width="11.5703125" style="458" customWidth="1"/>
    <col min="12579" max="12579" width="11.28515625" style="458" customWidth="1"/>
    <col min="12580" max="12580" width="11.7109375" style="458" customWidth="1"/>
    <col min="12581" max="12581" width="10.7109375" style="458" customWidth="1"/>
    <col min="12582" max="12582" width="9.5703125" style="458" customWidth="1"/>
    <col min="12583" max="12583" width="10.28515625" style="458" customWidth="1"/>
    <col min="12584" max="12795" width="9.140625" style="458"/>
    <col min="12796" max="12796" width="2.140625" style="458" customWidth="1"/>
    <col min="12797" max="12799" width="9.140625" style="458"/>
    <col min="12800" max="12800" width="11.7109375" style="458" bestFit="1" customWidth="1"/>
    <col min="12801" max="12801" width="9.28515625" style="458" bestFit="1" customWidth="1"/>
    <col min="12802" max="12802" width="9.140625" style="458"/>
    <col min="12803" max="12803" width="9.28515625" style="458" bestFit="1" customWidth="1"/>
    <col min="12804" max="12804" width="9.140625" style="458"/>
    <col min="12805" max="12805" width="9.28515625" style="458" bestFit="1" customWidth="1"/>
    <col min="12806" max="12806" width="10" style="458" bestFit="1" customWidth="1"/>
    <col min="12807" max="12815" width="9.140625" style="458"/>
    <col min="12816" max="12816" width="12.42578125" style="458" customWidth="1"/>
    <col min="12817" max="12824" width="9.28515625" style="458" bestFit="1" customWidth="1"/>
    <col min="12825" max="12825" width="9.85546875" style="458" bestFit="1" customWidth="1"/>
    <col min="12826" max="12830" width="9.140625" style="458"/>
    <col min="12831" max="12831" width="11" style="458" customWidth="1"/>
    <col min="12832" max="12833" width="11.28515625" style="458" customWidth="1"/>
    <col min="12834" max="12834" width="11.5703125" style="458" customWidth="1"/>
    <col min="12835" max="12835" width="11.28515625" style="458" customWidth="1"/>
    <col min="12836" max="12836" width="11.7109375" style="458" customWidth="1"/>
    <col min="12837" max="12837" width="10.7109375" style="458" customWidth="1"/>
    <col min="12838" max="12838" width="9.5703125" style="458" customWidth="1"/>
    <col min="12839" max="12839" width="10.28515625" style="458" customWidth="1"/>
    <col min="12840" max="13051" width="9.140625" style="458"/>
    <col min="13052" max="13052" width="2.140625" style="458" customWidth="1"/>
    <col min="13053" max="13055" width="9.140625" style="458"/>
    <col min="13056" max="13056" width="11.7109375" style="458" bestFit="1" customWidth="1"/>
    <col min="13057" max="13057" width="9.28515625" style="458" bestFit="1" customWidth="1"/>
    <col min="13058" max="13058" width="9.140625" style="458"/>
    <col min="13059" max="13059" width="9.28515625" style="458" bestFit="1" customWidth="1"/>
    <col min="13060" max="13060" width="9.140625" style="458"/>
    <col min="13061" max="13061" width="9.28515625" style="458" bestFit="1" customWidth="1"/>
    <col min="13062" max="13062" width="10" style="458" bestFit="1" customWidth="1"/>
    <col min="13063" max="13071" width="9.140625" style="458"/>
    <col min="13072" max="13072" width="12.42578125" style="458" customWidth="1"/>
    <col min="13073" max="13080" width="9.28515625" style="458" bestFit="1" customWidth="1"/>
    <col min="13081" max="13081" width="9.85546875" style="458" bestFit="1" customWidth="1"/>
    <col min="13082" max="13086" width="9.140625" style="458"/>
    <col min="13087" max="13087" width="11" style="458" customWidth="1"/>
    <col min="13088" max="13089" width="11.28515625" style="458" customWidth="1"/>
    <col min="13090" max="13090" width="11.5703125" style="458" customWidth="1"/>
    <col min="13091" max="13091" width="11.28515625" style="458" customWidth="1"/>
    <col min="13092" max="13092" width="11.7109375" style="458" customWidth="1"/>
    <col min="13093" max="13093" width="10.7109375" style="458" customWidth="1"/>
    <col min="13094" max="13094" width="9.5703125" style="458" customWidth="1"/>
    <col min="13095" max="13095" width="10.28515625" style="458" customWidth="1"/>
    <col min="13096" max="13307" width="9.140625" style="458"/>
    <col min="13308" max="13308" width="2.140625" style="458" customWidth="1"/>
    <col min="13309" max="13311" width="9.140625" style="458"/>
    <col min="13312" max="13312" width="11.7109375" style="458" bestFit="1" customWidth="1"/>
    <col min="13313" max="13313" width="9.28515625" style="458" bestFit="1" customWidth="1"/>
    <col min="13314" max="13314" width="9.140625" style="458"/>
    <col min="13315" max="13315" width="9.28515625" style="458" bestFit="1" customWidth="1"/>
    <col min="13316" max="13316" width="9.140625" style="458"/>
    <col min="13317" max="13317" width="9.28515625" style="458" bestFit="1" customWidth="1"/>
    <col min="13318" max="13318" width="10" style="458" bestFit="1" customWidth="1"/>
    <col min="13319" max="13327" width="9.140625" style="458"/>
    <col min="13328" max="13328" width="12.42578125" style="458" customWidth="1"/>
    <col min="13329" max="13336" width="9.28515625" style="458" bestFit="1" customWidth="1"/>
    <col min="13337" max="13337" width="9.85546875" style="458" bestFit="1" customWidth="1"/>
    <col min="13338" max="13342" width="9.140625" style="458"/>
    <col min="13343" max="13343" width="11" style="458" customWidth="1"/>
    <col min="13344" max="13345" width="11.28515625" style="458" customWidth="1"/>
    <col min="13346" max="13346" width="11.5703125" style="458" customWidth="1"/>
    <col min="13347" max="13347" width="11.28515625" style="458" customWidth="1"/>
    <col min="13348" max="13348" width="11.7109375" style="458" customWidth="1"/>
    <col min="13349" max="13349" width="10.7109375" style="458" customWidth="1"/>
    <col min="13350" max="13350" width="9.5703125" style="458" customWidth="1"/>
    <col min="13351" max="13351" width="10.28515625" style="458" customWidth="1"/>
    <col min="13352" max="13563" width="9.140625" style="458"/>
    <col min="13564" max="13564" width="2.140625" style="458" customWidth="1"/>
    <col min="13565" max="13567" width="9.140625" style="458"/>
    <col min="13568" max="13568" width="11.7109375" style="458" bestFit="1" customWidth="1"/>
    <col min="13569" max="13569" width="9.28515625" style="458" bestFit="1" customWidth="1"/>
    <col min="13570" max="13570" width="9.140625" style="458"/>
    <col min="13571" max="13571" width="9.28515625" style="458" bestFit="1" customWidth="1"/>
    <col min="13572" max="13572" width="9.140625" style="458"/>
    <col min="13573" max="13573" width="9.28515625" style="458" bestFit="1" customWidth="1"/>
    <col min="13574" max="13574" width="10" style="458" bestFit="1" customWidth="1"/>
    <col min="13575" max="13583" width="9.140625" style="458"/>
    <col min="13584" max="13584" width="12.42578125" style="458" customWidth="1"/>
    <col min="13585" max="13592" width="9.28515625" style="458" bestFit="1" customWidth="1"/>
    <col min="13593" max="13593" width="9.85546875" style="458" bestFit="1" customWidth="1"/>
    <col min="13594" max="13598" width="9.140625" style="458"/>
    <col min="13599" max="13599" width="11" style="458" customWidth="1"/>
    <col min="13600" max="13601" width="11.28515625" style="458" customWidth="1"/>
    <col min="13602" max="13602" width="11.5703125" style="458" customWidth="1"/>
    <col min="13603" max="13603" width="11.28515625" style="458" customWidth="1"/>
    <col min="13604" max="13604" width="11.7109375" style="458" customWidth="1"/>
    <col min="13605" max="13605" width="10.7109375" style="458" customWidth="1"/>
    <col min="13606" max="13606" width="9.5703125" style="458" customWidth="1"/>
    <col min="13607" max="13607" width="10.28515625" style="458" customWidth="1"/>
    <col min="13608" max="13819" width="9.140625" style="458"/>
    <col min="13820" max="13820" width="2.140625" style="458" customWidth="1"/>
    <col min="13821" max="13823" width="9.140625" style="458"/>
    <col min="13824" max="13824" width="11.7109375" style="458" bestFit="1" customWidth="1"/>
    <col min="13825" max="13825" width="9.28515625" style="458" bestFit="1" customWidth="1"/>
    <col min="13826" max="13826" width="9.140625" style="458"/>
    <col min="13827" max="13827" width="9.28515625" style="458" bestFit="1" customWidth="1"/>
    <col min="13828" max="13828" width="9.140625" style="458"/>
    <col min="13829" max="13829" width="9.28515625" style="458" bestFit="1" customWidth="1"/>
    <col min="13830" max="13830" width="10" style="458" bestFit="1" customWidth="1"/>
    <col min="13831" max="13839" width="9.140625" style="458"/>
    <col min="13840" max="13840" width="12.42578125" style="458" customWidth="1"/>
    <col min="13841" max="13848" width="9.28515625" style="458" bestFit="1" customWidth="1"/>
    <col min="13849" max="13849" width="9.85546875" style="458" bestFit="1" customWidth="1"/>
    <col min="13850" max="13854" width="9.140625" style="458"/>
    <col min="13855" max="13855" width="11" style="458" customWidth="1"/>
    <col min="13856" max="13857" width="11.28515625" style="458" customWidth="1"/>
    <col min="13858" max="13858" width="11.5703125" style="458" customWidth="1"/>
    <col min="13859" max="13859" width="11.28515625" style="458" customWidth="1"/>
    <col min="13860" max="13860" width="11.7109375" style="458" customWidth="1"/>
    <col min="13861" max="13861" width="10.7109375" style="458" customWidth="1"/>
    <col min="13862" max="13862" width="9.5703125" style="458" customWidth="1"/>
    <col min="13863" max="13863" width="10.28515625" style="458" customWidth="1"/>
    <col min="13864" max="14075" width="9.140625" style="458"/>
    <col min="14076" max="14076" width="2.140625" style="458" customWidth="1"/>
    <col min="14077" max="14079" width="9.140625" style="458"/>
    <col min="14080" max="14080" width="11.7109375" style="458" bestFit="1" customWidth="1"/>
    <col min="14081" max="14081" width="9.28515625" style="458" bestFit="1" customWidth="1"/>
    <col min="14082" max="14082" width="9.140625" style="458"/>
    <col min="14083" max="14083" width="9.28515625" style="458" bestFit="1" customWidth="1"/>
    <col min="14084" max="14084" width="9.140625" style="458"/>
    <col min="14085" max="14085" width="9.28515625" style="458" bestFit="1" customWidth="1"/>
    <col min="14086" max="14086" width="10" style="458" bestFit="1" customWidth="1"/>
    <col min="14087" max="14095" width="9.140625" style="458"/>
    <col min="14096" max="14096" width="12.42578125" style="458" customWidth="1"/>
    <col min="14097" max="14104" width="9.28515625" style="458" bestFit="1" customWidth="1"/>
    <col min="14105" max="14105" width="9.85546875" style="458" bestFit="1" customWidth="1"/>
    <col min="14106" max="14110" width="9.140625" style="458"/>
    <col min="14111" max="14111" width="11" style="458" customWidth="1"/>
    <col min="14112" max="14113" width="11.28515625" style="458" customWidth="1"/>
    <col min="14114" max="14114" width="11.5703125" style="458" customWidth="1"/>
    <col min="14115" max="14115" width="11.28515625" style="458" customWidth="1"/>
    <col min="14116" max="14116" width="11.7109375" style="458" customWidth="1"/>
    <col min="14117" max="14117" width="10.7109375" style="458" customWidth="1"/>
    <col min="14118" max="14118" width="9.5703125" style="458" customWidth="1"/>
    <col min="14119" max="14119" width="10.28515625" style="458" customWidth="1"/>
    <col min="14120" max="14331" width="9.140625" style="458"/>
    <col min="14332" max="14332" width="2.140625" style="458" customWidth="1"/>
    <col min="14333" max="14335" width="9.140625" style="458"/>
    <col min="14336" max="14336" width="11.7109375" style="458" bestFit="1" customWidth="1"/>
    <col min="14337" max="14337" width="9.28515625" style="458" bestFit="1" customWidth="1"/>
    <col min="14338" max="14338" width="9.140625" style="458"/>
    <col min="14339" max="14339" width="9.28515625" style="458" bestFit="1" customWidth="1"/>
    <col min="14340" max="14340" width="9.140625" style="458"/>
    <col min="14341" max="14341" width="9.28515625" style="458" bestFit="1" customWidth="1"/>
    <col min="14342" max="14342" width="10" style="458" bestFit="1" customWidth="1"/>
    <col min="14343" max="14351" width="9.140625" style="458"/>
    <col min="14352" max="14352" width="12.42578125" style="458" customWidth="1"/>
    <col min="14353" max="14360" width="9.28515625" style="458" bestFit="1" customWidth="1"/>
    <col min="14361" max="14361" width="9.85546875" style="458" bestFit="1" customWidth="1"/>
    <col min="14362" max="14366" width="9.140625" style="458"/>
    <col min="14367" max="14367" width="11" style="458" customWidth="1"/>
    <col min="14368" max="14369" width="11.28515625" style="458" customWidth="1"/>
    <col min="14370" max="14370" width="11.5703125" style="458" customWidth="1"/>
    <col min="14371" max="14371" width="11.28515625" style="458" customWidth="1"/>
    <col min="14372" max="14372" width="11.7109375" style="458" customWidth="1"/>
    <col min="14373" max="14373" width="10.7109375" style="458" customWidth="1"/>
    <col min="14374" max="14374" width="9.5703125" style="458" customWidth="1"/>
    <col min="14375" max="14375" width="10.28515625" style="458" customWidth="1"/>
    <col min="14376" max="14587" width="9.140625" style="458"/>
    <col min="14588" max="14588" width="2.140625" style="458" customWidth="1"/>
    <col min="14589" max="14591" width="9.140625" style="458"/>
    <col min="14592" max="14592" width="11.7109375" style="458" bestFit="1" customWidth="1"/>
    <col min="14593" max="14593" width="9.28515625" style="458" bestFit="1" customWidth="1"/>
    <col min="14594" max="14594" width="9.140625" style="458"/>
    <col min="14595" max="14595" width="9.28515625" style="458" bestFit="1" customWidth="1"/>
    <col min="14596" max="14596" width="9.140625" style="458"/>
    <col min="14597" max="14597" width="9.28515625" style="458" bestFit="1" customWidth="1"/>
    <col min="14598" max="14598" width="10" style="458" bestFit="1" customWidth="1"/>
    <col min="14599" max="14607" width="9.140625" style="458"/>
    <col min="14608" max="14608" width="12.42578125" style="458" customWidth="1"/>
    <col min="14609" max="14616" width="9.28515625" style="458" bestFit="1" customWidth="1"/>
    <col min="14617" max="14617" width="9.85546875" style="458" bestFit="1" customWidth="1"/>
    <col min="14618" max="14622" width="9.140625" style="458"/>
    <col min="14623" max="14623" width="11" style="458" customWidth="1"/>
    <col min="14624" max="14625" width="11.28515625" style="458" customWidth="1"/>
    <col min="14626" max="14626" width="11.5703125" style="458" customWidth="1"/>
    <col min="14627" max="14627" width="11.28515625" style="458" customWidth="1"/>
    <col min="14628" max="14628" width="11.7109375" style="458" customWidth="1"/>
    <col min="14629" max="14629" width="10.7109375" style="458" customWidth="1"/>
    <col min="14630" max="14630" width="9.5703125" style="458" customWidth="1"/>
    <col min="14631" max="14631" width="10.28515625" style="458" customWidth="1"/>
    <col min="14632" max="14843" width="9.140625" style="458"/>
    <col min="14844" max="14844" width="2.140625" style="458" customWidth="1"/>
    <col min="14845" max="14847" width="9.140625" style="458"/>
    <col min="14848" max="14848" width="11.7109375" style="458" bestFit="1" customWidth="1"/>
    <col min="14849" max="14849" width="9.28515625" style="458" bestFit="1" customWidth="1"/>
    <col min="14850" max="14850" width="9.140625" style="458"/>
    <col min="14851" max="14851" width="9.28515625" style="458" bestFit="1" customWidth="1"/>
    <col min="14852" max="14852" width="9.140625" style="458"/>
    <col min="14853" max="14853" width="9.28515625" style="458" bestFit="1" customWidth="1"/>
    <col min="14854" max="14854" width="10" style="458" bestFit="1" customWidth="1"/>
    <col min="14855" max="14863" width="9.140625" style="458"/>
    <col min="14864" max="14864" width="12.42578125" style="458" customWidth="1"/>
    <col min="14865" max="14872" width="9.28515625" style="458" bestFit="1" customWidth="1"/>
    <col min="14873" max="14873" width="9.85546875" style="458" bestFit="1" customWidth="1"/>
    <col min="14874" max="14878" width="9.140625" style="458"/>
    <col min="14879" max="14879" width="11" style="458" customWidth="1"/>
    <col min="14880" max="14881" width="11.28515625" style="458" customWidth="1"/>
    <col min="14882" max="14882" width="11.5703125" style="458" customWidth="1"/>
    <col min="14883" max="14883" width="11.28515625" style="458" customWidth="1"/>
    <col min="14884" max="14884" width="11.7109375" style="458" customWidth="1"/>
    <col min="14885" max="14885" width="10.7109375" style="458" customWidth="1"/>
    <col min="14886" max="14886" width="9.5703125" style="458" customWidth="1"/>
    <col min="14887" max="14887" width="10.28515625" style="458" customWidth="1"/>
    <col min="14888" max="15099" width="9.140625" style="458"/>
    <col min="15100" max="15100" width="2.140625" style="458" customWidth="1"/>
    <col min="15101" max="15103" width="9.140625" style="458"/>
    <col min="15104" max="15104" width="11.7109375" style="458" bestFit="1" customWidth="1"/>
    <col min="15105" max="15105" width="9.28515625" style="458" bestFit="1" customWidth="1"/>
    <col min="15106" max="15106" width="9.140625" style="458"/>
    <col min="15107" max="15107" width="9.28515625" style="458" bestFit="1" customWidth="1"/>
    <col min="15108" max="15108" width="9.140625" style="458"/>
    <col min="15109" max="15109" width="9.28515625" style="458" bestFit="1" customWidth="1"/>
    <col min="15110" max="15110" width="10" style="458" bestFit="1" customWidth="1"/>
    <col min="15111" max="15119" width="9.140625" style="458"/>
    <col min="15120" max="15120" width="12.42578125" style="458" customWidth="1"/>
    <col min="15121" max="15128" width="9.28515625" style="458" bestFit="1" customWidth="1"/>
    <col min="15129" max="15129" width="9.85546875" style="458" bestFit="1" customWidth="1"/>
    <col min="15130" max="15134" width="9.140625" style="458"/>
    <col min="15135" max="15135" width="11" style="458" customWidth="1"/>
    <col min="15136" max="15137" width="11.28515625" style="458" customWidth="1"/>
    <col min="15138" max="15138" width="11.5703125" style="458" customWidth="1"/>
    <col min="15139" max="15139" width="11.28515625" style="458" customWidth="1"/>
    <col min="15140" max="15140" width="11.7109375" style="458" customWidth="1"/>
    <col min="15141" max="15141" width="10.7109375" style="458" customWidth="1"/>
    <col min="15142" max="15142" width="9.5703125" style="458" customWidth="1"/>
    <col min="15143" max="15143" width="10.28515625" style="458" customWidth="1"/>
    <col min="15144" max="15355" width="9.140625" style="458"/>
    <col min="15356" max="15356" width="2.140625" style="458" customWidth="1"/>
    <col min="15357" max="15359" width="9.140625" style="458"/>
    <col min="15360" max="15360" width="11.7109375" style="458" bestFit="1" customWidth="1"/>
    <col min="15361" max="15361" width="9.28515625" style="458" bestFit="1" customWidth="1"/>
    <col min="15362" max="15362" width="9.140625" style="458"/>
    <col min="15363" max="15363" width="9.28515625" style="458" bestFit="1" customWidth="1"/>
    <col min="15364" max="15364" width="9.140625" style="458"/>
    <col min="15365" max="15365" width="9.28515625" style="458" bestFit="1" customWidth="1"/>
    <col min="15366" max="15366" width="10" style="458" bestFit="1" customWidth="1"/>
    <col min="15367" max="15375" width="9.140625" style="458"/>
    <col min="15376" max="15376" width="12.42578125" style="458" customWidth="1"/>
    <col min="15377" max="15384" width="9.28515625" style="458" bestFit="1" customWidth="1"/>
    <col min="15385" max="15385" width="9.85546875" style="458" bestFit="1" customWidth="1"/>
    <col min="15386" max="15390" width="9.140625" style="458"/>
    <col min="15391" max="15391" width="11" style="458" customWidth="1"/>
    <col min="15392" max="15393" width="11.28515625" style="458" customWidth="1"/>
    <col min="15394" max="15394" width="11.5703125" style="458" customWidth="1"/>
    <col min="15395" max="15395" width="11.28515625" style="458" customWidth="1"/>
    <col min="15396" max="15396" width="11.7109375" style="458" customWidth="1"/>
    <col min="15397" max="15397" width="10.7109375" style="458" customWidth="1"/>
    <col min="15398" max="15398" width="9.5703125" style="458" customWidth="1"/>
    <col min="15399" max="15399" width="10.28515625" style="458" customWidth="1"/>
    <col min="15400" max="15611" width="9.140625" style="458"/>
    <col min="15612" max="15612" width="2.140625" style="458" customWidth="1"/>
    <col min="15613" max="15615" width="9.140625" style="458"/>
    <col min="15616" max="15616" width="11.7109375" style="458" bestFit="1" customWidth="1"/>
    <col min="15617" max="15617" width="9.28515625" style="458" bestFit="1" customWidth="1"/>
    <col min="15618" max="15618" width="9.140625" style="458"/>
    <col min="15619" max="15619" width="9.28515625" style="458" bestFit="1" customWidth="1"/>
    <col min="15620" max="15620" width="9.140625" style="458"/>
    <col min="15621" max="15621" width="9.28515625" style="458" bestFit="1" customWidth="1"/>
    <col min="15622" max="15622" width="10" style="458" bestFit="1" customWidth="1"/>
    <col min="15623" max="15631" width="9.140625" style="458"/>
    <col min="15632" max="15632" width="12.42578125" style="458" customWidth="1"/>
    <col min="15633" max="15640" width="9.28515625" style="458" bestFit="1" customWidth="1"/>
    <col min="15641" max="15641" width="9.85546875" style="458" bestFit="1" customWidth="1"/>
    <col min="15642" max="15646" width="9.140625" style="458"/>
    <col min="15647" max="15647" width="11" style="458" customWidth="1"/>
    <col min="15648" max="15649" width="11.28515625" style="458" customWidth="1"/>
    <col min="15650" max="15650" width="11.5703125" style="458" customWidth="1"/>
    <col min="15651" max="15651" width="11.28515625" style="458" customWidth="1"/>
    <col min="15652" max="15652" width="11.7109375" style="458" customWidth="1"/>
    <col min="15653" max="15653" width="10.7109375" style="458" customWidth="1"/>
    <col min="15654" max="15654" width="9.5703125" style="458" customWidth="1"/>
    <col min="15655" max="15655" width="10.28515625" style="458" customWidth="1"/>
    <col min="15656" max="15867" width="9.140625" style="458"/>
    <col min="15868" max="15868" width="2.140625" style="458" customWidth="1"/>
    <col min="15869" max="15871" width="9.140625" style="458"/>
    <col min="15872" max="15872" width="11.7109375" style="458" bestFit="1" customWidth="1"/>
    <col min="15873" max="15873" width="9.28515625" style="458" bestFit="1" customWidth="1"/>
    <col min="15874" max="15874" width="9.140625" style="458"/>
    <col min="15875" max="15875" width="9.28515625" style="458" bestFit="1" customWidth="1"/>
    <col min="15876" max="15876" width="9.140625" style="458"/>
    <col min="15877" max="15877" width="9.28515625" style="458" bestFit="1" customWidth="1"/>
    <col min="15878" max="15878" width="10" style="458" bestFit="1" customWidth="1"/>
    <col min="15879" max="15887" width="9.140625" style="458"/>
    <col min="15888" max="15888" width="12.42578125" style="458" customWidth="1"/>
    <col min="15889" max="15896" width="9.28515625" style="458" bestFit="1" customWidth="1"/>
    <col min="15897" max="15897" width="9.85546875" style="458" bestFit="1" customWidth="1"/>
    <col min="15898" max="15902" width="9.140625" style="458"/>
    <col min="15903" max="15903" width="11" style="458" customWidth="1"/>
    <col min="15904" max="15905" width="11.28515625" style="458" customWidth="1"/>
    <col min="15906" max="15906" width="11.5703125" style="458" customWidth="1"/>
    <col min="15907" max="15907" width="11.28515625" style="458" customWidth="1"/>
    <col min="15908" max="15908" width="11.7109375" style="458" customWidth="1"/>
    <col min="15909" max="15909" width="10.7109375" style="458" customWidth="1"/>
    <col min="15910" max="15910" width="9.5703125" style="458" customWidth="1"/>
    <col min="15911" max="15911" width="10.28515625" style="458" customWidth="1"/>
    <col min="15912" max="16123" width="9.140625" style="458"/>
    <col min="16124" max="16124" width="2.140625" style="458" customWidth="1"/>
    <col min="16125" max="16127" width="9.140625" style="458"/>
    <col min="16128" max="16128" width="11.7109375" style="458" bestFit="1" customWidth="1"/>
    <col min="16129" max="16129" width="9.28515625" style="458" bestFit="1" customWidth="1"/>
    <col min="16130" max="16130" width="9.140625" style="458"/>
    <col min="16131" max="16131" width="9.28515625" style="458" bestFit="1" customWidth="1"/>
    <col min="16132" max="16132" width="9.140625" style="458"/>
    <col min="16133" max="16133" width="9.28515625" style="458" bestFit="1" customWidth="1"/>
    <col min="16134" max="16134" width="10" style="458" bestFit="1" customWidth="1"/>
    <col min="16135" max="16143" width="9.140625" style="458"/>
    <col min="16144" max="16144" width="12.42578125" style="458" customWidth="1"/>
    <col min="16145" max="16152" width="9.28515625" style="458" bestFit="1" customWidth="1"/>
    <col min="16153" max="16153" width="9.85546875" style="458" bestFit="1" customWidth="1"/>
    <col min="16154" max="16158" width="9.140625" style="458"/>
    <col min="16159" max="16159" width="11" style="458" customWidth="1"/>
    <col min="16160" max="16161" width="11.28515625" style="458" customWidth="1"/>
    <col min="16162" max="16162" width="11.5703125" style="458" customWidth="1"/>
    <col min="16163" max="16163" width="11.28515625" style="458" customWidth="1"/>
    <col min="16164" max="16164" width="11.7109375" style="458" customWidth="1"/>
    <col min="16165" max="16165" width="10.7109375" style="458" customWidth="1"/>
    <col min="16166" max="16166" width="9.5703125" style="458" customWidth="1"/>
    <col min="16167" max="16167" width="10.28515625" style="458" customWidth="1"/>
    <col min="16168" max="16384" width="9.140625" style="458"/>
  </cols>
  <sheetData>
    <row r="1" spans="1:57" ht="12.75">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row>
    <row r="2" spans="1:57" ht="12.75">
      <c r="A2" s="457"/>
      <c r="B2" s="457"/>
      <c r="C2" s="457"/>
      <c r="D2" s="457"/>
      <c r="E2" s="457"/>
      <c r="F2" s="457"/>
      <c r="G2" s="457"/>
      <c r="H2" s="457"/>
      <c r="I2" s="457"/>
      <c r="J2" s="457"/>
      <c r="K2" s="459"/>
      <c r="L2" s="459"/>
      <c r="M2" s="459"/>
      <c r="N2" s="459"/>
      <c r="O2" s="459"/>
      <c r="P2" s="459"/>
      <c r="Q2" s="459"/>
      <c r="R2" s="459"/>
      <c r="S2" s="459"/>
      <c r="T2" s="459"/>
      <c r="U2" s="459"/>
      <c r="V2" s="459"/>
      <c r="W2" s="459"/>
      <c r="X2" s="459"/>
      <c r="Y2" s="459"/>
      <c r="Z2" s="459"/>
      <c r="AA2" s="459"/>
      <c r="AB2" s="459"/>
      <c r="AC2" s="459"/>
      <c r="AD2" s="459"/>
      <c r="AE2" s="460" t="s">
        <v>1393</v>
      </c>
      <c r="AF2" s="460" t="s">
        <v>1394</v>
      </c>
      <c r="AG2" s="459"/>
      <c r="AH2" s="459"/>
      <c r="AI2" s="459" t="s">
        <v>1395</v>
      </c>
      <c r="AJ2" s="459"/>
      <c r="AK2" s="459"/>
      <c r="AL2" s="459"/>
      <c r="AM2" s="459"/>
      <c r="AN2" s="459"/>
      <c r="AO2" s="459"/>
      <c r="AP2" s="459"/>
      <c r="AQ2" s="459"/>
      <c r="AR2" s="459"/>
      <c r="AS2" s="457"/>
      <c r="AT2" s="457"/>
      <c r="AU2" s="457"/>
      <c r="AV2" s="457"/>
      <c r="AW2" s="457"/>
      <c r="AX2" s="457"/>
      <c r="AY2" s="457"/>
      <c r="AZ2" s="457"/>
      <c r="BA2" s="457"/>
      <c r="BB2" s="457"/>
      <c r="BC2" s="457"/>
      <c r="BD2" s="457"/>
      <c r="BE2" s="457"/>
    </row>
    <row r="3" spans="1:57" ht="12.75">
      <c r="A3" s="457"/>
      <c r="B3" s="459" t="s">
        <v>2555</v>
      </c>
      <c r="C3" s="457"/>
      <c r="D3" s="457"/>
      <c r="E3" s="457"/>
      <c r="F3" s="457"/>
      <c r="G3" s="457"/>
      <c r="H3" s="457"/>
      <c r="I3" s="457"/>
      <c r="J3" s="1242"/>
      <c r="K3" s="459"/>
      <c r="L3" s="459"/>
      <c r="M3" s="459"/>
      <c r="N3" s="459"/>
      <c r="O3" s="459"/>
      <c r="P3" s="459"/>
      <c r="Q3" s="459"/>
      <c r="R3" s="459"/>
      <c r="S3" s="459"/>
      <c r="T3" s="459"/>
      <c r="U3" s="459"/>
      <c r="V3" s="459"/>
      <c r="W3" s="459"/>
      <c r="X3" s="459"/>
      <c r="Y3" s="459"/>
      <c r="Z3" s="459"/>
      <c r="AA3" s="459"/>
      <c r="AB3" s="459"/>
      <c r="AC3" s="459"/>
      <c r="AD3" s="459"/>
      <c r="AE3" s="460"/>
      <c r="AF3" s="460"/>
      <c r="AG3" s="459"/>
      <c r="AH3" s="459"/>
      <c r="AI3" s="459"/>
      <c r="AJ3" s="459"/>
      <c r="AK3" s="459"/>
      <c r="AL3" s="459"/>
      <c r="AM3" s="459"/>
      <c r="AN3" s="459"/>
      <c r="AO3" s="459"/>
      <c r="AP3" s="459"/>
      <c r="AQ3" s="459"/>
      <c r="AR3" s="459"/>
      <c r="AS3" s="457"/>
      <c r="AT3" s="459"/>
      <c r="AU3" s="457"/>
      <c r="AV3" s="457"/>
      <c r="AW3" s="457"/>
      <c r="AX3" s="457"/>
      <c r="AY3" s="457"/>
      <c r="AZ3" s="457"/>
      <c r="BA3" s="457"/>
      <c r="BB3" s="457"/>
      <c r="BC3" s="457"/>
      <c r="BD3" s="457"/>
      <c r="BE3" s="457"/>
    </row>
    <row r="4" spans="1:57" ht="12.75">
      <c r="A4" s="457"/>
      <c r="B4" s="461"/>
      <c r="C4" s="459"/>
      <c r="D4" s="459"/>
      <c r="E4" s="462"/>
      <c r="F4" s="459"/>
      <c r="G4" s="463"/>
      <c r="H4" s="459"/>
      <c r="I4" s="459"/>
      <c r="J4" s="459"/>
      <c r="K4" s="459"/>
      <c r="L4" s="459"/>
      <c r="M4" s="459"/>
      <c r="N4" s="459" t="s">
        <v>1397</v>
      </c>
      <c r="O4" s="459"/>
      <c r="P4" s="459"/>
      <c r="Q4" s="459"/>
      <c r="R4" s="459"/>
      <c r="S4" s="459"/>
      <c r="T4" s="459"/>
      <c r="U4" s="460" t="s">
        <v>1398</v>
      </c>
      <c r="V4" s="460" t="s">
        <v>1399</v>
      </c>
      <c r="W4" s="460" t="s">
        <v>1400</v>
      </c>
      <c r="X4" s="460" t="s">
        <v>1401</v>
      </c>
      <c r="Y4" s="460" t="s">
        <v>1402</v>
      </c>
      <c r="Z4" s="459"/>
      <c r="AA4" s="460" t="s">
        <v>1403</v>
      </c>
      <c r="AB4" s="459" t="s">
        <v>1404</v>
      </c>
      <c r="AC4" s="460" t="s">
        <v>1405</v>
      </c>
      <c r="AD4" s="460" t="s">
        <v>565</v>
      </c>
      <c r="AE4" s="460" t="s">
        <v>1406</v>
      </c>
      <c r="AF4" s="459"/>
      <c r="AG4" s="459"/>
      <c r="AH4" s="459"/>
      <c r="AI4" s="459" t="s">
        <v>1407</v>
      </c>
      <c r="AJ4" s="459"/>
      <c r="AK4" s="459"/>
      <c r="AL4" s="459"/>
      <c r="AM4" s="459"/>
      <c r="AN4" s="459"/>
      <c r="AO4" s="459"/>
      <c r="AP4" s="459"/>
      <c r="AQ4" s="459"/>
      <c r="AR4" s="459"/>
      <c r="AS4" s="457"/>
      <c r="AT4" s="461"/>
      <c r="AU4" s="457"/>
      <c r="AV4" s="457"/>
      <c r="AW4" s="457"/>
      <c r="AX4" s="457"/>
      <c r="AY4" s="457"/>
      <c r="AZ4" s="457"/>
      <c r="BA4" s="457"/>
      <c r="BB4" s="457"/>
      <c r="BC4" s="457"/>
      <c r="BD4" s="457"/>
      <c r="BE4" s="457"/>
    </row>
    <row r="5" spans="1:57" ht="12.75">
      <c r="A5" s="457"/>
      <c r="B5" s="464" t="s">
        <v>1408</v>
      </c>
      <c r="C5" s="464" t="s">
        <v>1409</v>
      </c>
      <c r="D5" s="459"/>
      <c r="E5" s="462">
        <f>E7+E6</f>
        <v>326107.14607107313</v>
      </c>
      <c r="F5" s="464" t="s">
        <v>1410</v>
      </c>
      <c r="G5" s="459"/>
      <c r="H5" s="459"/>
      <c r="I5" s="459"/>
      <c r="J5" s="464"/>
      <c r="K5" s="459"/>
      <c r="L5" s="465"/>
      <c r="M5" s="459"/>
      <c r="N5" s="464" t="s">
        <v>1411</v>
      </c>
      <c r="O5" s="459"/>
      <c r="P5" s="459"/>
      <c r="Q5" s="464" t="s">
        <v>1412</v>
      </c>
      <c r="R5" s="459"/>
      <c r="S5" s="459"/>
      <c r="T5" s="459"/>
      <c r="U5" s="466">
        <f>$E$8*1.25</f>
        <v>376663.13823237148</v>
      </c>
      <c r="V5" s="467">
        <f>100*(+U5/$E$9)</f>
        <v>393.16181765922352</v>
      </c>
      <c r="W5" s="468">
        <f>EXP(5.7226-(0.68367*LN(+V5)))</f>
        <v>5.1459198556225241</v>
      </c>
      <c r="X5" s="468">
        <f>(+W5*V5)/100</f>
        <v>20.231792039652404</v>
      </c>
      <c r="Y5" s="467">
        <f>100*((((X5/100)-((X5/100)-0.03574)*$E$21)-0.03574-0.00619)/0.344)</f>
        <v>30.160298680728452</v>
      </c>
      <c r="Z5" s="459">
        <f>$E$20</f>
        <v>0.25</v>
      </c>
      <c r="AA5" s="467">
        <f>Y5+Z5</f>
        <v>30.410298680728452</v>
      </c>
      <c r="AB5" s="467">
        <f>100*($E$17*$E$19+($E$18*(AA5/100))/(1-$E$21))</f>
        <v>28.663923943945907</v>
      </c>
      <c r="AC5" s="468">
        <f>AB5/V5</f>
        <v>7.2906174141230101E-2</v>
      </c>
      <c r="AD5" s="466">
        <f>$E$8/(1-AC5)</f>
        <v>325026.98451990425</v>
      </c>
      <c r="AE5" s="459" t="str">
        <f>IF(AD5=$U$5,"yes","not yet")</f>
        <v>not yet</v>
      </c>
      <c r="AF5" s="467">
        <f>100*(1-AC5)</f>
        <v>92.70938258587698</v>
      </c>
      <c r="AG5" s="459"/>
      <c r="AH5" s="459"/>
      <c r="AI5" s="459">
        <v>0</v>
      </c>
      <c r="AJ5" s="459">
        <v>1</v>
      </c>
      <c r="AK5" s="459"/>
      <c r="AL5" s="459"/>
      <c r="AM5" s="459"/>
      <c r="AN5" s="459"/>
      <c r="AO5" s="459"/>
      <c r="AP5" s="459"/>
      <c r="AQ5" s="459"/>
      <c r="AR5" s="459"/>
      <c r="AS5" s="457"/>
      <c r="AT5" s="464"/>
      <c r="AU5" s="457"/>
      <c r="AV5" s="457"/>
      <c r="AW5" s="457"/>
      <c r="AX5" s="457"/>
      <c r="AY5" s="457"/>
      <c r="AZ5" s="457"/>
      <c r="BA5" s="457"/>
      <c r="BB5" s="457"/>
      <c r="BC5" s="457"/>
      <c r="BD5" s="457"/>
      <c r="BE5" s="457"/>
    </row>
    <row r="6" spans="1:57" ht="12.75">
      <c r="A6" s="457"/>
      <c r="B6" s="464" t="s">
        <v>1408</v>
      </c>
      <c r="C6" s="464" t="s">
        <v>1413</v>
      </c>
      <c r="D6" s="459"/>
      <c r="E6" s="462">
        <f>(+E8-((H15/100)*E7))/H25</f>
        <v>-16060.301335595177</v>
      </c>
      <c r="F6" s="469" t="s">
        <v>1410</v>
      </c>
      <c r="G6" s="459"/>
      <c r="H6" s="459"/>
      <c r="I6" s="459"/>
      <c r="J6" s="470">
        <f>E6/E7</f>
        <v>-4.6936964510558482E-2</v>
      </c>
      <c r="K6" s="459" t="s">
        <v>1414</v>
      </c>
      <c r="L6" s="465"/>
      <c r="M6" s="459"/>
      <c r="N6" s="464" t="s">
        <v>1415</v>
      </c>
      <c r="O6" s="459"/>
      <c r="P6" s="459"/>
      <c r="Q6" s="464" t="s">
        <v>1416</v>
      </c>
      <c r="R6" s="459"/>
      <c r="S6" s="459"/>
      <c r="T6" s="459"/>
      <c r="U6" s="466">
        <f>$E$8*1.25</f>
        <v>376663.13823237148</v>
      </c>
      <c r="V6" s="467">
        <f>100*(+U6/$E$9)</f>
        <v>393.16181765922352</v>
      </c>
      <c r="W6" s="468">
        <f>EXP(5.70827-(0.68367*LN(+V6)))</f>
        <v>5.0727046638246547</v>
      </c>
      <c r="X6" s="468">
        <f>(+W6*V6)/100</f>
        <v>19.943937860777215</v>
      </c>
      <c r="Y6" s="467">
        <f>100*((((X6/100)-((X6/100)-0.03574)*$E$21)-0.03574-0.00619)/0.344)</f>
        <v>29.608020314281863</v>
      </c>
      <c r="Z6" s="459">
        <f>$E$20</f>
        <v>0.25</v>
      </c>
      <c r="AA6" s="467">
        <f>Y6+Z6</f>
        <v>29.858020314281863</v>
      </c>
      <c r="AB6" s="467">
        <f>100*($E$17*$E$19+($E$18*(AA6/100))/(1-$E$21))</f>
        <v>28.161852701721735</v>
      </c>
      <c r="AC6" s="468">
        <f>AB6/V6</f>
        <v>7.1629164981964935E-2</v>
      </c>
      <c r="AD6" s="466">
        <f>$E$8/(1-AC6)</f>
        <v>324579.89762253076</v>
      </c>
      <c r="AE6" s="459" t="str">
        <f>IF(AD6=$U$6,"yes","not yet")</f>
        <v>not yet</v>
      </c>
      <c r="AF6" s="467">
        <f>100*(1-AC6)</f>
        <v>92.837083501803505</v>
      </c>
      <c r="AG6" s="459"/>
      <c r="AH6" s="459"/>
      <c r="AI6" s="459">
        <v>50</v>
      </c>
      <c r="AJ6" s="459">
        <v>2</v>
      </c>
      <c r="AK6" s="459"/>
      <c r="AL6" s="459"/>
      <c r="AM6" s="459"/>
      <c r="AN6" s="459"/>
      <c r="AO6" s="459"/>
      <c r="AP6" s="459"/>
      <c r="AQ6" s="459"/>
      <c r="AR6" s="459"/>
      <c r="AS6" s="457"/>
      <c r="AT6" s="464"/>
      <c r="AU6" s="457"/>
      <c r="AV6" s="457"/>
      <c r="AW6" s="457"/>
      <c r="AX6" s="457"/>
      <c r="AY6" s="457"/>
      <c r="AZ6" s="457"/>
      <c r="BA6" s="457"/>
      <c r="BB6" s="457"/>
      <c r="BC6" s="457"/>
      <c r="BD6" s="457"/>
      <c r="BE6" s="457"/>
    </row>
    <row r="7" spans="1:57" ht="12.75">
      <c r="A7" s="457"/>
      <c r="B7" s="471" t="s">
        <v>550</v>
      </c>
      <c r="C7" s="464" t="s">
        <v>105</v>
      </c>
      <c r="D7" s="471" t="s">
        <v>1417</v>
      </c>
      <c r="E7" s="462">
        <f>+'Yakima Consolidated IS'!Q20</f>
        <v>342167.44740666833</v>
      </c>
      <c r="F7" s="464" t="s">
        <v>1418</v>
      </c>
      <c r="G7" s="459"/>
      <c r="H7" s="459"/>
      <c r="I7" s="459"/>
      <c r="J7" s="464"/>
      <c r="K7" s="459"/>
      <c r="L7" s="465"/>
      <c r="M7" s="459"/>
      <c r="N7" s="464" t="s">
        <v>1419</v>
      </c>
      <c r="O7" s="459"/>
      <c r="P7" s="459"/>
      <c r="Q7" s="464" t="s">
        <v>1420</v>
      </c>
      <c r="R7" s="459"/>
      <c r="S7" s="459"/>
      <c r="T7" s="459"/>
      <c r="U7" s="466">
        <f>$E$8*1.25</f>
        <v>376663.13823237148</v>
      </c>
      <c r="V7" s="467">
        <f>100*(+U7/$E$9)</f>
        <v>393.16181765922352</v>
      </c>
      <c r="W7" s="468">
        <f>EXP(5.6985-(0.68367*LN(V7)))</f>
        <v>5.0233856549204976</v>
      </c>
      <c r="X7" s="468">
        <f>(+W7*V7)/100</f>
        <v>19.750034348918117</v>
      </c>
      <c r="Y7" s="467">
        <f>100*((((X7/100)-((X7/100)-0.03574)*$E$21)-0.03574-0.00619)/0.344)</f>
        <v>29.235996134552199</v>
      </c>
      <c r="Z7" s="459">
        <f>$E$20</f>
        <v>0.25</v>
      </c>
      <c r="AA7" s="467">
        <f>Y7+Z7</f>
        <v>29.485996134552199</v>
      </c>
      <c r="AB7" s="467">
        <f>100*($E$17*$E$19+($E$18*(AA7/100))/(1-$E$21))</f>
        <v>27.823648901967495</v>
      </c>
      <c r="AC7" s="468">
        <f>AB7/V7</f>
        <v>7.0768949710380794E-2</v>
      </c>
      <c r="AD7" s="466">
        <f>$E$8/(1-AC7)</f>
        <v>324279.42489866179</v>
      </c>
      <c r="AE7" s="459" t="str">
        <f>IF(AD7=$U$7,"yes","not yet")</f>
        <v>not yet</v>
      </c>
      <c r="AF7" s="467">
        <f>100*(1-AC7)</f>
        <v>92.923105028961913</v>
      </c>
      <c r="AG7" s="459"/>
      <c r="AH7" s="459"/>
      <c r="AI7" s="459">
        <v>125</v>
      </c>
      <c r="AJ7" s="459">
        <v>3</v>
      </c>
      <c r="AK7" s="459"/>
      <c r="AL7" s="459"/>
      <c r="AM7" s="459"/>
      <c r="AN7" s="459"/>
      <c r="AO7" s="459"/>
      <c r="AP7" s="459"/>
      <c r="AQ7" s="459"/>
      <c r="AR7" s="459"/>
      <c r="AS7" s="457"/>
      <c r="AT7" s="471"/>
      <c r="AU7" s="457"/>
      <c r="AV7" s="457"/>
      <c r="AW7" s="457"/>
      <c r="AX7" s="457"/>
      <c r="AY7" s="457"/>
      <c r="AZ7" s="457"/>
      <c r="BA7" s="457"/>
      <c r="BB7" s="457"/>
      <c r="BC7" s="457"/>
      <c r="BD7" s="457"/>
      <c r="BE7" s="457"/>
    </row>
    <row r="8" spans="1:57" ht="12.75">
      <c r="A8" s="457"/>
      <c r="B8" s="471" t="s">
        <v>550</v>
      </c>
      <c r="C8" s="464" t="s">
        <v>1421</v>
      </c>
      <c r="D8" s="471" t="s">
        <v>1417</v>
      </c>
      <c r="E8" s="462">
        <f>+'Yakima Consolidated IS'!Q276</f>
        <v>301330.51058589719</v>
      </c>
      <c r="F8" s="464" t="s">
        <v>1418</v>
      </c>
      <c r="G8" s="459"/>
      <c r="H8" s="459"/>
      <c r="I8" s="459"/>
      <c r="J8" s="470"/>
      <c r="K8" s="472"/>
      <c r="L8" s="465"/>
      <c r="M8" s="459"/>
      <c r="N8" s="464" t="s">
        <v>1422</v>
      </c>
      <c r="O8" s="459"/>
      <c r="P8" s="459"/>
      <c r="Q8" s="464" t="s">
        <v>1423</v>
      </c>
      <c r="R8" s="459"/>
      <c r="S8" s="459"/>
      <c r="T8" s="459"/>
      <c r="U8" s="466">
        <f>$E$8*1.25</f>
        <v>376663.13823237148</v>
      </c>
      <c r="V8" s="467">
        <f>100*(+U8/$E$9)</f>
        <v>393.16181765922352</v>
      </c>
      <c r="W8" s="468">
        <f>EXP(5.6922-(0.68367*LN(V8)))</f>
        <v>4.9918378053650398</v>
      </c>
      <c r="X8" s="468">
        <f>(+W8*V8)/100</f>
        <v>19.626000250173483</v>
      </c>
      <c r="Y8" s="467">
        <f>100*((((X8/100)-((X8/100)-0.03574)*$E$21)-0.03574-0.00619)/0.344)</f>
        <v>28.998023735797961</v>
      </c>
      <c r="Z8" s="459">
        <f>$E$20</f>
        <v>0.25</v>
      </c>
      <c r="AA8" s="467">
        <f>Y8+Z8</f>
        <v>29.248023735797961</v>
      </c>
      <c r="AB8" s="467">
        <f>100*($E$17*$E$19+($E$18*(AA8/100))/(1-$E$21))</f>
        <v>27.607310357645463</v>
      </c>
      <c r="AC8" s="468">
        <f>AB8/V8</f>
        <v>7.0218696520460047E-2</v>
      </c>
      <c r="AD8" s="466">
        <f>$E$8/(1-AC8)</f>
        <v>324087.5133305238</v>
      </c>
      <c r="AE8" s="459" t="str">
        <f>IF(AD8=$U$8,"yes","not yet")</f>
        <v>not yet</v>
      </c>
      <c r="AF8" s="467">
        <f>100*(1-AC8)</f>
        <v>92.978130347953993</v>
      </c>
      <c r="AG8" s="459"/>
      <c r="AH8" s="459"/>
      <c r="AI8" s="459">
        <v>401</v>
      </c>
      <c r="AJ8" s="459">
        <v>4</v>
      </c>
      <c r="AK8" s="459"/>
      <c r="AL8" s="459"/>
      <c r="AM8" s="459"/>
      <c r="AN8" s="459"/>
      <c r="AO8" s="459"/>
      <c r="AP8" s="459"/>
      <c r="AQ8" s="459"/>
      <c r="AR8" s="459"/>
      <c r="AS8" s="457"/>
      <c r="AT8" s="471"/>
      <c r="AU8" s="457"/>
      <c r="AV8" s="457"/>
      <c r="AW8" s="457"/>
      <c r="AX8" s="457"/>
      <c r="AY8" s="457"/>
      <c r="AZ8" s="457"/>
      <c r="BA8" s="457"/>
      <c r="BB8" s="457"/>
      <c r="BC8" s="457"/>
      <c r="BD8" s="457"/>
      <c r="BE8" s="457"/>
    </row>
    <row r="9" spans="1:57" ht="12.75">
      <c r="A9" s="457"/>
      <c r="B9" s="471" t="s">
        <v>550</v>
      </c>
      <c r="C9" s="464" t="s">
        <v>1424</v>
      </c>
      <c r="D9" s="459"/>
      <c r="E9" s="462">
        <f>+'Yakima Consolidated IS'!Q282</f>
        <v>95803.590611855296</v>
      </c>
      <c r="F9" s="464" t="s">
        <v>1418</v>
      </c>
      <c r="G9" s="459"/>
      <c r="H9" s="459"/>
      <c r="I9" s="459"/>
      <c r="J9" s="464"/>
      <c r="K9" s="459"/>
      <c r="L9" s="465"/>
      <c r="M9" s="459"/>
      <c r="N9" s="459"/>
      <c r="O9" s="459"/>
      <c r="P9" s="459"/>
      <c r="Q9" s="459"/>
      <c r="R9" s="459"/>
      <c r="S9" s="459"/>
      <c r="T9" s="459"/>
      <c r="U9" s="459"/>
      <c r="V9" s="459"/>
      <c r="W9" s="459"/>
      <c r="X9" s="459"/>
      <c r="Y9" s="459"/>
      <c r="Z9" s="459"/>
      <c r="AA9" s="467"/>
      <c r="AB9" s="459"/>
      <c r="AC9" s="459"/>
      <c r="AD9" s="459"/>
      <c r="AE9" s="459"/>
      <c r="AF9" s="459"/>
      <c r="AG9" s="459"/>
      <c r="AH9" s="459"/>
      <c r="AI9" s="459"/>
      <c r="AJ9" s="459"/>
      <c r="AK9" s="459"/>
      <c r="AL9" s="459"/>
      <c r="AM9" s="459"/>
      <c r="AN9" s="459"/>
      <c r="AO9" s="459"/>
      <c r="AP9" s="459"/>
      <c r="AQ9" s="459"/>
      <c r="AR9" s="459"/>
      <c r="AS9" s="457"/>
      <c r="AT9" s="471"/>
      <c r="AU9" s="457"/>
      <c r="AV9" s="457"/>
      <c r="AW9" s="457"/>
      <c r="AX9" s="457"/>
      <c r="AY9" s="457"/>
      <c r="AZ9" s="457"/>
      <c r="BA9" s="457"/>
      <c r="BB9" s="457"/>
      <c r="BC9" s="457"/>
      <c r="BD9" s="457"/>
      <c r="BE9" s="457"/>
    </row>
    <row r="10" spans="1:57" ht="12.75">
      <c r="A10" s="457"/>
      <c r="B10" s="461"/>
      <c r="C10" s="464" t="s">
        <v>1425</v>
      </c>
      <c r="D10" s="459"/>
      <c r="E10" s="467">
        <f>V5</f>
        <v>393.16181765922352</v>
      </c>
      <c r="F10" s="464" t="s">
        <v>1426</v>
      </c>
      <c r="G10" s="459"/>
      <c r="H10" s="467"/>
      <c r="I10" s="467"/>
      <c r="J10" s="461"/>
      <c r="K10" s="463"/>
      <c r="L10" s="459"/>
      <c r="M10" s="459"/>
      <c r="N10" s="459"/>
      <c r="O10" s="459"/>
      <c r="P10" s="459"/>
      <c r="Q10" s="459"/>
      <c r="R10" s="459"/>
      <c r="S10" s="459"/>
      <c r="T10" s="459"/>
      <c r="U10" s="459"/>
      <c r="V10" s="473" t="s">
        <v>1427</v>
      </c>
      <c r="W10" s="473" t="s">
        <v>1400</v>
      </c>
      <c r="X10" s="473" t="s">
        <v>1401</v>
      </c>
      <c r="Y10" s="473" t="s">
        <v>1402</v>
      </c>
      <c r="Z10" s="459"/>
      <c r="AA10" s="467"/>
      <c r="AB10" s="459"/>
      <c r="AC10" s="459"/>
      <c r="AD10" s="459"/>
      <c r="AE10" s="459"/>
      <c r="AF10" s="459"/>
      <c r="AG10" s="459"/>
      <c r="AH10" s="459"/>
      <c r="AI10" s="459" t="s">
        <v>1428</v>
      </c>
      <c r="AJ10" s="459"/>
      <c r="AK10" s="459"/>
      <c r="AL10" s="459"/>
      <c r="AM10" s="459"/>
      <c r="AN10" s="459"/>
      <c r="AO10" s="459"/>
      <c r="AP10" s="459"/>
      <c r="AQ10" s="459"/>
      <c r="AR10" s="459"/>
      <c r="AS10" s="457"/>
      <c r="AT10" s="461"/>
      <c r="AU10" s="457"/>
      <c r="AV10" s="457"/>
      <c r="AW10" s="457"/>
      <c r="AX10" s="457"/>
      <c r="AY10" s="457"/>
      <c r="AZ10" s="457"/>
      <c r="BA10" s="457"/>
      <c r="BB10" s="457"/>
      <c r="BC10" s="457"/>
      <c r="BD10" s="457"/>
      <c r="BE10" s="457"/>
    </row>
    <row r="11" spans="1:57" ht="12.75">
      <c r="A11" s="457"/>
      <c r="B11" s="461"/>
      <c r="C11" s="464" t="s">
        <v>1429</v>
      </c>
      <c r="D11" s="459"/>
      <c r="E11" s="467">
        <f>HLOOKUP($AJ$34,$AJ$28:$AR$32,($E$12)+1)</f>
        <v>340.83169316995662</v>
      </c>
      <c r="F11" s="464" t="s">
        <v>1426</v>
      </c>
      <c r="G11" s="459"/>
      <c r="H11" s="459"/>
      <c r="I11" s="459"/>
      <c r="J11" s="471"/>
      <c r="K11" s="462"/>
      <c r="L11" s="459"/>
      <c r="M11" s="459"/>
      <c r="N11" s="459"/>
      <c r="O11" s="459"/>
      <c r="P11" s="459"/>
      <c r="Q11" s="459"/>
      <c r="R11" s="459"/>
      <c r="S11" s="459"/>
      <c r="T11" s="459"/>
      <c r="U11" s="459"/>
      <c r="V11" s="467">
        <f>100*(+AD5/$E$9)</f>
        <v>339.26388608621056</v>
      </c>
      <c r="W11" s="474">
        <f>EXP(5.7226-(0.68367*LN(+V11)))</f>
        <v>5.6916860808727048</v>
      </c>
      <c r="X11" s="468">
        <f>(+W11*V11)/100</f>
        <v>19.309835381796674</v>
      </c>
      <c r="Y11" s="467">
        <f>100*((((X11/100)-((X11/100)-0.03574)*$E$21)-0.03574-0.00619)/0.344)</f>
        <v>28.391428348795948</v>
      </c>
      <c r="Z11" s="459">
        <f>$E$20</f>
        <v>0.25</v>
      </c>
      <c r="AA11" s="467">
        <f>Y11+Z11</f>
        <v>28.641428348795948</v>
      </c>
      <c r="AB11" s="467">
        <f>100*($E$17*$E$19+($E$18*(AA11/100))/(1-$E$21))</f>
        <v>27.055860005825451</v>
      </c>
      <c r="AC11" s="468">
        <f>AB11/V11</f>
        <v>7.9748718078853434E-2</v>
      </c>
      <c r="AD11" s="466">
        <f>$E$8/(1-AC11)</f>
        <v>327443.72814871802</v>
      </c>
      <c r="AE11" s="459" t="str">
        <f>IF(AD11=AD5,"yes","not yet")</f>
        <v>not yet</v>
      </c>
      <c r="AF11" s="467">
        <f>100*(1-AC11)</f>
        <v>92.025128192114664</v>
      </c>
      <c r="AG11" s="459"/>
      <c r="AH11" s="459"/>
      <c r="AI11" s="459"/>
      <c r="AJ11" s="459"/>
      <c r="AK11" s="459"/>
      <c r="AL11" s="459"/>
      <c r="AM11" s="459"/>
      <c r="AN11" s="459"/>
      <c r="AO11" s="459"/>
      <c r="AP11" s="459"/>
      <c r="AQ11" s="459"/>
      <c r="AR11" s="459"/>
      <c r="AS11" s="457"/>
      <c r="AT11" s="461"/>
      <c r="AU11" s="457"/>
      <c r="AV11" s="457"/>
      <c r="AW11" s="457"/>
      <c r="AX11" s="457"/>
      <c r="AY11" s="457"/>
      <c r="AZ11" s="457"/>
      <c r="BA11" s="457"/>
      <c r="BB11" s="457"/>
      <c r="BC11" s="457"/>
      <c r="BD11" s="457"/>
      <c r="BE11" s="457"/>
    </row>
    <row r="12" spans="1:57" ht="12.75">
      <c r="A12" s="457"/>
      <c r="B12" s="461"/>
      <c r="C12" s="464" t="s">
        <v>1430</v>
      </c>
      <c r="D12" s="459"/>
      <c r="E12" s="459">
        <f>VLOOKUP(E10,AI5:AJ8,2)</f>
        <v>3</v>
      </c>
      <c r="F12" s="464" t="s">
        <v>1426</v>
      </c>
      <c r="G12" s="459"/>
      <c r="H12" s="459"/>
      <c r="I12" s="459"/>
      <c r="J12" s="471"/>
      <c r="K12" s="462"/>
      <c r="L12" s="459"/>
      <c r="M12" s="459"/>
      <c r="N12" s="459"/>
      <c r="O12" s="459"/>
      <c r="P12" s="459"/>
      <c r="Q12" s="459"/>
      <c r="R12" s="459"/>
      <c r="S12" s="459"/>
      <c r="T12" s="459"/>
      <c r="U12" s="459"/>
      <c r="V12" s="467">
        <f>100*(+AD6/$E$9)</f>
        <v>338.79721579283409</v>
      </c>
      <c r="W12" s="474">
        <f>EXP(5.70827-(0.68367*LN(+V12)))</f>
        <v>5.6159883318953669</v>
      </c>
      <c r="X12" s="468">
        <f>(+W12*V12)/100</f>
        <v>19.02681210771193</v>
      </c>
      <c r="Y12" s="467">
        <f>100*((((X12/100)-((X12/100)-0.03574)*$E$21)-0.03574-0.00619)/0.344)</f>
        <v>27.84841857874963</v>
      </c>
      <c r="Z12" s="459">
        <f>$E$20</f>
        <v>0.25</v>
      </c>
      <c r="AA12" s="467">
        <f>Y12+Z12</f>
        <v>28.09841857874963</v>
      </c>
      <c r="AB12" s="467">
        <f>100*($E$17*$E$19+($E$18*(AA12/100))/(1-$E$21))</f>
        <v>26.562214760328796</v>
      </c>
      <c r="AC12" s="468">
        <f>AB12/V12</f>
        <v>7.8401514304565351E-2</v>
      </c>
      <c r="AD12" s="466">
        <f>$E$8/(1-AC12)</f>
        <v>326965.06696027645</v>
      </c>
      <c r="AE12" s="459" t="str">
        <f>IF(AD12=AD6,"yes","not yet")</f>
        <v>not yet</v>
      </c>
      <c r="AF12" s="467">
        <f>100*(1-AC12)</f>
        <v>92.15984856954347</v>
      </c>
      <c r="AG12" s="459"/>
      <c r="AH12" s="459"/>
      <c r="AI12" s="459"/>
      <c r="AJ12" s="459"/>
      <c r="AK12" s="459"/>
      <c r="AL12" s="459"/>
      <c r="AM12" s="459"/>
      <c r="AN12" s="459"/>
      <c r="AO12" s="459"/>
      <c r="AP12" s="459"/>
      <c r="AQ12" s="459"/>
      <c r="AR12" s="459"/>
      <c r="AS12" s="457"/>
      <c r="AT12" s="461"/>
      <c r="AU12" s="457"/>
      <c r="AV12" s="457"/>
      <c r="AW12" s="457"/>
      <c r="AX12" s="457"/>
      <c r="AY12" s="457"/>
      <c r="AZ12" s="457"/>
      <c r="BA12" s="457"/>
      <c r="BB12" s="457"/>
      <c r="BC12" s="457"/>
      <c r="BD12" s="457"/>
      <c r="BE12" s="457"/>
    </row>
    <row r="13" spans="1:57" ht="12.75">
      <c r="A13" s="457"/>
      <c r="B13" s="461"/>
      <c r="C13" s="459"/>
      <c r="D13" s="459"/>
      <c r="E13" s="459"/>
      <c r="F13" s="459"/>
      <c r="G13" s="459"/>
      <c r="H13" s="459"/>
      <c r="I13" s="459"/>
      <c r="J13" s="496"/>
      <c r="K13" s="497"/>
      <c r="L13" s="493"/>
      <c r="M13" s="459"/>
      <c r="N13" s="459"/>
      <c r="O13" s="459"/>
      <c r="P13" s="459"/>
      <c r="Q13" s="459"/>
      <c r="R13" s="459"/>
      <c r="S13" s="459"/>
      <c r="T13" s="459"/>
      <c r="U13" s="459"/>
      <c r="V13" s="467">
        <f>100*(+AD7/$E$9)</f>
        <v>338.4835816983811</v>
      </c>
      <c r="W13" s="474">
        <f>EXP(5.6985-(0.68367*LN(V13)))</f>
        <v>5.5649097919539505</v>
      </c>
      <c r="X13" s="468">
        <f>(+W13*V13)/100</f>
        <v>18.836305982089659</v>
      </c>
      <c r="Y13" s="467">
        <f>100*((((X13/100)-((X13/100)-0.03574)*$E$21)-0.03574-0.00619)/0.344)</f>
        <v>27.482912640055744</v>
      </c>
      <c r="Z13" s="459">
        <f>$E$20</f>
        <v>0.25</v>
      </c>
      <c r="AA13" s="467">
        <f>Y13+Z13</f>
        <v>27.732912640055744</v>
      </c>
      <c r="AB13" s="467">
        <f>100*($E$17*$E$19+($E$18*(AA13/100))/(1-$E$21))</f>
        <v>26.229936634243444</v>
      </c>
      <c r="AC13" s="468">
        <f>AB13/V13</f>
        <v>7.749249314436954E-2</v>
      </c>
      <c r="AD13" s="466">
        <f>$E$8/(1-AC13)</f>
        <v>326642.881869854</v>
      </c>
      <c r="AE13" s="459" t="str">
        <f>IF(AD13=AD7,"yes","not yet")</f>
        <v>not yet</v>
      </c>
      <c r="AF13" s="467">
        <f>100*(1-AC13)</f>
        <v>92.250750685563048</v>
      </c>
      <c r="AG13" s="459"/>
      <c r="AH13" s="459"/>
      <c r="AI13" s="459"/>
      <c r="AJ13" s="459">
        <v>1</v>
      </c>
      <c r="AK13" s="459">
        <v>2</v>
      </c>
      <c r="AL13" s="459">
        <v>3</v>
      </c>
      <c r="AM13" s="459">
        <v>4</v>
      </c>
      <c r="AN13" s="459">
        <v>5</v>
      </c>
      <c r="AO13" s="459">
        <v>6</v>
      </c>
      <c r="AP13" s="459">
        <v>7</v>
      </c>
      <c r="AQ13" s="459">
        <v>8</v>
      </c>
      <c r="AR13" s="459">
        <v>9</v>
      </c>
      <c r="AS13" s="457"/>
      <c r="AT13" s="461"/>
      <c r="AU13" s="457"/>
      <c r="AV13" s="457"/>
      <c r="AW13" s="457"/>
      <c r="AX13" s="457"/>
      <c r="AY13" s="457"/>
      <c r="AZ13" s="457"/>
      <c r="BA13" s="457"/>
      <c r="BB13" s="457"/>
      <c r="BC13" s="457"/>
      <c r="BD13" s="457"/>
      <c r="BE13" s="457"/>
    </row>
    <row r="14" spans="1:57" ht="12.75">
      <c r="A14" s="457"/>
      <c r="B14" s="461"/>
      <c r="C14" s="464" t="s">
        <v>1431</v>
      </c>
      <c r="D14" s="459"/>
      <c r="E14" s="459"/>
      <c r="F14" s="459"/>
      <c r="G14" s="459"/>
      <c r="H14" s="459"/>
      <c r="I14" s="459"/>
      <c r="J14" s="461"/>
      <c r="K14" s="462"/>
      <c r="L14" s="459"/>
      <c r="M14" s="459"/>
      <c r="N14" s="459"/>
      <c r="O14" s="459"/>
      <c r="P14" s="459"/>
      <c r="Q14" s="459"/>
      <c r="R14" s="459"/>
      <c r="S14" s="459"/>
      <c r="T14" s="459"/>
      <c r="U14" s="459"/>
      <c r="V14" s="467">
        <f>100*(+AD8/$E$9)</f>
        <v>338.283263978646</v>
      </c>
      <c r="W14" s="474">
        <f>EXP(5.6922-(0.68367*LN(V14)))</f>
        <v>5.5321996142779577</v>
      </c>
      <c r="X14" s="468">
        <f>(+W14*V14)/100</f>
        <v>18.71450542499354</v>
      </c>
      <c r="Y14" s="467">
        <f>100*((((X14/100)-((X14/100)-0.03574)*$E$21)-0.03574-0.00619)/0.344)</f>
        <v>27.249225524696918</v>
      </c>
      <c r="Z14" s="459">
        <f>$E$20</f>
        <v>0.25</v>
      </c>
      <c r="AA14" s="467">
        <f>Y14+Z14</f>
        <v>27.499225524696918</v>
      </c>
      <c r="AB14" s="467">
        <f>100*($E$17*$E$19+($E$18*(AA14/100))/(1-$E$21))</f>
        <v>26.017493802099061</v>
      </c>
      <c r="AC14" s="468">
        <f>AB14/V14</f>
        <v>7.6910378290962117E-2</v>
      </c>
      <c r="AD14" s="466">
        <f>$E$8/(1-AC14)</f>
        <v>326436.89572417049</v>
      </c>
      <c r="AE14" s="459" t="str">
        <f>IF(AD14=AD8,"yes","not yet")</f>
        <v>not yet</v>
      </c>
      <c r="AF14" s="467">
        <f>100*(1-AC14)</f>
        <v>92.308962170903783</v>
      </c>
      <c r="AG14" s="459"/>
      <c r="AH14" s="459"/>
      <c r="AI14" s="459"/>
      <c r="AJ14" s="459" t="str">
        <f>AE5</f>
        <v>not yet</v>
      </c>
      <c r="AK14" s="459" t="str">
        <f>AE11</f>
        <v>not yet</v>
      </c>
      <c r="AL14" s="459" t="str">
        <f>AE17</f>
        <v>not yet</v>
      </c>
      <c r="AM14" s="459" t="str">
        <f>AE23</f>
        <v>not yet</v>
      </c>
      <c r="AN14" s="459" t="str">
        <f>AE29</f>
        <v>not yet</v>
      </c>
      <c r="AO14" s="459" t="str">
        <f>AE35</f>
        <v>not yet</v>
      </c>
      <c r="AP14" s="459" t="str">
        <f>AE41</f>
        <v>yes</v>
      </c>
      <c r="AQ14" s="459" t="str">
        <f>AE47</f>
        <v>yes</v>
      </c>
      <c r="AR14" s="459" t="str">
        <f>AE53</f>
        <v>yes</v>
      </c>
      <c r="AS14" s="457"/>
      <c r="AT14" s="461"/>
      <c r="AU14" s="457"/>
      <c r="AV14" s="457"/>
      <c r="AW14" s="457"/>
      <c r="AX14" s="457"/>
      <c r="AY14" s="457"/>
      <c r="AZ14" s="457"/>
      <c r="BA14" s="457"/>
      <c r="BB14" s="457"/>
      <c r="BC14" s="457"/>
      <c r="BD14" s="457"/>
      <c r="BE14" s="457"/>
    </row>
    <row r="15" spans="1:57" ht="14.25">
      <c r="A15" s="457"/>
      <c r="B15" s="461"/>
      <c r="C15" s="464" t="s">
        <v>1432</v>
      </c>
      <c r="D15" s="459"/>
      <c r="E15" s="471" t="s">
        <v>1408</v>
      </c>
      <c r="F15" s="464" t="s">
        <v>1433</v>
      </c>
      <c r="G15" s="459"/>
      <c r="H15" s="467">
        <f>HLOOKUP($AJ$25,$AJ$19:$AR$23,($E$12)+1)</f>
        <v>92.283035096466762</v>
      </c>
      <c r="I15" s="464" t="s">
        <v>1410</v>
      </c>
      <c r="J15" s="457"/>
      <c r="K15" s="475"/>
      <c r="L15" s="459"/>
      <c r="M15" s="459"/>
      <c r="N15" s="459"/>
      <c r="O15" s="459"/>
      <c r="P15" s="459"/>
      <c r="Q15" s="459"/>
      <c r="R15" s="459"/>
      <c r="S15" s="459"/>
      <c r="T15" s="459"/>
      <c r="U15" s="459"/>
      <c r="V15" s="459"/>
      <c r="W15" s="459"/>
      <c r="X15" s="459"/>
      <c r="Y15" s="459"/>
      <c r="Z15" s="459"/>
      <c r="AA15" s="467"/>
      <c r="AB15" s="459"/>
      <c r="AC15" s="459"/>
      <c r="AD15" s="459"/>
      <c r="AE15" s="459"/>
      <c r="AF15" s="459"/>
      <c r="AG15" s="459"/>
      <c r="AH15" s="459"/>
      <c r="AI15" s="459"/>
      <c r="AJ15" s="459" t="str">
        <f>AE6</f>
        <v>not yet</v>
      </c>
      <c r="AK15" s="459" t="str">
        <f>AE12</f>
        <v>not yet</v>
      </c>
      <c r="AL15" s="459" t="str">
        <f>AE18</f>
        <v>not yet</v>
      </c>
      <c r="AM15" s="459" t="str">
        <f>AE24</f>
        <v>not yet</v>
      </c>
      <c r="AN15" s="459" t="str">
        <f>AE30</f>
        <v>not yet</v>
      </c>
      <c r="AO15" s="459" t="str">
        <f>AE36</f>
        <v>not yet</v>
      </c>
      <c r="AP15" s="459" t="str">
        <f>AE42</f>
        <v>yes</v>
      </c>
      <c r="AQ15" s="459" t="str">
        <f>AE48</f>
        <v>yes</v>
      </c>
      <c r="AR15" s="459" t="str">
        <f>AE54</f>
        <v>yes</v>
      </c>
      <c r="AS15" s="457"/>
      <c r="AT15" s="461"/>
      <c r="AU15" s="457"/>
      <c r="AV15" s="457"/>
      <c r="AW15" s="457"/>
      <c r="AX15" s="457"/>
      <c r="AY15" s="457"/>
      <c r="AZ15" s="457"/>
      <c r="BA15" s="457"/>
      <c r="BB15" s="457"/>
      <c r="BC15" s="457"/>
      <c r="BD15" s="457"/>
      <c r="BE15" s="457"/>
    </row>
    <row r="16" spans="1:57" ht="14.25">
      <c r="A16" s="457"/>
      <c r="B16" s="461"/>
      <c r="C16" s="476"/>
      <c r="D16" s="476"/>
      <c r="E16" s="477"/>
      <c r="F16" s="459"/>
      <c r="G16" s="459"/>
      <c r="H16" s="476"/>
      <c r="I16" s="461"/>
      <c r="J16" s="457"/>
      <c r="L16" s="478"/>
      <c r="M16" s="478"/>
      <c r="N16" s="478"/>
      <c r="O16" s="459"/>
      <c r="P16" s="459"/>
      <c r="Q16" s="459"/>
      <c r="R16" s="459"/>
      <c r="S16" s="459"/>
      <c r="T16" s="459"/>
      <c r="U16" s="459"/>
      <c r="V16" s="464" t="s">
        <v>1434</v>
      </c>
      <c r="W16" s="473" t="s">
        <v>1400</v>
      </c>
      <c r="X16" s="473" t="s">
        <v>1401</v>
      </c>
      <c r="Y16" s="473" t="s">
        <v>1402</v>
      </c>
      <c r="Z16" s="459"/>
      <c r="AA16" s="467"/>
      <c r="AB16" s="459"/>
      <c r="AC16" s="459"/>
      <c r="AD16" s="459"/>
      <c r="AE16" s="459"/>
      <c r="AF16" s="459"/>
      <c r="AG16" s="459"/>
      <c r="AH16" s="459"/>
      <c r="AI16" s="459"/>
      <c r="AJ16" s="459" t="str">
        <f>AE7</f>
        <v>not yet</v>
      </c>
      <c r="AK16" s="459" t="str">
        <f>AE13</f>
        <v>not yet</v>
      </c>
      <c r="AL16" s="459" t="str">
        <f>AE19</f>
        <v>not yet</v>
      </c>
      <c r="AM16" s="459" t="str">
        <f>AE25</f>
        <v>not yet</v>
      </c>
      <c r="AN16" s="459" t="str">
        <f>AE31</f>
        <v>not yet</v>
      </c>
      <c r="AO16" s="459" t="str">
        <f>AE37</f>
        <v>not yet</v>
      </c>
      <c r="AP16" s="459" t="str">
        <f>AE43</f>
        <v>yes</v>
      </c>
      <c r="AQ16" s="459" t="str">
        <f>AE49</f>
        <v>yes</v>
      </c>
      <c r="AR16" s="459" t="str">
        <f>AE55</f>
        <v>yes</v>
      </c>
      <c r="AS16" s="457"/>
      <c r="AT16" s="461"/>
      <c r="AU16" s="457"/>
      <c r="AV16" s="457"/>
      <c r="AW16" s="457"/>
      <c r="AX16" s="457"/>
      <c r="AY16" s="457"/>
      <c r="AZ16" s="457"/>
      <c r="BA16" s="457"/>
      <c r="BB16" s="457"/>
      <c r="BC16" s="457"/>
      <c r="BD16" s="457"/>
      <c r="BE16" s="457"/>
    </row>
    <row r="17" spans="1:57" ht="12.75">
      <c r="A17" s="457"/>
      <c r="B17" s="471" t="s">
        <v>550</v>
      </c>
      <c r="C17" s="464" t="s">
        <v>1435</v>
      </c>
      <c r="D17" s="459"/>
      <c r="E17" s="465">
        <f>'WCI BS'!E67</f>
        <v>0.4</v>
      </c>
      <c r="F17" s="464" t="s">
        <v>1436</v>
      </c>
      <c r="G17" s="459"/>
      <c r="H17" s="459"/>
      <c r="I17" s="461"/>
      <c r="J17" s="457"/>
      <c r="K17" s="459"/>
      <c r="L17" s="479"/>
      <c r="M17" s="479"/>
      <c r="N17" s="480"/>
      <c r="O17" s="481"/>
      <c r="P17" s="459"/>
      <c r="Q17" s="459"/>
      <c r="R17" s="459"/>
      <c r="S17" s="459"/>
      <c r="T17" s="459"/>
      <c r="U17" s="459"/>
      <c r="V17" s="467">
        <f>100*(+AD11/$E$9)</f>
        <v>341.78648843689399</v>
      </c>
      <c r="W17" s="474">
        <f>EXP(5.7226-(0.68367*LN(+V17)))</f>
        <v>5.66293264838247</v>
      </c>
      <c r="X17" s="468">
        <f>(+W17*V17)/100</f>
        <v>19.355138641452847</v>
      </c>
      <c r="Y17" s="467">
        <f>100*((((X17/100)-((X17/100)-0.03574)*$E$21)-0.03574-0.00619)/0.344)</f>
        <v>28.478347393485109</v>
      </c>
      <c r="Z17" s="459">
        <f>$E$20</f>
        <v>0.25</v>
      </c>
      <c r="AA17" s="467">
        <f>Y17+Z17</f>
        <v>28.728347393485109</v>
      </c>
      <c r="AB17" s="467">
        <f>100*($E$17*$E$19+($E$18*(AA17/100))/(1-$E$21))</f>
        <v>27.134877319179228</v>
      </c>
      <c r="AC17" s="468">
        <f>AB17/V17</f>
        <v>7.9391310766192852E-2</v>
      </c>
      <c r="AD17" s="466">
        <f>$E$8/(1-AC17)</f>
        <v>327316.60488310712</v>
      </c>
      <c r="AE17" s="459" t="str">
        <f>IF(AD17=AD11,"yes","not yet")</f>
        <v>not yet</v>
      </c>
      <c r="AF17" s="467">
        <f>100*(1-AC17)</f>
        <v>92.06086892338071</v>
      </c>
      <c r="AG17" s="459"/>
      <c r="AH17" s="459"/>
      <c r="AI17" s="459"/>
      <c r="AJ17" s="459" t="str">
        <f>AE8</f>
        <v>not yet</v>
      </c>
      <c r="AK17" s="459" t="str">
        <f>AE14</f>
        <v>not yet</v>
      </c>
      <c r="AL17" s="459" t="str">
        <f>AE20</f>
        <v>not yet</v>
      </c>
      <c r="AM17" s="459" t="str">
        <f>AE26</f>
        <v>not yet</v>
      </c>
      <c r="AN17" s="459" t="str">
        <f>AE32</f>
        <v>not yet</v>
      </c>
      <c r="AO17" s="459" t="str">
        <f>AE38</f>
        <v>not yet</v>
      </c>
      <c r="AP17" s="459" t="str">
        <f>AE44</f>
        <v>yes</v>
      </c>
      <c r="AQ17" s="459" t="str">
        <f>AE50</f>
        <v>yes</v>
      </c>
      <c r="AR17" s="459" t="str">
        <f>AE56</f>
        <v>yes</v>
      </c>
      <c r="AS17" s="457"/>
      <c r="AT17" s="471"/>
      <c r="AU17" s="457"/>
      <c r="AV17" s="457"/>
      <c r="AW17" s="457"/>
      <c r="AX17" s="457"/>
      <c r="AY17" s="457"/>
      <c r="AZ17" s="457"/>
      <c r="BA17" s="457"/>
      <c r="BB17" s="457"/>
      <c r="BC17" s="457"/>
      <c r="BD17" s="457"/>
      <c r="BE17" s="457"/>
    </row>
    <row r="18" spans="1:57" ht="12.75">
      <c r="A18" s="457"/>
      <c r="B18" s="471" t="s">
        <v>550</v>
      </c>
      <c r="C18" s="464" t="s">
        <v>1437</v>
      </c>
      <c r="D18" s="459"/>
      <c r="E18" s="465">
        <f>'WCI BS'!E68</f>
        <v>0.6</v>
      </c>
      <c r="F18" s="464" t="s">
        <v>1438</v>
      </c>
      <c r="G18" s="459"/>
      <c r="H18" s="465">
        <v>1.4999999999999999E-2</v>
      </c>
      <c r="I18" s="464" t="s">
        <v>550</v>
      </c>
      <c r="J18" s="457"/>
      <c r="K18" s="459"/>
      <c r="L18" s="479"/>
      <c r="M18" s="479"/>
      <c r="N18" s="480"/>
      <c r="O18" s="481"/>
      <c r="P18" s="459"/>
      <c r="Q18" s="459"/>
      <c r="R18" s="459"/>
      <c r="S18" s="459"/>
      <c r="T18" s="459"/>
      <c r="U18" s="459"/>
      <c r="V18" s="467">
        <f>100*(+AD12/$E$9)</f>
        <v>341.28686082859184</v>
      </c>
      <c r="W18" s="474">
        <f>EXP(5.70827-(0.68367*LN(+V18)))</f>
        <v>5.5879473647254523</v>
      </c>
      <c r="X18" s="468">
        <f>(+W18*V18)/100</f>
        <v>19.070930145825518</v>
      </c>
      <c r="Y18" s="467">
        <f>100*((((X18/100)-((X18/100)-0.03574)*$E$21)-0.03574-0.00619)/0.344)</f>
        <v>27.933063651874541</v>
      </c>
      <c r="Z18" s="459">
        <f>$E$20</f>
        <v>0.25</v>
      </c>
      <c r="AA18" s="467">
        <f>Y18+Z18</f>
        <v>28.183063651874541</v>
      </c>
      <c r="AB18" s="467">
        <f>100*($E$17*$E$19+($E$18*(AA18/100))/(1-$E$21))</f>
        <v>26.639164826805988</v>
      </c>
      <c r="AC18" s="468">
        <f>AB18/V18</f>
        <v>7.8055055392786607E-2</v>
      </c>
      <c r="AD18" s="466">
        <f>$E$8/(1-AC18)</f>
        <v>326842.19632472348</v>
      </c>
      <c r="AE18" s="459" t="str">
        <f>IF(AD18=AD12,"yes","not yet")</f>
        <v>not yet</v>
      </c>
      <c r="AF18" s="467">
        <f>100*(1-AC18)</f>
        <v>92.194494460721344</v>
      </c>
      <c r="AG18" s="459"/>
      <c r="AH18" s="459"/>
      <c r="AI18" s="459"/>
      <c r="AJ18" s="459"/>
      <c r="AK18" s="459"/>
      <c r="AL18" s="459"/>
      <c r="AM18" s="459"/>
      <c r="AN18" s="459"/>
      <c r="AO18" s="459"/>
      <c r="AP18" s="459"/>
      <c r="AQ18" s="459"/>
      <c r="AR18" s="459"/>
      <c r="AS18" s="457"/>
      <c r="AT18" s="471"/>
      <c r="AU18" s="457"/>
      <c r="AV18" s="457"/>
      <c r="AW18" s="457"/>
      <c r="AX18" s="457"/>
      <c r="AY18" s="457"/>
      <c r="AZ18" s="457"/>
      <c r="BA18" s="457"/>
      <c r="BB18" s="457"/>
      <c r="BC18" s="457"/>
      <c r="BD18" s="457"/>
      <c r="BE18" s="457"/>
    </row>
    <row r="19" spans="1:57" ht="12.75">
      <c r="A19" s="457"/>
      <c r="B19" s="471" t="s">
        <v>550</v>
      </c>
      <c r="C19" s="464" t="s">
        <v>1439</v>
      </c>
      <c r="D19" s="459"/>
      <c r="E19" s="465">
        <f>'WCI BS'!C76</f>
        <v>2.5454946763910118E-2</v>
      </c>
      <c r="F19" s="464" t="s">
        <v>1440</v>
      </c>
      <c r="G19" s="459"/>
      <c r="H19" s="1284">
        <v>5.1000000000000004E-3</v>
      </c>
      <c r="I19" s="464" t="s">
        <v>550</v>
      </c>
      <c r="J19" s="457"/>
      <c r="K19" s="459"/>
      <c r="L19" s="479"/>
      <c r="M19" s="459"/>
      <c r="N19" s="480"/>
      <c r="O19" s="482"/>
      <c r="P19" s="459"/>
      <c r="Q19" s="459"/>
      <c r="R19" s="459"/>
      <c r="S19" s="459"/>
      <c r="T19" s="459"/>
      <c r="U19" s="459"/>
      <c r="V19" s="467">
        <f>100*(+AD13/$E$9)</f>
        <v>340.95056331785679</v>
      </c>
      <c r="W19" s="474">
        <f>EXP(5.6985-(0.68367*LN(V19)))</f>
        <v>5.537349902798673</v>
      </c>
      <c r="X19" s="468">
        <f>(+W19*V19)/100</f>
        <v>18.87962568647287</v>
      </c>
      <c r="Y19" s="467">
        <f>100*((((X19/100)-((X19/100)-0.03574)*$E$21)-0.03574-0.00619)/0.344)</f>
        <v>27.56602602637237</v>
      </c>
      <c r="Z19" s="459">
        <f>$E$20</f>
        <v>0.25</v>
      </c>
      <c r="AA19" s="467">
        <f>Y19+Z19</f>
        <v>27.81602602637237</v>
      </c>
      <c r="AB19" s="467">
        <f>100*($E$17*$E$19+($E$18*(AA19/100))/(1-$E$21))</f>
        <v>26.305494258167649</v>
      </c>
      <c r="AC19" s="468">
        <f>AB19/V19</f>
        <v>7.7153397261420328E-2</v>
      </c>
      <c r="AD19" s="466">
        <f>$E$8/(1-AC19)</f>
        <v>326522.85839454609</v>
      </c>
      <c r="AE19" s="459" t="str">
        <f>IF(AD19=AD13,"yes","not yet")</f>
        <v>not yet</v>
      </c>
      <c r="AF19" s="467">
        <f>100*(1-AC19)</f>
        <v>92.284660273857966</v>
      </c>
      <c r="AG19" s="459"/>
      <c r="AH19" s="459"/>
      <c r="AI19" s="459"/>
      <c r="AJ19" s="459" t="str">
        <f>HLOOKUP(1,$AJ$13:$AR$17,($E$12)+1)</f>
        <v>not yet</v>
      </c>
      <c r="AK19" s="459" t="str">
        <f>HLOOKUP(2,$AJ$13:$AR$17,($E$12)+1)</f>
        <v>not yet</v>
      </c>
      <c r="AL19" s="459" t="str">
        <f>HLOOKUP(3,$AJ$13:$AR$17,($E$12)+1)</f>
        <v>not yet</v>
      </c>
      <c r="AM19" s="459" t="str">
        <f>HLOOKUP(4,$AJ$13:$AR$17,($E$12)+1)</f>
        <v>not yet</v>
      </c>
      <c r="AN19" s="459" t="str">
        <f>HLOOKUP(5,$AJ$13:$AR$17,($E$12)+1)</f>
        <v>not yet</v>
      </c>
      <c r="AO19" s="459" t="str">
        <f>HLOOKUP(6,$AJ$13:$AR$17,($E$12)+1)</f>
        <v>not yet</v>
      </c>
      <c r="AP19" s="459" t="str">
        <f>HLOOKUP(7,$AJ$13:$AR$17,($E$12)+1)</f>
        <v>yes</v>
      </c>
      <c r="AQ19" s="459" t="str">
        <f>HLOOKUP(8,$AJ$13:$AR$17,($E$12)+1)</f>
        <v>yes</v>
      </c>
      <c r="AR19" s="459" t="str">
        <f>HLOOKUP(9,$AJ$13:$AR$17,($E$12)+1)</f>
        <v>yes</v>
      </c>
      <c r="AS19" s="457"/>
      <c r="AT19" s="471"/>
      <c r="AU19" s="457"/>
      <c r="AV19" s="457"/>
      <c r="AW19" s="457"/>
      <c r="AX19" s="457"/>
      <c r="AY19" s="457"/>
      <c r="AZ19" s="457"/>
      <c r="BA19" s="457"/>
      <c r="BB19" s="457"/>
      <c r="BC19" s="457"/>
      <c r="BD19" s="457"/>
      <c r="BE19" s="457"/>
    </row>
    <row r="20" spans="1:57" ht="12.75">
      <c r="A20" s="457"/>
      <c r="B20" s="471" t="s">
        <v>550</v>
      </c>
      <c r="C20" s="464" t="s">
        <v>1441</v>
      </c>
      <c r="D20" s="459"/>
      <c r="E20" s="483">
        <v>0.25</v>
      </c>
      <c r="F20" s="464" t="s">
        <v>1442</v>
      </c>
      <c r="G20" s="459"/>
      <c r="H20" s="465"/>
      <c r="I20" s="464" t="s">
        <v>550</v>
      </c>
      <c r="J20" s="457"/>
      <c r="K20" s="459"/>
      <c r="L20" s="459"/>
      <c r="M20" s="459"/>
      <c r="N20" s="459"/>
      <c r="O20" s="484"/>
      <c r="P20" s="459"/>
      <c r="Q20" s="459"/>
      <c r="R20" s="459"/>
      <c r="S20" s="459"/>
      <c r="T20" s="459"/>
      <c r="U20" s="459"/>
      <c r="V20" s="467">
        <f>100*(+AD14/$E$9)</f>
        <v>340.73555452291708</v>
      </c>
      <c r="W20" s="474">
        <f>EXP(5.6922-(0.68367*LN(V20)))</f>
        <v>5.5049478585712075</v>
      </c>
      <c r="X20" s="468">
        <f>(+W20*V20)/100</f>
        <v>18.757314612100053</v>
      </c>
      <c r="Y20" s="467">
        <f>100*((((X20/100)-((X20/100)-0.03574)*$E$21)-0.03574-0.00619)/0.344)</f>
        <v>27.331359430191966</v>
      </c>
      <c r="Z20" s="459">
        <f>$E$20</f>
        <v>0.25</v>
      </c>
      <c r="AA20" s="467">
        <f>Y20+Z20</f>
        <v>27.581359430191966</v>
      </c>
      <c r="AB20" s="467">
        <f>100*($E$17*$E$19+($E$18*(AA20/100))/(1-$E$21))</f>
        <v>26.092160988912738</v>
      </c>
      <c r="AC20" s="468">
        <f>AB20/V20</f>
        <v>7.6575985812357722E-2</v>
      </c>
      <c r="AD20" s="466">
        <f>$E$8/(1-AC20)</f>
        <v>326318.68562675914</v>
      </c>
      <c r="AE20" s="459" t="str">
        <f>IF(AD20=AD14,"yes","not yet")</f>
        <v>not yet</v>
      </c>
      <c r="AF20" s="467">
        <f>100*(1-AC20)</f>
        <v>92.342401418764226</v>
      </c>
      <c r="AG20" s="459"/>
      <c r="AH20" s="459"/>
      <c r="AI20" s="459">
        <v>1</v>
      </c>
      <c r="AJ20" s="467">
        <f>AF5</f>
        <v>92.70938258587698</v>
      </c>
      <c r="AK20" s="467">
        <f>AF11</f>
        <v>92.025128192114664</v>
      </c>
      <c r="AL20" s="467">
        <f>AF17</f>
        <v>92.06086892338071</v>
      </c>
      <c r="AM20" s="467">
        <f>AF23</f>
        <v>92.058999160805698</v>
      </c>
      <c r="AN20" s="467">
        <f>AF29</f>
        <v>92.059096968729349</v>
      </c>
      <c r="AO20" s="467">
        <f>AF35</f>
        <v>92.059091852341368</v>
      </c>
      <c r="AP20" s="467">
        <f>AF41</f>
        <v>92.059093248870511</v>
      </c>
      <c r="AQ20" s="467">
        <f>AF47</f>
        <v>92.059093248870511</v>
      </c>
      <c r="AR20" s="467">
        <f>AF53</f>
        <v>92.059093248870511</v>
      </c>
      <c r="AS20" s="457"/>
      <c r="AT20" s="471"/>
      <c r="AU20" s="457"/>
      <c r="AV20" s="457"/>
      <c r="AW20" s="457"/>
      <c r="AX20" s="457"/>
      <c r="AY20" s="457"/>
      <c r="AZ20" s="457"/>
      <c r="BA20" s="457"/>
      <c r="BB20" s="457"/>
      <c r="BC20" s="457"/>
      <c r="BD20" s="457"/>
      <c r="BE20" s="457"/>
    </row>
    <row r="21" spans="1:57" ht="12.75">
      <c r="A21" s="457"/>
      <c r="B21" s="471" t="s">
        <v>550</v>
      </c>
      <c r="C21" s="464" t="s">
        <v>1443</v>
      </c>
      <c r="D21" s="459"/>
      <c r="E21" s="483">
        <v>0.34</v>
      </c>
      <c r="F21" s="464" t="s">
        <v>1444</v>
      </c>
      <c r="G21" s="459"/>
      <c r="H21" s="465">
        <f>'Restating Adj''s'!E118</f>
        <v>4.1173865181838021E-3</v>
      </c>
      <c r="I21" s="464" t="s">
        <v>550</v>
      </c>
      <c r="J21" s="457"/>
      <c r="K21" s="459"/>
      <c r="L21" s="459"/>
      <c r="M21" s="459"/>
      <c r="N21" s="459"/>
      <c r="O21" s="459"/>
      <c r="P21" s="459"/>
      <c r="Q21" s="459"/>
      <c r="R21" s="459"/>
      <c r="S21" s="459"/>
      <c r="T21" s="459"/>
      <c r="U21" s="459"/>
      <c r="V21" s="459"/>
      <c r="W21" s="459"/>
      <c r="X21" s="459"/>
      <c r="Y21" s="459"/>
      <c r="Z21" s="459"/>
      <c r="AA21" s="467"/>
      <c r="AB21" s="459"/>
      <c r="AC21" s="459"/>
      <c r="AD21" s="459"/>
      <c r="AE21" s="459"/>
      <c r="AF21" s="459"/>
      <c r="AG21" s="459"/>
      <c r="AH21" s="459"/>
      <c r="AI21" s="459">
        <v>2</v>
      </c>
      <c r="AJ21" s="467">
        <f>AF6</f>
        <v>92.837083501803505</v>
      </c>
      <c r="AK21" s="467">
        <f>AF12</f>
        <v>92.15984856954347</v>
      </c>
      <c r="AL21" s="467">
        <f>AF18</f>
        <v>92.194494460721344</v>
      </c>
      <c r="AM21" s="467">
        <f>AF24</f>
        <v>92.192719297818087</v>
      </c>
      <c r="AN21" s="467">
        <f>AF30</f>
        <v>92.192810245184546</v>
      </c>
      <c r="AO21" s="467">
        <f>AF36</f>
        <v>92.192805585636307</v>
      </c>
      <c r="AP21" s="467">
        <f>AF42</f>
        <v>92.19280316924457</v>
      </c>
      <c r="AQ21" s="467">
        <f>AF48</f>
        <v>92.19280316924457</v>
      </c>
      <c r="AR21" s="467">
        <f>AF54</f>
        <v>92.19280316924457</v>
      </c>
      <c r="AS21" s="457"/>
      <c r="AT21" s="471"/>
      <c r="AU21" s="457"/>
      <c r="AV21" s="457"/>
      <c r="AW21" s="457"/>
      <c r="AX21" s="457"/>
      <c r="AY21" s="457"/>
      <c r="AZ21" s="457"/>
      <c r="BA21" s="457"/>
      <c r="BB21" s="457"/>
      <c r="BC21" s="457"/>
      <c r="BD21" s="457"/>
      <c r="BE21" s="457"/>
    </row>
    <row r="22" spans="1:57" ht="12.75">
      <c r="A22" s="457"/>
      <c r="B22" s="461"/>
      <c r="C22" s="459"/>
      <c r="D22" s="459"/>
      <c r="E22" s="459"/>
      <c r="F22" s="459"/>
      <c r="G22" s="459"/>
      <c r="H22" s="476"/>
      <c r="I22" s="476"/>
      <c r="J22" s="461"/>
      <c r="K22" s="459"/>
      <c r="L22" s="459"/>
      <c r="M22" s="459"/>
      <c r="N22" s="459"/>
      <c r="O22" s="459"/>
      <c r="P22" s="459"/>
      <c r="Q22" s="459"/>
      <c r="R22" s="459"/>
      <c r="S22" s="459"/>
      <c r="T22" s="459"/>
      <c r="U22" s="459"/>
      <c r="V22" s="464" t="s">
        <v>1445</v>
      </c>
      <c r="W22" s="473" t="s">
        <v>1400</v>
      </c>
      <c r="X22" s="473" t="s">
        <v>1401</v>
      </c>
      <c r="Y22" s="473" t="s">
        <v>1402</v>
      </c>
      <c r="Z22" s="459"/>
      <c r="AA22" s="467"/>
      <c r="AB22" s="459"/>
      <c r="AC22" s="459"/>
      <c r="AD22" s="459"/>
      <c r="AE22" s="459"/>
      <c r="AF22" s="459"/>
      <c r="AG22" s="459"/>
      <c r="AH22" s="459"/>
      <c r="AI22" s="459">
        <v>3</v>
      </c>
      <c r="AJ22" s="467">
        <f>AF7</f>
        <v>92.923105028961913</v>
      </c>
      <c r="AK22" s="467">
        <f>AF13</f>
        <v>92.250750685563048</v>
      </c>
      <c r="AL22" s="467">
        <f>AF19</f>
        <v>92.284660273857966</v>
      </c>
      <c r="AM22" s="467">
        <f>AF25</f>
        <v>92.282947426279094</v>
      </c>
      <c r="AN22" s="467">
        <f>AF31</f>
        <v>92.283033939196457</v>
      </c>
      <c r="AO22" s="467">
        <f>AF37</f>
        <v>92.283029569563965</v>
      </c>
      <c r="AP22" s="467">
        <f>AF43</f>
        <v>92.283035096466762</v>
      </c>
      <c r="AQ22" s="467">
        <f>AF49</f>
        <v>92.283035096466762</v>
      </c>
      <c r="AR22" s="467">
        <f>AF55</f>
        <v>92.283035096466762</v>
      </c>
      <c r="AS22" s="457"/>
      <c r="AT22" s="461"/>
      <c r="AU22" s="457"/>
      <c r="AV22" s="457"/>
      <c r="AW22" s="457"/>
      <c r="AX22" s="457"/>
      <c r="AY22" s="457"/>
      <c r="AZ22" s="457"/>
      <c r="BA22" s="457"/>
      <c r="BB22" s="457"/>
      <c r="BC22" s="457"/>
      <c r="BD22" s="457"/>
      <c r="BE22" s="457"/>
    </row>
    <row r="23" spans="1:57" ht="14.25">
      <c r="A23" s="457"/>
      <c r="B23" s="461"/>
      <c r="C23" s="459"/>
      <c r="D23" s="459"/>
      <c r="E23" s="459"/>
      <c r="F23" s="464" t="s">
        <v>1446</v>
      </c>
      <c r="G23" s="459"/>
      <c r="H23" s="465">
        <f>SUM(H18:H21)</f>
        <v>2.4217386518183802E-2</v>
      </c>
      <c r="I23" s="465"/>
      <c r="J23" s="461"/>
      <c r="K23" s="475"/>
      <c r="N23" s="462"/>
      <c r="O23" s="459"/>
      <c r="P23" s="462"/>
      <c r="Q23" s="459"/>
      <c r="R23" s="459"/>
      <c r="S23" s="459"/>
      <c r="T23" s="459"/>
      <c r="U23" s="459"/>
      <c r="V23" s="467">
        <f>100*(+AD17/$E$9)</f>
        <v>341.65379689078486</v>
      </c>
      <c r="W23" s="474">
        <f>EXP(5.7226-(0.68367*LN(+V23)))</f>
        <v>5.664436199674971</v>
      </c>
      <c r="X23" s="468">
        <f>(+W23*V23)/100</f>
        <v>19.352761348645618</v>
      </c>
      <c r="Y23" s="467">
        <f>100*((((X23/100)-((X23/100)-0.03574)*$E$21)-0.03574-0.00619)/0.344)</f>
        <v>28.473786308447995</v>
      </c>
      <c r="Z23" s="459">
        <f>$E$20</f>
        <v>0.25</v>
      </c>
      <c r="AA23" s="467">
        <f>Y23+Z23</f>
        <v>28.723786308447995</v>
      </c>
      <c r="AB23" s="467">
        <f>100*($E$17*$E$19+($E$18*(AA23/100))/(1-$E$21))</f>
        <v>27.130730878236403</v>
      </c>
      <c r="AC23" s="468">
        <f>AB23/V23</f>
        <v>7.9410008391942968E-2</v>
      </c>
      <c r="AD23" s="466">
        <f>$E$8/(1-AC23)</f>
        <v>327323.25284086866</v>
      </c>
      <c r="AE23" s="459" t="str">
        <f>IF(AD23=AD17,"yes","not yet")</f>
        <v>not yet</v>
      </c>
      <c r="AF23" s="467">
        <f>100*(1-AC23)</f>
        <v>92.058999160805698</v>
      </c>
      <c r="AG23" s="459"/>
      <c r="AH23" s="459"/>
      <c r="AI23" s="459">
        <v>4</v>
      </c>
      <c r="AJ23" s="467">
        <f>AF8</f>
        <v>92.978130347953993</v>
      </c>
      <c r="AK23" s="467">
        <f>AF14</f>
        <v>92.308962170903783</v>
      </c>
      <c r="AL23" s="467">
        <f>AF20</f>
        <v>92.342401418764226</v>
      </c>
      <c r="AM23" s="467">
        <f>AF26</f>
        <v>92.3407278322249</v>
      </c>
      <c r="AN23" s="467">
        <f>AF32</f>
        <v>92.340811586362364</v>
      </c>
      <c r="AO23" s="467">
        <f>AF38</f>
        <v>92.340807394895407</v>
      </c>
      <c r="AP23" s="467">
        <f>AF44</f>
        <v>92.340803091861716</v>
      </c>
      <c r="AQ23" s="467">
        <f>AF50</f>
        <v>92.340803091861716</v>
      </c>
      <c r="AR23" s="467">
        <f>AF56</f>
        <v>92.340803091861716</v>
      </c>
      <c r="AS23" s="457"/>
      <c r="AT23" s="461"/>
      <c r="AU23" s="457"/>
      <c r="AV23" s="457"/>
      <c r="AW23" s="457"/>
      <c r="AX23" s="457"/>
      <c r="AY23" s="457"/>
      <c r="AZ23" s="457"/>
      <c r="BA23" s="457"/>
      <c r="BB23" s="457"/>
      <c r="BC23" s="457"/>
      <c r="BD23" s="457"/>
      <c r="BE23" s="457"/>
    </row>
    <row r="24" spans="1:57" ht="12.75">
      <c r="A24" s="457"/>
      <c r="B24" s="461"/>
      <c r="C24" s="459"/>
      <c r="D24" s="459"/>
      <c r="E24" s="459"/>
      <c r="F24" s="459"/>
      <c r="G24" s="459"/>
      <c r="H24" s="459"/>
      <c r="I24" s="459"/>
      <c r="J24" s="461"/>
      <c r="N24" s="462"/>
      <c r="O24" s="459"/>
      <c r="P24" s="459"/>
      <c r="Q24" s="459"/>
      <c r="R24" s="459"/>
      <c r="S24" s="459"/>
      <c r="T24" s="459"/>
      <c r="U24" s="459"/>
      <c r="V24" s="467">
        <f>100*(+AD18/$E$9)</f>
        <v>341.15860818715299</v>
      </c>
      <c r="W24" s="474">
        <f>EXP(5.70827-(0.68367*LN(+V24)))</f>
        <v>5.589383459145818</v>
      </c>
      <c r="X24" s="468">
        <f>(+W24*V24)/100</f>
        <v>19.068662815464819</v>
      </c>
      <c r="Y24" s="467">
        <f>100*((((X24/100)-((X24/100)-0.03574)*$E$21)-0.03574-0.00619)/0.344)</f>
        <v>27.928713541298777</v>
      </c>
      <c r="Z24" s="459">
        <f>$E$20</f>
        <v>0.25</v>
      </c>
      <c r="AA24" s="467">
        <f>Y24+Z24</f>
        <v>28.178713541298777</v>
      </c>
      <c r="AB24" s="467">
        <f>100*($E$17*$E$19+($E$18*(AA24/100))/(1-$E$21))</f>
        <v>26.635210180828022</v>
      </c>
      <c r="AC24" s="468">
        <f>AB24/V24</f>
        <v>7.8072807021819193E-2</v>
      </c>
      <c r="AD24" s="466">
        <f>$E$8/(1-AC24)</f>
        <v>326848.48964318243</v>
      </c>
      <c r="AE24" s="459" t="str">
        <f>IF(AD24=AD18,"yes","not yet")</f>
        <v>not yet</v>
      </c>
      <c r="AF24" s="467">
        <f>100*(1-AC24)</f>
        <v>92.192719297818087</v>
      </c>
      <c r="AG24" s="459"/>
      <c r="AH24" s="459"/>
      <c r="AI24" s="459"/>
      <c r="AJ24" s="459"/>
      <c r="AK24" s="459"/>
      <c r="AL24" s="459"/>
      <c r="AM24" s="459"/>
      <c r="AN24" s="459"/>
      <c r="AO24" s="459"/>
      <c r="AP24" s="459"/>
      <c r="AQ24" s="459"/>
      <c r="AR24" s="459"/>
      <c r="AS24" s="457"/>
      <c r="AT24" s="461"/>
      <c r="AU24" s="457"/>
      <c r="AV24" s="457"/>
      <c r="AW24" s="457"/>
      <c r="AX24" s="457"/>
      <c r="AY24" s="457"/>
      <c r="AZ24" s="457"/>
      <c r="BA24" s="457"/>
      <c r="BB24" s="457"/>
      <c r="BC24" s="457"/>
      <c r="BD24" s="457"/>
      <c r="BE24" s="457"/>
    </row>
    <row r="25" spans="1:57" ht="12.75">
      <c r="A25" s="457"/>
      <c r="B25" s="461"/>
      <c r="C25" s="459"/>
      <c r="D25" s="459"/>
      <c r="E25" s="459"/>
      <c r="F25" s="464" t="s">
        <v>1447</v>
      </c>
      <c r="G25" s="459"/>
      <c r="H25" s="468">
        <f>((+H15/100)-H23)</f>
        <v>0.89861296444648375</v>
      </c>
      <c r="I25" s="468"/>
      <c r="J25" s="461"/>
      <c r="N25" s="459"/>
      <c r="O25" s="459"/>
      <c r="P25" s="459"/>
      <c r="Q25" s="459"/>
      <c r="R25" s="459"/>
      <c r="S25" s="459"/>
      <c r="T25" s="459"/>
      <c r="U25" s="459"/>
      <c r="V25" s="467">
        <f>100*(+AD19/$E$9)</f>
        <v>340.82528254858568</v>
      </c>
      <c r="W25" s="474">
        <f>EXP(5.6985-(0.68367*LN(V25)))</f>
        <v>5.5387413792231914</v>
      </c>
      <c r="X25" s="468">
        <f>(+W25*V25)/100</f>
        <v>18.877430955372873</v>
      </c>
      <c r="Y25" s="467">
        <f>100*((((X25/100)-((X25/100)-0.03574)*$E$21)-0.03574-0.00619)/0.344)</f>
        <v>27.561815205075863</v>
      </c>
      <c r="Z25" s="459">
        <f>$E$20</f>
        <v>0.25</v>
      </c>
      <c r="AA25" s="467">
        <f>Y25+Z25</f>
        <v>27.811815205075863</v>
      </c>
      <c r="AB25" s="467">
        <f>100*($E$17*$E$19+($E$18*(AA25/100))/(1-$E$21))</f>
        <v>26.301666238807194</v>
      </c>
      <c r="AC25" s="468">
        <f>AB25/V25</f>
        <v>7.7170525737209103E-2</v>
      </c>
      <c r="AD25" s="466">
        <f>$E$8/(1-AC25)</f>
        <v>326528.91892797127</v>
      </c>
      <c r="AE25" s="459" t="str">
        <f>IF(AD25=AD19,"yes","not yet")</f>
        <v>not yet</v>
      </c>
      <c r="AF25" s="467">
        <f>100*(1-AC25)</f>
        <v>92.282947426279094</v>
      </c>
      <c r="AG25" s="459"/>
      <c r="AH25" s="459"/>
      <c r="AI25" s="459"/>
      <c r="AJ25" s="459" t="s">
        <v>1448</v>
      </c>
      <c r="AK25" s="459"/>
      <c r="AL25" s="459"/>
      <c r="AM25" s="459"/>
      <c r="AN25" s="459"/>
      <c r="AO25" s="459"/>
      <c r="AP25" s="459"/>
      <c r="AQ25" s="459"/>
      <c r="AR25" s="459"/>
      <c r="AS25" s="457"/>
      <c r="AT25" s="461"/>
      <c r="AU25" s="457"/>
      <c r="AV25" s="457"/>
      <c r="AW25" s="457"/>
      <c r="AX25" s="457"/>
      <c r="AY25" s="457"/>
      <c r="AZ25" s="457"/>
      <c r="BA25" s="457"/>
      <c r="BB25" s="457"/>
      <c r="BC25" s="457"/>
      <c r="BD25" s="457"/>
      <c r="BE25" s="457"/>
    </row>
    <row r="26" spans="1:57" ht="12.75">
      <c r="A26" s="457"/>
      <c r="B26" s="461"/>
      <c r="C26" s="459"/>
      <c r="D26" s="459"/>
      <c r="E26" s="459"/>
      <c r="F26" s="459"/>
      <c r="G26" s="459"/>
      <c r="H26" s="459"/>
      <c r="I26" s="459"/>
      <c r="J26" s="461"/>
      <c r="N26" s="459"/>
      <c r="O26" s="459"/>
      <c r="P26" s="459"/>
      <c r="Q26" s="459"/>
      <c r="R26" s="459"/>
      <c r="S26" s="459"/>
      <c r="T26" s="459"/>
      <c r="U26" s="459"/>
      <c r="V26" s="467">
        <f>100*(+AD20/$E$9)</f>
        <v>340.61216656150941</v>
      </c>
      <c r="W26" s="474">
        <f>EXP(5.6922-(0.68367*LN(V26)))</f>
        <v>5.5063111461729575</v>
      </c>
      <c r="X26" s="468">
        <f>(+W26*V26)/100</f>
        <v>18.75516569259759</v>
      </c>
      <c r="Y26" s="467">
        <f>100*((((X26/100)-((X26/100)-0.03574)*$E$21)-0.03574-0.00619)/0.344)</f>
        <v>27.327236503239561</v>
      </c>
      <c r="Z26" s="459">
        <f>$E$20</f>
        <v>0.25</v>
      </c>
      <c r="AA26" s="467">
        <f>Y26+Z26</f>
        <v>27.577236503239561</v>
      </c>
      <c r="AB26" s="467">
        <f>100*($E$17*$E$19+($E$18*(AA26/100))/(1-$E$21))</f>
        <v>26.088412873501461</v>
      </c>
      <c r="AC26" s="468">
        <f>AB26/V26</f>
        <v>7.6592721677751011E-2</v>
      </c>
      <c r="AD26" s="466">
        <f>$E$8/(1-AC26)</f>
        <v>326324.59983788367</v>
      </c>
      <c r="AE26" s="459" t="str">
        <f>IF(AD26=AD20,"yes","not yet")</f>
        <v>not yet</v>
      </c>
      <c r="AF26" s="467">
        <f>100*(1-AC26)</f>
        <v>92.3407278322249</v>
      </c>
      <c r="AG26" s="459"/>
      <c r="AH26" s="459"/>
      <c r="AI26" s="459"/>
      <c r="AJ26" s="467">
        <f>HLOOKUP($AJ$25,$AJ$19:$AR$23,($E$12)+1)</f>
        <v>92.283035096466762</v>
      </c>
      <c r="AK26" s="459"/>
      <c r="AL26" s="459"/>
      <c r="AM26" s="459"/>
      <c r="AN26" s="459"/>
      <c r="AO26" s="459"/>
      <c r="AP26" s="459"/>
      <c r="AQ26" s="459"/>
      <c r="AR26" s="459"/>
      <c r="AS26" s="457"/>
      <c r="AT26" s="461"/>
      <c r="AU26" s="457"/>
      <c r="AV26" s="457"/>
      <c r="AW26" s="457"/>
      <c r="AX26" s="457"/>
      <c r="AY26" s="457"/>
      <c r="AZ26" s="457"/>
      <c r="BA26" s="457"/>
      <c r="BB26" s="457"/>
      <c r="BC26" s="457"/>
      <c r="BD26" s="457"/>
      <c r="BE26" s="457"/>
    </row>
    <row r="27" spans="1:57" ht="12.75">
      <c r="A27" s="457"/>
      <c r="B27" s="461"/>
      <c r="C27" s="459"/>
      <c r="D27" s="459"/>
      <c r="E27" s="466"/>
      <c r="F27" s="459"/>
      <c r="G27" s="459"/>
      <c r="H27" s="459"/>
      <c r="I27" s="459"/>
      <c r="J27" s="461"/>
      <c r="N27" s="459"/>
      <c r="O27" s="459"/>
      <c r="P27" s="459"/>
      <c r="Q27" s="459"/>
      <c r="R27" s="459"/>
      <c r="S27" s="459"/>
      <c r="T27" s="459"/>
      <c r="U27" s="459"/>
      <c r="V27" s="459"/>
      <c r="W27" s="459"/>
      <c r="X27" s="459"/>
      <c r="Y27" s="459"/>
      <c r="Z27" s="459"/>
      <c r="AA27" s="467"/>
      <c r="AB27" s="459"/>
      <c r="AC27" s="459"/>
      <c r="AD27" s="459"/>
      <c r="AE27" s="459"/>
      <c r="AF27" s="459"/>
      <c r="AG27" s="459"/>
      <c r="AH27" s="459"/>
      <c r="AI27" s="459"/>
      <c r="AJ27" s="459"/>
      <c r="AK27" s="459"/>
      <c r="AL27" s="459"/>
      <c r="AM27" s="459"/>
      <c r="AN27" s="459"/>
      <c r="AO27" s="459"/>
      <c r="AP27" s="459"/>
      <c r="AQ27" s="459"/>
      <c r="AR27" s="459"/>
      <c r="AS27" s="457"/>
      <c r="AT27" s="461"/>
      <c r="AU27" s="457"/>
      <c r="AV27" s="457"/>
      <c r="AW27" s="457"/>
      <c r="AX27" s="457"/>
      <c r="AY27" s="457"/>
      <c r="AZ27" s="457"/>
      <c r="BA27" s="457"/>
      <c r="BB27" s="457"/>
      <c r="BC27" s="457"/>
      <c r="BD27" s="457"/>
      <c r="BE27" s="457"/>
    </row>
    <row r="28" spans="1:57" ht="12.75">
      <c r="A28" s="457"/>
      <c r="B28" s="461"/>
      <c r="C28" s="485"/>
      <c r="D28" s="461"/>
      <c r="E28" s="462"/>
      <c r="F28" s="461"/>
      <c r="G28" s="461"/>
      <c r="H28" s="461"/>
      <c r="I28" s="461"/>
      <c r="J28" s="459"/>
      <c r="K28" s="459"/>
      <c r="L28" s="459"/>
      <c r="M28" s="459"/>
      <c r="N28" s="459"/>
      <c r="O28" s="459"/>
      <c r="P28" s="459"/>
      <c r="Q28" s="459"/>
      <c r="R28" s="459"/>
      <c r="S28" s="459"/>
      <c r="T28" s="459"/>
      <c r="U28" s="459"/>
      <c r="V28" s="464" t="s">
        <v>1449</v>
      </c>
      <c r="W28" s="473" t="s">
        <v>1400</v>
      </c>
      <c r="X28" s="473" t="s">
        <v>1401</v>
      </c>
      <c r="Y28" s="473" t="s">
        <v>1402</v>
      </c>
      <c r="Z28" s="459"/>
      <c r="AA28" s="467"/>
      <c r="AB28" s="459"/>
      <c r="AC28" s="459"/>
      <c r="AD28" s="459"/>
      <c r="AE28" s="459"/>
      <c r="AF28" s="459"/>
      <c r="AG28" s="459"/>
      <c r="AH28" s="459"/>
      <c r="AI28" s="459"/>
      <c r="AJ28" s="459" t="str">
        <f>HLOOKUP(1,$AJ$13:$AR$17,($E$12)+1)</f>
        <v>not yet</v>
      </c>
      <c r="AK28" s="459" t="str">
        <f>HLOOKUP(2,$AJ$13:$AR$17,($E$12)+1)</f>
        <v>not yet</v>
      </c>
      <c r="AL28" s="459" t="str">
        <f>HLOOKUP(3,$AJ$13:$AR$17,($E$12)+1)</f>
        <v>not yet</v>
      </c>
      <c r="AM28" s="459" t="str">
        <f>HLOOKUP(4,$AJ$13:$AR$17,($E$12)+1)</f>
        <v>not yet</v>
      </c>
      <c r="AN28" s="459" t="str">
        <f>HLOOKUP(5,$AJ$13:$AR$17,($E$12)+1)</f>
        <v>not yet</v>
      </c>
      <c r="AO28" s="459" t="str">
        <f>HLOOKUP(6,$AJ$13:$AR$17,($E$12)+1)</f>
        <v>not yet</v>
      </c>
      <c r="AP28" s="459" t="str">
        <f>HLOOKUP(7,$AJ$13:$AR$17,($E$12)+1)</f>
        <v>yes</v>
      </c>
      <c r="AQ28" s="459" t="str">
        <f>HLOOKUP(8,$AJ$13:$AR$17,($E$12)+1)</f>
        <v>yes</v>
      </c>
      <c r="AR28" s="459" t="str">
        <f>HLOOKUP(9,$AJ$13:$AR$17,($E$12)+1)</f>
        <v>yes</v>
      </c>
      <c r="AS28" s="457"/>
      <c r="AT28" s="461"/>
      <c r="AU28" s="457"/>
      <c r="AV28" s="457"/>
      <c r="AW28" s="457"/>
      <c r="AX28" s="457"/>
      <c r="AY28" s="457"/>
      <c r="AZ28" s="457"/>
      <c r="BA28" s="457"/>
      <c r="BB28" s="457"/>
      <c r="BC28" s="457"/>
      <c r="BD28" s="457"/>
      <c r="BE28" s="457"/>
    </row>
    <row r="29" spans="1:57" ht="14.25">
      <c r="A29" s="457"/>
      <c r="B29" s="459"/>
      <c r="C29" s="1429" t="s">
        <v>2489</v>
      </c>
      <c r="D29" s="1430"/>
      <c r="E29" s="1431"/>
      <c r="F29" s="459"/>
      <c r="G29" s="466"/>
      <c r="H29" s="459"/>
      <c r="I29" s="463"/>
      <c r="J29" s="459"/>
      <c r="K29" s="459"/>
      <c r="L29" s="459"/>
      <c r="M29" s="459"/>
      <c r="N29" s="459"/>
      <c r="O29" s="459"/>
      <c r="P29" s="459"/>
      <c r="Q29" s="459"/>
      <c r="R29" s="459"/>
      <c r="S29" s="459"/>
      <c r="T29" s="459"/>
      <c r="U29" s="459"/>
      <c r="V29" s="467">
        <f>100*(+AD23/$E$9)</f>
        <v>341.66073604381563</v>
      </c>
      <c r="W29" s="474">
        <f>EXP(5.7226-(0.68367*LN(+V29)))</f>
        <v>5.6643575465466407</v>
      </c>
      <c r="X29" s="468">
        <f>(+W29*V29)/100</f>
        <v>19.352885685684669</v>
      </c>
      <c r="Y29" s="467">
        <f>100*((((X29/100)-((X29/100)-0.03574)*$E$21)-0.03574-0.00619)/0.344)</f>
        <v>28.47402486206942</v>
      </c>
      <c r="Z29" s="459">
        <f>$E$20</f>
        <v>0.25</v>
      </c>
      <c r="AA29" s="467">
        <f>Y29+Z29</f>
        <v>28.72402486206942</v>
      </c>
      <c r="AB29" s="467">
        <f>100*($E$17*$E$19+($E$18*(AA29/100))/(1-$E$21))</f>
        <v>27.130947745164967</v>
      </c>
      <c r="AC29" s="468">
        <f>AB29/V29</f>
        <v>7.9409030312706491E-2</v>
      </c>
      <c r="AD29" s="466">
        <f>$E$8/(1-AC29)</f>
        <v>327322.90507721709</v>
      </c>
      <c r="AE29" s="459" t="str">
        <f>IF(AD29=AD23,"yes","not yet")</f>
        <v>not yet</v>
      </c>
      <c r="AF29" s="467">
        <f>100*(1-AC29)</f>
        <v>92.059096968729349</v>
      </c>
      <c r="AG29" s="459"/>
      <c r="AH29" s="459"/>
      <c r="AI29" s="459">
        <v>1</v>
      </c>
      <c r="AJ29" s="467">
        <f>V5</f>
        <v>393.16181765922352</v>
      </c>
      <c r="AK29" s="467">
        <f>V11</f>
        <v>339.26388608621056</v>
      </c>
      <c r="AL29" s="467">
        <f>V17</f>
        <v>341.78648843689399</v>
      </c>
      <c r="AM29" s="467">
        <f>V23</f>
        <v>341.65379689078486</v>
      </c>
      <c r="AN29" s="467">
        <f>V29</f>
        <v>341.66073604381563</v>
      </c>
      <c r="AO29" s="467">
        <f>V35</f>
        <v>341.66037304734618</v>
      </c>
      <c r="AP29" s="467">
        <f>V41</f>
        <v>341.66047212795712</v>
      </c>
      <c r="AQ29" s="467">
        <f>V47</f>
        <v>341.66047212795712</v>
      </c>
      <c r="AR29" s="467">
        <f>V53</f>
        <v>341.66047212795712</v>
      </c>
      <c r="AS29" s="457"/>
      <c r="AT29" s="459"/>
      <c r="AU29" s="457"/>
      <c r="AV29" s="457"/>
      <c r="AW29" s="457"/>
      <c r="AX29" s="457"/>
      <c r="AY29" s="457"/>
      <c r="AZ29" s="457"/>
      <c r="BA29" s="457"/>
      <c r="BB29" s="457"/>
      <c r="BC29" s="457"/>
      <c r="BD29" s="457"/>
      <c r="BE29" s="457"/>
    </row>
    <row r="30" spans="1:57" ht="15.75" customHeight="1">
      <c r="A30" s="457"/>
      <c r="B30" s="459"/>
      <c r="C30" s="1285" t="s">
        <v>105</v>
      </c>
      <c r="D30" s="493"/>
      <c r="E30" s="1286">
        <f>+E7</f>
        <v>342167.44740666833</v>
      </c>
      <c r="F30" s="459"/>
      <c r="G30" s="486"/>
      <c r="H30" s="459"/>
      <c r="I30" s="463"/>
      <c r="J30" s="459"/>
      <c r="K30" s="1428"/>
      <c r="L30" s="1428"/>
      <c r="M30" s="1428"/>
      <c r="O30" s="459"/>
      <c r="P30" s="459"/>
      <c r="Q30" s="459"/>
      <c r="R30" s="459"/>
      <c r="S30" s="459"/>
      <c r="T30" s="459"/>
      <c r="U30" s="459"/>
      <c r="V30" s="467">
        <f>100*(+AD24/$E$9)</f>
        <v>341.16517716689452</v>
      </c>
      <c r="W30" s="474">
        <f>EXP(5.70827-(0.68367*LN(+V30)))</f>
        <v>5.5893098816542794</v>
      </c>
      <c r="X30" s="468">
        <f>(+W30*V30)/100</f>
        <v>19.068778960152564</v>
      </c>
      <c r="Y30" s="467">
        <f>100*((((X30/100)-((X30/100)-0.03574)*$E$21)-0.03574-0.00619)/0.344)</f>
        <v>27.928936377036901</v>
      </c>
      <c r="Z30" s="459">
        <f>$E$20</f>
        <v>0.25</v>
      </c>
      <c r="AA30" s="467">
        <f>Y30+Z30</f>
        <v>28.178936377036901</v>
      </c>
      <c r="AB30" s="467">
        <f>100*($E$17*$E$19+($E$18*(AA30/100))/(1-$E$21))</f>
        <v>26.635412758771771</v>
      </c>
      <c r="AC30" s="468">
        <f>AB30/V30</f>
        <v>7.8071897548154509E-2</v>
      </c>
      <c r="AD30" s="466">
        <f>$E$8/(1-AC30)</f>
        <v>326848.16721012839</v>
      </c>
      <c r="AE30" s="459" t="str">
        <f>IF(AD30=AD24,"yes","not yet")</f>
        <v>not yet</v>
      </c>
      <c r="AF30" s="467">
        <f>100*(1-AC30)</f>
        <v>92.192810245184546</v>
      </c>
      <c r="AG30" s="459"/>
      <c r="AH30" s="459"/>
      <c r="AI30" s="459">
        <v>2</v>
      </c>
      <c r="AJ30" s="467">
        <f>V6</f>
        <v>393.16181765922352</v>
      </c>
      <c r="AK30" s="467">
        <f>V12</f>
        <v>338.79721579283409</v>
      </c>
      <c r="AL30" s="467">
        <f>V18</f>
        <v>341.28686082859184</v>
      </c>
      <c r="AM30" s="467">
        <f>V24</f>
        <v>341.15860818715299</v>
      </c>
      <c r="AN30" s="467">
        <f>V30</f>
        <v>341.16517716689452</v>
      </c>
      <c r="AO30" s="467">
        <f>V36</f>
        <v>341.16484061055877</v>
      </c>
      <c r="AP30" s="467">
        <f>V42</f>
        <v>341.16466607625659</v>
      </c>
      <c r="AQ30" s="467">
        <f>V48</f>
        <v>341.16466607625659</v>
      </c>
      <c r="AR30" s="467">
        <f>V54</f>
        <v>341.16466607625659</v>
      </c>
      <c r="AS30" s="457"/>
      <c r="AT30" s="459"/>
      <c r="AU30" s="457"/>
      <c r="AV30" s="457"/>
      <c r="AW30" s="457"/>
      <c r="AX30" s="457"/>
      <c r="AY30" s="457"/>
      <c r="AZ30" s="457"/>
      <c r="BA30" s="457"/>
      <c r="BB30" s="457"/>
      <c r="BC30" s="457"/>
      <c r="BD30" s="457"/>
      <c r="BE30" s="457"/>
    </row>
    <row r="31" spans="1:57" ht="14.25">
      <c r="A31" s="457"/>
      <c r="B31" s="459"/>
      <c r="C31" s="1285" t="s">
        <v>2138</v>
      </c>
      <c r="D31" s="1287"/>
      <c r="E31" s="1288">
        <f>-'Yakima Consolidated IS'!Q17</f>
        <v>-36286.930604047615</v>
      </c>
      <c r="F31" s="489"/>
      <c r="G31" s="488"/>
      <c r="H31" s="459"/>
      <c r="I31" s="488"/>
      <c r="J31" s="459"/>
      <c r="K31" s="1257"/>
      <c r="L31" s="1257"/>
      <c r="M31" s="493"/>
      <c r="O31" s="459"/>
      <c r="P31" s="459"/>
      <c r="Q31" s="459"/>
      <c r="R31" s="459"/>
      <c r="S31" s="459"/>
      <c r="T31" s="459"/>
      <c r="U31" s="459"/>
      <c r="V31" s="467">
        <f>100*(+AD25/$E$9)</f>
        <v>340.83160854679352</v>
      </c>
      <c r="W31" s="474">
        <f>EXP(5.6985-(0.68367*LN(V31)))</f>
        <v>5.5386710965800985</v>
      </c>
      <c r="X31" s="468">
        <f>(+W31*V31)/100</f>
        <v>18.877541790590278</v>
      </c>
      <c r="Y31" s="467">
        <f>100*((((X31/100)-((X31/100)-0.03574)*$E$21)-0.03574-0.00619)/0.344)</f>
        <v>27.562027854039489</v>
      </c>
      <c r="Z31" s="459">
        <f>$E$20</f>
        <v>0.25</v>
      </c>
      <c r="AA31" s="467">
        <f>Y31+Z31</f>
        <v>27.812027854039489</v>
      </c>
      <c r="AB31" s="467">
        <f>100*($E$17*$E$19+($E$18*(AA31/100))/(1-$E$21))</f>
        <v>26.301859556046853</v>
      </c>
      <c r="AC31" s="468">
        <f>AB31/V31</f>
        <v>7.7169660608035456E-2</v>
      </c>
      <c r="AD31" s="466">
        <f>$E$8/(1-AC31)</f>
        <v>326528.61281569715</v>
      </c>
      <c r="AE31" s="459" t="str">
        <f>IF(AD31=AD25,"yes","not yet")</f>
        <v>not yet</v>
      </c>
      <c r="AF31" s="467">
        <f>100*(1-AC31)</f>
        <v>92.283033939196457</v>
      </c>
      <c r="AG31" s="459"/>
      <c r="AH31" s="459"/>
      <c r="AI31" s="459">
        <v>3</v>
      </c>
      <c r="AJ31" s="467">
        <f>V7</f>
        <v>393.16181765922352</v>
      </c>
      <c r="AK31" s="467">
        <f>V13</f>
        <v>338.4835816983811</v>
      </c>
      <c r="AL31" s="467">
        <f>V19</f>
        <v>340.95056331785679</v>
      </c>
      <c r="AM31" s="467">
        <f>V25</f>
        <v>340.82528254858568</v>
      </c>
      <c r="AN31" s="467">
        <f>V31</f>
        <v>340.83160854679352</v>
      </c>
      <c r="AO31" s="467">
        <f>V37</f>
        <v>340.83128902612401</v>
      </c>
      <c r="AP31" s="467">
        <f>V43</f>
        <v>340.83169316995662</v>
      </c>
      <c r="AQ31" s="467">
        <f>V49</f>
        <v>340.83169316995662</v>
      </c>
      <c r="AR31" s="467">
        <f>V55</f>
        <v>340.83169316995662</v>
      </c>
      <c r="AS31" s="457"/>
      <c r="AT31" s="459"/>
      <c r="AU31" s="457"/>
      <c r="AV31" s="457"/>
      <c r="AW31" s="457"/>
      <c r="AX31" s="457"/>
      <c r="AY31" s="457"/>
      <c r="AZ31" s="457"/>
      <c r="BA31" s="457"/>
      <c r="BB31" s="457"/>
      <c r="BC31" s="457"/>
      <c r="BD31" s="457"/>
      <c r="BE31" s="457"/>
    </row>
    <row r="32" spans="1:57" ht="12.75">
      <c r="A32" s="457"/>
      <c r="B32" s="459"/>
      <c r="C32" s="1285"/>
      <c r="D32" s="493"/>
      <c r="E32" s="1289">
        <f>+E30+E31</f>
        <v>305880.51680262072</v>
      </c>
      <c r="F32" s="489"/>
      <c r="G32" s="466"/>
      <c r="H32" s="459"/>
      <c r="I32" s="459"/>
      <c r="J32" s="459"/>
      <c r="K32" s="491"/>
      <c r="L32" s="491"/>
      <c r="M32" s="494"/>
      <c r="O32" s="459"/>
      <c r="P32" s="459"/>
      <c r="Q32" s="459"/>
      <c r="R32" s="459"/>
      <c r="S32" s="459"/>
      <c r="T32" s="459"/>
      <c r="U32" s="459"/>
      <c r="V32" s="467">
        <f>100*(+AD26/$E$9)</f>
        <v>340.61833982817586</v>
      </c>
      <c r="W32" s="474">
        <f>EXP(5.6922-(0.68367*LN(V32)))</f>
        <v>5.5062429192906448</v>
      </c>
      <c r="X32" s="468">
        <f>(+W32*V32)/100</f>
        <v>18.755273218594279</v>
      </c>
      <c r="Y32" s="467">
        <f>100*((((X32/100)-((X32/100)-0.03574)*$E$21)-0.03574-0.00619)/0.344)</f>
        <v>27.327442803116934</v>
      </c>
      <c r="Z32" s="459">
        <f>$E$20</f>
        <v>0.25</v>
      </c>
      <c r="AA32" s="467">
        <f>Y32+Z32</f>
        <v>27.577442803116934</v>
      </c>
      <c r="AB32" s="467">
        <f>100*($E$17*$E$19+($E$18*(AA32/100))/(1-$E$21))</f>
        <v>26.088600418844532</v>
      </c>
      <c r="AC32" s="468">
        <f>AB32/V32</f>
        <v>7.6591884136376409E-2</v>
      </c>
      <c r="AD32" s="466">
        <f>$E$8/(1-AC32)</f>
        <v>326324.30385786225</v>
      </c>
      <c r="AE32" s="459" t="str">
        <f>IF(AD32=AD26,"yes","not yet")</f>
        <v>not yet</v>
      </c>
      <c r="AF32" s="467">
        <f>100*(1-AC32)</f>
        <v>92.340811586362364</v>
      </c>
      <c r="AG32" s="459"/>
      <c r="AH32" s="459"/>
      <c r="AI32" s="459">
        <v>4</v>
      </c>
      <c r="AJ32" s="467">
        <f>V8</f>
        <v>393.16181765922352</v>
      </c>
      <c r="AK32" s="467">
        <f>V14</f>
        <v>338.283263978646</v>
      </c>
      <c r="AL32" s="467">
        <f>V20</f>
        <v>340.73555452291708</v>
      </c>
      <c r="AM32" s="467">
        <f>V26</f>
        <v>340.61216656150941</v>
      </c>
      <c r="AN32" s="467">
        <f>V32</f>
        <v>340.61833982817586</v>
      </c>
      <c r="AO32" s="467">
        <f>V38</f>
        <v>340.61803088357419</v>
      </c>
      <c r="AP32" s="467">
        <f>V44</f>
        <v>340.61771371606477</v>
      </c>
      <c r="AQ32" s="467">
        <f>V50</f>
        <v>340.61771371606477</v>
      </c>
      <c r="AR32" s="467">
        <f>V56</f>
        <v>340.61771371606477</v>
      </c>
      <c r="AS32" s="457"/>
      <c r="AT32" s="459"/>
      <c r="AU32" s="457"/>
      <c r="AV32" s="457"/>
      <c r="AW32" s="457"/>
      <c r="AX32" s="457"/>
      <c r="AY32" s="457"/>
      <c r="AZ32" s="457"/>
      <c r="BA32" s="457"/>
      <c r="BB32" s="457"/>
      <c r="BC32" s="457"/>
      <c r="BD32" s="457"/>
      <c r="BE32" s="457"/>
    </row>
    <row r="33" spans="1:57" ht="12.75">
      <c r="A33" s="457"/>
      <c r="B33" s="459"/>
      <c r="C33" s="1285"/>
      <c r="D33" s="493"/>
      <c r="E33" s="1290"/>
      <c r="F33" s="489"/>
      <c r="G33" s="465"/>
      <c r="H33" s="459"/>
      <c r="I33" s="465"/>
      <c r="J33" s="459"/>
      <c r="K33" s="494"/>
      <c r="L33" s="491"/>
      <c r="M33" s="494"/>
      <c r="O33" s="459"/>
      <c r="P33" s="459"/>
      <c r="Q33" s="459"/>
      <c r="R33" s="459"/>
      <c r="S33" s="459"/>
      <c r="T33" s="459"/>
      <c r="U33" s="459"/>
      <c r="V33" s="459"/>
      <c r="W33" s="459"/>
      <c r="X33" s="459"/>
      <c r="Y33" s="459"/>
      <c r="Z33" s="459"/>
      <c r="AA33" s="467"/>
      <c r="AB33" s="459"/>
      <c r="AC33" s="459"/>
      <c r="AD33" s="459"/>
      <c r="AE33" s="459"/>
      <c r="AF33" s="459"/>
      <c r="AG33" s="459"/>
      <c r="AH33" s="459"/>
      <c r="AI33" s="459"/>
      <c r="AJ33" s="459"/>
      <c r="AK33" s="459"/>
      <c r="AL33" s="459"/>
      <c r="AM33" s="459"/>
      <c r="AN33" s="459"/>
      <c r="AO33" s="459"/>
      <c r="AP33" s="459"/>
      <c r="AQ33" s="459"/>
      <c r="AR33" s="459"/>
      <c r="AS33" s="457"/>
      <c r="AT33" s="459"/>
      <c r="AU33" s="457"/>
      <c r="AV33" s="457"/>
      <c r="AW33" s="457"/>
      <c r="AX33" s="457"/>
      <c r="AY33" s="457"/>
      <c r="AZ33" s="457"/>
      <c r="BA33" s="457"/>
      <c r="BB33" s="457"/>
      <c r="BC33" s="457"/>
      <c r="BD33" s="457"/>
      <c r="BE33" s="457"/>
    </row>
    <row r="34" spans="1:57" ht="12.75">
      <c r="A34" s="457"/>
      <c r="B34" s="459"/>
      <c r="C34" s="1285" t="s">
        <v>1413</v>
      </c>
      <c r="D34" s="493"/>
      <c r="E34" s="1291">
        <f>+E6</f>
        <v>-16060.301335595177</v>
      </c>
      <c r="F34" s="489"/>
      <c r="G34" s="459"/>
      <c r="H34" s="459"/>
      <c r="I34" s="459"/>
      <c r="J34" s="459"/>
      <c r="K34" s="493"/>
      <c r="L34" s="491"/>
      <c r="M34" s="495"/>
      <c r="O34" s="459"/>
      <c r="P34" s="459"/>
      <c r="Q34" s="459"/>
      <c r="R34" s="459"/>
      <c r="S34" s="459"/>
      <c r="T34" s="459"/>
      <c r="U34" s="459"/>
      <c r="V34" s="464" t="s">
        <v>1450</v>
      </c>
      <c r="W34" s="473" t="s">
        <v>1400</v>
      </c>
      <c r="X34" s="473" t="s">
        <v>1401</v>
      </c>
      <c r="Y34" s="473" t="s">
        <v>1402</v>
      </c>
      <c r="Z34" s="459"/>
      <c r="AA34" s="467"/>
      <c r="AB34" s="459"/>
      <c r="AC34" s="459"/>
      <c r="AD34" s="459"/>
      <c r="AE34" s="459"/>
      <c r="AF34" s="459"/>
      <c r="AG34" s="459"/>
      <c r="AH34" s="459"/>
      <c r="AI34" s="459"/>
      <c r="AJ34" s="459" t="s">
        <v>1448</v>
      </c>
      <c r="AK34" s="459"/>
      <c r="AL34" s="459"/>
      <c r="AM34" s="459"/>
      <c r="AN34" s="459"/>
      <c r="AO34" s="459"/>
      <c r="AP34" s="459"/>
      <c r="AQ34" s="459"/>
      <c r="AR34" s="459"/>
      <c r="AS34" s="457"/>
      <c r="AT34" s="459"/>
      <c r="AU34" s="457"/>
      <c r="AV34" s="457"/>
      <c r="AW34" s="457"/>
      <c r="AX34" s="457"/>
      <c r="AY34" s="457"/>
      <c r="AZ34" s="457"/>
      <c r="BA34" s="457"/>
      <c r="BB34" s="457"/>
      <c r="BC34" s="457"/>
      <c r="BD34" s="457"/>
      <c r="BE34" s="457"/>
    </row>
    <row r="35" spans="1:57" ht="12.75">
      <c r="A35" s="457"/>
      <c r="B35" s="459"/>
      <c r="C35" s="1285"/>
      <c r="D35" s="493"/>
      <c r="E35" s="1292"/>
      <c r="F35" s="489"/>
      <c r="G35" s="489"/>
      <c r="H35" s="459"/>
      <c r="I35" s="459"/>
      <c r="J35" s="459"/>
      <c r="K35" s="493"/>
      <c r="L35" s="493"/>
      <c r="M35" s="493"/>
      <c r="N35" s="459"/>
      <c r="O35" s="459"/>
      <c r="P35" s="459"/>
      <c r="Q35" s="459"/>
      <c r="R35" s="459"/>
      <c r="S35" s="459"/>
      <c r="T35" s="459"/>
      <c r="U35" s="459"/>
      <c r="V35" s="467">
        <f>100*(+AD29/$E$9)</f>
        <v>341.66037304734618</v>
      </c>
      <c r="W35" s="474">
        <f>EXP(5.7226-(0.68367*LN(+V35)))</f>
        <v>5.6643616609313696</v>
      </c>
      <c r="X35" s="468">
        <f>(+W35*V35)/100</f>
        <v>19.352879181488973</v>
      </c>
      <c r="Y35" s="467">
        <f>100*((((X35/100)-((X35/100)-0.03574)*$E$21)-0.03574-0.00619)/0.344)</f>
        <v>28.474012383089303</v>
      </c>
      <c r="Z35" s="459">
        <f>$E$20</f>
        <v>0.25</v>
      </c>
      <c r="AA35" s="467">
        <f>Y35+Z35</f>
        <v>28.724012383089303</v>
      </c>
      <c r="AB35" s="467">
        <f>100*($E$17*$E$19+($E$18*(AA35/100))/(1-$E$21))</f>
        <v>27.130936400637591</v>
      </c>
      <c r="AC35" s="468">
        <f>AB35/V35</f>
        <v>7.9409081476586318E-2</v>
      </c>
      <c r="AD35" s="466">
        <f>ROUND($E$8/(1-AC35),0)</f>
        <v>327323</v>
      </c>
      <c r="AE35" s="459" t="str">
        <f>IF(AD35=AD29,"yes","not yet")</f>
        <v>not yet</v>
      </c>
      <c r="AF35" s="467">
        <f>100*(1-AC35)</f>
        <v>92.059091852341368</v>
      </c>
      <c r="AG35" s="459"/>
      <c r="AH35" s="459"/>
      <c r="AI35" s="459"/>
      <c r="AJ35" s="467">
        <f>HLOOKUP($AJ$34,$AJ$28:$AR$32,($E$12)+1)</f>
        <v>340.83169316995662</v>
      </c>
      <c r="AK35" s="459"/>
      <c r="AL35" s="459"/>
      <c r="AM35" s="459"/>
      <c r="AN35" s="459"/>
      <c r="AO35" s="459"/>
      <c r="AP35" s="459"/>
      <c r="AQ35" s="459"/>
      <c r="AR35" s="459"/>
      <c r="AS35" s="457"/>
      <c r="AT35" s="459"/>
      <c r="AU35" s="457"/>
      <c r="AV35" s="457"/>
      <c r="AW35" s="457"/>
      <c r="AX35" s="457"/>
      <c r="AY35" s="457"/>
      <c r="AZ35" s="457"/>
      <c r="BA35" s="457"/>
      <c r="BB35" s="457"/>
      <c r="BC35" s="457"/>
      <c r="BD35" s="457"/>
      <c r="BE35" s="457"/>
    </row>
    <row r="36" spans="1:57" ht="14.25">
      <c r="A36" s="457"/>
      <c r="B36" s="459"/>
      <c r="C36" s="1293" t="s">
        <v>2139</v>
      </c>
      <c r="D36" s="1294"/>
      <c r="E36" s="1295">
        <f>+E34/E32</f>
        <v>-5.2505146465273579E-2</v>
      </c>
      <c r="F36" s="459"/>
      <c r="G36" s="459"/>
      <c r="H36" s="459"/>
      <c r="I36" s="459"/>
      <c r="J36" s="459"/>
      <c r="K36" s="459"/>
      <c r="L36" s="459"/>
      <c r="M36" s="459"/>
      <c r="N36" s="459"/>
      <c r="O36" s="459"/>
      <c r="P36" s="459"/>
      <c r="Q36" s="459"/>
      <c r="R36" s="459"/>
      <c r="S36" s="459"/>
      <c r="T36" s="459"/>
      <c r="U36" s="459"/>
      <c r="V36" s="467">
        <f>100*(+AD30/$E$9)</f>
        <v>341.16484061055877</v>
      </c>
      <c r="W36" s="474">
        <f>EXP(5.70827-(0.68367*LN(+V36)))</f>
        <v>5.5893136512792596</v>
      </c>
      <c r="X36" s="468">
        <f>(+W36*V36)/100</f>
        <v>19.068773009611089</v>
      </c>
      <c r="Y36" s="467">
        <f>100*((((X36/100)-((X36/100)-0.03574)*$E$21)-0.03574-0.00619)/0.344)</f>
        <v>27.92892496030035</v>
      </c>
      <c r="Z36" s="459">
        <f>$E$20</f>
        <v>0.25</v>
      </c>
      <c r="AA36" s="467">
        <f>Y36+Z36</f>
        <v>28.17892496030035</v>
      </c>
      <c r="AB36" s="467">
        <f>100*($E$17*$E$19+($E$18*(AA36/100))/(1-$E$21))</f>
        <v>26.635402379920357</v>
      </c>
      <c r="AC36" s="468">
        <f>AB36/V36</f>
        <v>7.8071944143636982E-2</v>
      </c>
      <c r="AD36" s="466">
        <f>ROUND($E$8/(1-AC36),0)</f>
        <v>326848</v>
      </c>
      <c r="AE36" s="459" t="str">
        <f>IF(AD36=AD30,"yes","not yet")</f>
        <v>not yet</v>
      </c>
      <c r="AF36" s="467">
        <f>100*(1-AC36)</f>
        <v>92.192805585636307</v>
      </c>
      <c r="AG36" s="459"/>
      <c r="AH36" s="459"/>
      <c r="AI36" s="459"/>
      <c r="AJ36" s="459"/>
      <c r="AK36" s="459"/>
      <c r="AL36" s="459"/>
      <c r="AM36" s="459"/>
      <c r="AN36" s="459"/>
      <c r="AO36" s="459"/>
      <c r="AP36" s="459"/>
      <c r="AQ36" s="459"/>
      <c r="AR36" s="459"/>
      <c r="AS36" s="457"/>
      <c r="AT36" s="459"/>
      <c r="AU36" s="457"/>
      <c r="AV36" s="457"/>
      <c r="AW36" s="457"/>
      <c r="AX36" s="457"/>
      <c r="AY36" s="457"/>
      <c r="AZ36" s="457"/>
      <c r="BA36" s="457"/>
      <c r="BB36" s="457"/>
      <c r="BC36" s="457"/>
      <c r="BD36" s="457"/>
      <c r="BE36" s="457"/>
    </row>
    <row r="37" spans="1:57" ht="12.75">
      <c r="A37" s="457"/>
      <c r="B37" s="459"/>
      <c r="C37" s="459"/>
      <c r="D37" s="459"/>
      <c r="E37" s="489"/>
      <c r="F37" s="459"/>
      <c r="G37" s="489"/>
      <c r="H37" s="459"/>
      <c r="I37" s="459"/>
      <c r="J37" s="459"/>
      <c r="K37" s="459"/>
      <c r="L37" s="459"/>
      <c r="M37" s="459"/>
      <c r="N37" s="459"/>
      <c r="O37" s="459"/>
      <c r="P37" s="459"/>
      <c r="Q37" s="459"/>
      <c r="R37" s="459"/>
      <c r="S37" s="459"/>
      <c r="T37" s="459"/>
      <c r="U37" s="459"/>
      <c r="V37" s="467">
        <f>100*(+AD31/$E$9)</f>
        <v>340.83128902612401</v>
      </c>
      <c r="W37" s="474">
        <f>EXP(5.6985-(0.68367*LN(V37)))</f>
        <v>5.5386746464426286</v>
      </c>
      <c r="X37" s="468">
        <f>(+W37*V37)/100</f>
        <v>18.877536192433528</v>
      </c>
      <c r="Y37" s="467">
        <f>100*((((X37/100)-((X37/100)-0.03574)*$E$21)-0.03574-0.00619)/0.344)</f>
        <v>27.562017113389913</v>
      </c>
      <c r="Z37" s="459">
        <f>$E$20</f>
        <v>0.25</v>
      </c>
      <c r="AA37" s="467">
        <f>Y37+Z37</f>
        <v>27.812017113389913</v>
      </c>
      <c r="AB37" s="467">
        <f>100*($E$17*$E$19+($E$18*(AA37/100))/(1-$E$21))</f>
        <v>26.301849791819965</v>
      </c>
      <c r="AC37" s="468">
        <f>AB37/V37</f>
        <v>7.7169704304360334E-2</v>
      </c>
      <c r="AD37" s="466">
        <f>ROUND($E$8/(1-AC37),0)</f>
        <v>326529</v>
      </c>
      <c r="AE37" s="459" t="str">
        <f>IF(AD37=AD31,"yes","not yet")</f>
        <v>not yet</v>
      </c>
      <c r="AF37" s="467">
        <f>100*(1-AC37)</f>
        <v>92.283029569563965</v>
      </c>
      <c r="AG37" s="459"/>
      <c r="AH37" s="459"/>
      <c r="AI37" s="459"/>
      <c r="AJ37" s="459" t="str">
        <f>HLOOKUP(1,$AJ$13:$AR$17,($E$12)+1)</f>
        <v>not yet</v>
      </c>
      <c r="AK37" s="459" t="str">
        <f>HLOOKUP(2,$AJ$13:$AR$17,($E$12)+1)</f>
        <v>not yet</v>
      </c>
      <c r="AL37" s="459" t="str">
        <f>HLOOKUP(3,$AJ$13:$AR$17,($E$12)+1)</f>
        <v>not yet</v>
      </c>
      <c r="AM37" s="459" t="str">
        <f>HLOOKUP(4,$AJ$13:$AR$17,($E$12)+1)</f>
        <v>not yet</v>
      </c>
      <c r="AN37" s="459" t="str">
        <f>HLOOKUP(5,$AJ$13:$AR$17,($E$12)+1)</f>
        <v>not yet</v>
      </c>
      <c r="AO37" s="459" t="str">
        <f>HLOOKUP(6,$AJ$13:$AR$17,($E$12)+1)</f>
        <v>not yet</v>
      </c>
      <c r="AP37" s="459" t="str">
        <f>HLOOKUP(7,$AJ$13:$AR$17,($E$12)+1)</f>
        <v>yes</v>
      </c>
      <c r="AQ37" s="459" t="str">
        <f>HLOOKUP(8,$AJ$13:$AR$17,($E$12)+1)</f>
        <v>yes</v>
      </c>
      <c r="AR37" s="459" t="str">
        <f>HLOOKUP(9,$AJ$13:$AR$17,($E$12)+1)</f>
        <v>yes</v>
      </c>
      <c r="AS37" s="457"/>
      <c r="AT37" s="459"/>
      <c r="AU37" s="457"/>
      <c r="AV37" s="457"/>
      <c r="AW37" s="457"/>
      <c r="AX37" s="457"/>
      <c r="AY37" s="457"/>
      <c r="AZ37" s="457"/>
      <c r="BA37" s="457"/>
      <c r="BB37" s="457"/>
      <c r="BC37" s="457"/>
      <c r="BD37" s="457"/>
      <c r="BE37" s="457"/>
    </row>
    <row r="38" spans="1:57" ht="12.75">
      <c r="A38" s="457"/>
      <c r="B38" s="459"/>
      <c r="C38" s="459"/>
      <c r="D38" s="459"/>
      <c r="E38" s="463"/>
      <c r="F38" s="459"/>
      <c r="G38" s="459"/>
      <c r="H38" s="459"/>
      <c r="I38" s="459"/>
      <c r="J38" s="459"/>
      <c r="K38" s="459"/>
      <c r="L38" s="459"/>
      <c r="M38" s="459"/>
      <c r="N38" s="459"/>
      <c r="O38" s="459"/>
      <c r="P38" s="459"/>
      <c r="Q38" s="459"/>
      <c r="R38" s="459"/>
      <c r="S38" s="459"/>
      <c r="T38" s="459"/>
      <c r="U38" s="459"/>
      <c r="V38" s="467">
        <f>100*(+AD32/$E$9)</f>
        <v>340.61803088357419</v>
      </c>
      <c r="W38" s="474">
        <f>EXP(5.6922-(0.68367*LN(V38)))</f>
        <v>5.5062463336938459</v>
      </c>
      <c r="X38" s="468">
        <f>(+W38*V38)/100</f>
        <v>18.755267837426974</v>
      </c>
      <c r="Y38" s="467">
        <f>100*((((X38/100)-((X38/100)-0.03574)*$E$21)-0.03574-0.00619)/0.344)</f>
        <v>27.32743247878431</v>
      </c>
      <c r="Z38" s="459">
        <f>$E$20</f>
        <v>0.25</v>
      </c>
      <c r="AA38" s="467">
        <f>Y38+Z38</f>
        <v>27.57743247878431</v>
      </c>
      <c r="AB38" s="467">
        <f>100*($E$17*$E$19+($E$18*(AA38/100))/(1-$E$21))</f>
        <v>26.088591033087592</v>
      </c>
      <c r="AC38" s="468">
        <f>AB38/V38</f>
        <v>7.6591926051045922E-2</v>
      </c>
      <c r="AD38" s="466">
        <f>ROUND($E$8/(1-AC38),0)</f>
        <v>326324</v>
      </c>
      <c r="AE38" s="459" t="str">
        <f>IF(AD38=AD32,"yes","not yet")</f>
        <v>not yet</v>
      </c>
      <c r="AF38" s="467">
        <f>100*(1-AC38)</f>
        <v>92.340807394895407</v>
      </c>
      <c r="AG38" s="459"/>
      <c r="AH38" s="459"/>
      <c r="AI38" s="459">
        <v>1</v>
      </c>
      <c r="AJ38" s="466">
        <f>AD5</f>
        <v>325026.98451990425</v>
      </c>
      <c r="AK38" s="466">
        <f>AD11</f>
        <v>327443.72814871802</v>
      </c>
      <c r="AL38" s="466">
        <f>AD17</f>
        <v>327316.60488310712</v>
      </c>
      <c r="AM38" s="466">
        <f>AD23</f>
        <v>327323.25284086866</v>
      </c>
      <c r="AN38" s="466">
        <f>AD29</f>
        <v>327322.90507721709</v>
      </c>
      <c r="AO38" s="466">
        <f>AD35</f>
        <v>327323</v>
      </c>
      <c r="AP38" s="466">
        <f>AD41</f>
        <v>327323</v>
      </c>
      <c r="AQ38" s="466">
        <f>AD47</f>
        <v>327323</v>
      </c>
      <c r="AR38" s="466">
        <f>AD53</f>
        <v>327323</v>
      </c>
      <c r="AS38" s="457"/>
      <c r="AT38" s="459"/>
      <c r="AU38" s="457"/>
      <c r="AV38" s="457"/>
      <c r="AW38" s="457"/>
      <c r="AX38" s="457"/>
      <c r="AY38" s="457"/>
      <c r="AZ38" s="457"/>
      <c r="BA38" s="457"/>
      <c r="BB38" s="457"/>
      <c r="BC38" s="457"/>
      <c r="BD38" s="457"/>
      <c r="BE38" s="457"/>
    </row>
    <row r="39" spans="1:57" ht="12.75">
      <c r="A39" s="457"/>
      <c r="B39" s="459"/>
      <c r="C39" s="459"/>
      <c r="D39" s="459"/>
      <c r="E39" s="463"/>
      <c r="F39" s="459"/>
      <c r="G39" s="459"/>
      <c r="H39" s="459"/>
      <c r="I39" s="459"/>
      <c r="J39" s="459"/>
      <c r="K39" s="459"/>
      <c r="L39" s="459"/>
      <c r="M39" s="459"/>
      <c r="N39" s="459"/>
      <c r="O39" s="459"/>
      <c r="P39" s="459"/>
      <c r="Q39" s="459"/>
      <c r="R39" s="459"/>
      <c r="S39" s="459"/>
      <c r="T39" s="459"/>
      <c r="U39" s="459"/>
      <c r="V39" s="459"/>
      <c r="W39" s="459"/>
      <c r="X39" s="459"/>
      <c r="Y39" s="459"/>
      <c r="Z39" s="459"/>
      <c r="AA39" s="467"/>
      <c r="AB39" s="459"/>
      <c r="AC39" s="459"/>
      <c r="AD39" s="459"/>
      <c r="AE39" s="459"/>
      <c r="AF39" s="459"/>
      <c r="AG39" s="459"/>
      <c r="AH39" s="459"/>
      <c r="AI39" s="459">
        <v>2</v>
      </c>
      <c r="AJ39" s="466">
        <f>AD6</f>
        <v>324579.89762253076</v>
      </c>
      <c r="AK39" s="466">
        <f>AD12</f>
        <v>326965.06696027645</v>
      </c>
      <c r="AL39" s="466">
        <f>AD18</f>
        <v>326842.19632472348</v>
      </c>
      <c r="AM39" s="466">
        <f>AD24</f>
        <v>326848.48964318243</v>
      </c>
      <c r="AN39" s="466">
        <f>AD30</f>
        <v>326848.16721012839</v>
      </c>
      <c r="AO39" s="466">
        <f>AD36</f>
        <v>326848</v>
      </c>
      <c r="AP39" s="466">
        <f>AD42</f>
        <v>326848</v>
      </c>
      <c r="AQ39" s="466">
        <f>AD48</f>
        <v>326848</v>
      </c>
      <c r="AR39" s="466">
        <f>AD54</f>
        <v>326848</v>
      </c>
      <c r="AS39" s="457"/>
      <c r="AT39" s="459"/>
      <c r="AU39" s="457"/>
      <c r="AV39" s="457"/>
      <c r="AW39" s="457"/>
      <c r="AX39" s="457"/>
      <c r="AY39" s="457"/>
      <c r="AZ39" s="457"/>
      <c r="BA39" s="457"/>
      <c r="BB39" s="457"/>
      <c r="BC39" s="457"/>
      <c r="BD39" s="457"/>
      <c r="BE39" s="457"/>
    </row>
    <row r="40" spans="1:57" ht="12.75">
      <c r="A40" s="457"/>
      <c r="B40" s="459"/>
      <c r="C40" s="459"/>
      <c r="D40" s="459"/>
      <c r="E40" s="463"/>
      <c r="F40" s="459"/>
      <c r="G40" s="459"/>
      <c r="H40" s="459"/>
      <c r="I40" s="459"/>
      <c r="J40" s="459"/>
      <c r="K40" s="459"/>
      <c r="L40" s="459"/>
      <c r="M40" s="459"/>
      <c r="N40" s="459"/>
      <c r="O40" s="459"/>
      <c r="P40" s="459"/>
      <c r="Q40" s="459"/>
      <c r="R40" s="459"/>
      <c r="S40" s="459"/>
      <c r="T40" s="459"/>
      <c r="U40" s="459"/>
      <c r="V40" s="464" t="s">
        <v>1451</v>
      </c>
      <c r="W40" s="473" t="s">
        <v>1400</v>
      </c>
      <c r="X40" s="473" t="s">
        <v>1401</v>
      </c>
      <c r="Y40" s="473" t="s">
        <v>1402</v>
      </c>
      <c r="Z40" s="459"/>
      <c r="AA40" s="467"/>
      <c r="AB40" s="459"/>
      <c r="AC40" s="459"/>
      <c r="AD40" s="459"/>
      <c r="AE40" s="459"/>
      <c r="AF40" s="459"/>
      <c r="AG40" s="459"/>
      <c r="AH40" s="459"/>
      <c r="AI40" s="459">
        <v>3</v>
      </c>
      <c r="AJ40" s="466">
        <f>AD7</f>
        <v>324279.42489866179</v>
      </c>
      <c r="AK40" s="466">
        <f>AD13</f>
        <v>326642.881869854</v>
      </c>
      <c r="AL40" s="466">
        <f>AD19</f>
        <v>326522.85839454609</v>
      </c>
      <c r="AM40" s="466">
        <f>AD25</f>
        <v>326528.91892797127</v>
      </c>
      <c r="AN40" s="466">
        <f>AD31</f>
        <v>326528.61281569715</v>
      </c>
      <c r="AO40" s="466">
        <f>AD37</f>
        <v>326529</v>
      </c>
      <c r="AP40" s="466">
        <f>AD43</f>
        <v>326529</v>
      </c>
      <c r="AQ40" s="466">
        <f>AD49</f>
        <v>326529</v>
      </c>
      <c r="AR40" s="466">
        <f>AD55</f>
        <v>326529</v>
      </c>
      <c r="AS40" s="457"/>
      <c r="AT40" s="459"/>
      <c r="AU40" s="457"/>
      <c r="AV40" s="457"/>
      <c r="AW40" s="457"/>
      <c r="AX40" s="457"/>
      <c r="AY40" s="457"/>
      <c r="AZ40" s="457"/>
      <c r="BA40" s="457"/>
      <c r="BB40" s="457"/>
      <c r="BC40" s="457"/>
      <c r="BD40" s="457"/>
      <c r="BE40" s="457"/>
    </row>
    <row r="41" spans="1:57" ht="12.75">
      <c r="A41" s="457"/>
      <c r="B41" s="459"/>
      <c r="C41" s="459"/>
      <c r="D41" s="459"/>
      <c r="E41" s="463"/>
      <c r="F41" s="459"/>
      <c r="G41" s="459"/>
      <c r="H41" s="459"/>
      <c r="I41" s="459"/>
      <c r="J41" s="459"/>
      <c r="K41" s="459"/>
      <c r="L41" s="459"/>
      <c r="M41" s="459"/>
      <c r="N41" s="459"/>
      <c r="O41" s="459"/>
      <c r="P41" s="459"/>
      <c r="Q41" s="459"/>
      <c r="R41" s="459"/>
      <c r="S41" s="459"/>
      <c r="T41" s="459"/>
      <c r="U41" s="459"/>
      <c r="V41" s="467">
        <f>100*(+AD35/$E$9)</f>
        <v>341.66047212795712</v>
      </c>
      <c r="W41" s="474">
        <f>EXP(5.7226-(0.68367*LN(+V41)))</f>
        <v>5.6643605379011168</v>
      </c>
      <c r="X41" s="468">
        <f>(+W41*V41)/100</f>
        <v>19.352880956822649</v>
      </c>
      <c r="Y41" s="467">
        <f>100*((((X41/100)-((X41/100)-0.03574)*$E$21)-0.03574-0.00619)/0.344)</f>
        <v>28.474015789252753</v>
      </c>
      <c r="Z41" s="459">
        <f>$E$20</f>
        <v>0.25</v>
      </c>
      <c r="AA41" s="467">
        <f>Y41+Z41</f>
        <v>28.724015789252753</v>
      </c>
      <c r="AB41" s="467">
        <f>100*($E$17*$E$19+($E$18*(AA41/100))/(1-$E$21))</f>
        <v>27.130939497149818</v>
      </c>
      <c r="AC41" s="468">
        <f>AB41/V41</f>
        <v>7.940906751129484E-2</v>
      </c>
      <c r="AD41" s="466">
        <f>ROUND($E$8/(1-AC41),0)</f>
        <v>327323</v>
      </c>
      <c r="AE41" s="459" t="str">
        <f>IF(OR(OR(AD41=AD35,AD41=(AD35+1)),AD41=(AD27-1)),"yes","not yet")</f>
        <v>yes</v>
      </c>
      <c r="AF41" s="467">
        <f>100*(1-AC41)</f>
        <v>92.059093248870511</v>
      </c>
      <c r="AG41" s="459"/>
      <c r="AH41" s="459"/>
      <c r="AI41" s="459">
        <v>4</v>
      </c>
      <c r="AJ41" s="466">
        <f>AD8</f>
        <v>324087.5133305238</v>
      </c>
      <c r="AK41" s="466">
        <f>AD14</f>
        <v>326436.89572417049</v>
      </c>
      <c r="AL41" s="466">
        <f>AD20</f>
        <v>326318.68562675914</v>
      </c>
      <c r="AM41" s="466">
        <f>AD26</f>
        <v>326324.59983788367</v>
      </c>
      <c r="AN41" s="466">
        <f>AD32</f>
        <v>326324.30385786225</v>
      </c>
      <c r="AO41" s="466">
        <f>AD38</f>
        <v>326324</v>
      </c>
      <c r="AP41" s="466">
        <f>AD44</f>
        <v>326324</v>
      </c>
      <c r="AQ41" s="466">
        <f>AD50</f>
        <v>326324</v>
      </c>
      <c r="AR41" s="466">
        <f>AD56</f>
        <v>326324</v>
      </c>
      <c r="AS41" s="457"/>
      <c r="AT41" s="459"/>
      <c r="AU41" s="457"/>
      <c r="AV41" s="457"/>
      <c r="AW41" s="457"/>
      <c r="AX41" s="457"/>
      <c r="AY41" s="457"/>
      <c r="AZ41" s="457"/>
      <c r="BA41" s="457"/>
      <c r="BB41" s="457"/>
      <c r="BC41" s="457"/>
      <c r="BD41" s="457"/>
      <c r="BE41" s="457"/>
    </row>
    <row r="42" spans="1:57" ht="12.75">
      <c r="A42" s="457"/>
      <c r="B42" s="459"/>
      <c r="C42" s="459"/>
      <c r="D42" s="459"/>
      <c r="E42" s="462"/>
      <c r="F42" s="459"/>
      <c r="G42" s="459"/>
      <c r="H42" s="459"/>
      <c r="I42" s="459"/>
      <c r="J42" s="459"/>
      <c r="K42" s="459"/>
      <c r="L42" s="459"/>
      <c r="M42" s="459"/>
      <c r="N42" s="459"/>
      <c r="O42" s="459"/>
      <c r="P42" s="459"/>
      <c r="Q42" s="459"/>
      <c r="R42" s="459"/>
      <c r="S42" s="459"/>
      <c r="T42" s="459"/>
      <c r="U42" s="459"/>
      <c r="V42" s="467">
        <f>100*(+AD36/$E$9)</f>
        <v>341.16466607625659</v>
      </c>
      <c r="W42" s="474">
        <f>EXP(5.70827-(0.68367*LN(+V42)))</f>
        <v>5.5893156061665232</v>
      </c>
      <c r="X42" s="468">
        <f>(+W42*V42)/100</f>
        <v>19.068769923726116</v>
      </c>
      <c r="Y42" s="467">
        <f>100*((((X42/100)-((X42/100)-0.03574)*$E$21)-0.03574-0.00619)/0.344)</f>
        <v>27.928919039707083</v>
      </c>
      <c r="Z42" s="459">
        <f>$E$20</f>
        <v>0.25</v>
      </c>
      <c r="AA42" s="467">
        <f>Y42+Z42</f>
        <v>28.178919039707083</v>
      </c>
      <c r="AB42" s="467">
        <f>100*($E$17*$E$19+($E$18*(AA42/100))/(1-$E$21))</f>
        <v>26.635396997562843</v>
      </c>
      <c r="AC42" s="468">
        <f>AB42/V42</f>
        <v>7.8071968307554279E-2</v>
      </c>
      <c r="AD42" s="466">
        <f>ROUND($E$8/(1-AC42),0)</f>
        <v>326848</v>
      </c>
      <c r="AE42" s="459" t="str">
        <f>IF(OR(OR(AD42=AD36,AD42=(AD36+5)),AD42=(AD28-5)),"yes","not yet")</f>
        <v>yes</v>
      </c>
      <c r="AF42" s="467">
        <f>100*(1-AC42)</f>
        <v>92.19280316924457</v>
      </c>
      <c r="AG42" s="459"/>
      <c r="AH42" s="459"/>
      <c r="AI42" s="459"/>
      <c r="AJ42" s="459"/>
      <c r="AK42" s="459"/>
      <c r="AL42" s="459"/>
      <c r="AM42" s="459"/>
      <c r="AN42" s="459"/>
      <c r="AO42" s="459"/>
      <c r="AP42" s="459"/>
      <c r="AQ42" s="459"/>
      <c r="AR42" s="459"/>
      <c r="AS42" s="457"/>
      <c r="AT42" s="459"/>
      <c r="AU42" s="457"/>
      <c r="AV42" s="457"/>
      <c r="AW42" s="457"/>
      <c r="AX42" s="457"/>
      <c r="AY42" s="457"/>
      <c r="AZ42" s="457"/>
      <c r="BA42" s="457"/>
      <c r="BB42" s="457"/>
      <c r="BC42" s="457"/>
      <c r="BD42" s="457"/>
      <c r="BE42" s="457"/>
    </row>
    <row r="43" spans="1:57" ht="12.75">
      <c r="A43" s="457"/>
      <c r="B43" s="459"/>
      <c r="C43" s="459"/>
      <c r="D43" s="459"/>
      <c r="E43" s="463"/>
      <c r="F43" s="459"/>
      <c r="G43" s="459"/>
      <c r="H43" s="459"/>
      <c r="I43" s="459"/>
      <c r="J43" s="459"/>
      <c r="K43" s="459"/>
      <c r="L43" s="459"/>
      <c r="M43" s="459"/>
      <c r="N43" s="459"/>
      <c r="O43" s="459"/>
      <c r="P43" s="459"/>
      <c r="Q43" s="459"/>
      <c r="R43" s="459"/>
      <c r="S43" s="459"/>
      <c r="T43" s="459"/>
      <c r="U43" s="459"/>
      <c r="V43" s="467">
        <f>100*(+AD37/$E$9)</f>
        <v>340.83169316995662</v>
      </c>
      <c r="W43" s="474">
        <f>EXP(5.6985-(0.68367*LN(V43)))</f>
        <v>5.5386701564209018</v>
      </c>
      <c r="X43" s="468">
        <f>(+W43*V43)/100</f>
        <v>18.877543273228444</v>
      </c>
      <c r="Y43" s="467">
        <f>100*((((X43/100)-((X43/100)-0.03574)*$E$21)-0.03574-0.00619)/0.344)</f>
        <v>27.562030698635969</v>
      </c>
      <c r="Z43" s="459">
        <f>$E$20</f>
        <v>0.25</v>
      </c>
      <c r="AA43" s="467">
        <f>Y43+Z43</f>
        <v>27.812030698635969</v>
      </c>
      <c r="AB43" s="467">
        <f>100*($E$17*$E$19+($E$18*(AA43/100))/(1-$E$21))</f>
        <v>26.301862142043653</v>
      </c>
      <c r="AC43" s="468">
        <f>AB43/V43</f>
        <v>7.716964903533241E-2</v>
      </c>
      <c r="AD43" s="466">
        <f>ROUND($E$8/(1-AC43),0)</f>
        <v>326529</v>
      </c>
      <c r="AE43" s="459" t="str">
        <f>IF(OR(OR(AD43=AD37,AD43=(AD37+5)),AD43=(AD29-5)),"yes","not yet")</f>
        <v>yes</v>
      </c>
      <c r="AF43" s="467">
        <f>100*(1-AC43)</f>
        <v>92.283035096466762</v>
      </c>
      <c r="AG43" s="459"/>
      <c r="AH43" s="459"/>
      <c r="AI43" s="459"/>
      <c r="AJ43" s="459" t="s">
        <v>1448</v>
      </c>
      <c r="AK43" s="459"/>
      <c r="AL43" s="459"/>
      <c r="AM43" s="459"/>
      <c r="AN43" s="459"/>
      <c r="AO43" s="459"/>
      <c r="AP43" s="459"/>
      <c r="AQ43" s="459"/>
      <c r="AR43" s="459"/>
      <c r="AS43" s="457"/>
      <c r="AT43" s="459"/>
      <c r="AU43" s="457"/>
      <c r="AV43" s="457"/>
      <c r="AW43" s="457"/>
      <c r="AX43" s="457"/>
      <c r="AY43" s="457"/>
      <c r="AZ43" s="457"/>
      <c r="BA43" s="457"/>
      <c r="BB43" s="457"/>
      <c r="BC43" s="457"/>
      <c r="BD43" s="457"/>
      <c r="BE43" s="457"/>
    </row>
    <row r="44" spans="1:57" ht="12.75">
      <c r="A44" s="457"/>
      <c r="B44" s="459"/>
      <c r="C44" s="459"/>
      <c r="D44" s="459"/>
      <c r="E44" s="489"/>
      <c r="F44" s="459"/>
      <c r="G44" s="459"/>
      <c r="H44" s="459"/>
      <c r="I44" s="459"/>
      <c r="J44" s="459"/>
      <c r="K44" s="459"/>
      <c r="L44" s="459"/>
      <c r="M44" s="459"/>
      <c r="N44" s="459"/>
      <c r="O44" s="459"/>
      <c r="P44" s="459"/>
      <c r="Q44" s="459"/>
      <c r="R44" s="459"/>
      <c r="S44" s="459"/>
      <c r="T44" s="459"/>
      <c r="U44" s="459"/>
      <c r="V44" s="467">
        <f>100*(+AD38/$E$9)</f>
        <v>340.61771371606477</v>
      </c>
      <c r="W44" s="474">
        <f>EXP(5.6922-(0.68367*LN(V44)))</f>
        <v>5.5062498389806516</v>
      </c>
      <c r="X44" s="468">
        <f>(+W44*V44)/100</f>
        <v>18.755262313030393</v>
      </c>
      <c r="Y44" s="467">
        <f>100*((((X44/100)-((X44/100)-0.03574)*$E$21)-0.03574-0.00619)/0.344)</f>
        <v>27.327421879651332</v>
      </c>
      <c r="Z44" s="459">
        <f>$E$20</f>
        <v>0.25</v>
      </c>
      <c r="AA44" s="467">
        <f>Y44+Z44</f>
        <v>27.577421879651332</v>
      </c>
      <c r="AB44" s="467">
        <f>100*($E$17*$E$19+($E$18*(AA44/100))/(1-$E$21))</f>
        <v>26.088581397512161</v>
      </c>
      <c r="AC44" s="468">
        <f>AB44/V44</f>
        <v>7.6591969081382896E-2</v>
      </c>
      <c r="AD44" s="466">
        <f>ROUND($E$8/(1-AC44),0)</f>
        <v>326324</v>
      </c>
      <c r="AE44" s="459" t="str">
        <f>IF(OR(OR(AD44=AD38,AD44=(AD38+5)),AD44=(AD30-5)),"yes","not yet")</f>
        <v>yes</v>
      </c>
      <c r="AF44" s="467">
        <f>100*(1-AC44)</f>
        <v>92.340803091861716</v>
      </c>
      <c r="AG44" s="459"/>
      <c r="AH44" s="459"/>
      <c r="AI44" s="459"/>
      <c r="AJ44" s="466">
        <f>HLOOKUP($AJ$34,$AJ$37:$AR$41,($E$12)+1)</f>
        <v>326529</v>
      </c>
      <c r="AK44" s="459"/>
      <c r="AL44" s="459"/>
      <c r="AM44" s="459"/>
      <c r="AN44" s="459"/>
      <c r="AO44" s="459"/>
      <c r="AP44" s="459"/>
      <c r="AQ44" s="459"/>
      <c r="AR44" s="459"/>
      <c r="AS44" s="457"/>
      <c r="AT44" s="459"/>
      <c r="AU44" s="457"/>
      <c r="AV44" s="457"/>
      <c r="AW44" s="457"/>
      <c r="AX44" s="457"/>
      <c r="AY44" s="457"/>
      <c r="AZ44" s="457"/>
      <c r="BA44" s="457"/>
      <c r="BB44" s="457"/>
      <c r="BC44" s="457"/>
      <c r="BD44" s="457"/>
      <c r="BE44" s="457"/>
    </row>
    <row r="45" spans="1:57" ht="12.75">
      <c r="A45" s="457"/>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67"/>
      <c r="AB45" s="459"/>
      <c r="AC45" s="459"/>
      <c r="AD45" s="459"/>
      <c r="AE45" s="459"/>
      <c r="AF45" s="459"/>
      <c r="AG45" s="459"/>
      <c r="AH45" s="459"/>
      <c r="AI45" s="459"/>
      <c r="AJ45" s="459"/>
      <c r="AK45" s="459"/>
      <c r="AL45" s="459"/>
      <c r="AM45" s="459"/>
      <c r="AN45" s="459"/>
      <c r="AO45" s="459"/>
      <c r="AP45" s="459"/>
      <c r="AQ45" s="459"/>
      <c r="AR45" s="459"/>
      <c r="AS45" s="457"/>
      <c r="AT45" s="459"/>
      <c r="AU45" s="457"/>
      <c r="AV45" s="457"/>
      <c r="AW45" s="457"/>
      <c r="AX45" s="457"/>
      <c r="AY45" s="457"/>
      <c r="AZ45" s="457"/>
      <c r="BA45" s="457"/>
      <c r="BB45" s="457"/>
      <c r="BC45" s="457"/>
      <c r="BD45" s="457"/>
      <c r="BE45" s="457"/>
    </row>
    <row r="46" spans="1:57" ht="12.75">
      <c r="A46" s="457"/>
      <c r="B46" s="459"/>
      <c r="C46" s="459"/>
      <c r="D46" s="466"/>
      <c r="E46" s="466"/>
      <c r="F46" s="466"/>
      <c r="G46" s="459"/>
      <c r="H46" s="459"/>
      <c r="I46" s="459"/>
      <c r="J46" s="459"/>
      <c r="K46" s="459"/>
      <c r="L46" s="459"/>
      <c r="M46" s="459"/>
      <c r="N46" s="459"/>
      <c r="O46" s="459"/>
      <c r="P46" s="459"/>
      <c r="Q46" s="459"/>
      <c r="R46" s="459"/>
      <c r="S46" s="459"/>
      <c r="T46" s="459"/>
      <c r="U46" s="459"/>
      <c r="V46" s="464" t="s">
        <v>1452</v>
      </c>
      <c r="W46" s="473" t="s">
        <v>1400</v>
      </c>
      <c r="X46" s="473" t="s">
        <v>1401</v>
      </c>
      <c r="Y46" s="473" t="s">
        <v>1402</v>
      </c>
      <c r="Z46" s="459"/>
      <c r="AA46" s="467"/>
      <c r="AB46" s="459"/>
      <c r="AC46" s="459"/>
      <c r="AD46" s="459"/>
      <c r="AE46" s="459"/>
      <c r="AF46" s="459"/>
      <c r="AG46" s="459"/>
      <c r="AH46" s="459"/>
      <c r="AI46" s="459"/>
      <c r="AJ46" s="459"/>
      <c r="AK46" s="459"/>
      <c r="AL46" s="459"/>
      <c r="AM46" s="459"/>
      <c r="AN46" s="459"/>
      <c r="AO46" s="459"/>
      <c r="AP46" s="459"/>
      <c r="AQ46" s="459"/>
      <c r="AR46" s="459"/>
      <c r="AS46" s="457"/>
      <c r="AT46" s="459"/>
      <c r="AU46" s="457"/>
      <c r="AV46" s="457"/>
      <c r="AW46" s="457"/>
      <c r="AX46" s="457"/>
      <c r="AY46" s="457"/>
      <c r="AZ46" s="457"/>
      <c r="BA46" s="457"/>
      <c r="BB46" s="457"/>
      <c r="BC46" s="457"/>
      <c r="BD46" s="457"/>
      <c r="BE46" s="457"/>
    </row>
    <row r="47" spans="1:57" ht="12.75">
      <c r="A47" s="457"/>
      <c r="B47" s="459"/>
      <c r="C47" s="459"/>
      <c r="D47" s="466"/>
      <c r="E47" s="466"/>
      <c r="F47" s="466"/>
      <c r="G47" s="459"/>
      <c r="H47" s="459"/>
      <c r="I47" s="459"/>
      <c r="J47" s="459"/>
      <c r="K47" s="459"/>
      <c r="L47" s="459"/>
      <c r="M47" s="459"/>
      <c r="N47" s="459"/>
      <c r="O47" s="459"/>
      <c r="P47" s="459"/>
      <c r="Q47" s="459"/>
      <c r="R47" s="459"/>
      <c r="S47" s="459"/>
      <c r="T47" s="459"/>
      <c r="U47" s="459"/>
      <c r="V47" s="467">
        <f>100*(+AD41/$E$9)</f>
        <v>341.66047212795712</v>
      </c>
      <c r="W47" s="474">
        <f>EXP(5.7226-(0.68367*LN(+V47)))</f>
        <v>5.6643605379011168</v>
      </c>
      <c r="X47" s="468">
        <f>(+W47*V47)/100</f>
        <v>19.352880956822649</v>
      </c>
      <c r="Y47" s="467">
        <f>100*((((X47/100)-((X47/100)-0.03574)*$E$21)-0.03574-0.00619)/0.344)</f>
        <v>28.474015789252753</v>
      </c>
      <c r="Z47" s="459">
        <f>$E$20</f>
        <v>0.25</v>
      </c>
      <c r="AA47" s="467">
        <f>Y47+Z47</f>
        <v>28.724015789252753</v>
      </c>
      <c r="AB47" s="467">
        <f>100*($E$17*$E$19+($E$18*(AA47/100))/(1-$E$21))</f>
        <v>27.130939497149818</v>
      </c>
      <c r="AC47" s="468">
        <f>AB47/V47</f>
        <v>7.940906751129484E-2</v>
      </c>
      <c r="AD47" s="466">
        <f>ROUND($E$8/(1-AC47),0)</f>
        <v>327323</v>
      </c>
      <c r="AE47" s="459" t="str">
        <f>IF(OR(OR(AD47=AD41,AD47=(AD41+1)),AD47=(AD33-1)),"yes","not yet")</f>
        <v>yes</v>
      </c>
      <c r="AF47" s="467">
        <f>100*(1-AC47)</f>
        <v>92.059093248870511</v>
      </c>
      <c r="AG47" s="459"/>
      <c r="AH47" s="459"/>
      <c r="AI47" s="459"/>
      <c r="AJ47" s="459"/>
      <c r="AK47" s="459"/>
      <c r="AL47" s="459"/>
      <c r="AM47" s="459"/>
      <c r="AN47" s="459"/>
      <c r="AO47" s="459"/>
      <c r="AP47" s="459"/>
      <c r="AQ47" s="459"/>
      <c r="AR47" s="459"/>
      <c r="AS47" s="457"/>
      <c r="AT47" s="459"/>
      <c r="AU47" s="457"/>
      <c r="AV47" s="457"/>
      <c r="AW47" s="457"/>
      <c r="AX47" s="457"/>
      <c r="AY47" s="457"/>
      <c r="AZ47" s="457"/>
      <c r="BA47" s="457"/>
      <c r="BB47" s="457"/>
      <c r="BC47" s="457"/>
      <c r="BD47" s="457"/>
      <c r="BE47" s="457"/>
    </row>
    <row r="48" spans="1:57" ht="12.75">
      <c r="A48" s="457"/>
      <c r="B48" s="459"/>
      <c r="C48" s="459"/>
      <c r="D48" s="459"/>
      <c r="E48" s="462"/>
      <c r="F48" s="459"/>
      <c r="G48" s="459"/>
      <c r="H48" s="459"/>
      <c r="I48" s="459"/>
      <c r="J48" s="459"/>
      <c r="K48" s="459"/>
      <c r="L48" s="459"/>
      <c r="M48" s="459"/>
      <c r="N48" s="459"/>
      <c r="O48" s="459"/>
      <c r="P48" s="459"/>
      <c r="Q48" s="459"/>
      <c r="R48" s="459"/>
      <c r="S48" s="459"/>
      <c r="T48" s="459"/>
      <c r="U48" s="459"/>
      <c r="V48" s="467">
        <f>100*(+AD42/$E$9)</f>
        <v>341.16466607625659</v>
      </c>
      <c r="W48" s="474">
        <f>EXP(5.70827-(0.68367*LN(+V48)))</f>
        <v>5.5893156061665232</v>
      </c>
      <c r="X48" s="468">
        <f>(+W48*V48)/100</f>
        <v>19.068769923726116</v>
      </c>
      <c r="Y48" s="467">
        <f>100*((((X48/100)-((X48/100)-0.03574)*$E$21)-0.03574-0.00619)/0.344)</f>
        <v>27.928919039707083</v>
      </c>
      <c r="Z48" s="459">
        <f>$E$20</f>
        <v>0.25</v>
      </c>
      <c r="AA48" s="467">
        <f>Y48+Z48</f>
        <v>28.178919039707083</v>
      </c>
      <c r="AB48" s="467">
        <f>100*($E$17*$E$19+($E$18*(AA48/100))/(1-$E$21))</f>
        <v>26.635396997562843</v>
      </c>
      <c r="AC48" s="468">
        <f>AB48/V48</f>
        <v>7.8071968307554279E-2</v>
      </c>
      <c r="AD48" s="466">
        <f>ROUND($E$8/(1-AC48),0)</f>
        <v>326848</v>
      </c>
      <c r="AE48" s="459" t="str">
        <f>IF(OR(OR(AD48=AD42,AD48=(AD42+1)),AD48=(AD42-1)),"yes","not yet")</f>
        <v>yes</v>
      </c>
      <c r="AF48" s="467">
        <f>100*(1-AC48)</f>
        <v>92.19280316924457</v>
      </c>
      <c r="AG48" s="459"/>
      <c r="AH48" s="459"/>
      <c r="AI48" s="459"/>
      <c r="AJ48" s="459"/>
      <c r="AK48" s="459"/>
      <c r="AL48" s="459"/>
      <c r="AM48" s="459"/>
      <c r="AN48" s="459"/>
      <c r="AO48" s="459"/>
      <c r="AP48" s="459"/>
      <c r="AQ48" s="459"/>
      <c r="AR48" s="459"/>
      <c r="AS48" s="457"/>
      <c r="AT48" s="459"/>
      <c r="AU48" s="457"/>
      <c r="AV48" s="457"/>
      <c r="AW48" s="457"/>
      <c r="AX48" s="457"/>
      <c r="AY48" s="457"/>
      <c r="AZ48" s="457"/>
      <c r="BA48" s="457"/>
      <c r="BB48" s="457"/>
      <c r="BC48" s="457"/>
      <c r="BD48" s="457"/>
      <c r="BE48" s="457"/>
    </row>
    <row r="49" spans="1:57" ht="12.75">
      <c r="A49" s="457"/>
      <c r="B49" s="459"/>
      <c r="C49" s="459"/>
      <c r="D49" s="459"/>
      <c r="E49" s="462"/>
      <c r="F49" s="459"/>
      <c r="G49" s="459"/>
      <c r="H49" s="459"/>
      <c r="I49" s="459"/>
      <c r="J49" s="459"/>
      <c r="K49" s="459"/>
      <c r="L49" s="459"/>
      <c r="M49" s="459"/>
      <c r="N49" s="459"/>
      <c r="O49" s="459"/>
      <c r="P49" s="459"/>
      <c r="Q49" s="459"/>
      <c r="R49" s="459"/>
      <c r="S49" s="459"/>
      <c r="T49" s="459"/>
      <c r="U49" s="459"/>
      <c r="V49" s="467">
        <f>100*(+AD43/$E$9)</f>
        <v>340.83169316995662</v>
      </c>
      <c r="W49" s="474">
        <f>EXP(5.6985-(0.68367*LN(V49)))</f>
        <v>5.5386701564209018</v>
      </c>
      <c r="X49" s="468">
        <f>(+W49*V49)/100</f>
        <v>18.877543273228444</v>
      </c>
      <c r="Y49" s="467">
        <f>100*((((X49/100)-((X49/100)-0.03574)*$E$21)-0.03574-0.00619)/0.344)</f>
        <v>27.562030698635969</v>
      </c>
      <c r="Z49" s="459">
        <f>$E$20</f>
        <v>0.25</v>
      </c>
      <c r="AA49" s="467">
        <f>Y49+Z49</f>
        <v>27.812030698635969</v>
      </c>
      <c r="AB49" s="467">
        <f>100*($E$17*$E$19+($E$18*(AA49/100))/(1-$E$21))</f>
        <v>26.301862142043653</v>
      </c>
      <c r="AC49" s="468">
        <f>AB49/V49</f>
        <v>7.716964903533241E-2</v>
      </c>
      <c r="AD49" s="466">
        <f>ROUND($E$8/(1-AC49),0)</f>
        <v>326529</v>
      </c>
      <c r="AE49" s="459" t="str">
        <f>IF(OR(OR(AD49=AD43,AD49=(AD43+1)),AD49=(AD43-1)),"yes","not yet")</f>
        <v>yes</v>
      </c>
      <c r="AF49" s="467">
        <f>100*(1-AC49)</f>
        <v>92.283035096466762</v>
      </c>
      <c r="AG49" s="459"/>
      <c r="AH49" s="459"/>
      <c r="AI49" s="459"/>
      <c r="AJ49" s="459"/>
      <c r="AK49" s="459"/>
      <c r="AL49" s="459"/>
      <c r="AM49" s="459"/>
      <c r="AN49" s="459"/>
      <c r="AO49" s="459"/>
      <c r="AP49" s="459"/>
      <c r="AQ49" s="459"/>
      <c r="AR49" s="459"/>
      <c r="AS49" s="457"/>
      <c r="AT49" s="459"/>
      <c r="AU49" s="457"/>
      <c r="AV49" s="457"/>
      <c r="AW49" s="457"/>
      <c r="AX49" s="457"/>
      <c r="AY49" s="457"/>
      <c r="AZ49" s="457"/>
      <c r="BA49" s="457"/>
      <c r="BB49" s="457"/>
      <c r="BC49" s="457"/>
      <c r="BD49" s="457"/>
      <c r="BE49" s="457"/>
    </row>
    <row r="50" spans="1:57" ht="12.75">
      <c r="A50" s="457"/>
      <c r="B50" s="459"/>
      <c r="C50" s="459"/>
      <c r="D50" s="459"/>
      <c r="E50" s="462"/>
      <c r="F50" s="459"/>
      <c r="G50" s="459"/>
      <c r="H50" s="459"/>
      <c r="I50" s="459"/>
      <c r="J50" s="459"/>
      <c r="K50" s="459"/>
      <c r="L50" s="459"/>
      <c r="M50" s="459"/>
      <c r="N50" s="459"/>
      <c r="O50" s="459"/>
      <c r="P50" s="459"/>
      <c r="Q50" s="459"/>
      <c r="R50" s="459"/>
      <c r="S50" s="459"/>
      <c r="T50" s="459"/>
      <c r="U50" s="459"/>
      <c r="V50" s="467">
        <f>100*(+AD44/$E$9)</f>
        <v>340.61771371606477</v>
      </c>
      <c r="W50" s="474">
        <f>EXP(5.6922-(0.68367*LN(V50)))</f>
        <v>5.5062498389806516</v>
      </c>
      <c r="X50" s="468">
        <f>(+W50*V50)/100</f>
        <v>18.755262313030393</v>
      </c>
      <c r="Y50" s="467">
        <f>100*((((X50/100)-((X50/100)-0.03574)*$E$21)-0.03574-0.00619)/0.344)</f>
        <v>27.327421879651332</v>
      </c>
      <c r="Z50" s="459">
        <f>$E$20</f>
        <v>0.25</v>
      </c>
      <c r="AA50" s="467">
        <f>Y50+Z50</f>
        <v>27.577421879651332</v>
      </c>
      <c r="AB50" s="467">
        <f>100*($E$17*$E$19+($E$18*(AA50/100))/(1-$E$21))</f>
        <v>26.088581397512161</v>
      </c>
      <c r="AC50" s="468">
        <f>AB50/V50</f>
        <v>7.6591969081382896E-2</v>
      </c>
      <c r="AD50" s="466">
        <f>ROUND($E$8/(1-AC50),0)</f>
        <v>326324</v>
      </c>
      <c r="AE50" s="459" t="str">
        <f>IF(OR(OR(AD50=AD44,AD50=(AD44+1)),AD50=(AD44-1)),"yes","not yet")</f>
        <v>yes</v>
      </c>
      <c r="AF50" s="467">
        <f>100*(1-AC50)</f>
        <v>92.340803091861716</v>
      </c>
      <c r="AG50" s="459"/>
      <c r="AH50" s="459"/>
      <c r="AI50" s="459"/>
      <c r="AJ50" s="459"/>
      <c r="AK50" s="459"/>
      <c r="AL50" s="459"/>
      <c r="AM50" s="459"/>
      <c r="AN50" s="459"/>
      <c r="AO50" s="459"/>
      <c r="AP50" s="459"/>
      <c r="AQ50" s="459"/>
      <c r="AR50" s="459"/>
      <c r="AS50" s="457"/>
      <c r="AT50" s="459"/>
      <c r="AU50" s="457"/>
      <c r="AV50" s="457"/>
      <c r="AW50" s="457"/>
      <c r="AX50" s="457"/>
      <c r="AY50" s="457"/>
      <c r="AZ50" s="457"/>
      <c r="BA50" s="457"/>
      <c r="BB50" s="457"/>
      <c r="BC50" s="457"/>
      <c r="BD50" s="457"/>
      <c r="BE50" s="457"/>
    </row>
    <row r="51" spans="1:57" ht="12.75">
      <c r="A51" s="457"/>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67"/>
      <c r="AB51" s="459"/>
      <c r="AC51" s="459"/>
      <c r="AD51" s="459"/>
      <c r="AE51" s="459"/>
      <c r="AF51" s="459"/>
      <c r="AG51" s="459"/>
      <c r="AH51" s="459"/>
      <c r="AI51" s="459"/>
      <c r="AJ51" s="459"/>
      <c r="AK51" s="459"/>
      <c r="AL51" s="459"/>
      <c r="AM51" s="459"/>
      <c r="AN51" s="459"/>
      <c r="AO51" s="459"/>
      <c r="AP51" s="459"/>
      <c r="AQ51" s="459"/>
      <c r="AR51" s="459"/>
      <c r="AS51" s="457"/>
      <c r="AT51" s="459"/>
      <c r="AU51" s="457"/>
      <c r="AV51" s="457"/>
      <c r="AW51" s="457"/>
      <c r="AX51" s="457"/>
      <c r="AY51" s="457"/>
      <c r="AZ51" s="457"/>
      <c r="BA51" s="457"/>
      <c r="BB51" s="457"/>
      <c r="BC51" s="457"/>
      <c r="BD51" s="457"/>
      <c r="BE51" s="457"/>
    </row>
    <row r="52" spans="1:57" ht="12.75">
      <c r="A52" s="457"/>
      <c r="B52" s="459"/>
      <c r="C52" s="459"/>
      <c r="D52" s="459"/>
      <c r="E52" s="459"/>
      <c r="F52" s="459"/>
      <c r="G52" s="459"/>
      <c r="H52" s="459"/>
      <c r="I52" s="459"/>
      <c r="J52" s="459"/>
      <c r="K52" s="459"/>
      <c r="L52" s="459"/>
      <c r="M52" s="459"/>
      <c r="N52" s="459"/>
      <c r="O52" s="459"/>
      <c r="P52" s="459"/>
      <c r="Q52" s="459"/>
      <c r="R52" s="459"/>
      <c r="S52" s="459"/>
      <c r="T52" s="459"/>
      <c r="U52" s="459"/>
      <c r="V52" s="464" t="s">
        <v>1453</v>
      </c>
      <c r="W52" s="473" t="s">
        <v>1400</v>
      </c>
      <c r="X52" s="473" t="s">
        <v>1401</v>
      </c>
      <c r="Y52" s="473" t="s">
        <v>1402</v>
      </c>
      <c r="Z52" s="459"/>
      <c r="AA52" s="467"/>
      <c r="AB52" s="459"/>
      <c r="AC52" s="459"/>
      <c r="AD52" s="459"/>
      <c r="AE52" s="459"/>
      <c r="AF52" s="459"/>
      <c r="AG52" s="459"/>
      <c r="AH52" s="459"/>
      <c r="AI52" s="459"/>
      <c r="AJ52" s="459"/>
      <c r="AK52" s="459"/>
      <c r="AL52" s="459"/>
      <c r="AM52" s="459"/>
      <c r="AN52" s="459"/>
      <c r="AO52" s="459"/>
      <c r="AP52" s="459"/>
      <c r="AQ52" s="459"/>
      <c r="AR52" s="459"/>
      <c r="AS52" s="457"/>
      <c r="AT52" s="459"/>
      <c r="AU52" s="457"/>
      <c r="AV52" s="457"/>
      <c r="AW52" s="457"/>
      <c r="AX52" s="457"/>
      <c r="AY52" s="457"/>
      <c r="AZ52" s="457"/>
      <c r="BA52" s="457"/>
      <c r="BB52" s="457"/>
      <c r="BC52" s="457"/>
      <c r="BD52" s="457"/>
      <c r="BE52" s="457"/>
    </row>
    <row r="53" spans="1:57" ht="12.75">
      <c r="A53" s="457"/>
      <c r="B53" s="459"/>
      <c r="C53" s="459"/>
      <c r="D53" s="459"/>
      <c r="E53" s="459"/>
      <c r="F53" s="459"/>
      <c r="G53" s="459"/>
      <c r="H53" s="459"/>
      <c r="I53" s="459"/>
      <c r="J53" s="459"/>
      <c r="K53" s="459"/>
      <c r="L53" s="459"/>
      <c r="M53" s="459"/>
      <c r="N53" s="459"/>
      <c r="O53" s="459"/>
      <c r="P53" s="459"/>
      <c r="Q53" s="459"/>
      <c r="R53" s="459"/>
      <c r="S53" s="459"/>
      <c r="T53" s="459"/>
      <c r="U53" s="459"/>
      <c r="V53" s="467">
        <f>100*(+AD47/$E$9)</f>
        <v>341.66047212795712</v>
      </c>
      <c r="W53" s="474">
        <f>EXP(5.7226-(0.68367*LN(+V53)))</f>
        <v>5.6643605379011168</v>
      </c>
      <c r="X53" s="468">
        <f>(+W53*V53)/100</f>
        <v>19.352880956822649</v>
      </c>
      <c r="Y53" s="467">
        <f>100*((((X53/100)-((X53/100)-0.03574)*$E$21)-0.03574-0.00619)/0.344)</f>
        <v>28.474015789252753</v>
      </c>
      <c r="Z53" s="459">
        <f>$E$20</f>
        <v>0.25</v>
      </c>
      <c r="AA53" s="467">
        <f>Y53+Z53</f>
        <v>28.724015789252753</v>
      </c>
      <c r="AB53" s="467">
        <f>100*($E$17*$E$19+($E$18*(AA53/100))/(1-$E$21))</f>
        <v>27.130939497149818</v>
      </c>
      <c r="AC53" s="468">
        <f>AB53/V53</f>
        <v>7.940906751129484E-2</v>
      </c>
      <c r="AD53" s="466">
        <f>ROUND($E$8/(1-AC53),0)</f>
        <v>327323</v>
      </c>
      <c r="AE53" s="459" t="str">
        <f>IF(OR(OR(AD53=AD47,AD53=(AD47+1)),AD53=(AD39-1)),"yes","not yet")</f>
        <v>yes</v>
      </c>
      <c r="AF53" s="467">
        <f>100*(1-AC53)</f>
        <v>92.059093248870511</v>
      </c>
      <c r="AG53" s="459"/>
      <c r="AH53" s="459"/>
      <c r="AI53" s="459"/>
      <c r="AJ53" s="459"/>
      <c r="AK53" s="459"/>
      <c r="AL53" s="459"/>
      <c r="AM53" s="459"/>
      <c r="AN53" s="459"/>
      <c r="AO53" s="459"/>
      <c r="AP53" s="459"/>
      <c r="AQ53" s="459"/>
      <c r="AR53" s="459"/>
      <c r="AS53" s="457"/>
      <c r="AT53" s="459"/>
      <c r="AU53" s="457"/>
      <c r="AV53" s="457"/>
      <c r="AW53" s="457"/>
      <c r="AX53" s="457"/>
      <c r="AY53" s="457"/>
      <c r="AZ53" s="457"/>
      <c r="BA53" s="457"/>
      <c r="BB53" s="457"/>
      <c r="BC53" s="457"/>
      <c r="BD53" s="457"/>
      <c r="BE53" s="457"/>
    </row>
    <row r="54" spans="1:57" ht="12.75">
      <c r="A54" s="457"/>
      <c r="B54" s="459"/>
      <c r="C54" s="459"/>
      <c r="D54" s="459"/>
      <c r="E54" s="459"/>
      <c r="F54" s="459"/>
      <c r="G54" s="459"/>
      <c r="H54" s="459"/>
      <c r="I54" s="459"/>
      <c r="J54" s="459"/>
      <c r="K54" s="459"/>
      <c r="L54" s="459"/>
      <c r="M54" s="459"/>
      <c r="N54" s="459"/>
      <c r="O54" s="459"/>
      <c r="P54" s="459"/>
      <c r="Q54" s="459"/>
      <c r="R54" s="459"/>
      <c r="S54" s="459"/>
      <c r="T54" s="459"/>
      <c r="U54" s="459"/>
      <c r="V54" s="467">
        <f>100*(+AD48/$E$9)</f>
        <v>341.16466607625659</v>
      </c>
      <c r="W54" s="474">
        <f>EXP(5.70827-(0.68367*LN(+V54)))</f>
        <v>5.5893156061665232</v>
      </c>
      <c r="X54" s="468">
        <f>(+W54*V54)/100</f>
        <v>19.068769923726116</v>
      </c>
      <c r="Y54" s="467">
        <f>100*((((X54/100)-((X54/100)-0.03574)*$E$21)-0.03574-0.00619)/0.344)</f>
        <v>27.928919039707083</v>
      </c>
      <c r="Z54" s="459">
        <f>$E$20</f>
        <v>0.25</v>
      </c>
      <c r="AA54" s="467">
        <f>Y54+Z54</f>
        <v>28.178919039707083</v>
      </c>
      <c r="AB54" s="467">
        <f>100*($E$17*$E$19+($E$18*(AA54/100))/(1-$E$21))</f>
        <v>26.635396997562843</v>
      </c>
      <c r="AC54" s="468">
        <f>AB54/V54</f>
        <v>7.8071968307554279E-2</v>
      </c>
      <c r="AD54" s="466">
        <f>ROUND($E$8/(1-AC54),0)</f>
        <v>326848</v>
      </c>
      <c r="AE54" s="459" t="str">
        <f>IF(OR(OR(AD54=AD48,AD54=(AD48+1)),AD54=(AD48-1)),"yes","not yet")</f>
        <v>yes</v>
      </c>
      <c r="AF54" s="467">
        <f>100*(1-AC54)</f>
        <v>92.19280316924457</v>
      </c>
      <c r="AG54" s="459"/>
      <c r="AH54" s="459"/>
      <c r="AI54" s="459"/>
      <c r="AJ54" s="459"/>
      <c r="AK54" s="459"/>
      <c r="AL54" s="459"/>
      <c r="AM54" s="459"/>
      <c r="AN54" s="459"/>
      <c r="AO54" s="459"/>
      <c r="AP54" s="459"/>
      <c r="AQ54" s="459"/>
      <c r="AR54" s="459"/>
      <c r="AS54" s="457"/>
      <c r="AT54" s="459"/>
      <c r="AU54" s="457"/>
      <c r="AV54" s="457"/>
      <c r="AW54" s="457"/>
      <c r="AX54" s="457"/>
      <c r="AY54" s="457"/>
      <c r="AZ54" s="457"/>
      <c r="BA54" s="457"/>
      <c r="BB54" s="457"/>
      <c r="BC54" s="457"/>
      <c r="BD54" s="457"/>
      <c r="BE54" s="457"/>
    </row>
    <row r="55" spans="1:57" ht="12.75">
      <c r="A55" s="457"/>
      <c r="B55" s="459"/>
      <c r="C55" s="459"/>
      <c r="D55" s="459"/>
      <c r="E55" s="459"/>
      <c r="F55" s="459"/>
      <c r="G55" s="459"/>
      <c r="H55" s="459"/>
      <c r="I55" s="459"/>
      <c r="J55" s="459"/>
      <c r="K55" s="459"/>
      <c r="L55" s="459"/>
      <c r="M55" s="459"/>
      <c r="N55" s="459"/>
      <c r="O55" s="459"/>
      <c r="P55" s="459"/>
      <c r="Q55" s="459"/>
      <c r="R55" s="459"/>
      <c r="S55" s="459"/>
      <c r="T55" s="459"/>
      <c r="U55" s="459"/>
      <c r="V55" s="467">
        <f>100*(+AD49/$E$9)</f>
        <v>340.83169316995662</v>
      </c>
      <c r="W55" s="474">
        <f>EXP(5.6985-(0.68367*LN(V55)))</f>
        <v>5.5386701564209018</v>
      </c>
      <c r="X55" s="468">
        <f>(+W55*V55)/100</f>
        <v>18.877543273228444</v>
      </c>
      <c r="Y55" s="467">
        <f>100*((((X55/100)-((X55/100)-0.03574)*$E$21)-0.03574-0.00619)/0.344)</f>
        <v>27.562030698635969</v>
      </c>
      <c r="Z55" s="459">
        <f>$E$20</f>
        <v>0.25</v>
      </c>
      <c r="AA55" s="467">
        <f>Y55+Z55</f>
        <v>27.812030698635969</v>
      </c>
      <c r="AB55" s="467">
        <f>100*($E$17*$E$19+($E$18*(AA55/100))/(1-$E$21))</f>
        <v>26.301862142043653</v>
      </c>
      <c r="AC55" s="468">
        <f>AB55/V55</f>
        <v>7.716964903533241E-2</v>
      </c>
      <c r="AD55" s="466">
        <f>ROUND($E$8/(1-AC55),0)</f>
        <v>326529</v>
      </c>
      <c r="AE55" s="459" t="str">
        <f>IF(OR(OR(AD55=AD49,AD55=(AD49+1)),AD55=(AD49-1)),"yes","not yet")</f>
        <v>yes</v>
      </c>
      <c r="AF55" s="467">
        <f>100*(1-AC55)</f>
        <v>92.283035096466762</v>
      </c>
      <c r="AG55" s="459"/>
      <c r="AH55" s="459"/>
      <c r="AI55" s="459"/>
      <c r="AJ55" s="459"/>
      <c r="AK55" s="459"/>
      <c r="AL55" s="459"/>
      <c r="AM55" s="459"/>
      <c r="AN55" s="459"/>
      <c r="AO55" s="459"/>
      <c r="AP55" s="459"/>
      <c r="AQ55" s="459"/>
      <c r="AR55" s="459"/>
      <c r="AS55" s="457"/>
      <c r="AT55" s="459"/>
      <c r="AU55" s="457"/>
      <c r="AV55" s="457"/>
      <c r="AW55" s="457"/>
      <c r="AX55" s="457"/>
      <c r="AY55" s="457"/>
      <c r="AZ55" s="457"/>
      <c r="BA55" s="457"/>
      <c r="BB55" s="457"/>
      <c r="BC55" s="457"/>
      <c r="BD55" s="457"/>
      <c r="BE55" s="457"/>
    </row>
    <row r="56" spans="1:57" ht="12.75">
      <c r="A56" s="457"/>
      <c r="B56" s="459"/>
      <c r="C56" s="459"/>
      <c r="D56" s="459"/>
      <c r="E56" s="459"/>
      <c r="F56" s="459"/>
      <c r="G56" s="459"/>
      <c r="H56" s="459"/>
      <c r="I56" s="459"/>
      <c r="J56" s="459"/>
      <c r="K56" s="459"/>
      <c r="L56" s="459"/>
      <c r="M56" s="459"/>
      <c r="N56" s="459"/>
      <c r="O56" s="459"/>
      <c r="P56" s="459"/>
      <c r="Q56" s="459"/>
      <c r="R56" s="459"/>
      <c r="S56" s="459"/>
      <c r="T56" s="459"/>
      <c r="U56" s="459"/>
      <c r="V56" s="467">
        <f>100*(+AD50/$E$9)</f>
        <v>340.61771371606477</v>
      </c>
      <c r="W56" s="474">
        <f>EXP(5.6922-(0.68367*LN(V56)))</f>
        <v>5.5062498389806516</v>
      </c>
      <c r="X56" s="468">
        <f>(+W56*V56)/100</f>
        <v>18.755262313030393</v>
      </c>
      <c r="Y56" s="467">
        <f>100*((((X56/100)-((X56/100)-0.03574)*$E$21)-0.03574-0.00619)/0.344)</f>
        <v>27.327421879651332</v>
      </c>
      <c r="Z56" s="459">
        <f>$E$20</f>
        <v>0.25</v>
      </c>
      <c r="AA56" s="467">
        <f>Y56+Z56</f>
        <v>27.577421879651332</v>
      </c>
      <c r="AB56" s="467">
        <f>100*($E$17*$E$19+($E$18*(AA56/100))/(1-$E$21))</f>
        <v>26.088581397512161</v>
      </c>
      <c r="AC56" s="468">
        <f>AB56/V56</f>
        <v>7.6591969081382896E-2</v>
      </c>
      <c r="AD56" s="466">
        <f>ROUND($E$8/(1-AC56),0)</f>
        <v>326324</v>
      </c>
      <c r="AE56" s="459" t="str">
        <f>IF(OR(OR(AD56=AD50,AD56=(AD50+1)),AD56=(AD50-1)),"yes","not yet")</f>
        <v>yes</v>
      </c>
      <c r="AF56" s="467">
        <f>100*(1-AC56)</f>
        <v>92.340803091861716</v>
      </c>
      <c r="AG56" s="459"/>
      <c r="AH56" s="459"/>
      <c r="AI56" s="459"/>
      <c r="AJ56" s="459"/>
      <c r="AK56" s="459"/>
      <c r="AL56" s="459"/>
      <c r="AM56" s="459"/>
      <c r="AN56" s="459"/>
      <c r="AO56" s="459"/>
      <c r="AP56" s="459"/>
      <c r="AQ56" s="459"/>
      <c r="AR56" s="459"/>
      <c r="AS56" s="457"/>
      <c r="AT56" s="459"/>
      <c r="AU56" s="457"/>
      <c r="AV56" s="457"/>
      <c r="AW56" s="457"/>
      <c r="AX56" s="457"/>
      <c r="AY56" s="457"/>
      <c r="AZ56" s="457"/>
      <c r="BA56" s="457"/>
      <c r="BB56" s="457"/>
      <c r="BC56" s="457"/>
      <c r="BD56" s="457"/>
      <c r="BE56" s="457"/>
    </row>
    <row r="57" spans="1:57" ht="12.75">
      <c r="A57" s="457"/>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67"/>
      <c r="AB57" s="459"/>
      <c r="AC57" s="459"/>
      <c r="AD57" s="459"/>
      <c r="AE57" s="459"/>
      <c r="AF57" s="459"/>
      <c r="AG57" s="459"/>
      <c r="AH57" s="459"/>
      <c r="AI57" s="459"/>
      <c r="AJ57" s="459"/>
      <c r="AK57" s="459"/>
      <c r="AL57" s="459"/>
      <c r="AM57" s="459"/>
      <c r="AN57" s="459"/>
      <c r="AO57" s="459"/>
      <c r="AP57" s="459"/>
      <c r="AQ57" s="459"/>
      <c r="AR57" s="459"/>
      <c r="AS57" s="457"/>
      <c r="AT57" s="459"/>
      <c r="AU57" s="457"/>
      <c r="AV57" s="457"/>
      <c r="AW57" s="457"/>
      <c r="AX57" s="457"/>
      <c r="AY57" s="457"/>
      <c r="AZ57" s="457"/>
      <c r="BA57" s="457"/>
      <c r="BB57" s="457"/>
      <c r="BC57" s="457"/>
      <c r="BD57" s="457"/>
      <c r="BE57" s="457"/>
    </row>
    <row r="58" spans="1:57" ht="12.75">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row>
    <row r="59" spans="1:57" ht="12.75">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row>
    <row r="60" spans="1:57" ht="12.75">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row>
    <row r="61" spans="1:57" ht="12.75">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row>
    <row r="62" spans="1:57" ht="12.75">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row>
    <row r="63" spans="1:57" ht="12.75">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row>
    <row r="64" spans="1:57" ht="12.75">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row>
    <row r="65" spans="1:57" ht="12.75">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row>
    <row r="66" spans="1:57" ht="12.75">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row>
    <row r="67" spans="1:57" ht="12.75">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row>
    <row r="68" spans="1:57" ht="12.75">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row>
    <row r="69" spans="1:57" ht="12.75">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row>
    <row r="70" spans="1:57" ht="12.75">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row>
    <row r="71" spans="1:57" ht="12.75">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row>
    <row r="72" spans="1:57" ht="12.75">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row>
    <row r="73" spans="1:57" ht="12.75">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row>
    <row r="74" spans="1:57" ht="12.75">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row>
    <row r="75" spans="1:57" ht="12.7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row>
    <row r="76" spans="1:57" ht="12.75">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row>
    <row r="77" spans="1:57" ht="12.75">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row>
    <row r="78" spans="1:57" ht="12.75">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row>
    <row r="79" spans="1:57" ht="12.75">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row>
    <row r="80" spans="1:57" ht="12.75">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row>
    <row r="81" spans="1:57" ht="12.75">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row>
    <row r="82" spans="1:57" ht="12.75">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row>
    <row r="83" spans="1:57" ht="12.75">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row>
    <row r="84" spans="1:57" ht="12.75">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row>
    <row r="85" spans="1:57" ht="12.75">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row>
    <row r="86" spans="1:57" ht="12.75">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row>
    <row r="87" spans="1:57" ht="12.75">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row>
    <row r="88" spans="1:57" ht="12.75">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row>
    <row r="89" spans="1:57" ht="12.75">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row>
    <row r="90" spans="1:57" ht="12.75">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row>
    <row r="91" spans="1:57" ht="12.75">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row>
    <row r="92" spans="1:57" ht="12.75">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row>
    <row r="93" spans="1:57" ht="12.75">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row>
    <row r="94" spans="1:57" ht="12.75">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row>
    <row r="95" spans="1:57" ht="12.75">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row>
    <row r="96" spans="1:57" ht="12.75">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row>
    <row r="97" spans="1:57" ht="12.75">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row>
    <row r="98" spans="1:57" ht="12.75">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row>
    <row r="99" spans="1:57" ht="12.75">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row>
    <row r="100" spans="1:57" ht="12.75">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row>
    <row r="101" spans="1:57" ht="12.75">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row>
    <row r="102" spans="1:57" ht="12.75">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row>
    <row r="103" spans="1:57" ht="12.75">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row>
    <row r="104" spans="1:57" ht="12.75">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row>
    <row r="105" spans="1:57" ht="12.7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row>
    <row r="106" spans="1:57" ht="12.75">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row>
    <row r="107" spans="1:57" ht="12.75">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row>
    <row r="108" spans="1:57" ht="12.75">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row>
    <row r="109" spans="1:57" ht="12.75">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row>
    <row r="110" spans="1:57" ht="12.75">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row>
    <row r="111" spans="1:57" ht="12.75">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row>
    <row r="112" spans="1:57" ht="12.75">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row>
    <row r="113" spans="1:57" ht="12.75">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row>
    <row r="114" spans="1:57" ht="12.75">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row>
    <row r="115" spans="1:57" ht="12.75">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row>
    <row r="116" spans="1:57" ht="12.75">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row>
    <row r="117" spans="1:57" ht="12.75">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row>
    <row r="118" spans="1:57" ht="12.75">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row>
    <row r="119" spans="1:57" ht="12.75">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row>
    <row r="120" spans="1:57" ht="12.75">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row>
    <row r="121" spans="1:57" ht="12.75">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row>
    <row r="122" spans="1:57" ht="12.75">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row>
    <row r="123" spans="1:57" ht="12.75">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row>
    <row r="124" spans="1:57" ht="12.75">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row>
    <row r="125" spans="1:57" ht="12.75">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row>
    <row r="126" spans="1:57" ht="12.75">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row>
    <row r="127" spans="1:57" ht="12.75">
      <c r="A127" s="457"/>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row>
    <row r="128" spans="1:57" ht="12.75">
      <c r="A128" s="457"/>
      <c r="B128" s="45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row>
    <row r="129" spans="1:57" ht="12.75">
      <c r="A129" s="457"/>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row>
    <row r="130" spans="1:57" ht="12.75">
      <c r="A130" s="457"/>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row>
    <row r="131" spans="1:57" ht="12.75">
      <c r="A131" s="457"/>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row>
    <row r="132" spans="1:57" ht="12.75">
      <c r="A132" s="457"/>
      <c r="B132" s="45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row>
    <row r="133" spans="1:57" ht="12.75">
      <c r="A133" s="457"/>
      <c r="B133" s="45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row>
    <row r="134" spans="1:57" ht="12.75">
      <c r="A134" s="457"/>
      <c r="B134" s="45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row>
    <row r="135" spans="1:57" ht="12.75">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row>
    <row r="136" spans="1:57" ht="12.75">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row>
    <row r="137" spans="1:57" ht="12.75">
      <c r="A137" s="457"/>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row>
    <row r="138" spans="1:57" ht="12.75">
      <c r="A138" s="457"/>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row>
    <row r="139" spans="1:57" ht="12.75">
      <c r="A139" s="457"/>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row>
    <row r="140" spans="1:57" ht="12.75">
      <c r="A140" s="457"/>
      <c r="B140" s="45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row>
    <row r="141" spans="1:57" ht="12.75">
      <c r="A141" s="457"/>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row>
    <row r="142" spans="1:57" ht="12.75">
      <c r="A142" s="457"/>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row>
    <row r="143" spans="1:57" ht="12.75">
      <c r="A143" s="457"/>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row>
    <row r="144" spans="1:57" ht="12.75">
      <c r="A144" s="457"/>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row>
    <row r="145" spans="1:57" ht="12.75">
      <c r="A145" s="457"/>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row>
    <row r="146" spans="1:57" ht="12.75">
      <c r="A146" s="457"/>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c r="AS146" s="457"/>
      <c r="AT146" s="457"/>
      <c r="AU146" s="457"/>
      <c r="AV146" s="457"/>
      <c r="AW146" s="457"/>
      <c r="AX146" s="457"/>
      <c r="AY146" s="457"/>
      <c r="AZ146" s="457"/>
      <c r="BA146" s="457"/>
      <c r="BB146" s="457"/>
      <c r="BC146" s="457"/>
      <c r="BD146" s="457"/>
      <c r="BE146" s="457"/>
    </row>
    <row r="147" spans="1:57" ht="12.75">
      <c r="A147" s="457"/>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row>
    <row r="148" spans="1:57" ht="12.75">
      <c r="A148" s="457"/>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row>
    <row r="149" spans="1:57" ht="12.75">
      <c r="A149" s="457"/>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row>
    <row r="150" spans="1:57" ht="12.75">
      <c r="A150" s="457"/>
      <c r="B150" s="45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row>
    <row r="151" spans="1:57" ht="12.75">
      <c r="A151" s="457"/>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row>
    <row r="152" spans="1:57" ht="12.75">
      <c r="A152" s="457"/>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c r="AX152" s="457"/>
      <c r="AY152" s="457"/>
      <c r="AZ152" s="457"/>
      <c r="BA152" s="457"/>
      <c r="BB152" s="457"/>
      <c r="BC152" s="457"/>
      <c r="BD152" s="457"/>
      <c r="BE152" s="457"/>
    </row>
    <row r="153" spans="1:57" ht="12.75">
      <c r="A153" s="457"/>
      <c r="B153" s="45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row>
    <row r="154" spans="1:57" ht="12.75">
      <c r="A154" s="457"/>
      <c r="B154" s="45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row>
    <row r="155" spans="1:57" ht="12.75">
      <c r="A155" s="457"/>
      <c r="B155" s="45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row>
    <row r="156" spans="1:57" ht="12.75">
      <c r="A156" s="457"/>
      <c r="B156" s="45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c r="AS156" s="457"/>
      <c r="AT156" s="457"/>
      <c r="AU156" s="457"/>
      <c r="AV156" s="457"/>
      <c r="AW156" s="457"/>
      <c r="AX156" s="457"/>
      <c r="AY156" s="457"/>
      <c r="AZ156" s="457"/>
      <c r="BA156" s="457"/>
      <c r="BB156" s="457"/>
      <c r="BC156" s="457"/>
      <c r="BD156" s="457"/>
      <c r="BE156" s="457"/>
    </row>
    <row r="157" spans="1:57" ht="12.75">
      <c r="A157" s="457"/>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row>
    <row r="158" spans="1:57" ht="12.75">
      <c r="A158" s="457"/>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row>
    <row r="159" spans="1:57" ht="12.75">
      <c r="A159" s="457"/>
      <c r="B159" s="45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c r="AS159" s="457"/>
      <c r="AT159" s="457"/>
      <c r="AU159" s="457"/>
      <c r="AV159" s="457"/>
      <c r="AW159" s="457"/>
      <c r="AX159" s="457"/>
      <c r="AY159" s="457"/>
      <c r="AZ159" s="457"/>
      <c r="BA159" s="457"/>
      <c r="BB159" s="457"/>
      <c r="BC159" s="457"/>
      <c r="BD159" s="457"/>
      <c r="BE159" s="457"/>
    </row>
    <row r="160" spans="1:57" ht="12.75">
      <c r="A160" s="457"/>
      <c r="B160" s="45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c r="AS160" s="457"/>
      <c r="AT160" s="457"/>
      <c r="AU160" s="457"/>
      <c r="AV160" s="457"/>
      <c r="AW160" s="457"/>
      <c r="AX160" s="457"/>
      <c r="AY160" s="457"/>
      <c r="AZ160" s="457"/>
      <c r="BA160" s="457"/>
      <c r="BB160" s="457"/>
      <c r="BC160" s="457"/>
      <c r="BD160" s="457"/>
      <c r="BE160" s="457"/>
    </row>
    <row r="161" spans="1:57" ht="12.75">
      <c r="A161" s="457"/>
      <c r="B161" s="45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c r="AS161" s="457"/>
      <c r="AT161" s="457"/>
      <c r="AU161" s="457"/>
      <c r="AV161" s="457"/>
      <c r="AW161" s="457"/>
      <c r="AX161" s="457"/>
      <c r="AY161" s="457"/>
      <c r="AZ161" s="457"/>
      <c r="BA161" s="457"/>
      <c r="BB161" s="457"/>
      <c r="BC161" s="457"/>
      <c r="BD161" s="457"/>
      <c r="BE161" s="457"/>
    </row>
    <row r="162" spans="1:57" ht="12.75">
      <c r="A162" s="457"/>
      <c r="B162" s="45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row>
    <row r="163" spans="1:57" ht="12.75">
      <c r="A163" s="457"/>
      <c r="B163" s="45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457"/>
      <c r="AV163" s="457"/>
      <c r="AW163" s="457"/>
      <c r="AX163" s="457"/>
      <c r="AY163" s="457"/>
      <c r="AZ163" s="457"/>
      <c r="BA163" s="457"/>
      <c r="BB163" s="457"/>
      <c r="BC163" s="457"/>
      <c r="BD163" s="457"/>
      <c r="BE163" s="457"/>
    </row>
    <row r="164" spans="1:57" ht="12.75">
      <c r="A164" s="457"/>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c r="AZ164" s="457"/>
      <c r="BA164" s="457"/>
      <c r="BB164" s="457"/>
      <c r="BC164" s="457"/>
      <c r="BD164" s="457"/>
      <c r="BE164" s="457"/>
    </row>
    <row r="165" spans="1:57" ht="12.75">
      <c r="A165" s="457"/>
      <c r="B165" s="45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row>
    <row r="166" spans="1:57" ht="12.75">
      <c r="A166" s="457"/>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c r="AX166" s="457"/>
      <c r="AY166" s="457"/>
      <c r="AZ166" s="457"/>
      <c r="BA166" s="457"/>
      <c r="BB166" s="457"/>
      <c r="BC166" s="457"/>
      <c r="BD166" s="457"/>
      <c r="BE166" s="457"/>
    </row>
    <row r="167" spans="1:57" ht="12.75">
      <c r="A167" s="457"/>
      <c r="B167" s="45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457"/>
      <c r="AX167" s="457"/>
      <c r="AY167" s="457"/>
      <c r="AZ167" s="457"/>
      <c r="BA167" s="457"/>
      <c r="BB167" s="457"/>
      <c r="BC167" s="457"/>
      <c r="BD167" s="457"/>
      <c r="BE167" s="457"/>
    </row>
    <row r="168" spans="1:57" ht="12.75">
      <c r="A168" s="457"/>
      <c r="B168" s="45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c r="AS168" s="457"/>
      <c r="AT168" s="457"/>
      <c r="AU168" s="457"/>
      <c r="AV168" s="457"/>
      <c r="AW168" s="457"/>
      <c r="AX168" s="457"/>
      <c r="AY168" s="457"/>
      <c r="AZ168" s="457"/>
      <c r="BA168" s="457"/>
      <c r="BB168" s="457"/>
      <c r="BC168" s="457"/>
      <c r="BD168" s="457"/>
      <c r="BE168" s="457"/>
    </row>
    <row r="169" spans="1:57" ht="12.75">
      <c r="A169" s="457"/>
      <c r="B169" s="45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row>
    <row r="170" spans="1:57" ht="12.75">
      <c r="A170" s="457"/>
      <c r="B170" s="45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c r="AS170" s="457"/>
      <c r="AT170" s="457"/>
      <c r="AU170" s="457"/>
      <c r="AV170" s="457"/>
      <c r="AW170" s="457"/>
      <c r="AX170" s="457"/>
      <c r="AY170" s="457"/>
      <c r="AZ170" s="457"/>
      <c r="BA170" s="457"/>
      <c r="BB170" s="457"/>
      <c r="BC170" s="457"/>
      <c r="BD170" s="457"/>
      <c r="BE170" s="457"/>
    </row>
    <row r="171" spans="1:57" ht="12.75">
      <c r="A171" s="457"/>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c r="AS171" s="457"/>
      <c r="AT171" s="457"/>
      <c r="AU171" s="457"/>
      <c r="AV171" s="457"/>
      <c r="AW171" s="457"/>
      <c r="AX171" s="457"/>
      <c r="AY171" s="457"/>
      <c r="AZ171" s="457"/>
      <c r="BA171" s="457"/>
      <c r="BB171" s="457"/>
      <c r="BC171" s="457"/>
      <c r="BD171" s="457"/>
      <c r="BE171" s="457"/>
    </row>
    <row r="172" spans="1:57" ht="12.75">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c r="AX172" s="457"/>
      <c r="AY172" s="457"/>
      <c r="AZ172" s="457"/>
      <c r="BA172" s="457"/>
      <c r="BB172" s="457"/>
      <c r="BC172" s="457"/>
      <c r="BD172" s="457"/>
      <c r="BE172" s="457"/>
    </row>
    <row r="173" spans="1:57" ht="12.75">
      <c r="A173" s="457"/>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c r="AX173" s="457"/>
      <c r="AY173" s="457"/>
      <c r="AZ173" s="457"/>
      <c r="BA173" s="457"/>
      <c r="BB173" s="457"/>
      <c r="BC173" s="457"/>
      <c r="BD173" s="457"/>
      <c r="BE173" s="457"/>
    </row>
    <row r="174" spans="1:57" ht="12.75">
      <c r="A174" s="457"/>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457"/>
      <c r="AV174" s="457"/>
      <c r="AW174" s="457"/>
      <c r="AX174" s="457"/>
      <c r="AY174" s="457"/>
      <c r="AZ174" s="457"/>
      <c r="BA174" s="457"/>
      <c r="BB174" s="457"/>
      <c r="BC174" s="457"/>
      <c r="BD174" s="457"/>
      <c r="BE174" s="457"/>
    </row>
    <row r="175" spans="1:57" ht="12.75">
      <c r="A175" s="457"/>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c r="AS175" s="457"/>
      <c r="AT175" s="457"/>
      <c r="AU175" s="457"/>
      <c r="AV175" s="457"/>
      <c r="AW175" s="457"/>
      <c r="AX175" s="457"/>
      <c r="AY175" s="457"/>
      <c r="AZ175" s="457"/>
      <c r="BA175" s="457"/>
      <c r="BB175" s="457"/>
      <c r="BC175" s="457"/>
      <c r="BD175" s="457"/>
      <c r="BE175" s="457"/>
    </row>
    <row r="176" spans="1:57" ht="12.75">
      <c r="A176" s="457"/>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c r="AS176" s="457"/>
      <c r="AT176" s="457"/>
      <c r="AU176" s="457"/>
      <c r="AV176" s="457"/>
      <c r="AW176" s="457"/>
      <c r="AX176" s="457"/>
      <c r="AY176" s="457"/>
      <c r="AZ176" s="457"/>
      <c r="BA176" s="457"/>
      <c r="BB176" s="457"/>
      <c r="BC176" s="457"/>
      <c r="BD176" s="457"/>
      <c r="BE176" s="457"/>
    </row>
    <row r="177" spans="1:57" ht="12.75">
      <c r="A177" s="457"/>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c r="AS177" s="457"/>
      <c r="AT177" s="457"/>
      <c r="AU177" s="457"/>
      <c r="AV177" s="457"/>
      <c r="AW177" s="457"/>
      <c r="AX177" s="457"/>
      <c r="AY177" s="457"/>
      <c r="AZ177" s="457"/>
      <c r="BA177" s="457"/>
      <c r="BB177" s="457"/>
      <c r="BC177" s="457"/>
      <c r="BD177" s="457"/>
      <c r="BE177" s="457"/>
    </row>
    <row r="178" spans="1:57" ht="12.75">
      <c r="A178" s="457"/>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row>
    <row r="179" spans="1:57" ht="12.75">
      <c r="A179" s="457"/>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c r="AS179" s="457"/>
      <c r="AT179" s="457"/>
      <c r="AU179" s="457"/>
      <c r="AV179" s="457"/>
      <c r="AW179" s="457"/>
      <c r="AX179" s="457"/>
      <c r="AY179" s="457"/>
      <c r="AZ179" s="457"/>
      <c r="BA179" s="457"/>
      <c r="BB179" s="457"/>
      <c r="BC179" s="457"/>
      <c r="BD179" s="457"/>
      <c r="BE179" s="457"/>
    </row>
    <row r="180" spans="1:57" ht="12.75">
      <c r="A180" s="457"/>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c r="AX180" s="457"/>
      <c r="AY180" s="457"/>
      <c r="AZ180" s="457"/>
      <c r="BA180" s="457"/>
      <c r="BB180" s="457"/>
      <c r="BC180" s="457"/>
      <c r="BD180" s="457"/>
      <c r="BE180" s="457"/>
    </row>
    <row r="181" spans="1:57" ht="12.75">
      <c r="A181" s="457"/>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c r="AX181" s="457"/>
      <c r="AY181" s="457"/>
      <c r="AZ181" s="457"/>
      <c r="BA181" s="457"/>
      <c r="BB181" s="457"/>
      <c r="BC181" s="457"/>
      <c r="BD181" s="457"/>
      <c r="BE181" s="457"/>
    </row>
    <row r="182" spans="1:57" ht="12.75">
      <c r="A182" s="457"/>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c r="AS182" s="457"/>
      <c r="AT182" s="457"/>
      <c r="AU182" s="457"/>
      <c r="AV182" s="457"/>
      <c r="AW182" s="457"/>
      <c r="AX182" s="457"/>
      <c r="AY182" s="457"/>
      <c r="AZ182" s="457"/>
      <c r="BA182" s="457"/>
      <c r="BB182" s="457"/>
      <c r="BC182" s="457"/>
      <c r="BD182" s="457"/>
      <c r="BE182" s="457"/>
    </row>
    <row r="183" spans="1:57" ht="12.75">
      <c r="A183" s="457"/>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row>
    <row r="184" spans="1:57" ht="12.75">
      <c r="A184" s="457"/>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c r="AS184" s="457"/>
      <c r="AT184" s="457"/>
      <c r="AU184" s="457"/>
      <c r="AV184" s="457"/>
      <c r="AW184" s="457"/>
      <c r="AX184" s="457"/>
      <c r="AY184" s="457"/>
      <c r="AZ184" s="457"/>
      <c r="BA184" s="457"/>
      <c r="BB184" s="457"/>
      <c r="BC184" s="457"/>
      <c r="BD184" s="457"/>
      <c r="BE184" s="457"/>
    </row>
    <row r="185" spans="1:57" ht="12.75">
      <c r="A185" s="457"/>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U185" s="457"/>
      <c r="AV185" s="457"/>
      <c r="AW185" s="457"/>
      <c r="AX185" s="457"/>
      <c r="AY185" s="457"/>
      <c r="AZ185" s="457"/>
      <c r="BA185" s="457"/>
      <c r="BB185" s="457"/>
      <c r="BC185" s="457"/>
      <c r="BD185" s="457"/>
      <c r="BE185" s="457"/>
    </row>
    <row r="186" spans="1:57" ht="12.75">
      <c r="A186" s="457"/>
      <c r="B186" s="45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row>
    <row r="187" spans="1:57" ht="12.75">
      <c r="A187" s="457"/>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c r="AZ187" s="457"/>
      <c r="BA187" s="457"/>
      <c r="BB187" s="457"/>
      <c r="BC187" s="457"/>
      <c r="BD187" s="457"/>
      <c r="BE187" s="457"/>
    </row>
    <row r="188" spans="1:57" ht="12.75">
      <c r="A188" s="457"/>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c r="AS188" s="457"/>
      <c r="AT188" s="457"/>
      <c r="AU188" s="457"/>
      <c r="AV188" s="457"/>
      <c r="AW188" s="457"/>
      <c r="AX188" s="457"/>
      <c r="AY188" s="457"/>
      <c r="AZ188" s="457"/>
      <c r="BA188" s="457"/>
      <c r="BB188" s="457"/>
      <c r="BC188" s="457"/>
      <c r="BD188" s="457"/>
      <c r="BE188" s="457"/>
    </row>
    <row r="189" spans="1:57" ht="12.75">
      <c r="A189" s="457"/>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c r="AS189" s="457"/>
      <c r="AT189" s="457"/>
      <c r="AU189" s="457"/>
      <c r="AV189" s="457"/>
      <c r="AW189" s="457"/>
      <c r="AX189" s="457"/>
      <c r="AY189" s="457"/>
      <c r="AZ189" s="457"/>
      <c r="BA189" s="457"/>
      <c r="BB189" s="457"/>
      <c r="BC189" s="457"/>
      <c r="BD189" s="457"/>
      <c r="BE189" s="457"/>
    </row>
    <row r="190" spans="1:57" ht="12.75">
      <c r="A190" s="457"/>
      <c r="B190" s="45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c r="AS190" s="457"/>
      <c r="AT190" s="457"/>
      <c r="AU190" s="457"/>
      <c r="AV190" s="457"/>
      <c r="AW190" s="457"/>
      <c r="AX190" s="457"/>
      <c r="AY190" s="457"/>
      <c r="AZ190" s="457"/>
      <c r="BA190" s="457"/>
      <c r="BB190" s="457"/>
      <c r="BC190" s="457"/>
      <c r="BD190" s="457"/>
      <c r="BE190" s="457"/>
    </row>
    <row r="191" spans="1:57" ht="12.75">
      <c r="A191" s="457"/>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row>
    <row r="192" spans="1:57" ht="12.75">
      <c r="A192" s="457"/>
      <c r="B192" s="45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c r="AS192" s="457"/>
      <c r="AT192" s="457"/>
      <c r="AU192" s="457"/>
      <c r="AV192" s="457"/>
      <c r="AW192" s="457"/>
      <c r="AX192" s="457"/>
      <c r="AY192" s="457"/>
      <c r="AZ192" s="457"/>
      <c r="BA192" s="457"/>
      <c r="BB192" s="457"/>
      <c r="BC192" s="457"/>
      <c r="BD192" s="457"/>
      <c r="BE192" s="457"/>
    </row>
    <row r="193" spans="1:57" ht="12.75">
      <c r="A193" s="457"/>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c r="AS193" s="457"/>
      <c r="AT193" s="457"/>
      <c r="AU193" s="457"/>
      <c r="AV193" s="457"/>
      <c r="AW193" s="457"/>
      <c r="AX193" s="457"/>
      <c r="AY193" s="457"/>
      <c r="AZ193" s="457"/>
      <c r="BA193" s="457"/>
      <c r="BB193" s="457"/>
      <c r="BC193" s="457"/>
      <c r="BD193" s="457"/>
      <c r="BE193" s="457"/>
    </row>
    <row r="194" spans="1:57" ht="12.75">
      <c r="A194" s="457"/>
      <c r="B194" s="45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c r="AS194" s="457"/>
      <c r="AT194" s="457"/>
      <c r="AU194" s="457"/>
      <c r="AV194" s="457"/>
      <c r="AW194" s="457"/>
      <c r="AX194" s="457"/>
      <c r="AY194" s="457"/>
      <c r="AZ194" s="457"/>
      <c r="BA194" s="457"/>
      <c r="BB194" s="457"/>
      <c r="BC194" s="457"/>
      <c r="BD194" s="457"/>
      <c r="BE194" s="457"/>
    </row>
    <row r="195" spans="1:57" ht="12.75">
      <c r="A195" s="457"/>
      <c r="B195" s="45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c r="AS195" s="457"/>
      <c r="AT195" s="457"/>
      <c r="AU195" s="457"/>
      <c r="AV195" s="457"/>
      <c r="AW195" s="457"/>
      <c r="AX195" s="457"/>
      <c r="AY195" s="457"/>
      <c r="AZ195" s="457"/>
      <c r="BA195" s="457"/>
      <c r="BB195" s="457"/>
      <c r="BC195" s="457"/>
      <c r="BD195" s="457"/>
      <c r="BE195" s="457"/>
    </row>
    <row r="196" spans="1:57" ht="12.75">
      <c r="A196" s="457"/>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c r="AS196" s="457"/>
      <c r="AT196" s="457"/>
      <c r="AU196" s="457"/>
      <c r="AV196" s="457"/>
      <c r="AW196" s="457"/>
      <c r="AX196" s="457"/>
      <c r="AY196" s="457"/>
      <c r="AZ196" s="457"/>
      <c r="BA196" s="457"/>
      <c r="BB196" s="457"/>
      <c r="BC196" s="457"/>
      <c r="BD196" s="457"/>
      <c r="BE196" s="457"/>
    </row>
    <row r="197" spans="1:57" ht="12.75">
      <c r="A197" s="457"/>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row>
    <row r="198" spans="1:57" ht="12.75">
      <c r="A198" s="457"/>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c r="AS198" s="457"/>
      <c r="AT198" s="457"/>
      <c r="AU198" s="457"/>
      <c r="AV198" s="457"/>
      <c r="AW198" s="457"/>
      <c r="AX198" s="457"/>
      <c r="AY198" s="457"/>
      <c r="AZ198" s="457"/>
      <c r="BA198" s="457"/>
      <c r="BB198" s="457"/>
      <c r="BC198" s="457"/>
      <c r="BD198" s="457"/>
      <c r="BE198" s="457"/>
    </row>
    <row r="199" spans="1:57" ht="12.75">
      <c r="A199" s="457"/>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c r="AX199" s="457"/>
      <c r="AY199" s="457"/>
      <c r="AZ199" s="457"/>
      <c r="BA199" s="457"/>
      <c r="BB199" s="457"/>
      <c r="BC199" s="457"/>
      <c r="BD199" s="457"/>
      <c r="BE199" s="457"/>
    </row>
    <row r="200" spans="1:57" ht="12.75">
      <c r="A200" s="457"/>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c r="AX200" s="457"/>
      <c r="AY200" s="457"/>
      <c r="AZ200" s="457"/>
      <c r="BA200" s="457"/>
      <c r="BB200" s="457"/>
      <c r="BC200" s="457"/>
      <c r="BD200" s="457"/>
      <c r="BE200" s="457"/>
    </row>
    <row r="201" spans="1:57" ht="12.75">
      <c r="A201" s="457"/>
      <c r="B201" s="45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c r="AS201" s="457"/>
      <c r="AT201" s="457"/>
      <c r="AU201" s="457"/>
      <c r="AV201" s="457"/>
      <c r="AW201" s="457"/>
      <c r="AX201" s="457"/>
      <c r="AY201" s="457"/>
      <c r="AZ201" s="457"/>
      <c r="BA201" s="457"/>
      <c r="BB201" s="457"/>
      <c r="BC201" s="457"/>
      <c r="BD201" s="457"/>
      <c r="BE201" s="457"/>
    </row>
    <row r="202" spans="1:57" ht="12.75">
      <c r="A202" s="457"/>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row>
    <row r="203" spans="1:57" ht="12.75">
      <c r="A203" s="457"/>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row>
    <row r="204" spans="1:57" ht="12.75">
      <c r="A204" s="457"/>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c r="AX204" s="457"/>
      <c r="AY204" s="457"/>
      <c r="AZ204" s="457"/>
      <c r="BA204" s="457"/>
      <c r="BB204" s="457"/>
      <c r="BC204" s="457"/>
      <c r="BD204" s="457"/>
      <c r="BE204" s="457"/>
    </row>
    <row r="205" spans="1:57" ht="12.75">
      <c r="A205" s="457"/>
      <c r="B205" s="45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c r="AS205" s="457"/>
      <c r="AT205" s="457"/>
      <c r="AU205" s="457"/>
      <c r="AV205" s="457"/>
      <c r="AW205" s="457"/>
      <c r="AX205" s="457"/>
      <c r="AY205" s="457"/>
      <c r="AZ205" s="457"/>
      <c r="BA205" s="457"/>
      <c r="BB205" s="457"/>
      <c r="BC205" s="457"/>
      <c r="BD205" s="457"/>
      <c r="BE205" s="457"/>
    </row>
    <row r="206" spans="1:57" ht="12.75">
      <c r="A206" s="457"/>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c r="AX206" s="457"/>
      <c r="AY206" s="457"/>
      <c r="AZ206" s="457"/>
      <c r="BA206" s="457"/>
      <c r="BB206" s="457"/>
      <c r="BC206" s="457"/>
      <c r="BD206" s="457"/>
      <c r="BE206" s="457"/>
    </row>
    <row r="207" spans="1:57" ht="12.75">
      <c r="A207" s="457"/>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row>
    <row r="208" spans="1:57" ht="12.75">
      <c r="A208" s="457"/>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row>
    <row r="209" spans="1:57" ht="12.75">
      <c r="A209" s="457"/>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c r="AX209" s="457"/>
      <c r="AY209" s="457"/>
      <c r="AZ209" s="457"/>
      <c r="BA209" s="457"/>
      <c r="BB209" s="457"/>
      <c r="BC209" s="457"/>
      <c r="BD209" s="457"/>
      <c r="BE209" s="457"/>
    </row>
    <row r="210" spans="1:57" ht="12.75">
      <c r="A210" s="457"/>
      <c r="B210" s="45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row>
    <row r="211" spans="1:57" ht="12.75">
      <c r="A211" s="457"/>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row>
    <row r="212" spans="1:57" ht="12.75">
      <c r="A212" s="457"/>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row>
    <row r="213" spans="1:57" ht="12.75">
      <c r="A213" s="457"/>
      <c r="B213" s="45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row>
    <row r="214" spans="1:57" ht="12.75">
      <c r="A214" s="457"/>
      <c r="B214" s="45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row>
    <row r="215" spans="1:57" ht="12.75">
      <c r="A215" s="457"/>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row>
    <row r="216" spans="1:57" ht="12.75">
      <c r="A216" s="457"/>
      <c r="B216" s="45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row>
    <row r="217" spans="1:57" ht="12.75">
      <c r="A217" s="457"/>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row>
    <row r="218" spans="1:57" ht="12.75">
      <c r="A218" s="457"/>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row>
    <row r="219" spans="1:57" ht="12.75">
      <c r="A219" s="457"/>
      <c r="B219" s="45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row>
    <row r="220" spans="1:57" ht="12.75">
      <c r="A220" s="457"/>
      <c r="B220" s="45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row>
    <row r="221" spans="1:57" ht="12.75">
      <c r="A221" s="457"/>
      <c r="B221" s="45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row>
    <row r="222" spans="1:57" ht="12.75">
      <c r="A222" s="457"/>
      <c r="B222" s="45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row>
    <row r="223" spans="1:57" ht="12.75">
      <c r="A223" s="457"/>
      <c r="B223" s="45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row>
    <row r="224" spans="1:57" ht="12.75">
      <c r="A224" s="457"/>
      <c r="B224" s="45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row>
    <row r="225" spans="1:57" ht="12.75">
      <c r="A225" s="457"/>
      <c r="B225" s="45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row>
    <row r="226" spans="1:57" ht="12.75">
      <c r="A226" s="457"/>
      <c r="B226" s="45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row>
    <row r="227" spans="1:57" ht="12.75">
      <c r="A227" s="457"/>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row>
    <row r="228" spans="1:57" ht="12.75">
      <c r="A228" s="457"/>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row>
    <row r="229" spans="1:57" ht="12.75">
      <c r="A229" s="457"/>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row>
    <row r="230" spans="1:57" ht="12.75">
      <c r="A230" s="457"/>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row>
    <row r="231" spans="1:57" ht="12.75">
      <c r="A231" s="457"/>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row>
    <row r="232" spans="1:57" ht="12.75">
      <c r="A232" s="457"/>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row>
    <row r="233" spans="1:57" ht="12.75">
      <c r="A233" s="457"/>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row>
    <row r="234" spans="1:57" ht="12.75">
      <c r="A234" s="457"/>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row>
    <row r="235" spans="1:57" ht="12.75">
      <c r="A235" s="457"/>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row>
    <row r="236" spans="1:57" ht="12.75">
      <c r="A236" s="457"/>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row>
    <row r="237" spans="1:57" ht="12.75">
      <c r="A237" s="457"/>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row>
    <row r="238" spans="1:57" ht="12.75">
      <c r="A238" s="457"/>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row>
    <row r="239" spans="1:57" ht="12.75">
      <c r="A239" s="457"/>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row>
    <row r="240" spans="1:57" ht="12.75">
      <c r="A240" s="457"/>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row>
    <row r="241" spans="1:57" ht="12.75">
      <c r="A241" s="457"/>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row>
    <row r="242" spans="1:57" ht="12.75">
      <c r="A242" s="457"/>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row>
    <row r="243" spans="1:57" ht="12.75">
      <c r="A243" s="457"/>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row>
    <row r="244" spans="1:57" ht="12.75">
      <c r="A244" s="457"/>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row>
    <row r="245" spans="1:57" ht="12.75">
      <c r="A245" s="457"/>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row>
    <row r="246" spans="1:57" ht="12.75">
      <c r="A246" s="457"/>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row>
    <row r="247" spans="1:57" ht="12.75">
      <c r="A247" s="457"/>
      <c r="B247" s="45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row>
    <row r="248" spans="1:57" ht="12.75">
      <c r="A248" s="457"/>
      <c r="B248" s="45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row>
    <row r="249" spans="1:57" ht="12.75">
      <c r="A249" s="457"/>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row>
    <row r="250" spans="1:57" ht="12.75">
      <c r="A250" s="457"/>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row>
    <row r="251" spans="1:57" ht="12.75">
      <c r="A251" s="457"/>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row>
    <row r="252" spans="1:57" ht="12.75">
      <c r="A252" s="457"/>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row>
    <row r="253" spans="1:57" ht="12.75">
      <c r="A253" s="457"/>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row>
    <row r="254" spans="1:57" ht="12.75">
      <c r="A254" s="457"/>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row>
    <row r="255" spans="1:57" ht="12.75">
      <c r="A255" s="457"/>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row>
    <row r="256" spans="1:57" ht="12.75">
      <c r="A256" s="457"/>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row>
    <row r="257" spans="1:57" ht="12.75">
      <c r="A257" s="457"/>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row>
    <row r="258" spans="1:57" ht="12.75">
      <c r="A258" s="457"/>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row>
    <row r="259" spans="1:57" ht="12.75">
      <c r="A259" s="457"/>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row>
  </sheetData>
  <mergeCells count="2">
    <mergeCell ref="K30:M30"/>
    <mergeCell ref="C29:E29"/>
  </mergeCells>
  <pageMargins left="0.75" right="0.75" top="1" bottom="1" header="0.5" footer="0.5"/>
  <pageSetup scale="63" orientation="landscape" r:id="rId1"/>
  <headerFooter alignWithMargins="0"/>
  <colBreaks count="1" manualBreakCount="1">
    <brk id="21" max="56"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9"/>
  <sheetViews>
    <sheetView view="pageBreakPreview" zoomScaleNormal="115" zoomScaleSheetLayoutView="100" workbookViewId="0">
      <selection activeCell="G20" sqref="G20"/>
    </sheetView>
  </sheetViews>
  <sheetFormatPr defaultRowHeight="11.25"/>
  <cols>
    <col min="1" max="1" width="2.140625" style="458" customWidth="1"/>
    <col min="2" max="2" width="5" style="458" customWidth="1"/>
    <col min="3" max="3" width="16.85546875" style="458" bestFit="1" customWidth="1"/>
    <col min="4" max="4" width="3.28515625" style="458" customWidth="1"/>
    <col min="5" max="5" width="14.28515625" style="458" bestFit="1" customWidth="1"/>
    <col min="6" max="6" width="9.28515625" style="458" bestFit="1" customWidth="1"/>
    <col min="7" max="7" width="6.7109375" style="458" customWidth="1"/>
    <col min="8" max="8" width="7.5703125" style="458" bestFit="1" customWidth="1"/>
    <col min="9" max="9" width="4" style="458" bestFit="1" customWidth="1"/>
    <col min="10" max="10" width="6.28515625" style="458" bestFit="1" customWidth="1"/>
    <col min="11" max="11" width="7.7109375" style="458" bestFit="1" customWidth="1"/>
    <col min="12" max="13" width="1.85546875" style="458" customWidth="1"/>
    <col min="14" max="14" width="10.7109375" style="458" bestFit="1" customWidth="1"/>
    <col min="15" max="15" width="11.140625" style="458" bestFit="1" customWidth="1"/>
    <col min="16" max="16" width="1.7109375" style="458" customWidth="1"/>
    <col min="17" max="19" width="9.140625" style="458"/>
    <col min="20" max="20" width="1.7109375" style="458" customWidth="1"/>
    <col min="21" max="21" width="12.42578125" style="458" customWidth="1"/>
    <col min="22" max="22" width="11.140625" style="458" bestFit="1" customWidth="1"/>
    <col min="23" max="23" width="6.7109375" style="458" bestFit="1" customWidth="1"/>
    <col min="24" max="24" width="7.42578125" style="458" bestFit="1" customWidth="1"/>
    <col min="25" max="25" width="5.7109375" style="458" bestFit="1" customWidth="1"/>
    <col min="26" max="26" width="5.28515625" style="458" bestFit="1" customWidth="1"/>
    <col min="27" max="27" width="7.5703125" style="458" bestFit="1" customWidth="1"/>
    <col min="28" max="28" width="10.7109375" style="458" bestFit="1" customWidth="1"/>
    <col min="29" max="29" width="6.7109375" style="458" bestFit="1" customWidth="1"/>
    <col min="30" max="30" width="9.7109375" style="458" bestFit="1" customWidth="1"/>
    <col min="31" max="31" width="7.42578125" style="458" bestFit="1" customWidth="1"/>
    <col min="32" max="32" width="9.5703125" style="458" bestFit="1" customWidth="1"/>
    <col min="33" max="33" width="2.140625" style="458" customWidth="1"/>
    <col min="34" max="34" width="2.7109375" style="458" customWidth="1"/>
    <col min="35" max="35" width="12.7109375" style="458" bestFit="1" customWidth="1"/>
    <col min="36" max="44" width="9.5703125" style="458" bestFit="1" customWidth="1"/>
    <col min="45" max="256" width="9.140625" style="458"/>
    <col min="257" max="257" width="2.140625" style="458" customWidth="1"/>
    <col min="258" max="260" width="9.140625" style="458"/>
    <col min="261" max="261" width="11.7109375" style="458" bestFit="1" customWidth="1"/>
    <col min="262" max="262" width="9.28515625" style="458" bestFit="1" customWidth="1"/>
    <col min="263" max="263" width="9.140625" style="458"/>
    <col min="264" max="264" width="9.28515625" style="458" bestFit="1" customWidth="1"/>
    <col min="265" max="265" width="9.140625" style="458"/>
    <col min="266" max="266" width="9.28515625" style="458" bestFit="1" customWidth="1"/>
    <col min="267" max="267" width="10" style="458" bestFit="1" customWidth="1"/>
    <col min="268" max="276" width="9.140625" style="458"/>
    <col min="277" max="277" width="12.42578125" style="458" customWidth="1"/>
    <col min="278" max="285" width="9.28515625" style="458" bestFit="1" customWidth="1"/>
    <col min="286" max="286" width="9.85546875" style="458" bestFit="1" customWidth="1"/>
    <col min="287" max="291" width="9.140625" style="458"/>
    <col min="292" max="292" width="11" style="458" customWidth="1"/>
    <col min="293" max="294" width="11.28515625" style="458" customWidth="1"/>
    <col min="295" max="295" width="11.5703125" style="458" customWidth="1"/>
    <col min="296" max="296" width="11.28515625" style="458" customWidth="1"/>
    <col min="297" max="297" width="11.7109375" style="458" customWidth="1"/>
    <col min="298" max="298" width="10.7109375" style="458" customWidth="1"/>
    <col min="299" max="299" width="9.5703125" style="458" customWidth="1"/>
    <col min="300" max="300" width="10.28515625" style="458" customWidth="1"/>
    <col min="301" max="512" width="9.140625" style="458"/>
    <col min="513" max="513" width="2.140625" style="458" customWidth="1"/>
    <col min="514" max="516" width="9.140625" style="458"/>
    <col min="517" max="517" width="11.7109375" style="458" bestFit="1" customWidth="1"/>
    <col min="518" max="518" width="9.28515625" style="458" bestFit="1" customWidth="1"/>
    <col min="519" max="519" width="9.140625" style="458"/>
    <col min="520" max="520" width="9.28515625" style="458" bestFit="1" customWidth="1"/>
    <col min="521" max="521" width="9.140625" style="458"/>
    <col min="522" max="522" width="9.28515625" style="458" bestFit="1" customWidth="1"/>
    <col min="523" max="523" width="10" style="458" bestFit="1" customWidth="1"/>
    <col min="524" max="532" width="9.140625" style="458"/>
    <col min="533" max="533" width="12.42578125" style="458" customWidth="1"/>
    <col min="534" max="541" width="9.28515625" style="458" bestFit="1" customWidth="1"/>
    <col min="542" max="542" width="9.85546875" style="458" bestFit="1" customWidth="1"/>
    <col min="543" max="547" width="9.140625" style="458"/>
    <col min="548" max="548" width="11" style="458" customWidth="1"/>
    <col min="549" max="550" width="11.28515625" style="458" customWidth="1"/>
    <col min="551" max="551" width="11.5703125" style="458" customWidth="1"/>
    <col min="552" max="552" width="11.28515625" style="458" customWidth="1"/>
    <col min="553" max="553" width="11.7109375" style="458" customWidth="1"/>
    <col min="554" max="554" width="10.7109375" style="458" customWidth="1"/>
    <col min="555" max="555" width="9.5703125" style="458" customWidth="1"/>
    <col min="556" max="556" width="10.28515625" style="458" customWidth="1"/>
    <col min="557" max="768" width="9.140625" style="458"/>
    <col min="769" max="769" width="2.140625" style="458" customWidth="1"/>
    <col min="770" max="772" width="9.140625" style="458"/>
    <col min="773" max="773" width="11.7109375" style="458" bestFit="1" customWidth="1"/>
    <col min="774" max="774" width="9.28515625" style="458" bestFit="1" customWidth="1"/>
    <col min="775" max="775" width="9.140625" style="458"/>
    <col min="776" max="776" width="9.28515625" style="458" bestFit="1" customWidth="1"/>
    <col min="777" max="777" width="9.140625" style="458"/>
    <col min="778" max="778" width="9.28515625" style="458" bestFit="1" customWidth="1"/>
    <col min="779" max="779" width="10" style="458" bestFit="1" customWidth="1"/>
    <col min="780" max="788" width="9.140625" style="458"/>
    <col min="789" max="789" width="12.42578125" style="458" customWidth="1"/>
    <col min="790" max="797" width="9.28515625" style="458" bestFit="1" customWidth="1"/>
    <col min="798" max="798" width="9.85546875" style="458" bestFit="1" customWidth="1"/>
    <col min="799" max="803" width="9.140625" style="458"/>
    <col min="804" max="804" width="11" style="458" customWidth="1"/>
    <col min="805" max="806" width="11.28515625" style="458" customWidth="1"/>
    <col min="807" max="807" width="11.5703125" style="458" customWidth="1"/>
    <col min="808" max="808" width="11.28515625" style="458" customWidth="1"/>
    <col min="809" max="809" width="11.7109375" style="458" customWidth="1"/>
    <col min="810" max="810" width="10.7109375" style="458" customWidth="1"/>
    <col min="811" max="811" width="9.5703125" style="458" customWidth="1"/>
    <col min="812" max="812" width="10.28515625" style="458" customWidth="1"/>
    <col min="813" max="1024" width="9.140625" style="458"/>
    <col min="1025" max="1025" width="2.140625" style="458" customWidth="1"/>
    <col min="1026" max="1028" width="9.140625" style="458"/>
    <col min="1029" max="1029" width="11.7109375" style="458" bestFit="1" customWidth="1"/>
    <col min="1030" max="1030" width="9.28515625" style="458" bestFit="1" customWidth="1"/>
    <col min="1031" max="1031" width="9.140625" style="458"/>
    <col min="1032" max="1032" width="9.28515625" style="458" bestFit="1" customWidth="1"/>
    <col min="1033" max="1033" width="9.140625" style="458"/>
    <col min="1034" max="1034" width="9.28515625" style="458" bestFit="1" customWidth="1"/>
    <col min="1035" max="1035" width="10" style="458" bestFit="1" customWidth="1"/>
    <col min="1036" max="1044" width="9.140625" style="458"/>
    <col min="1045" max="1045" width="12.42578125" style="458" customWidth="1"/>
    <col min="1046" max="1053" width="9.28515625" style="458" bestFit="1" customWidth="1"/>
    <col min="1054" max="1054" width="9.85546875" style="458" bestFit="1" customWidth="1"/>
    <col min="1055" max="1059" width="9.140625" style="458"/>
    <col min="1060" max="1060" width="11" style="458" customWidth="1"/>
    <col min="1061" max="1062" width="11.28515625" style="458" customWidth="1"/>
    <col min="1063" max="1063" width="11.5703125" style="458" customWidth="1"/>
    <col min="1064" max="1064" width="11.28515625" style="458" customWidth="1"/>
    <col min="1065" max="1065" width="11.7109375" style="458" customWidth="1"/>
    <col min="1066" max="1066" width="10.7109375" style="458" customWidth="1"/>
    <col min="1067" max="1067" width="9.5703125" style="458" customWidth="1"/>
    <col min="1068" max="1068" width="10.28515625" style="458" customWidth="1"/>
    <col min="1069" max="1280" width="9.140625" style="458"/>
    <col min="1281" max="1281" width="2.140625" style="458" customWidth="1"/>
    <col min="1282" max="1284" width="9.140625" style="458"/>
    <col min="1285" max="1285" width="11.7109375" style="458" bestFit="1" customWidth="1"/>
    <col min="1286" max="1286" width="9.28515625" style="458" bestFit="1" customWidth="1"/>
    <col min="1287" max="1287" width="9.140625" style="458"/>
    <col min="1288" max="1288" width="9.28515625" style="458" bestFit="1" customWidth="1"/>
    <col min="1289" max="1289" width="9.140625" style="458"/>
    <col min="1290" max="1290" width="9.28515625" style="458" bestFit="1" customWidth="1"/>
    <col min="1291" max="1291" width="10" style="458" bestFit="1" customWidth="1"/>
    <col min="1292" max="1300" width="9.140625" style="458"/>
    <col min="1301" max="1301" width="12.42578125" style="458" customWidth="1"/>
    <col min="1302" max="1309" width="9.28515625" style="458" bestFit="1" customWidth="1"/>
    <col min="1310" max="1310" width="9.85546875" style="458" bestFit="1" customWidth="1"/>
    <col min="1311" max="1315" width="9.140625" style="458"/>
    <col min="1316" max="1316" width="11" style="458" customWidth="1"/>
    <col min="1317" max="1318" width="11.28515625" style="458" customWidth="1"/>
    <col min="1319" max="1319" width="11.5703125" style="458" customWidth="1"/>
    <col min="1320" max="1320" width="11.28515625" style="458" customWidth="1"/>
    <col min="1321" max="1321" width="11.7109375" style="458" customWidth="1"/>
    <col min="1322" max="1322" width="10.7109375" style="458" customWidth="1"/>
    <col min="1323" max="1323" width="9.5703125" style="458" customWidth="1"/>
    <col min="1324" max="1324" width="10.28515625" style="458" customWidth="1"/>
    <col min="1325" max="1536" width="9.140625" style="458"/>
    <col min="1537" max="1537" width="2.140625" style="458" customWidth="1"/>
    <col min="1538" max="1540" width="9.140625" style="458"/>
    <col min="1541" max="1541" width="11.7109375" style="458" bestFit="1" customWidth="1"/>
    <col min="1542" max="1542" width="9.28515625" style="458" bestFit="1" customWidth="1"/>
    <col min="1543" max="1543" width="9.140625" style="458"/>
    <col min="1544" max="1544" width="9.28515625" style="458" bestFit="1" customWidth="1"/>
    <col min="1545" max="1545" width="9.140625" style="458"/>
    <col min="1546" max="1546" width="9.28515625" style="458" bestFit="1" customWidth="1"/>
    <col min="1547" max="1547" width="10" style="458" bestFit="1" customWidth="1"/>
    <col min="1548" max="1556" width="9.140625" style="458"/>
    <col min="1557" max="1557" width="12.42578125" style="458" customWidth="1"/>
    <col min="1558" max="1565" width="9.28515625" style="458" bestFit="1" customWidth="1"/>
    <col min="1566" max="1566" width="9.85546875" style="458" bestFit="1" customWidth="1"/>
    <col min="1567" max="1571" width="9.140625" style="458"/>
    <col min="1572" max="1572" width="11" style="458" customWidth="1"/>
    <col min="1573" max="1574" width="11.28515625" style="458" customWidth="1"/>
    <col min="1575" max="1575" width="11.5703125" style="458" customWidth="1"/>
    <col min="1576" max="1576" width="11.28515625" style="458" customWidth="1"/>
    <col min="1577" max="1577" width="11.7109375" style="458" customWidth="1"/>
    <col min="1578" max="1578" width="10.7109375" style="458" customWidth="1"/>
    <col min="1579" max="1579" width="9.5703125" style="458" customWidth="1"/>
    <col min="1580" max="1580" width="10.28515625" style="458" customWidth="1"/>
    <col min="1581" max="1792" width="9.140625" style="458"/>
    <col min="1793" max="1793" width="2.140625" style="458" customWidth="1"/>
    <col min="1794" max="1796" width="9.140625" style="458"/>
    <col min="1797" max="1797" width="11.7109375" style="458" bestFit="1" customWidth="1"/>
    <col min="1798" max="1798" width="9.28515625" style="458" bestFit="1" customWidth="1"/>
    <col min="1799" max="1799" width="9.140625" style="458"/>
    <col min="1800" max="1800" width="9.28515625" style="458" bestFit="1" customWidth="1"/>
    <col min="1801" max="1801" width="9.140625" style="458"/>
    <col min="1802" max="1802" width="9.28515625" style="458" bestFit="1" customWidth="1"/>
    <col min="1803" max="1803" width="10" style="458" bestFit="1" customWidth="1"/>
    <col min="1804" max="1812" width="9.140625" style="458"/>
    <col min="1813" max="1813" width="12.42578125" style="458" customWidth="1"/>
    <col min="1814" max="1821" width="9.28515625" style="458" bestFit="1" customWidth="1"/>
    <col min="1822" max="1822" width="9.85546875" style="458" bestFit="1" customWidth="1"/>
    <col min="1823" max="1827" width="9.140625" style="458"/>
    <col min="1828" max="1828" width="11" style="458" customWidth="1"/>
    <col min="1829" max="1830" width="11.28515625" style="458" customWidth="1"/>
    <col min="1831" max="1831" width="11.5703125" style="458" customWidth="1"/>
    <col min="1832" max="1832" width="11.28515625" style="458" customWidth="1"/>
    <col min="1833" max="1833" width="11.7109375" style="458" customWidth="1"/>
    <col min="1834" max="1834" width="10.7109375" style="458" customWidth="1"/>
    <col min="1835" max="1835" width="9.5703125" style="458" customWidth="1"/>
    <col min="1836" max="1836" width="10.28515625" style="458" customWidth="1"/>
    <col min="1837" max="2048" width="9.140625" style="458"/>
    <col min="2049" max="2049" width="2.140625" style="458" customWidth="1"/>
    <col min="2050" max="2052" width="9.140625" style="458"/>
    <col min="2053" max="2053" width="11.7109375" style="458" bestFit="1" customWidth="1"/>
    <col min="2054" max="2054" width="9.28515625" style="458" bestFit="1" customWidth="1"/>
    <col min="2055" max="2055" width="9.140625" style="458"/>
    <col min="2056" max="2056" width="9.28515625" style="458" bestFit="1" customWidth="1"/>
    <col min="2057" max="2057" width="9.140625" style="458"/>
    <col min="2058" max="2058" width="9.28515625" style="458" bestFit="1" customWidth="1"/>
    <col min="2059" max="2059" width="10" style="458" bestFit="1" customWidth="1"/>
    <col min="2060" max="2068" width="9.140625" style="458"/>
    <col min="2069" max="2069" width="12.42578125" style="458" customWidth="1"/>
    <col min="2070" max="2077" width="9.28515625" style="458" bestFit="1" customWidth="1"/>
    <col min="2078" max="2078" width="9.85546875" style="458" bestFit="1" customWidth="1"/>
    <col min="2079" max="2083" width="9.140625" style="458"/>
    <col min="2084" max="2084" width="11" style="458" customWidth="1"/>
    <col min="2085" max="2086" width="11.28515625" style="458" customWidth="1"/>
    <col min="2087" max="2087" width="11.5703125" style="458" customWidth="1"/>
    <col min="2088" max="2088" width="11.28515625" style="458" customWidth="1"/>
    <col min="2089" max="2089" width="11.7109375" style="458" customWidth="1"/>
    <col min="2090" max="2090" width="10.7109375" style="458" customWidth="1"/>
    <col min="2091" max="2091" width="9.5703125" style="458" customWidth="1"/>
    <col min="2092" max="2092" width="10.28515625" style="458" customWidth="1"/>
    <col min="2093" max="2304" width="9.140625" style="458"/>
    <col min="2305" max="2305" width="2.140625" style="458" customWidth="1"/>
    <col min="2306" max="2308" width="9.140625" style="458"/>
    <col min="2309" max="2309" width="11.7109375" style="458" bestFit="1" customWidth="1"/>
    <col min="2310" max="2310" width="9.28515625" style="458" bestFit="1" customWidth="1"/>
    <col min="2311" max="2311" width="9.140625" style="458"/>
    <col min="2312" max="2312" width="9.28515625" style="458" bestFit="1" customWidth="1"/>
    <col min="2313" max="2313" width="9.140625" style="458"/>
    <col min="2314" max="2314" width="9.28515625" style="458" bestFit="1" customWidth="1"/>
    <col min="2315" max="2315" width="10" style="458" bestFit="1" customWidth="1"/>
    <col min="2316" max="2324" width="9.140625" style="458"/>
    <col min="2325" max="2325" width="12.42578125" style="458" customWidth="1"/>
    <col min="2326" max="2333" width="9.28515625" style="458" bestFit="1" customWidth="1"/>
    <col min="2334" max="2334" width="9.85546875" style="458" bestFit="1" customWidth="1"/>
    <col min="2335" max="2339" width="9.140625" style="458"/>
    <col min="2340" max="2340" width="11" style="458" customWidth="1"/>
    <col min="2341" max="2342" width="11.28515625" style="458" customWidth="1"/>
    <col min="2343" max="2343" width="11.5703125" style="458" customWidth="1"/>
    <col min="2344" max="2344" width="11.28515625" style="458" customWidth="1"/>
    <col min="2345" max="2345" width="11.7109375" style="458" customWidth="1"/>
    <col min="2346" max="2346" width="10.7109375" style="458" customWidth="1"/>
    <col min="2347" max="2347" width="9.5703125" style="458" customWidth="1"/>
    <col min="2348" max="2348" width="10.28515625" style="458" customWidth="1"/>
    <col min="2349" max="2560" width="9.140625" style="458"/>
    <col min="2561" max="2561" width="2.140625" style="458" customWidth="1"/>
    <col min="2562" max="2564" width="9.140625" style="458"/>
    <col min="2565" max="2565" width="11.7109375" style="458" bestFit="1" customWidth="1"/>
    <col min="2566" max="2566" width="9.28515625" style="458" bestFit="1" customWidth="1"/>
    <col min="2567" max="2567" width="9.140625" style="458"/>
    <col min="2568" max="2568" width="9.28515625" style="458" bestFit="1" customWidth="1"/>
    <col min="2569" max="2569" width="9.140625" style="458"/>
    <col min="2570" max="2570" width="9.28515625" style="458" bestFit="1" customWidth="1"/>
    <col min="2571" max="2571" width="10" style="458" bestFit="1" customWidth="1"/>
    <col min="2572" max="2580" width="9.140625" style="458"/>
    <col min="2581" max="2581" width="12.42578125" style="458" customWidth="1"/>
    <col min="2582" max="2589" width="9.28515625" style="458" bestFit="1" customWidth="1"/>
    <col min="2590" max="2590" width="9.85546875" style="458" bestFit="1" customWidth="1"/>
    <col min="2591" max="2595" width="9.140625" style="458"/>
    <col min="2596" max="2596" width="11" style="458" customWidth="1"/>
    <col min="2597" max="2598" width="11.28515625" style="458" customWidth="1"/>
    <col min="2599" max="2599" width="11.5703125" style="458" customWidth="1"/>
    <col min="2600" max="2600" width="11.28515625" style="458" customWidth="1"/>
    <col min="2601" max="2601" width="11.7109375" style="458" customWidth="1"/>
    <col min="2602" max="2602" width="10.7109375" style="458" customWidth="1"/>
    <col min="2603" max="2603" width="9.5703125" style="458" customWidth="1"/>
    <col min="2604" max="2604" width="10.28515625" style="458" customWidth="1"/>
    <col min="2605" max="2816" width="9.140625" style="458"/>
    <col min="2817" max="2817" width="2.140625" style="458" customWidth="1"/>
    <col min="2818" max="2820" width="9.140625" style="458"/>
    <col min="2821" max="2821" width="11.7109375" style="458" bestFit="1" customWidth="1"/>
    <col min="2822" max="2822" width="9.28515625" style="458" bestFit="1" customWidth="1"/>
    <col min="2823" max="2823" width="9.140625" style="458"/>
    <col min="2824" max="2824" width="9.28515625" style="458" bestFit="1" customWidth="1"/>
    <col min="2825" max="2825" width="9.140625" style="458"/>
    <col min="2826" max="2826" width="9.28515625" style="458" bestFit="1" customWidth="1"/>
    <col min="2827" max="2827" width="10" style="458" bestFit="1" customWidth="1"/>
    <col min="2828" max="2836" width="9.140625" style="458"/>
    <col min="2837" max="2837" width="12.42578125" style="458" customWidth="1"/>
    <col min="2838" max="2845" width="9.28515625" style="458" bestFit="1" customWidth="1"/>
    <col min="2846" max="2846" width="9.85546875" style="458" bestFit="1" customWidth="1"/>
    <col min="2847" max="2851" width="9.140625" style="458"/>
    <col min="2852" max="2852" width="11" style="458" customWidth="1"/>
    <col min="2853" max="2854" width="11.28515625" style="458" customWidth="1"/>
    <col min="2855" max="2855" width="11.5703125" style="458" customWidth="1"/>
    <col min="2856" max="2856" width="11.28515625" style="458" customWidth="1"/>
    <col min="2857" max="2857" width="11.7109375" style="458" customWidth="1"/>
    <col min="2858" max="2858" width="10.7109375" style="458" customWidth="1"/>
    <col min="2859" max="2859" width="9.5703125" style="458" customWidth="1"/>
    <col min="2860" max="2860" width="10.28515625" style="458" customWidth="1"/>
    <col min="2861" max="3072" width="9.140625" style="458"/>
    <col min="3073" max="3073" width="2.140625" style="458" customWidth="1"/>
    <col min="3074" max="3076" width="9.140625" style="458"/>
    <col min="3077" max="3077" width="11.7109375" style="458" bestFit="1" customWidth="1"/>
    <col min="3078" max="3078" width="9.28515625" style="458" bestFit="1" customWidth="1"/>
    <col min="3079" max="3079" width="9.140625" style="458"/>
    <col min="3080" max="3080" width="9.28515625" style="458" bestFit="1" customWidth="1"/>
    <col min="3081" max="3081" width="9.140625" style="458"/>
    <col min="3082" max="3082" width="9.28515625" style="458" bestFit="1" customWidth="1"/>
    <col min="3083" max="3083" width="10" style="458" bestFit="1" customWidth="1"/>
    <col min="3084" max="3092" width="9.140625" style="458"/>
    <col min="3093" max="3093" width="12.42578125" style="458" customWidth="1"/>
    <col min="3094" max="3101" width="9.28515625" style="458" bestFit="1" customWidth="1"/>
    <col min="3102" max="3102" width="9.85546875" style="458" bestFit="1" customWidth="1"/>
    <col min="3103" max="3107" width="9.140625" style="458"/>
    <col min="3108" max="3108" width="11" style="458" customWidth="1"/>
    <col min="3109" max="3110" width="11.28515625" style="458" customWidth="1"/>
    <col min="3111" max="3111" width="11.5703125" style="458" customWidth="1"/>
    <col min="3112" max="3112" width="11.28515625" style="458" customWidth="1"/>
    <col min="3113" max="3113" width="11.7109375" style="458" customWidth="1"/>
    <col min="3114" max="3114" width="10.7109375" style="458" customWidth="1"/>
    <col min="3115" max="3115" width="9.5703125" style="458" customWidth="1"/>
    <col min="3116" max="3116" width="10.28515625" style="458" customWidth="1"/>
    <col min="3117" max="3328" width="9.140625" style="458"/>
    <col min="3329" max="3329" width="2.140625" style="458" customWidth="1"/>
    <col min="3330" max="3332" width="9.140625" style="458"/>
    <col min="3333" max="3333" width="11.7109375" style="458" bestFit="1" customWidth="1"/>
    <col min="3334" max="3334" width="9.28515625" style="458" bestFit="1" customWidth="1"/>
    <col min="3335" max="3335" width="9.140625" style="458"/>
    <col min="3336" max="3336" width="9.28515625" style="458" bestFit="1" customWidth="1"/>
    <col min="3337" max="3337" width="9.140625" style="458"/>
    <col min="3338" max="3338" width="9.28515625" style="458" bestFit="1" customWidth="1"/>
    <col min="3339" max="3339" width="10" style="458" bestFit="1" customWidth="1"/>
    <col min="3340" max="3348" width="9.140625" style="458"/>
    <col min="3349" max="3349" width="12.42578125" style="458" customWidth="1"/>
    <col min="3350" max="3357" width="9.28515625" style="458" bestFit="1" customWidth="1"/>
    <col min="3358" max="3358" width="9.85546875" style="458" bestFit="1" customWidth="1"/>
    <col min="3359" max="3363" width="9.140625" style="458"/>
    <col min="3364" max="3364" width="11" style="458" customWidth="1"/>
    <col min="3365" max="3366" width="11.28515625" style="458" customWidth="1"/>
    <col min="3367" max="3367" width="11.5703125" style="458" customWidth="1"/>
    <col min="3368" max="3368" width="11.28515625" style="458" customWidth="1"/>
    <col min="3369" max="3369" width="11.7109375" style="458" customWidth="1"/>
    <col min="3370" max="3370" width="10.7109375" style="458" customWidth="1"/>
    <col min="3371" max="3371" width="9.5703125" style="458" customWidth="1"/>
    <col min="3372" max="3372" width="10.28515625" style="458" customWidth="1"/>
    <col min="3373" max="3584" width="9.140625" style="458"/>
    <col min="3585" max="3585" width="2.140625" style="458" customWidth="1"/>
    <col min="3586" max="3588" width="9.140625" style="458"/>
    <col min="3589" max="3589" width="11.7109375" style="458" bestFit="1" customWidth="1"/>
    <col min="3590" max="3590" width="9.28515625" style="458" bestFit="1" customWidth="1"/>
    <col min="3591" max="3591" width="9.140625" style="458"/>
    <col min="3592" max="3592" width="9.28515625" style="458" bestFit="1" customWidth="1"/>
    <col min="3593" max="3593" width="9.140625" style="458"/>
    <col min="3594" max="3594" width="9.28515625" style="458" bestFit="1" customWidth="1"/>
    <col min="3595" max="3595" width="10" style="458" bestFit="1" customWidth="1"/>
    <col min="3596" max="3604" width="9.140625" style="458"/>
    <col min="3605" max="3605" width="12.42578125" style="458" customWidth="1"/>
    <col min="3606" max="3613" width="9.28515625" style="458" bestFit="1" customWidth="1"/>
    <col min="3614" max="3614" width="9.85546875" style="458" bestFit="1" customWidth="1"/>
    <col min="3615" max="3619" width="9.140625" style="458"/>
    <col min="3620" max="3620" width="11" style="458" customWidth="1"/>
    <col min="3621" max="3622" width="11.28515625" style="458" customWidth="1"/>
    <col min="3623" max="3623" width="11.5703125" style="458" customWidth="1"/>
    <col min="3624" max="3624" width="11.28515625" style="458" customWidth="1"/>
    <col min="3625" max="3625" width="11.7109375" style="458" customWidth="1"/>
    <col min="3626" max="3626" width="10.7109375" style="458" customWidth="1"/>
    <col min="3627" max="3627" width="9.5703125" style="458" customWidth="1"/>
    <col min="3628" max="3628" width="10.28515625" style="458" customWidth="1"/>
    <col min="3629" max="3840" width="9.140625" style="458"/>
    <col min="3841" max="3841" width="2.140625" style="458" customWidth="1"/>
    <col min="3842" max="3844" width="9.140625" style="458"/>
    <col min="3845" max="3845" width="11.7109375" style="458" bestFit="1" customWidth="1"/>
    <col min="3846" max="3846" width="9.28515625" style="458" bestFit="1" customWidth="1"/>
    <col min="3847" max="3847" width="9.140625" style="458"/>
    <col min="3848" max="3848" width="9.28515625" style="458" bestFit="1" customWidth="1"/>
    <col min="3849" max="3849" width="9.140625" style="458"/>
    <col min="3850" max="3850" width="9.28515625" style="458" bestFit="1" customWidth="1"/>
    <col min="3851" max="3851" width="10" style="458" bestFit="1" customWidth="1"/>
    <col min="3852" max="3860" width="9.140625" style="458"/>
    <col min="3861" max="3861" width="12.42578125" style="458" customWidth="1"/>
    <col min="3862" max="3869" width="9.28515625" style="458" bestFit="1" customWidth="1"/>
    <col min="3870" max="3870" width="9.85546875" style="458" bestFit="1" customWidth="1"/>
    <col min="3871" max="3875" width="9.140625" style="458"/>
    <col min="3876" max="3876" width="11" style="458" customWidth="1"/>
    <col min="3877" max="3878" width="11.28515625" style="458" customWidth="1"/>
    <col min="3879" max="3879" width="11.5703125" style="458" customWidth="1"/>
    <col min="3880" max="3880" width="11.28515625" style="458" customWidth="1"/>
    <col min="3881" max="3881" width="11.7109375" style="458" customWidth="1"/>
    <col min="3882" max="3882" width="10.7109375" style="458" customWidth="1"/>
    <col min="3883" max="3883" width="9.5703125" style="458" customWidth="1"/>
    <col min="3884" max="3884" width="10.28515625" style="458" customWidth="1"/>
    <col min="3885" max="4096" width="9.140625" style="458"/>
    <col min="4097" max="4097" width="2.140625" style="458" customWidth="1"/>
    <col min="4098" max="4100" width="9.140625" style="458"/>
    <col min="4101" max="4101" width="11.7109375" style="458" bestFit="1" customWidth="1"/>
    <col min="4102" max="4102" width="9.28515625" style="458" bestFit="1" customWidth="1"/>
    <col min="4103" max="4103" width="9.140625" style="458"/>
    <col min="4104" max="4104" width="9.28515625" style="458" bestFit="1" customWidth="1"/>
    <col min="4105" max="4105" width="9.140625" style="458"/>
    <col min="4106" max="4106" width="9.28515625" style="458" bestFit="1" customWidth="1"/>
    <col min="4107" max="4107" width="10" style="458" bestFit="1" customWidth="1"/>
    <col min="4108" max="4116" width="9.140625" style="458"/>
    <col min="4117" max="4117" width="12.42578125" style="458" customWidth="1"/>
    <col min="4118" max="4125" width="9.28515625" style="458" bestFit="1" customWidth="1"/>
    <col min="4126" max="4126" width="9.85546875" style="458" bestFit="1" customWidth="1"/>
    <col min="4127" max="4131" width="9.140625" style="458"/>
    <col min="4132" max="4132" width="11" style="458" customWidth="1"/>
    <col min="4133" max="4134" width="11.28515625" style="458" customWidth="1"/>
    <col min="4135" max="4135" width="11.5703125" style="458" customWidth="1"/>
    <col min="4136" max="4136" width="11.28515625" style="458" customWidth="1"/>
    <col min="4137" max="4137" width="11.7109375" style="458" customWidth="1"/>
    <col min="4138" max="4138" width="10.7109375" style="458" customWidth="1"/>
    <col min="4139" max="4139" width="9.5703125" style="458" customWidth="1"/>
    <col min="4140" max="4140" width="10.28515625" style="458" customWidth="1"/>
    <col min="4141" max="4352" width="9.140625" style="458"/>
    <col min="4353" max="4353" width="2.140625" style="458" customWidth="1"/>
    <col min="4354" max="4356" width="9.140625" style="458"/>
    <col min="4357" max="4357" width="11.7109375" style="458" bestFit="1" customWidth="1"/>
    <col min="4358" max="4358" width="9.28515625" style="458" bestFit="1" customWidth="1"/>
    <col min="4359" max="4359" width="9.140625" style="458"/>
    <col min="4360" max="4360" width="9.28515625" style="458" bestFit="1" customWidth="1"/>
    <col min="4361" max="4361" width="9.140625" style="458"/>
    <col min="4362" max="4362" width="9.28515625" style="458" bestFit="1" customWidth="1"/>
    <col min="4363" max="4363" width="10" style="458" bestFit="1" customWidth="1"/>
    <col min="4364" max="4372" width="9.140625" style="458"/>
    <col min="4373" max="4373" width="12.42578125" style="458" customWidth="1"/>
    <col min="4374" max="4381" width="9.28515625" style="458" bestFit="1" customWidth="1"/>
    <col min="4382" max="4382" width="9.85546875" style="458" bestFit="1" customWidth="1"/>
    <col min="4383" max="4387" width="9.140625" style="458"/>
    <col min="4388" max="4388" width="11" style="458" customWidth="1"/>
    <col min="4389" max="4390" width="11.28515625" style="458" customWidth="1"/>
    <col min="4391" max="4391" width="11.5703125" style="458" customWidth="1"/>
    <col min="4392" max="4392" width="11.28515625" style="458" customWidth="1"/>
    <col min="4393" max="4393" width="11.7109375" style="458" customWidth="1"/>
    <col min="4394" max="4394" width="10.7109375" style="458" customWidth="1"/>
    <col min="4395" max="4395" width="9.5703125" style="458" customWidth="1"/>
    <col min="4396" max="4396" width="10.28515625" style="458" customWidth="1"/>
    <col min="4397" max="4608" width="9.140625" style="458"/>
    <col min="4609" max="4609" width="2.140625" style="458" customWidth="1"/>
    <col min="4610" max="4612" width="9.140625" style="458"/>
    <col min="4613" max="4613" width="11.7109375" style="458" bestFit="1" customWidth="1"/>
    <col min="4614" max="4614" width="9.28515625" style="458" bestFit="1" customWidth="1"/>
    <col min="4615" max="4615" width="9.140625" style="458"/>
    <col min="4616" max="4616" width="9.28515625" style="458" bestFit="1" customWidth="1"/>
    <col min="4617" max="4617" width="9.140625" style="458"/>
    <col min="4618" max="4618" width="9.28515625" style="458" bestFit="1" customWidth="1"/>
    <col min="4619" max="4619" width="10" style="458" bestFit="1" customWidth="1"/>
    <col min="4620" max="4628" width="9.140625" style="458"/>
    <col min="4629" max="4629" width="12.42578125" style="458" customWidth="1"/>
    <col min="4630" max="4637" width="9.28515625" style="458" bestFit="1" customWidth="1"/>
    <col min="4638" max="4638" width="9.85546875" style="458" bestFit="1" customWidth="1"/>
    <col min="4639" max="4643" width="9.140625" style="458"/>
    <col min="4644" max="4644" width="11" style="458" customWidth="1"/>
    <col min="4645" max="4646" width="11.28515625" style="458" customWidth="1"/>
    <col min="4647" max="4647" width="11.5703125" style="458" customWidth="1"/>
    <col min="4648" max="4648" width="11.28515625" style="458" customWidth="1"/>
    <col min="4649" max="4649" width="11.7109375" style="458" customWidth="1"/>
    <col min="4650" max="4650" width="10.7109375" style="458" customWidth="1"/>
    <col min="4651" max="4651" width="9.5703125" style="458" customWidth="1"/>
    <col min="4652" max="4652" width="10.28515625" style="458" customWidth="1"/>
    <col min="4653" max="4864" width="9.140625" style="458"/>
    <col min="4865" max="4865" width="2.140625" style="458" customWidth="1"/>
    <col min="4866" max="4868" width="9.140625" style="458"/>
    <col min="4869" max="4869" width="11.7109375" style="458" bestFit="1" customWidth="1"/>
    <col min="4870" max="4870" width="9.28515625" style="458" bestFit="1" customWidth="1"/>
    <col min="4871" max="4871" width="9.140625" style="458"/>
    <col min="4872" max="4872" width="9.28515625" style="458" bestFit="1" customWidth="1"/>
    <col min="4873" max="4873" width="9.140625" style="458"/>
    <col min="4874" max="4874" width="9.28515625" style="458" bestFit="1" customWidth="1"/>
    <col min="4875" max="4875" width="10" style="458" bestFit="1" customWidth="1"/>
    <col min="4876" max="4884" width="9.140625" style="458"/>
    <col min="4885" max="4885" width="12.42578125" style="458" customWidth="1"/>
    <col min="4886" max="4893" width="9.28515625" style="458" bestFit="1" customWidth="1"/>
    <col min="4894" max="4894" width="9.85546875" style="458" bestFit="1" customWidth="1"/>
    <col min="4895" max="4899" width="9.140625" style="458"/>
    <col min="4900" max="4900" width="11" style="458" customWidth="1"/>
    <col min="4901" max="4902" width="11.28515625" style="458" customWidth="1"/>
    <col min="4903" max="4903" width="11.5703125" style="458" customWidth="1"/>
    <col min="4904" max="4904" width="11.28515625" style="458" customWidth="1"/>
    <col min="4905" max="4905" width="11.7109375" style="458" customWidth="1"/>
    <col min="4906" max="4906" width="10.7109375" style="458" customWidth="1"/>
    <col min="4907" max="4907" width="9.5703125" style="458" customWidth="1"/>
    <col min="4908" max="4908" width="10.28515625" style="458" customWidth="1"/>
    <col min="4909" max="5120" width="9.140625" style="458"/>
    <col min="5121" max="5121" width="2.140625" style="458" customWidth="1"/>
    <col min="5122" max="5124" width="9.140625" style="458"/>
    <col min="5125" max="5125" width="11.7109375" style="458" bestFit="1" customWidth="1"/>
    <col min="5126" max="5126" width="9.28515625" style="458" bestFit="1" customWidth="1"/>
    <col min="5127" max="5127" width="9.140625" style="458"/>
    <col min="5128" max="5128" width="9.28515625" style="458" bestFit="1" customWidth="1"/>
    <col min="5129" max="5129" width="9.140625" style="458"/>
    <col min="5130" max="5130" width="9.28515625" style="458" bestFit="1" customWidth="1"/>
    <col min="5131" max="5131" width="10" style="458" bestFit="1" customWidth="1"/>
    <col min="5132" max="5140" width="9.140625" style="458"/>
    <col min="5141" max="5141" width="12.42578125" style="458" customWidth="1"/>
    <col min="5142" max="5149" width="9.28515625" style="458" bestFit="1" customWidth="1"/>
    <col min="5150" max="5150" width="9.85546875" style="458" bestFit="1" customWidth="1"/>
    <col min="5151" max="5155" width="9.140625" style="458"/>
    <col min="5156" max="5156" width="11" style="458" customWidth="1"/>
    <col min="5157" max="5158" width="11.28515625" style="458" customWidth="1"/>
    <col min="5159" max="5159" width="11.5703125" style="458" customWidth="1"/>
    <col min="5160" max="5160" width="11.28515625" style="458" customWidth="1"/>
    <col min="5161" max="5161" width="11.7109375" style="458" customWidth="1"/>
    <col min="5162" max="5162" width="10.7109375" style="458" customWidth="1"/>
    <col min="5163" max="5163" width="9.5703125" style="458" customWidth="1"/>
    <col min="5164" max="5164" width="10.28515625" style="458" customWidth="1"/>
    <col min="5165" max="5376" width="9.140625" style="458"/>
    <col min="5377" max="5377" width="2.140625" style="458" customWidth="1"/>
    <col min="5378" max="5380" width="9.140625" style="458"/>
    <col min="5381" max="5381" width="11.7109375" style="458" bestFit="1" customWidth="1"/>
    <col min="5382" max="5382" width="9.28515625" style="458" bestFit="1" customWidth="1"/>
    <col min="5383" max="5383" width="9.140625" style="458"/>
    <col min="5384" max="5384" width="9.28515625" style="458" bestFit="1" customWidth="1"/>
    <col min="5385" max="5385" width="9.140625" style="458"/>
    <col min="5386" max="5386" width="9.28515625" style="458" bestFit="1" customWidth="1"/>
    <col min="5387" max="5387" width="10" style="458" bestFit="1" customWidth="1"/>
    <col min="5388" max="5396" width="9.140625" style="458"/>
    <col min="5397" max="5397" width="12.42578125" style="458" customWidth="1"/>
    <col min="5398" max="5405" width="9.28515625" style="458" bestFit="1" customWidth="1"/>
    <col min="5406" max="5406" width="9.85546875" style="458" bestFit="1" customWidth="1"/>
    <col min="5407" max="5411" width="9.140625" style="458"/>
    <col min="5412" max="5412" width="11" style="458" customWidth="1"/>
    <col min="5413" max="5414" width="11.28515625" style="458" customWidth="1"/>
    <col min="5415" max="5415" width="11.5703125" style="458" customWidth="1"/>
    <col min="5416" max="5416" width="11.28515625" style="458" customWidth="1"/>
    <col min="5417" max="5417" width="11.7109375" style="458" customWidth="1"/>
    <col min="5418" max="5418" width="10.7109375" style="458" customWidth="1"/>
    <col min="5419" max="5419" width="9.5703125" style="458" customWidth="1"/>
    <col min="5420" max="5420" width="10.28515625" style="458" customWidth="1"/>
    <col min="5421" max="5632" width="9.140625" style="458"/>
    <col min="5633" max="5633" width="2.140625" style="458" customWidth="1"/>
    <col min="5634" max="5636" width="9.140625" style="458"/>
    <col min="5637" max="5637" width="11.7109375" style="458" bestFit="1" customWidth="1"/>
    <col min="5638" max="5638" width="9.28515625" style="458" bestFit="1" customWidth="1"/>
    <col min="5639" max="5639" width="9.140625" style="458"/>
    <col min="5640" max="5640" width="9.28515625" style="458" bestFit="1" customWidth="1"/>
    <col min="5641" max="5641" width="9.140625" style="458"/>
    <col min="5642" max="5642" width="9.28515625" style="458" bestFit="1" customWidth="1"/>
    <col min="5643" max="5643" width="10" style="458" bestFit="1" customWidth="1"/>
    <col min="5644" max="5652" width="9.140625" style="458"/>
    <col min="5653" max="5653" width="12.42578125" style="458" customWidth="1"/>
    <col min="5654" max="5661" width="9.28515625" style="458" bestFit="1" customWidth="1"/>
    <col min="5662" max="5662" width="9.85546875" style="458" bestFit="1" customWidth="1"/>
    <col min="5663" max="5667" width="9.140625" style="458"/>
    <col min="5668" max="5668" width="11" style="458" customWidth="1"/>
    <col min="5669" max="5670" width="11.28515625" style="458" customWidth="1"/>
    <col min="5671" max="5671" width="11.5703125" style="458" customWidth="1"/>
    <col min="5672" max="5672" width="11.28515625" style="458" customWidth="1"/>
    <col min="5673" max="5673" width="11.7109375" style="458" customWidth="1"/>
    <col min="5674" max="5674" width="10.7109375" style="458" customWidth="1"/>
    <col min="5675" max="5675" width="9.5703125" style="458" customWidth="1"/>
    <col min="5676" max="5676" width="10.28515625" style="458" customWidth="1"/>
    <col min="5677" max="5888" width="9.140625" style="458"/>
    <col min="5889" max="5889" width="2.140625" style="458" customWidth="1"/>
    <col min="5890" max="5892" width="9.140625" style="458"/>
    <col min="5893" max="5893" width="11.7109375" style="458" bestFit="1" customWidth="1"/>
    <col min="5894" max="5894" width="9.28515625" style="458" bestFit="1" customWidth="1"/>
    <col min="5895" max="5895" width="9.140625" style="458"/>
    <col min="5896" max="5896" width="9.28515625" style="458" bestFit="1" customWidth="1"/>
    <col min="5897" max="5897" width="9.140625" style="458"/>
    <col min="5898" max="5898" width="9.28515625" style="458" bestFit="1" customWidth="1"/>
    <col min="5899" max="5899" width="10" style="458" bestFit="1" customWidth="1"/>
    <col min="5900" max="5908" width="9.140625" style="458"/>
    <col min="5909" max="5909" width="12.42578125" style="458" customWidth="1"/>
    <col min="5910" max="5917" width="9.28515625" style="458" bestFit="1" customWidth="1"/>
    <col min="5918" max="5918" width="9.85546875" style="458" bestFit="1" customWidth="1"/>
    <col min="5919" max="5923" width="9.140625" style="458"/>
    <col min="5924" max="5924" width="11" style="458" customWidth="1"/>
    <col min="5925" max="5926" width="11.28515625" style="458" customWidth="1"/>
    <col min="5927" max="5927" width="11.5703125" style="458" customWidth="1"/>
    <col min="5928" max="5928" width="11.28515625" style="458" customWidth="1"/>
    <col min="5929" max="5929" width="11.7109375" style="458" customWidth="1"/>
    <col min="5930" max="5930" width="10.7109375" style="458" customWidth="1"/>
    <col min="5931" max="5931" width="9.5703125" style="458" customWidth="1"/>
    <col min="5932" max="5932" width="10.28515625" style="458" customWidth="1"/>
    <col min="5933" max="6144" width="9.140625" style="458"/>
    <col min="6145" max="6145" width="2.140625" style="458" customWidth="1"/>
    <col min="6146" max="6148" width="9.140625" style="458"/>
    <col min="6149" max="6149" width="11.7109375" style="458" bestFit="1" customWidth="1"/>
    <col min="6150" max="6150" width="9.28515625" style="458" bestFit="1" customWidth="1"/>
    <col min="6151" max="6151" width="9.140625" style="458"/>
    <col min="6152" max="6152" width="9.28515625" style="458" bestFit="1" customWidth="1"/>
    <col min="6153" max="6153" width="9.140625" style="458"/>
    <col min="6154" max="6154" width="9.28515625" style="458" bestFit="1" customWidth="1"/>
    <col min="6155" max="6155" width="10" style="458" bestFit="1" customWidth="1"/>
    <col min="6156" max="6164" width="9.140625" style="458"/>
    <col min="6165" max="6165" width="12.42578125" style="458" customWidth="1"/>
    <col min="6166" max="6173" width="9.28515625" style="458" bestFit="1" customWidth="1"/>
    <col min="6174" max="6174" width="9.85546875" style="458" bestFit="1" customWidth="1"/>
    <col min="6175" max="6179" width="9.140625" style="458"/>
    <col min="6180" max="6180" width="11" style="458" customWidth="1"/>
    <col min="6181" max="6182" width="11.28515625" style="458" customWidth="1"/>
    <col min="6183" max="6183" width="11.5703125" style="458" customWidth="1"/>
    <col min="6184" max="6184" width="11.28515625" style="458" customWidth="1"/>
    <col min="6185" max="6185" width="11.7109375" style="458" customWidth="1"/>
    <col min="6186" max="6186" width="10.7109375" style="458" customWidth="1"/>
    <col min="6187" max="6187" width="9.5703125" style="458" customWidth="1"/>
    <col min="6188" max="6188" width="10.28515625" style="458" customWidth="1"/>
    <col min="6189" max="6400" width="9.140625" style="458"/>
    <col min="6401" max="6401" width="2.140625" style="458" customWidth="1"/>
    <col min="6402" max="6404" width="9.140625" style="458"/>
    <col min="6405" max="6405" width="11.7109375" style="458" bestFit="1" customWidth="1"/>
    <col min="6406" max="6406" width="9.28515625" style="458" bestFit="1" customWidth="1"/>
    <col min="6407" max="6407" width="9.140625" style="458"/>
    <col min="6408" max="6408" width="9.28515625" style="458" bestFit="1" customWidth="1"/>
    <col min="6409" max="6409" width="9.140625" style="458"/>
    <col min="6410" max="6410" width="9.28515625" style="458" bestFit="1" customWidth="1"/>
    <col min="6411" max="6411" width="10" style="458" bestFit="1" customWidth="1"/>
    <col min="6412" max="6420" width="9.140625" style="458"/>
    <col min="6421" max="6421" width="12.42578125" style="458" customWidth="1"/>
    <col min="6422" max="6429" width="9.28515625" style="458" bestFit="1" customWidth="1"/>
    <col min="6430" max="6430" width="9.85546875" style="458" bestFit="1" customWidth="1"/>
    <col min="6431" max="6435" width="9.140625" style="458"/>
    <col min="6436" max="6436" width="11" style="458" customWidth="1"/>
    <col min="6437" max="6438" width="11.28515625" style="458" customWidth="1"/>
    <col min="6439" max="6439" width="11.5703125" style="458" customWidth="1"/>
    <col min="6440" max="6440" width="11.28515625" style="458" customWidth="1"/>
    <col min="6441" max="6441" width="11.7109375" style="458" customWidth="1"/>
    <col min="6442" max="6442" width="10.7109375" style="458" customWidth="1"/>
    <col min="6443" max="6443" width="9.5703125" style="458" customWidth="1"/>
    <col min="6444" max="6444" width="10.28515625" style="458" customWidth="1"/>
    <col min="6445" max="6656" width="9.140625" style="458"/>
    <col min="6657" max="6657" width="2.140625" style="458" customWidth="1"/>
    <col min="6658" max="6660" width="9.140625" style="458"/>
    <col min="6661" max="6661" width="11.7109375" style="458" bestFit="1" customWidth="1"/>
    <col min="6662" max="6662" width="9.28515625" style="458" bestFit="1" customWidth="1"/>
    <col min="6663" max="6663" width="9.140625" style="458"/>
    <col min="6664" max="6664" width="9.28515625" style="458" bestFit="1" customWidth="1"/>
    <col min="6665" max="6665" width="9.140625" style="458"/>
    <col min="6666" max="6666" width="9.28515625" style="458" bestFit="1" customWidth="1"/>
    <col min="6667" max="6667" width="10" style="458" bestFit="1" customWidth="1"/>
    <col min="6668" max="6676" width="9.140625" style="458"/>
    <col min="6677" max="6677" width="12.42578125" style="458" customWidth="1"/>
    <col min="6678" max="6685" width="9.28515625" style="458" bestFit="1" customWidth="1"/>
    <col min="6686" max="6686" width="9.85546875" style="458" bestFit="1" customWidth="1"/>
    <col min="6687" max="6691" width="9.140625" style="458"/>
    <col min="6692" max="6692" width="11" style="458" customWidth="1"/>
    <col min="6693" max="6694" width="11.28515625" style="458" customWidth="1"/>
    <col min="6695" max="6695" width="11.5703125" style="458" customWidth="1"/>
    <col min="6696" max="6696" width="11.28515625" style="458" customWidth="1"/>
    <col min="6697" max="6697" width="11.7109375" style="458" customWidth="1"/>
    <col min="6698" max="6698" width="10.7109375" style="458" customWidth="1"/>
    <col min="6699" max="6699" width="9.5703125" style="458" customWidth="1"/>
    <col min="6700" max="6700" width="10.28515625" style="458" customWidth="1"/>
    <col min="6701" max="6912" width="9.140625" style="458"/>
    <col min="6913" max="6913" width="2.140625" style="458" customWidth="1"/>
    <col min="6914" max="6916" width="9.140625" style="458"/>
    <col min="6917" max="6917" width="11.7109375" style="458" bestFit="1" customWidth="1"/>
    <col min="6918" max="6918" width="9.28515625" style="458" bestFit="1" customWidth="1"/>
    <col min="6919" max="6919" width="9.140625" style="458"/>
    <col min="6920" max="6920" width="9.28515625" style="458" bestFit="1" customWidth="1"/>
    <col min="6921" max="6921" width="9.140625" style="458"/>
    <col min="6922" max="6922" width="9.28515625" style="458" bestFit="1" customWidth="1"/>
    <col min="6923" max="6923" width="10" style="458" bestFit="1" customWidth="1"/>
    <col min="6924" max="6932" width="9.140625" style="458"/>
    <col min="6933" max="6933" width="12.42578125" style="458" customWidth="1"/>
    <col min="6934" max="6941" width="9.28515625" style="458" bestFit="1" customWidth="1"/>
    <col min="6942" max="6942" width="9.85546875" style="458" bestFit="1" customWidth="1"/>
    <col min="6943" max="6947" width="9.140625" style="458"/>
    <col min="6948" max="6948" width="11" style="458" customWidth="1"/>
    <col min="6949" max="6950" width="11.28515625" style="458" customWidth="1"/>
    <col min="6951" max="6951" width="11.5703125" style="458" customWidth="1"/>
    <col min="6952" max="6952" width="11.28515625" style="458" customWidth="1"/>
    <col min="6953" max="6953" width="11.7109375" style="458" customWidth="1"/>
    <col min="6954" max="6954" width="10.7109375" style="458" customWidth="1"/>
    <col min="6955" max="6955" width="9.5703125" style="458" customWidth="1"/>
    <col min="6956" max="6956" width="10.28515625" style="458" customWidth="1"/>
    <col min="6957" max="7168" width="9.140625" style="458"/>
    <col min="7169" max="7169" width="2.140625" style="458" customWidth="1"/>
    <col min="7170" max="7172" width="9.140625" style="458"/>
    <col min="7173" max="7173" width="11.7109375" style="458" bestFit="1" customWidth="1"/>
    <col min="7174" max="7174" width="9.28515625" style="458" bestFit="1" customWidth="1"/>
    <col min="7175" max="7175" width="9.140625" style="458"/>
    <col min="7176" max="7176" width="9.28515625" style="458" bestFit="1" customWidth="1"/>
    <col min="7177" max="7177" width="9.140625" style="458"/>
    <col min="7178" max="7178" width="9.28515625" style="458" bestFit="1" customWidth="1"/>
    <col min="7179" max="7179" width="10" style="458" bestFit="1" customWidth="1"/>
    <col min="7180" max="7188" width="9.140625" style="458"/>
    <col min="7189" max="7189" width="12.42578125" style="458" customWidth="1"/>
    <col min="7190" max="7197" width="9.28515625" style="458" bestFit="1" customWidth="1"/>
    <col min="7198" max="7198" width="9.85546875" style="458" bestFit="1" customWidth="1"/>
    <col min="7199" max="7203" width="9.140625" style="458"/>
    <col min="7204" max="7204" width="11" style="458" customWidth="1"/>
    <col min="7205" max="7206" width="11.28515625" style="458" customWidth="1"/>
    <col min="7207" max="7207" width="11.5703125" style="458" customWidth="1"/>
    <col min="7208" max="7208" width="11.28515625" style="458" customWidth="1"/>
    <col min="7209" max="7209" width="11.7109375" style="458" customWidth="1"/>
    <col min="7210" max="7210" width="10.7109375" style="458" customWidth="1"/>
    <col min="7211" max="7211" width="9.5703125" style="458" customWidth="1"/>
    <col min="7212" max="7212" width="10.28515625" style="458" customWidth="1"/>
    <col min="7213" max="7424" width="9.140625" style="458"/>
    <col min="7425" max="7425" width="2.140625" style="458" customWidth="1"/>
    <col min="7426" max="7428" width="9.140625" style="458"/>
    <col min="7429" max="7429" width="11.7109375" style="458" bestFit="1" customWidth="1"/>
    <col min="7430" max="7430" width="9.28515625" style="458" bestFit="1" customWidth="1"/>
    <col min="7431" max="7431" width="9.140625" style="458"/>
    <col min="7432" max="7432" width="9.28515625" style="458" bestFit="1" customWidth="1"/>
    <col min="7433" max="7433" width="9.140625" style="458"/>
    <col min="7434" max="7434" width="9.28515625" style="458" bestFit="1" customWidth="1"/>
    <col min="7435" max="7435" width="10" style="458" bestFit="1" customWidth="1"/>
    <col min="7436" max="7444" width="9.140625" style="458"/>
    <col min="7445" max="7445" width="12.42578125" style="458" customWidth="1"/>
    <col min="7446" max="7453" width="9.28515625" style="458" bestFit="1" customWidth="1"/>
    <col min="7454" max="7454" width="9.85546875" style="458" bestFit="1" customWidth="1"/>
    <col min="7455" max="7459" width="9.140625" style="458"/>
    <col min="7460" max="7460" width="11" style="458" customWidth="1"/>
    <col min="7461" max="7462" width="11.28515625" style="458" customWidth="1"/>
    <col min="7463" max="7463" width="11.5703125" style="458" customWidth="1"/>
    <col min="7464" max="7464" width="11.28515625" style="458" customWidth="1"/>
    <col min="7465" max="7465" width="11.7109375" style="458" customWidth="1"/>
    <col min="7466" max="7466" width="10.7109375" style="458" customWidth="1"/>
    <col min="7467" max="7467" width="9.5703125" style="458" customWidth="1"/>
    <col min="7468" max="7468" width="10.28515625" style="458" customWidth="1"/>
    <col min="7469" max="7680" width="9.140625" style="458"/>
    <col min="7681" max="7681" width="2.140625" style="458" customWidth="1"/>
    <col min="7682" max="7684" width="9.140625" style="458"/>
    <col min="7685" max="7685" width="11.7109375" style="458" bestFit="1" customWidth="1"/>
    <col min="7686" max="7686" width="9.28515625" style="458" bestFit="1" customWidth="1"/>
    <col min="7687" max="7687" width="9.140625" style="458"/>
    <col min="7688" max="7688" width="9.28515625" style="458" bestFit="1" customWidth="1"/>
    <col min="7689" max="7689" width="9.140625" style="458"/>
    <col min="7690" max="7690" width="9.28515625" style="458" bestFit="1" customWidth="1"/>
    <col min="7691" max="7691" width="10" style="458" bestFit="1" customWidth="1"/>
    <col min="7692" max="7700" width="9.140625" style="458"/>
    <col min="7701" max="7701" width="12.42578125" style="458" customWidth="1"/>
    <col min="7702" max="7709" width="9.28515625" style="458" bestFit="1" customWidth="1"/>
    <col min="7710" max="7710" width="9.85546875" style="458" bestFit="1" customWidth="1"/>
    <col min="7711" max="7715" width="9.140625" style="458"/>
    <col min="7716" max="7716" width="11" style="458" customWidth="1"/>
    <col min="7717" max="7718" width="11.28515625" style="458" customWidth="1"/>
    <col min="7719" max="7719" width="11.5703125" style="458" customWidth="1"/>
    <col min="7720" max="7720" width="11.28515625" style="458" customWidth="1"/>
    <col min="7721" max="7721" width="11.7109375" style="458" customWidth="1"/>
    <col min="7722" max="7722" width="10.7109375" style="458" customWidth="1"/>
    <col min="7723" max="7723" width="9.5703125" style="458" customWidth="1"/>
    <col min="7724" max="7724" width="10.28515625" style="458" customWidth="1"/>
    <col min="7725" max="7936" width="9.140625" style="458"/>
    <col min="7937" max="7937" width="2.140625" style="458" customWidth="1"/>
    <col min="7938" max="7940" width="9.140625" style="458"/>
    <col min="7941" max="7941" width="11.7109375" style="458" bestFit="1" customWidth="1"/>
    <col min="7942" max="7942" width="9.28515625" style="458" bestFit="1" customWidth="1"/>
    <col min="7943" max="7943" width="9.140625" style="458"/>
    <col min="7944" max="7944" width="9.28515625" style="458" bestFit="1" customWidth="1"/>
    <col min="7945" max="7945" width="9.140625" style="458"/>
    <col min="7946" max="7946" width="9.28515625" style="458" bestFit="1" customWidth="1"/>
    <col min="7947" max="7947" width="10" style="458" bestFit="1" customWidth="1"/>
    <col min="7948" max="7956" width="9.140625" style="458"/>
    <col min="7957" max="7957" width="12.42578125" style="458" customWidth="1"/>
    <col min="7958" max="7965" width="9.28515625" style="458" bestFit="1" customWidth="1"/>
    <col min="7966" max="7966" width="9.85546875" style="458" bestFit="1" customWidth="1"/>
    <col min="7967" max="7971" width="9.140625" style="458"/>
    <col min="7972" max="7972" width="11" style="458" customWidth="1"/>
    <col min="7973" max="7974" width="11.28515625" style="458" customWidth="1"/>
    <col min="7975" max="7975" width="11.5703125" style="458" customWidth="1"/>
    <col min="7976" max="7976" width="11.28515625" style="458" customWidth="1"/>
    <col min="7977" max="7977" width="11.7109375" style="458" customWidth="1"/>
    <col min="7978" max="7978" width="10.7109375" style="458" customWidth="1"/>
    <col min="7979" max="7979" width="9.5703125" style="458" customWidth="1"/>
    <col min="7980" max="7980" width="10.28515625" style="458" customWidth="1"/>
    <col min="7981" max="8192" width="9.140625" style="458"/>
    <col min="8193" max="8193" width="2.140625" style="458" customWidth="1"/>
    <col min="8194" max="8196" width="9.140625" style="458"/>
    <col min="8197" max="8197" width="11.7109375" style="458" bestFit="1" customWidth="1"/>
    <col min="8198" max="8198" width="9.28515625" style="458" bestFit="1" customWidth="1"/>
    <col min="8199" max="8199" width="9.140625" style="458"/>
    <col min="8200" max="8200" width="9.28515625" style="458" bestFit="1" customWidth="1"/>
    <col min="8201" max="8201" width="9.140625" style="458"/>
    <col min="8202" max="8202" width="9.28515625" style="458" bestFit="1" customWidth="1"/>
    <col min="8203" max="8203" width="10" style="458" bestFit="1" customWidth="1"/>
    <col min="8204" max="8212" width="9.140625" style="458"/>
    <col min="8213" max="8213" width="12.42578125" style="458" customWidth="1"/>
    <col min="8214" max="8221" width="9.28515625" style="458" bestFit="1" customWidth="1"/>
    <col min="8222" max="8222" width="9.85546875" style="458" bestFit="1" customWidth="1"/>
    <col min="8223" max="8227" width="9.140625" style="458"/>
    <col min="8228" max="8228" width="11" style="458" customWidth="1"/>
    <col min="8229" max="8230" width="11.28515625" style="458" customWidth="1"/>
    <col min="8231" max="8231" width="11.5703125" style="458" customWidth="1"/>
    <col min="8232" max="8232" width="11.28515625" style="458" customWidth="1"/>
    <col min="8233" max="8233" width="11.7109375" style="458" customWidth="1"/>
    <col min="8234" max="8234" width="10.7109375" style="458" customWidth="1"/>
    <col min="8235" max="8235" width="9.5703125" style="458" customWidth="1"/>
    <col min="8236" max="8236" width="10.28515625" style="458" customWidth="1"/>
    <col min="8237" max="8448" width="9.140625" style="458"/>
    <col min="8449" max="8449" width="2.140625" style="458" customWidth="1"/>
    <col min="8450" max="8452" width="9.140625" style="458"/>
    <col min="8453" max="8453" width="11.7109375" style="458" bestFit="1" customWidth="1"/>
    <col min="8454" max="8454" width="9.28515625" style="458" bestFit="1" customWidth="1"/>
    <col min="8455" max="8455" width="9.140625" style="458"/>
    <col min="8456" max="8456" width="9.28515625" style="458" bestFit="1" customWidth="1"/>
    <col min="8457" max="8457" width="9.140625" style="458"/>
    <col min="8458" max="8458" width="9.28515625" style="458" bestFit="1" customWidth="1"/>
    <col min="8459" max="8459" width="10" style="458" bestFit="1" customWidth="1"/>
    <col min="8460" max="8468" width="9.140625" style="458"/>
    <col min="8469" max="8469" width="12.42578125" style="458" customWidth="1"/>
    <col min="8470" max="8477" width="9.28515625" style="458" bestFit="1" customWidth="1"/>
    <col min="8478" max="8478" width="9.85546875" style="458" bestFit="1" customWidth="1"/>
    <col min="8479" max="8483" width="9.140625" style="458"/>
    <col min="8484" max="8484" width="11" style="458" customWidth="1"/>
    <col min="8485" max="8486" width="11.28515625" style="458" customWidth="1"/>
    <col min="8487" max="8487" width="11.5703125" style="458" customWidth="1"/>
    <col min="8488" max="8488" width="11.28515625" style="458" customWidth="1"/>
    <col min="8489" max="8489" width="11.7109375" style="458" customWidth="1"/>
    <col min="8490" max="8490" width="10.7109375" style="458" customWidth="1"/>
    <col min="8491" max="8491" width="9.5703125" style="458" customWidth="1"/>
    <col min="8492" max="8492" width="10.28515625" style="458" customWidth="1"/>
    <col min="8493" max="8704" width="9.140625" style="458"/>
    <col min="8705" max="8705" width="2.140625" style="458" customWidth="1"/>
    <col min="8706" max="8708" width="9.140625" style="458"/>
    <col min="8709" max="8709" width="11.7109375" style="458" bestFit="1" customWidth="1"/>
    <col min="8710" max="8710" width="9.28515625" style="458" bestFit="1" customWidth="1"/>
    <col min="8711" max="8711" width="9.140625" style="458"/>
    <col min="8712" max="8712" width="9.28515625" style="458" bestFit="1" customWidth="1"/>
    <col min="8713" max="8713" width="9.140625" style="458"/>
    <col min="8714" max="8714" width="9.28515625" style="458" bestFit="1" customWidth="1"/>
    <col min="8715" max="8715" width="10" style="458" bestFit="1" customWidth="1"/>
    <col min="8716" max="8724" width="9.140625" style="458"/>
    <col min="8725" max="8725" width="12.42578125" style="458" customWidth="1"/>
    <col min="8726" max="8733" width="9.28515625" style="458" bestFit="1" customWidth="1"/>
    <col min="8734" max="8734" width="9.85546875" style="458" bestFit="1" customWidth="1"/>
    <col min="8735" max="8739" width="9.140625" style="458"/>
    <col min="8740" max="8740" width="11" style="458" customWidth="1"/>
    <col min="8741" max="8742" width="11.28515625" style="458" customWidth="1"/>
    <col min="8743" max="8743" width="11.5703125" style="458" customWidth="1"/>
    <col min="8744" max="8744" width="11.28515625" style="458" customWidth="1"/>
    <col min="8745" max="8745" width="11.7109375" style="458" customWidth="1"/>
    <col min="8746" max="8746" width="10.7109375" style="458" customWidth="1"/>
    <col min="8747" max="8747" width="9.5703125" style="458" customWidth="1"/>
    <col min="8748" max="8748" width="10.28515625" style="458" customWidth="1"/>
    <col min="8749" max="8960" width="9.140625" style="458"/>
    <col min="8961" max="8961" width="2.140625" style="458" customWidth="1"/>
    <col min="8962" max="8964" width="9.140625" style="458"/>
    <col min="8965" max="8965" width="11.7109375" style="458" bestFit="1" customWidth="1"/>
    <col min="8966" max="8966" width="9.28515625" style="458" bestFit="1" customWidth="1"/>
    <col min="8967" max="8967" width="9.140625" style="458"/>
    <col min="8968" max="8968" width="9.28515625" style="458" bestFit="1" customWidth="1"/>
    <col min="8969" max="8969" width="9.140625" style="458"/>
    <col min="8970" max="8970" width="9.28515625" style="458" bestFit="1" customWidth="1"/>
    <col min="8971" max="8971" width="10" style="458" bestFit="1" customWidth="1"/>
    <col min="8972" max="8980" width="9.140625" style="458"/>
    <col min="8981" max="8981" width="12.42578125" style="458" customWidth="1"/>
    <col min="8982" max="8989" width="9.28515625" style="458" bestFit="1" customWidth="1"/>
    <col min="8990" max="8990" width="9.85546875" style="458" bestFit="1" customWidth="1"/>
    <col min="8991" max="8995" width="9.140625" style="458"/>
    <col min="8996" max="8996" width="11" style="458" customWidth="1"/>
    <col min="8997" max="8998" width="11.28515625" style="458" customWidth="1"/>
    <col min="8999" max="8999" width="11.5703125" style="458" customWidth="1"/>
    <col min="9000" max="9000" width="11.28515625" style="458" customWidth="1"/>
    <col min="9001" max="9001" width="11.7109375" style="458" customWidth="1"/>
    <col min="9002" max="9002" width="10.7109375" style="458" customWidth="1"/>
    <col min="9003" max="9003" width="9.5703125" style="458" customWidth="1"/>
    <col min="9004" max="9004" width="10.28515625" style="458" customWidth="1"/>
    <col min="9005" max="9216" width="9.140625" style="458"/>
    <col min="9217" max="9217" width="2.140625" style="458" customWidth="1"/>
    <col min="9218" max="9220" width="9.140625" style="458"/>
    <col min="9221" max="9221" width="11.7109375" style="458" bestFit="1" customWidth="1"/>
    <col min="9222" max="9222" width="9.28515625" style="458" bestFit="1" customWidth="1"/>
    <col min="9223" max="9223" width="9.140625" style="458"/>
    <col min="9224" max="9224" width="9.28515625" style="458" bestFit="1" customWidth="1"/>
    <col min="9225" max="9225" width="9.140625" style="458"/>
    <col min="9226" max="9226" width="9.28515625" style="458" bestFit="1" customWidth="1"/>
    <col min="9227" max="9227" width="10" style="458" bestFit="1" customWidth="1"/>
    <col min="9228" max="9236" width="9.140625" style="458"/>
    <col min="9237" max="9237" width="12.42578125" style="458" customWidth="1"/>
    <col min="9238" max="9245" width="9.28515625" style="458" bestFit="1" customWidth="1"/>
    <col min="9246" max="9246" width="9.85546875" style="458" bestFit="1" customWidth="1"/>
    <col min="9247" max="9251" width="9.140625" style="458"/>
    <col min="9252" max="9252" width="11" style="458" customWidth="1"/>
    <col min="9253" max="9254" width="11.28515625" style="458" customWidth="1"/>
    <col min="9255" max="9255" width="11.5703125" style="458" customWidth="1"/>
    <col min="9256" max="9256" width="11.28515625" style="458" customWidth="1"/>
    <col min="9257" max="9257" width="11.7109375" style="458" customWidth="1"/>
    <col min="9258" max="9258" width="10.7109375" style="458" customWidth="1"/>
    <col min="9259" max="9259" width="9.5703125" style="458" customWidth="1"/>
    <col min="9260" max="9260" width="10.28515625" style="458" customWidth="1"/>
    <col min="9261" max="9472" width="9.140625" style="458"/>
    <col min="9473" max="9473" width="2.140625" style="458" customWidth="1"/>
    <col min="9474" max="9476" width="9.140625" style="458"/>
    <col min="9477" max="9477" width="11.7109375" style="458" bestFit="1" customWidth="1"/>
    <col min="9478" max="9478" width="9.28515625" style="458" bestFit="1" customWidth="1"/>
    <col min="9479" max="9479" width="9.140625" style="458"/>
    <col min="9480" max="9480" width="9.28515625" style="458" bestFit="1" customWidth="1"/>
    <col min="9481" max="9481" width="9.140625" style="458"/>
    <col min="9482" max="9482" width="9.28515625" style="458" bestFit="1" customWidth="1"/>
    <col min="9483" max="9483" width="10" style="458" bestFit="1" customWidth="1"/>
    <col min="9484" max="9492" width="9.140625" style="458"/>
    <col min="9493" max="9493" width="12.42578125" style="458" customWidth="1"/>
    <col min="9494" max="9501" width="9.28515625" style="458" bestFit="1" customWidth="1"/>
    <col min="9502" max="9502" width="9.85546875" style="458" bestFit="1" customWidth="1"/>
    <col min="9503" max="9507" width="9.140625" style="458"/>
    <col min="9508" max="9508" width="11" style="458" customWidth="1"/>
    <col min="9509" max="9510" width="11.28515625" style="458" customWidth="1"/>
    <col min="9511" max="9511" width="11.5703125" style="458" customWidth="1"/>
    <col min="9512" max="9512" width="11.28515625" style="458" customWidth="1"/>
    <col min="9513" max="9513" width="11.7109375" style="458" customWidth="1"/>
    <col min="9514" max="9514" width="10.7109375" style="458" customWidth="1"/>
    <col min="9515" max="9515" width="9.5703125" style="458" customWidth="1"/>
    <col min="9516" max="9516" width="10.28515625" style="458" customWidth="1"/>
    <col min="9517" max="9728" width="9.140625" style="458"/>
    <col min="9729" max="9729" width="2.140625" style="458" customWidth="1"/>
    <col min="9730" max="9732" width="9.140625" style="458"/>
    <col min="9733" max="9733" width="11.7109375" style="458" bestFit="1" customWidth="1"/>
    <col min="9734" max="9734" width="9.28515625" style="458" bestFit="1" customWidth="1"/>
    <col min="9735" max="9735" width="9.140625" style="458"/>
    <col min="9736" max="9736" width="9.28515625" style="458" bestFit="1" customWidth="1"/>
    <col min="9737" max="9737" width="9.140625" style="458"/>
    <col min="9738" max="9738" width="9.28515625" style="458" bestFit="1" customWidth="1"/>
    <col min="9739" max="9739" width="10" style="458" bestFit="1" customWidth="1"/>
    <col min="9740" max="9748" width="9.140625" style="458"/>
    <col min="9749" max="9749" width="12.42578125" style="458" customWidth="1"/>
    <col min="9750" max="9757" width="9.28515625" style="458" bestFit="1" customWidth="1"/>
    <col min="9758" max="9758" width="9.85546875" style="458" bestFit="1" customWidth="1"/>
    <col min="9759" max="9763" width="9.140625" style="458"/>
    <col min="9764" max="9764" width="11" style="458" customWidth="1"/>
    <col min="9765" max="9766" width="11.28515625" style="458" customWidth="1"/>
    <col min="9767" max="9767" width="11.5703125" style="458" customWidth="1"/>
    <col min="9768" max="9768" width="11.28515625" style="458" customWidth="1"/>
    <col min="9769" max="9769" width="11.7109375" style="458" customWidth="1"/>
    <col min="9770" max="9770" width="10.7109375" style="458" customWidth="1"/>
    <col min="9771" max="9771" width="9.5703125" style="458" customWidth="1"/>
    <col min="9772" max="9772" width="10.28515625" style="458" customWidth="1"/>
    <col min="9773" max="9984" width="9.140625" style="458"/>
    <col min="9985" max="9985" width="2.140625" style="458" customWidth="1"/>
    <col min="9986" max="9988" width="9.140625" style="458"/>
    <col min="9989" max="9989" width="11.7109375" style="458" bestFit="1" customWidth="1"/>
    <col min="9990" max="9990" width="9.28515625" style="458" bestFit="1" customWidth="1"/>
    <col min="9991" max="9991" width="9.140625" style="458"/>
    <col min="9992" max="9992" width="9.28515625" style="458" bestFit="1" customWidth="1"/>
    <col min="9993" max="9993" width="9.140625" style="458"/>
    <col min="9994" max="9994" width="9.28515625" style="458" bestFit="1" customWidth="1"/>
    <col min="9995" max="9995" width="10" style="458" bestFit="1" customWidth="1"/>
    <col min="9996" max="10004" width="9.140625" style="458"/>
    <col min="10005" max="10005" width="12.42578125" style="458" customWidth="1"/>
    <col min="10006" max="10013" width="9.28515625" style="458" bestFit="1" customWidth="1"/>
    <col min="10014" max="10014" width="9.85546875" style="458" bestFit="1" customWidth="1"/>
    <col min="10015" max="10019" width="9.140625" style="458"/>
    <col min="10020" max="10020" width="11" style="458" customWidth="1"/>
    <col min="10021" max="10022" width="11.28515625" style="458" customWidth="1"/>
    <col min="10023" max="10023" width="11.5703125" style="458" customWidth="1"/>
    <col min="10024" max="10024" width="11.28515625" style="458" customWidth="1"/>
    <col min="10025" max="10025" width="11.7109375" style="458" customWidth="1"/>
    <col min="10026" max="10026" width="10.7109375" style="458" customWidth="1"/>
    <col min="10027" max="10027" width="9.5703125" style="458" customWidth="1"/>
    <col min="10028" max="10028" width="10.28515625" style="458" customWidth="1"/>
    <col min="10029" max="10240" width="9.140625" style="458"/>
    <col min="10241" max="10241" width="2.140625" style="458" customWidth="1"/>
    <col min="10242" max="10244" width="9.140625" style="458"/>
    <col min="10245" max="10245" width="11.7109375" style="458" bestFit="1" customWidth="1"/>
    <col min="10246" max="10246" width="9.28515625" style="458" bestFit="1" customWidth="1"/>
    <col min="10247" max="10247" width="9.140625" style="458"/>
    <col min="10248" max="10248" width="9.28515625" style="458" bestFit="1" customWidth="1"/>
    <col min="10249" max="10249" width="9.140625" style="458"/>
    <col min="10250" max="10250" width="9.28515625" style="458" bestFit="1" customWidth="1"/>
    <col min="10251" max="10251" width="10" style="458" bestFit="1" customWidth="1"/>
    <col min="10252" max="10260" width="9.140625" style="458"/>
    <col min="10261" max="10261" width="12.42578125" style="458" customWidth="1"/>
    <col min="10262" max="10269" width="9.28515625" style="458" bestFit="1" customWidth="1"/>
    <col min="10270" max="10270" width="9.85546875" style="458" bestFit="1" customWidth="1"/>
    <col min="10271" max="10275" width="9.140625" style="458"/>
    <col min="10276" max="10276" width="11" style="458" customWidth="1"/>
    <col min="10277" max="10278" width="11.28515625" style="458" customWidth="1"/>
    <col min="10279" max="10279" width="11.5703125" style="458" customWidth="1"/>
    <col min="10280" max="10280" width="11.28515625" style="458" customWidth="1"/>
    <col min="10281" max="10281" width="11.7109375" style="458" customWidth="1"/>
    <col min="10282" max="10282" width="10.7109375" style="458" customWidth="1"/>
    <col min="10283" max="10283" width="9.5703125" style="458" customWidth="1"/>
    <col min="10284" max="10284" width="10.28515625" style="458" customWidth="1"/>
    <col min="10285" max="10496" width="9.140625" style="458"/>
    <col min="10497" max="10497" width="2.140625" style="458" customWidth="1"/>
    <col min="10498" max="10500" width="9.140625" style="458"/>
    <col min="10501" max="10501" width="11.7109375" style="458" bestFit="1" customWidth="1"/>
    <col min="10502" max="10502" width="9.28515625" style="458" bestFit="1" customWidth="1"/>
    <col min="10503" max="10503" width="9.140625" style="458"/>
    <col min="10504" max="10504" width="9.28515625" style="458" bestFit="1" customWidth="1"/>
    <col min="10505" max="10505" width="9.140625" style="458"/>
    <col min="10506" max="10506" width="9.28515625" style="458" bestFit="1" customWidth="1"/>
    <col min="10507" max="10507" width="10" style="458" bestFit="1" customWidth="1"/>
    <col min="10508" max="10516" width="9.140625" style="458"/>
    <col min="10517" max="10517" width="12.42578125" style="458" customWidth="1"/>
    <col min="10518" max="10525" width="9.28515625" style="458" bestFit="1" customWidth="1"/>
    <col min="10526" max="10526" width="9.85546875" style="458" bestFit="1" customWidth="1"/>
    <col min="10527" max="10531" width="9.140625" style="458"/>
    <col min="10532" max="10532" width="11" style="458" customWidth="1"/>
    <col min="10533" max="10534" width="11.28515625" style="458" customWidth="1"/>
    <col min="10535" max="10535" width="11.5703125" style="458" customWidth="1"/>
    <col min="10536" max="10536" width="11.28515625" style="458" customWidth="1"/>
    <col min="10537" max="10537" width="11.7109375" style="458" customWidth="1"/>
    <col min="10538" max="10538" width="10.7109375" style="458" customWidth="1"/>
    <col min="10539" max="10539" width="9.5703125" style="458" customWidth="1"/>
    <col min="10540" max="10540" width="10.28515625" style="458" customWidth="1"/>
    <col min="10541" max="10752" width="9.140625" style="458"/>
    <col min="10753" max="10753" width="2.140625" style="458" customWidth="1"/>
    <col min="10754" max="10756" width="9.140625" style="458"/>
    <col min="10757" max="10757" width="11.7109375" style="458" bestFit="1" customWidth="1"/>
    <col min="10758" max="10758" width="9.28515625" style="458" bestFit="1" customWidth="1"/>
    <col min="10759" max="10759" width="9.140625" style="458"/>
    <col min="10760" max="10760" width="9.28515625" style="458" bestFit="1" customWidth="1"/>
    <col min="10761" max="10761" width="9.140625" style="458"/>
    <col min="10762" max="10762" width="9.28515625" style="458" bestFit="1" customWidth="1"/>
    <col min="10763" max="10763" width="10" style="458" bestFit="1" customWidth="1"/>
    <col min="10764" max="10772" width="9.140625" style="458"/>
    <col min="10773" max="10773" width="12.42578125" style="458" customWidth="1"/>
    <col min="10774" max="10781" width="9.28515625" style="458" bestFit="1" customWidth="1"/>
    <col min="10782" max="10782" width="9.85546875" style="458" bestFit="1" customWidth="1"/>
    <col min="10783" max="10787" width="9.140625" style="458"/>
    <col min="10788" max="10788" width="11" style="458" customWidth="1"/>
    <col min="10789" max="10790" width="11.28515625" style="458" customWidth="1"/>
    <col min="10791" max="10791" width="11.5703125" style="458" customWidth="1"/>
    <col min="10792" max="10792" width="11.28515625" style="458" customWidth="1"/>
    <col min="10793" max="10793" width="11.7109375" style="458" customWidth="1"/>
    <col min="10794" max="10794" width="10.7109375" style="458" customWidth="1"/>
    <col min="10795" max="10795" width="9.5703125" style="458" customWidth="1"/>
    <col min="10796" max="10796" width="10.28515625" style="458" customWidth="1"/>
    <col min="10797" max="11008" width="9.140625" style="458"/>
    <col min="11009" max="11009" width="2.140625" style="458" customWidth="1"/>
    <col min="11010" max="11012" width="9.140625" style="458"/>
    <col min="11013" max="11013" width="11.7109375" style="458" bestFit="1" customWidth="1"/>
    <col min="11014" max="11014" width="9.28515625" style="458" bestFit="1" customWidth="1"/>
    <col min="11015" max="11015" width="9.140625" style="458"/>
    <col min="11016" max="11016" width="9.28515625" style="458" bestFit="1" customWidth="1"/>
    <col min="11017" max="11017" width="9.140625" style="458"/>
    <col min="11018" max="11018" width="9.28515625" style="458" bestFit="1" customWidth="1"/>
    <col min="11019" max="11019" width="10" style="458" bestFit="1" customWidth="1"/>
    <col min="11020" max="11028" width="9.140625" style="458"/>
    <col min="11029" max="11029" width="12.42578125" style="458" customWidth="1"/>
    <col min="11030" max="11037" width="9.28515625" style="458" bestFit="1" customWidth="1"/>
    <col min="11038" max="11038" width="9.85546875" style="458" bestFit="1" customWidth="1"/>
    <col min="11039" max="11043" width="9.140625" style="458"/>
    <col min="11044" max="11044" width="11" style="458" customWidth="1"/>
    <col min="11045" max="11046" width="11.28515625" style="458" customWidth="1"/>
    <col min="11047" max="11047" width="11.5703125" style="458" customWidth="1"/>
    <col min="11048" max="11048" width="11.28515625" style="458" customWidth="1"/>
    <col min="11049" max="11049" width="11.7109375" style="458" customWidth="1"/>
    <col min="11050" max="11050" width="10.7109375" style="458" customWidth="1"/>
    <col min="11051" max="11051" width="9.5703125" style="458" customWidth="1"/>
    <col min="11052" max="11052" width="10.28515625" style="458" customWidth="1"/>
    <col min="11053" max="11264" width="9.140625" style="458"/>
    <col min="11265" max="11265" width="2.140625" style="458" customWidth="1"/>
    <col min="11266" max="11268" width="9.140625" style="458"/>
    <col min="11269" max="11269" width="11.7109375" style="458" bestFit="1" customWidth="1"/>
    <col min="11270" max="11270" width="9.28515625" style="458" bestFit="1" customWidth="1"/>
    <col min="11271" max="11271" width="9.140625" style="458"/>
    <col min="11272" max="11272" width="9.28515625" style="458" bestFit="1" customWidth="1"/>
    <col min="11273" max="11273" width="9.140625" style="458"/>
    <col min="11274" max="11274" width="9.28515625" style="458" bestFit="1" customWidth="1"/>
    <col min="11275" max="11275" width="10" style="458" bestFit="1" customWidth="1"/>
    <col min="11276" max="11284" width="9.140625" style="458"/>
    <col min="11285" max="11285" width="12.42578125" style="458" customWidth="1"/>
    <col min="11286" max="11293" width="9.28515625" style="458" bestFit="1" customWidth="1"/>
    <col min="11294" max="11294" width="9.85546875" style="458" bestFit="1" customWidth="1"/>
    <col min="11295" max="11299" width="9.140625" style="458"/>
    <col min="11300" max="11300" width="11" style="458" customWidth="1"/>
    <col min="11301" max="11302" width="11.28515625" style="458" customWidth="1"/>
    <col min="11303" max="11303" width="11.5703125" style="458" customWidth="1"/>
    <col min="11304" max="11304" width="11.28515625" style="458" customWidth="1"/>
    <col min="11305" max="11305" width="11.7109375" style="458" customWidth="1"/>
    <col min="11306" max="11306" width="10.7109375" style="458" customWidth="1"/>
    <col min="11307" max="11307" width="9.5703125" style="458" customWidth="1"/>
    <col min="11308" max="11308" width="10.28515625" style="458" customWidth="1"/>
    <col min="11309" max="11520" width="9.140625" style="458"/>
    <col min="11521" max="11521" width="2.140625" style="458" customWidth="1"/>
    <col min="11522" max="11524" width="9.140625" style="458"/>
    <col min="11525" max="11525" width="11.7109375" style="458" bestFit="1" customWidth="1"/>
    <col min="11526" max="11526" width="9.28515625" style="458" bestFit="1" customWidth="1"/>
    <col min="11527" max="11527" width="9.140625" style="458"/>
    <col min="11528" max="11528" width="9.28515625" style="458" bestFit="1" customWidth="1"/>
    <col min="11529" max="11529" width="9.140625" style="458"/>
    <col min="11530" max="11530" width="9.28515625" style="458" bestFit="1" customWidth="1"/>
    <col min="11531" max="11531" width="10" style="458" bestFit="1" customWidth="1"/>
    <col min="11532" max="11540" width="9.140625" style="458"/>
    <col min="11541" max="11541" width="12.42578125" style="458" customWidth="1"/>
    <col min="11542" max="11549" width="9.28515625" style="458" bestFit="1" customWidth="1"/>
    <col min="11550" max="11550" width="9.85546875" style="458" bestFit="1" customWidth="1"/>
    <col min="11551" max="11555" width="9.140625" style="458"/>
    <col min="11556" max="11556" width="11" style="458" customWidth="1"/>
    <col min="11557" max="11558" width="11.28515625" style="458" customWidth="1"/>
    <col min="11559" max="11559" width="11.5703125" style="458" customWidth="1"/>
    <col min="11560" max="11560" width="11.28515625" style="458" customWidth="1"/>
    <col min="11561" max="11561" width="11.7109375" style="458" customWidth="1"/>
    <col min="11562" max="11562" width="10.7109375" style="458" customWidth="1"/>
    <col min="11563" max="11563" width="9.5703125" style="458" customWidth="1"/>
    <col min="11564" max="11564" width="10.28515625" style="458" customWidth="1"/>
    <col min="11565" max="11776" width="9.140625" style="458"/>
    <col min="11777" max="11777" width="2.140625" style="458" customWidth="1"/>
    <col min="11778" max="11780" width="9.140625" style="458"/>
    <col min="11781" max="11781" width="11.7109375" style="458" bestFit="1" customWidth="1"/>
    <col min="11782" max="11782" width="9.28515625" style="458" bestFit="1" customWidth="1"/>
    <col min="11783" max="11783" width="9.140625" style="458"/>
    <col min="11784" max="11784" width="9.28515625" style="458" bestFit="1" customWidth="1"/>
    <col min="11785" max="11785" width="9.140625" style="458"/>
    <col min="11786" max="11786" width="9.28515625" style="458" bestFit="1" customWidth="1"/>
    <col min="11787" max="11787" width="10" style="458" bestFit="1" customWidth="1"/>
    <col min="11788" max="11796" width="9.140625" style="458"/>
    <col min="11797" max="11797" width="12.42578125" style="458" customWidth="1"/>
    <col min="11798" max="11805" width="9.28515625" style="458" bestFit="1" customWidth="1"/>
    <col min="11806" max="11806" width="9.85546875" style="458" bestFit="1" customWidth="1"/>
    <col min="11807" max="11811" width="9.140625" style="458"/>
    <col min="11812" max="11812" width="11" style="458" customWidth="1"/>
    <col min="11813" max="11814" width="11.28515625" style="458" customWidth="1"/>
    <col min="11815" max="11815" width="11.5703125" style="458" customWidth="1"/>
    <col min="11816" max="11816" width="11.28515625" style="458" customWidth="1"/>
    <col min="11817" max="11817" width="11.7109375" style="458" customWidth="1"/>
    <col min="11818" max="11818" width="10.7109375" style="458" customWidth="1"/>
    <col min="11819" max="11819" width="9.5703125" style="458" customWidth="1"/>
    <col min="11820" max="11820" width="10.28515625" style="458" customWidth="1"/>
    <col min="11821" max="12032" width="9.140625" style="458"/>
    <col min="12033" max="12033" width="2.140625" style="458" customWidth="1"/>
    <col min="12034" max="12036" width="9.140625" style="458"/>
    <col min="12037" max="12037" width="11.7109375" style="458" bestFit="1" customWidth="1"/>
    <col min="12038" max="12038" width="9.28515625" style="458" bestFit="1" customWidth="1"/>
    <col min="12039" max="12039" width="9.140625" style="458"/>
    <col min="12040" max="12040" width="9.28515625" style="458" bestFit="1" customWidth="1"/>
    <col min="12041" max="12041" width="9.140625" style="458"/>
    <col min="12042" max="12042" width="9.28515625" style="458" bestFit="1" customWidth="1"/>
    <col min="12043" max="12043" width="10" style="458" bestFit="1" customWidth="1"/>
    <col min="12044" max="12052" width="9.140625" style="458"/>
    <col min="12053" max="12053" width="12.42578125" style="458" customWidth="1"/>
    <col min="12054" max="12061" width="9.28515625" style="458" bestFit="1" customWidth="1"/>
    <col min="12062" max="12062" width="9.85546875" style="458" bestFit="1" customWidth="1"/>
    <col min="12063" max="12067" width="9.140625" style="458"/>
    <col min="12068" max="12068" width="11" style="458" customWidth="1"/>
    <col min="12069" max="12070" width="11.28515625" style="458" customWidth="1"/>
    <col min="12071" max="12071" width="11.5703125" style="458" customWidth="1"/>
    <col min="12072" max="12072" width="11.28515625" style="458" customWidth="1"/>
    <col min="12073" max="12073" width="11.7109375" style="458" customWidth="1"/>
    <col min="12074" max="12074" width="10.7109375" style="458" customWidth="1"/>
    <col min="12075" max="12075" width="9.5703125" style="458" customWidth="1"/>
    <col min="12076" max="12076" width="10.28515625" style="458" customWidth="1"/>
    <col min="12077" max="12288" width="9.140625" style="458"/>
    <col min="12289" max="12289" width="2.140625" style="458" customWidth="1"/>
    <col min="12290" max="12292" width="9.140625" style="458"/>
    <col min="12293" max="12293" width="11.7109375" style="458" bestFit="1" customWidth="1"/>
    <col min="12294" max="12294" width="9.28515625" style="458" bestFit="1" customWidth="1"/>
    <col min="12295" max="12295" width="9.140625" style="458"/>
    <col min="12296" max="12296" width="9.28515625" style="458" bestFit="1" customWidth="1"/>
    <col min="12297" max="12297" width="9.140625" style="458"/>
    <col min="12298" max="12298" width="9.28515625" style="458" bestFit="1" customWidth="1"/>
    <col min="12299" max="12299" width="10" style="458" bestFit="1" customWidth="1"/>
    <col min="12300" max="12308" width="9.140625" style="458"/>
    <col min="12309" max="12309" width="12.42578125" style="458" customWidth="1"/>
    <col min="12310" max="12317" width="9.28515625" style="458" bestFit="1" customWidth="1"/>
    <col min="12318" max="12318" width="9.85546875" style="458" bestFit="1" customWidth="1"/>
    <col min="12319" max="12323" width="9.140625" style="458"/>
    <col min="12324" max="12324" width="11" style="458" customWidth="1"/>
    <col min="12325" max="12326" width="11.28515625" style="458" customWidth="1"/>
    <col min="12327" max="12327" width="11.5703125" style="458" customWidth="1"/>
    <col min="12328" max="12328" width="11.28515625" style="458" customWidth="1"/>
    <col min="12329" max="12329" width="11.7109375" style="458" customWidth="1"/>
    <col min="12330" max="12330" width="10.7109375" style="458" customWidth="1"/>
    <col min="12331" max="12331" width="9.5703125" style="458" customWidth="1"/>
    <col min="12332" max="12332" width="10.28515625" style="458" customWidth="1"/>
    <col min="12333" max="12544" width="9.140625" style="458"/>
    <col min="12545" max="12545" width="2.140625" style="458" customWidth="1"/>
    <col min="12546" max="12548" width="9.140625" style="458"/>
    <col min="12549" max="12549" width="11.7109375" style="458" bestFit="1" customWidth="1"/>
    <col min="12550" max="12550" width="9.28515625" style="458" bestFit="1" customWidth="1"/>
    <col min="12551" max="12551" width="9.140625" style="458"/>
    <col min="12552" max="12552" width="9.28515625" style="458" bestFit="1" customWidth="1"/>
    <col min="12553" max="12553" width="9.140625" style="458"/>
    <col min="12554" max="12554" width="9.28515625" style="458" bestFit="1" customWidth="1"/>
    <col min="12555" max="12555" width="10" style="458" bestFit="1" customWidth="1"/>
    <col min="12556" max="12564" width="9.140625" style="458"/>
    <col min="12565" max="12565" width="12.42578125" style="458" customWidth="1"/>
    <col min="12566" max="12573" width="9.28515625" style="458" bestFit="1" customWidth="1"/>
    <col min="12574" max="12574" width="9.85546875" style="458" bestFit="1" customWidth="1"/>
    <col min="12575" max="12579" width="9.140625" style="458"/>
    <col min="12580" max="12580" width="11" style="458" customWidth="1"/>
    <col min="12581" max="12582" width="11.28515625" style="458" customWidth="1"/>
    <col min="12583" max="12583" width="11.5703125" style="458" customWidth="1"/>
    <col min="12584" max="12584" width="11.28515625" style="458" customWidth="1"/>
    <col min="12585" max="12585" width="11.7109375" style="458" customWidth="1"/>
    <col min="12586" max="12586" width="10.7109375" style="458" customWidth="1"/>
    <col min="12587" max="12587" width="9.5703125" style="458" customWidth="1"/>
    <col min="12588" max="12588" width="10.28515625" style="458" customWidth="1"/>
    <col min="12589" max="12800" width="9.140625" style="458"/>
    <col min="12801" max="12801" width="2.140625" style="458" customWidth="1"/>
    <col min="12802" max="12804" width="9.140625" style="458"/>
    <col min="12805" max="12805" width="11.7109375" style="458" bestFit="1" customWidth="1"/>
    <col min="12806" max="12806" width="9.28515625" style="458" bestFit="1" customWidth="1"/>
    <col min="12807" max="12807" width="9.140625" style="458"/>
    <col min="12808" max="12808" width="9.28515625" style="458" bestFit="1" customWidth="1"/>
    <col min="12809" max="12809" width="9.140625" style="458"/>
    <col min="12810" max="12810" width="9.28515625" style="458" bestFit="1" customWidth="1"/>
    <col min="12811" max="12811" width="10" style="458" bestFit="1" customWidth="1"/>
    <col min="12812" max="12820" width="9.140625" style="458"/>
    <col min="12821" max="12821" width="12.42578125" style="458" customWidth="1"/>
    <col min="12822" max="12829" width="9.28515625" style="458" bestFit="1" customWidth="1"/>
    <col min="12830" max="12830" width="9.85546875" style="458" bestFit="1" customWidth="1"/>
    <col min="12831" max="12835" width="9.140625" style="458"/>
    <col min="12836" max="12836" width="11" style="458" customWidth="1"/>
    <col min="12837" max="12838" width="11.28515625" style="458" customWidth="1"/>
    <col min="12839" max="12839" width="11.5703125" style="458" customWidth="1"/>
    <col min="12840" max="12840" width="11.28515625" style="458" customWidth="1"/>
    <col min="12841" max="12841" width="11.7109375" style="458" customWidth="1"/>
    <col min="12842" max="12842" width="10.7109375" style="458" customWidth="1"/>
    <col min="12843" max="12843" width="9.5703125" style="458" customWidth="1"/>
    <col min="12844" max="12844" width="10.28515625" style="458" customWidth="1"/>
    <col min="12845" max="13056" width="9.140625" style="458"/>
    <col min="13057" max="13057" width="2.140625" style="458" customWidth="1"/>
    <col min="13058" max="13060" width="9.140625" style="458"/>
    <col min="13061" max="13061" width="11.7109375" style="458" bestFit="1" customWidth="1"/>
    <col min="13062" max="13062" width="9.28515625" style="458" bestFit="1" customWidth="1"/>
    <col min="13063" max="13063" width="9.140625" style="458"/>
    <col min="13064" max="13064" width="9.28515625" style="458" bestFit="1" customWidth="1"/>
    <col min="13065" max="13065" width="9.140625" style="458"/>
    <col min="13066" max="13066" width="9.28515625" style="458" bestFit="1" customWidth="1"/>
    <col min="13067" max="13067" width="10" style="458" bestFit="1" customWidth="1"/>
    <col min="13068" max="13076" width="9.140625" style="458"/>
    <col min="13077" max="13077" width="12.42578125" style="458" customWidth="1"/>
    <col min="13078" max="13085" width="9.28515625" style="458" bestFit="1" customWidth="1"/>
    <col min="13086" max="13086" width="9.85546875" style="458" bestFit="1" customWidth="1"/>
    <col min="13087" max="13091" width="9.140625" style="458"/>
    <col min="13092" max="13092" width="11" style="458" customWidth="1"/>
    <col min="13093" max="13094" width="11.28515625" style="458" customWidth="1"/>
    <col min="13095" max="13095" width="11.5703125" style="458" customWidth="1"/>
    <col min="13096" max="13096" width="11.28515625" style="458" customWidth="1"/>
    <col min="13097" max="13097" width="11.7109375" style="458" customWidth="1"/>
    <col min="13098" max="13098" width="10.7109375" style="458" customWidth="1"/>
    <col min="13099" max="13099" width="9.5703125" style="458" customWidth="1"/>
    <col min="13100" max="13100" width="10.28515625" style="458" customWidth="1"/>
    <col min="13101" max="13312" width="9.140625" style="458"/>
    <col min="13313" max="13313" width="2.140625" style="458" customWidth="1"/>
    <col min="13314" max="13316" width="9.140625" style="458"/>
    <col min="13317" max="13317" width="11.7109375" style="458" bestFit="1" customWidth="1"/>
    <col min="13318" max="13318" width="9.28515625" style="458" bestFit="1" customWidth="1"/>
    <col min="13319" max="13319" width="9.140625" style="458"/>
    <col min="13320" max="13320" width="9.28515625" style="458" bestFit="1" customWidth="1"/>
    <col min="13321" max="13321" width="9.140625" style="458"/>
    <col min="13322" max="13322" width="9.28515625" style="458" bestFit="1" customWidth="1"/>
    <col min="13323" max="13323" width="10" style="458" bestFit="1" customWidth="1"/>
    <col min="13324" max="13332" width="9.140625" style="458"/>
    <col min="13333" max="13333" width="12.42578125" style="458" customWidth="1"/>
    <col min="13334" max="13341" width="9.28515625" style="458" bestFit="1" customWidth="1"/>
    <col min="13342" max="13342" width="9.85546875" style="458" bestFit="1" customWidth="1"/>
    <col min="13343" max="13347" width="9.140625" style="458"/>
    <col min="13348" max="13348" width="11" style="458" customWidth="1"/>
    <col min="13349" max="13350" width="11.28515625" style="458" customWidth="1"/>
    <col min="13351" max="13351" width="11.5703125" style="458" customWidth="1"/>
    <col min="13352" max="13352" width="11.28515625" style="458" customWidth="1"/>
    <col min="13353" max="13353" width="11.7109375" style="458" customWidth="1"/>
    <col min="13354" max="13354" width="10.7109375" style="458" customWidth="1"/>
    <col min="13355" max="13355" width="9.5703125" style="458" customWidth="1"/>
    <col min="13356" max="13356" width="10.28515625" style="458" customWidth="1"/>
    <col min="13357" max="13568" width="9.140625" style="458"/>
    <col min="13569" max="13569" width="2.140625" style="458" customWidth="1"/>
    <col min="13570" max="13572" width="9.140625" style="458"/>
    <col min="13573" max="13573" width="11.7109375" style="458" bestFit="1" customWidth="1"/>
    <col min="13574" max="13574" width="9.28515625" style="458" bestFit="1" customWidth="1"/>
    <col min="13575" max="13575" width="9.140625" style="458"/>
    <col min="13576" max="13576" width="9.28515625" style="458" bestFit="1" customWidth="1"/>
    <col min="13577" max="13577" width="9.140625" style="458"/>
    <col min="13578" max="13578" width="9.28515625" style="458" bestFit="1" customWidth="1"/>
    <col min="13579" max="13579" width="10" style="458" bestFit="1" customWidth="1"/>
    <col min="13580" max="13588" width="9.140625" style="458"/>
    <col min="13589" max="13589" width="12.42578125" style="458" customWidth="1"/>
    <col min="13590" max="13597" width="9.28515625" style="458" bestFit="1" customWidth="1"/>
    <col min="13598" max="13598" width="9.85546875" style="458" bestFit="1" customWidth="1"/>
    <col min="13599" max="13603" width="9.140625" style="458"/>
    <col min="13604" max="13604" width="11" style="458" customWidth="1"/>
    <col min="13605" max="13606" width="11.28515625" style="458" customWidth="1"/>
    <col min="13607" max="13607" width="11.5703125" style="458" customWidth="1"/>
    <col min="13608" max="13608" width="11.28515625" style="458" customWidth="1"/>
    <col min="13609" max="13609" width="11.7109375" style="458" customWidth="1"/>
    <col min="13610" max="13610" width="10.7109375" style="458" customWidth="1"/>
    <col min="13611" max="13611" width="9.5703125" style="458" customWidth="1"/>
    <col min="13612" max="13612" width="10.28515625" style="458" customWidth="1"/>
    <col min="13613" max="13824" width="9.140625" style="458"/>
    <col min="13825" max="13825" width="2.140625" style="458" customWidth="1"/>
    <col min="13826" max="13828" width="9.140625" style="458"/>
    <col min="13829" max="13829" width="11.7109375" style="458" bestFit="1" customWidth="1"/>
    <col min="13830" max="13830" width="9.28515625" style="458" bestFit="1" customWidth="1"/>
    <col min="13831" max="13831" width="9.140625" style="458"/>
    <col min="13832" max="13832" width="9.28515625" style="458" bestFit="1" customWidth="1"/>
    <col min="13833" max="13833" width="9.140625" style="458"/>
    <col min="13834" max="13834" width="9.28515625" style="458" bestFit="1" customWidth="1"/>
    <col min="13835" max="13835" width="10" style="458" bestFit="1" customWidth="1"/>
    <col min="13836" max="13844" width="9.140625" style="458"/>
    <col min="13845" max="13845" width="12.42578125" style="458" customWidth="1"/>
    <col min="13846" max="13853" width="9.28515625" style="458" bestFit="1" customWidth="1"/>
    <col min="13854" max="13854" width="9.85546875" style="458" bestFit="1" customWidth="1"/>
    <col min="13855" max="13859" width="9.140625" style="458"/>
    <col min="13860" max="13860" width="11" style="458" customWidth="1"/>
    <col min="13861" max="13862" width="11.28515625" style="458" customWidth="1"/>
    <col min="13863" max="13863" width="11.5703125" style="458" customWidth="1"/>
    <col min="13864" max="13864" width="11.28515625" style="458" customWidth="1"/>
    <col min="13865" max="13865" width="11.7109375" style="458" customWidth="1"/>
    <col min="13866" max="13866" width="10.7109375" style="458" customWidth="1"/>
    <col min="13867" max="13867" width="9.5703125" style="458" customWidth="1"/>
    <col min="13868" max="13868" width="10.28515625" style="458" customWidth="1"/>
    <col min="13869" max="14080" width="9.140625" style="458"/>
    <col min="14081" max="14081" width="2.140625" style="458" customWidth="1"/>
    <col min="14082" max="14084" width="9.140625" style="458"/>
    <col min="14085" max="14085" width="11.7109375" style="458" bestFit="1" customWidth="1"/>
    <col min="14086" max="14086" width="9.28515625" style="458" bestFit="1" customWidth="1"/>
    <col min="14087" max="14087" width="9.140625" style="458"/>
    <col min="14088" max="14088" width="9.28515625" style="458" bestFit="1" customWidth="1"/>
    <col min="14089" max="14089" width="9.140625" style="458"/>
    <col min="14090" max="14090" width="9.28515625" style="458" bestFit="1" customWidth="1"/>
    <col min="14091" max="14091" width="10" style="458" bestFit="1" customWidth="1"/>
    <col min="14092" max="14100" width="9.140625" style="458"/>
    <col min="14101" max="14101" width="12.42578125" style="458" customWidth="1"/>
    <col min="14102" max="14109" width="9.28515625" style="458" bestFit="1" customWidth="1"/>
    <col min="14110" max="14110" width="9.85546875" style="458" bestFit="1" customWidth="1"/>
    <col min="14111" max="14115" width="9.140625" style="458"/>
    <col min="14116" max="14116" width="11" style="458" customWidth="1"/>
    <col min="14117" max="14118" width="11.28515625" style="458" customWidth="1"/>
    <col min="14119" max="14119" width="11.5703125" style="458" customWidth="1"/>
    <col min="14120" max="14120" width="11.28515625" style="458" customWidth="1"/>
    <col min="14121" max="14121" width="11.7109375" style="458" customWidth="1"/>
    <col min="14122" max="14122" width="10.7109375" style="458" customWidth="1"/>
    <col min="14123" max="14123" width="9.5703125" style="458" customWidth="1"/>
    <col min="14124" max="14124" width="10.28515625" style="458" customWidth="1"/>
    <col min="14125" max="14336" width="9.140625" style="458"/>
    <col min="14337" max="14337" width="2.140625" style="458" customWidth="1"/>
    <col min="14338" max="14340" width="9.140625" style="458"/>
    <col min="14341" max="14341" width="11.7109375" style="458" bestFit="1" customWidth="1"/>
    <col min="14342" max="14342" width="9.28515625" style="458" bestFit="1" customWidth="1"/>
    <col min="14343" max="14343" width="9.140625" style="458"/>
    <col min="14344" max="14344" width="9.28515625" style="458" bestFit="1" customWidth="1"/>
    <col min="14345" max="14345" width="9.140625" style="458"/>
    <col min="14346" max="14346" width="9.28515625" style="458" bestFit="1" customWidth="1"/>
    <col min="14347" max="14347" width="10" style="458" bestFit="1" customWidth="1"/>
    <col min="14348" max="14356" width="9.140625" style="458"/>
    <col min="14357" max="14357" width="12.42578125" style="458" customWidth="1"/>
    <col min="14358" max="14365" width="9.28515625" style="458" bestFit="1" customWidth="1"/>
    <col min="14366" max="14366" width="9.85546875" style="458" bestFit="1" customWidth="1"/>
    <col min="14367" max="14371" width="9.140625" style="458"/>
    <col min="14372" max="14372" width="11" style="458" customWidth="1"/>
    <col min="14373" max="14374" width="11.28515625" style="458" customWidth="1"/>
    <col min="14375" max="14375" width="11.5703125" style="458" customWidth="1"/>
    <col min="14376" max="14376" width="11.28515625" style="458" customWidth="1"/>
    <col min="14377" max="14377" width="11.7109375" style="458" customWidth="1"/>
    <col min="14378" max="14378" width="10.7109375" style="458" customWidth="1"/>
    <col min="14379" max="14379" width="9.5703125" style="458" customWidth="1"/>
    <col min="14380" max="14380" width="10.28515625" style="458" customWidth="1"/>
    <col min="14381" max="14592" width="9.140625" style="458"/>
    <col min="14593" max="14593" width="2.140625" style="458" customWidth="1"/>
    <col min="14594" max="14596" width="9.140625" style="458"/>
    <col min="14597" max="14597" width="11.7109375" style="458" bestFit="1" customWidth="1"/>
    <col min="14598" max="14598" width="9.28515625" style="458" bestFit="1" customWidth="1"/>
    <col min="14599" max="14599" width="9.140625" style="458"/>
    <col min="14600" max="14600" width="9.28515625" style="458" bestFit="1" customWidth="1"/>
    <col min="14601" max="14601" width="9.140625" style="458"/>
    <col min="14602" max="14602" width="9.28515625" style="458" bestFit="1" customWidth="1"/>
    <col min="14603" max="14603" width="10" style="458" bestFit="1" customWidth="1"/>
    <col min="14604" max="14612" width="9.140625" style="458"/>
    <col min="14613" max="14613" width="12.42578125" style="458" customWidth="1"/>
    <col min="14614" max="14621" width="9.28515625" style="458" bestFit="1" customWidth="1"/>
    <col min="14622" max="14622" width="9.85546875" style="458" bestFit="1" customWidth="1"/>
    <col min="14623" max="14627" width="9.140625" style="458"/>
    <col min="14628" max="14628" width="11" style="458" customWidth="1"/>
    <col min="14629" max="14630" width="11.28515625" style="458" customWidth="1"/>
    <col min="14631" max="14631" width="11.5703125" style="458" customWidth="1"/>
    <col min="14632" max="14632" width="11.28515625" style="458" customWidth="1"/>
    <col min="14633" max="14633" width="11.7109375" style="458" customWidth="1"/>
    <col min="14634" max="14634" width="10.7109375" style="458" customWidth="1"/>
    <col min="14635" max="14635" width="9.5703125" style="458" customWidth="1"/>
    <col min="14636" max="14636" width="10.28515625" style="458" customWidth="1"/>
    <col min="14637" max="14848" width="9.140625" style="458"/>
    <col min="14849" max="14849" width="2.140625" style="458" customWidth="1"/>
    <col min="14850" max="14852" width="9.140625" style="458"/>
    <col min="14853" max="14853" width="11.7109375" style="458" bestFit="1" customWidth="1"/>
    <col min="14854" max="14854" width="9.28515625" style="458" bestFit="1" customWidth="1"/>
    <col min="14855" max="14855" width="9.140625" style="458"/>
    <col min="14856" max="14856" width="9.28515625" style="458" bestFit="1" customWidth="1"/>
    <col min="14857" max="14857" width="9.140625" style="458"/>
    <col min="14858" max="14858" width="9.28515625" style="458" bestFit="1" customWidth="1"/>
    <col min="14859" max="14859" width="10" style="458" bestFit="1" customWidth="1"/>
    <col min="14860" max="14868" width="9.140625" style="458"/>
    <col min="14869" max="14869" width="12.42578125" style="458" customWidth="1"/>
    <col min="14870" max="14877" width="9.28515625" style="458" bestFit="1" customWidth="1"/>
    <col min="14878" max="14878" width="9.85546875" style="458" bestFit="1" customWidth="1"/>
    <col min="14879" max="14883" width="9.140625" style="458"/>
    <col min="14884" max="14884" width="11" style="458" customWidth="1"/>
    <col min="14885" max="14886" width="11.28515625" style="458" customWidth="1"/>
    <col min="14887" max="14887" width="11.5703125" style="458" customWidth="1"/>
    <col min="14888" max="14888" width="11.28515625" style="458" customWidth="1"/>
    <col min="14889" max="14889" width="11.7109375" style="458" customWidth="1"/>
    <col min="14890" max="14890" width="10.7109375" style="458" customWidth="1"/>
    <col min="14891" max="14891" width="9.5703125" style="458" customWidth="1"/>
    <col min="14892" max="14892" width="10.28515625" style="458" customWidth="1"/>
    <col min="14893" max="15104" width="9.140625" style="458"/>
    <col min="15105" max="15105" width="2.140625" style="458" customWidth="1"/>
    <col min="15106" max="15108" width="9.140625" style="458"/>
    <col min="15109" max="15109" width="11.7109375" style="458" bestFit="1" customWidth="1"/>
    <col min="15110" max="15110" width="9.28515625" style="458" bestFit="1" customWidth="1"/>
    <col min="15111" max="15111" width="9.140625" style="458"/>
    <col min="15112" max="15112" width="9.28515625" style="458" bestFit="1" customWidth="1"/>
    <col min="15113" max="15113" width="9.140625" style="458"/>
    <col min="15114" max="15114" width="9.28515625" style="458" bestFit="1" customWidth="1"/>
    <col min="15115" max="15115" width="10" style="458" bestFit="1" customWidth="1"/>
    <col min="15116" max="15124" width="9.140625" style="458"/>
    <col min="15125" max="15125" width="12.42578125" style="458" customWidth="1"/>
    <col min="15126" max="15133" width="9.28515625" style="458" bestFit="1" customWidth="1"/>
    <col min="15134" max="15134" width="9.85546875" style="458" bestFit="1" customWidth="1"/>
    <col min="15135" max="15139" width="9.140625" style="458"/>
    <col min="15140" max="15140" width="11" style="458" customWidth="1"/>
    <col min="15141" max="15142" width="11.28515625" style="458" customWidth="1"/>
    <col min="15143" max="15143" width="11.5703125" style="458" customWidth="1"/>
    <col min="15144" max="15144" width="11.28515625" style="458" customWidth="1"/>
    <col min="15145" max="15145" width="11.7109375" style="458" customWidth="1"/>
    <col min="15146" max="15146" width="10.7109375" style="458" customWidth="1"/>
    <col min="15147" max="15147" width="9.5703125" style="458" customWidth="1"/>
    <col min="15148" max="15148" width="10.28515625" style="458" customWidth="1"/>
    <col min="15149" max="15360" width="9.140625" style="458"/>
    <col min="15361" max="15361" width="2.140625" style="458" customWidth="1"/>
    <col min="15362" max="15364" width="9.140625" style="458"/>
    <col min="15365" max="15365" width="11.7109375" style="458" bestFit="1" customWidth="1"/>
    <col min="15366" max="15366" width="9.28515625" style="458" bestFit="1" customWidth="1"/>
    <col min="15367" max="15367" width="9.140625" style="458"/>
    <col min="15368" max="15368" width="9.28515625" style="458" bestFit="1" customWidth="1"/>
    <col min="15369" max="15369" width="9.140625" style="458"/>
    <col min="15370" max="15370" width="9.28515625" style="458" bestFit="1" customWidth="1"/>
    <col min="15371" max="15371" width="10" style="458" bestFit="1" customWidth="1"/>
    <col min="15372" max="15380" width="9.140625" style="458"/>
    <col min="15381" max="15381" width="12.42578125" style="458" customWidth="1"/>
    <col min="15382" max="15389" width="9.28515625" style="458" bestFit="1" customWidth="1"/>
    <col min="15390" max="15390" width="9.85546875" style="458" bestFit="1" customWidth="1"/>
    <col min="15391" max="15395" width="9.140625" style="458"/>
    <col min="15396" max="15396" width="11" style="458" customWidth="1"/>
    <col min="15397" max="15398" width="11.28515625" style="458" customWidth="1"/>
    <col min="15399" max="15399" width="11.5703125" style="458" customWidth="1"/>
    <col min="15400" max="15400" width="11.28515625" style="458" customWidth="1"/>
    <col min="15401" max="15401" width="11.7109375" style="458" customWidth="1"/>
    <col min="15402" max="15402" width="10.7109375" style="458" customWidth="1"/>
    <col min="15403" max="15403" width="9.5703125" style="458" customWidth="1"/>
    <col min="15404" max="15404" width="10.28515625" style="458" customWidth="1"/>
    <col min="15405" max="15616" width="9.140625" style="458"/>
    <col min="15617" max="15617" width="2.140625" style="458" customWidth="1"/>
    <col min="15618" max="15620" width="9.140625" style="458"/>
    <col min="15621" max="15621" width="11.7109375" style="458" bestFit="1" customWidth="1"/>
    <col min="15622" max="15622" width="9.28515625" style="458" bestFit="1" customWidth="1"/>
    <col min="15623" max="15623" width="9.140625" style="458"/>
    <col min="15624" max="15624" width="9.28515625" style="458" bestFit="1" customWidth="1"/>
    <col min="15625" max="15625" width="9.140625" style="458"/>
    <col min="15626" max="15626" width="9.28515625" style="458" bestFit="1" customWidth="1"/>
    <col min="15627" max="15627" width="10" style="458" bestFit="1" customWidth="1"/>
    <col min="15628" max="15636" width="9.140625" style="458"/>
    <col min="15637" max="15637" width="12.42578125" style="458" customWidth="1"/>
    <col min="15638" max="15645" width="9.28515625" style="458" bestFit="1" customWidth="1"/>
    <col min="15646" max="15646" width="9.85546875" style="458" bestFit="1" customWidth="1"/>
    <col min="15647" max="15651" width="9.140625" style="458"/>
    <col min="15652" max="15652" width="11" style="458" customWidth="1"/>
    <col min="15653" max="15654" width="11.28515625" style="458" customWidth="1"/>
    <col min="15655" max="15655" width="11.5703125" style="458" customWidth="1"/>
    <col min="15656" max="15656" width="11.28515625" style="458" customWidth="1"/>
    <col min="15657" max="15657" width="11.7109375" style="458" customWidth="1"/>
    <col min="15658" max="15658" width="10.7109375" style="458" customWidth="1"/>
    <col min="15659" max="15659" width="9.5703125" style="458" customWidth="1"/>
    <col min="15660" max="15660" width="10.28515625" style="458" customWidth="1"/>
    <col min="15661" max="15872" width="9.140625" style="458"/>
    <col min="15873" max="15873" width="2.140625" style="458" customWidth="1"/>
    <col min="15874" max="15876" width="9.140625" style="458"/>
    <col min="15877" max="15877" width="11.7109375" style="458" bestFit="1" customWidth="1"/>
    <col min="15878" max="15878" width="9.28515625" style="458" bestFit="1" customWidth="1"/>
    <col min="15879" max="15879" width="9.140625" style="458"/>
    <col min="15880" max="15880" width="9.28515625" style="458" bestFit="1" customWidth="1"/>
    <col min="15881" max="15881" width="9.140625" style="458"/>
    <col min="15882" max="15882" width="9.28515625" style="458" bestFit="1" customWidth="1"/>
    <col min="15883" max="15883" width="10" style="458" bestFit="1" customWidth="1"/>
    <col min="15884" max="15892" width="9.140625" style="458"/>
    <col min="15893" max="15893" width="12.42578125" style="458" customWidth="1"/>
    <col min="15894" max="15901" width="9.28515625" style="458" bestFit="1" customWidth="1"/>
    <col min="15902" max="15902" width="9.85546875" style="458" bestFit="1" customWidth="1"/>
    <col min="15903" max="15907" width="9.140625" style="458"/>
    <col min="15908" max="15908" width="11" style="458" customWidth="1"/>
    <col min="15909" max="15910" width="11.28515625" style="458" customWidth="1"/>
    <col min="15911" max="15911" width="11.5703125" style="458" customWidth="1"/>
    <col min="15912" max="15912" width="11.28515625" style="458" customWidth="1"/>
    <col min="15913" max="15913" width="11.7109375" style="458" customWidth="1"/>
    <col min="15914" max="15914" width="10.7109375" style="458" customWidth="1"/>
    <col min="15915" max="15915" width="9.5703125" style="458" customWidth="1"/>
    <col min="15916" max="15916" width="10.28515625" style="458" customWidth="1"/>
    <col min="15917" max="16128" width="9.140625" style="458"/>
    <col min="16129" max="16129" width="2.140625" style="458" customWidth="1"/>
    <col min="16130" max="16132" width="9.140625" style="458"/>
    <col min="16133" max="16133" width="11.7109375" style="458" bestFit="1" customWidth="1"/>
    <col min="16134" max="16134" width="9.28515625" style="458" bestFit="1" customWidth="1"/>
    <col min="16135" max="16135" width="9.140625" style="458"/>
    <col min="16136" max="16136" width="9.28515625" style="458" bestFit="1" customWidth="1"/>
    <col min="16137" max="16137" width="9.140625" style="458"/>
    <col min="16138" max="16138" width="9.28515625" style="458" bestFit="1" customWidth="1"/>
    <col min="16139" max="16139" width="10" style="458" bestFit="1" customWidth="1"/>
    <col min="16140" max="16148" width="9.140625" style="458"/>
    <col min="16149" max="16149" width="12.42578125" style="458" customWidth="1"/>
    <col min="16150" max="16157" width="9.28515625" style="458" bestFit="1" customWidth="1"/>
    <col min="16158" max="16158" width="9.85546875" style="458" bestFit="1" customWidth="1"/>
    <col min="16159" max="16163" width="9.140625" style="458"/>
    <col min="16164" max="16164" width="11" style="458" customWidth="1"/>
    <col min="16165" max="16166" width="11.28515625" style="458" customWidth="1"/>
    <col min="16167" max="16167" width="11.5703125" style="458" customWidth="1"/>
    <col min="16168" max="16168" width="11.28515625" style="458" customWidth="1"/>
    <col min="16169" max="16169" width="11.7109375" style="458" customWidth="1"/>
    <col min="16170" max="16170" width="10.7109375" style="458" customWidth="1"/>
    <col min="16171" max="16171" width="9.5703125" style="458" customWidth="1"/>
    <col min="16172" max="16172" width="10.28515625" style="458" customWidth="1"/>
    <col min="16173" max="16384" width="9.140625" style="458"/>
  </cols>
  <sheetData>
    <row r="1" spans="1:62" ht="12.75">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row>
    <row r="2" spans="1:62" ht="12.75">
      <c r="A2" s="457"/>
      <c r="B2" s="457"/>
      <c r="C2" s="457"/>
      <c r="D2" s="457"/>
      <c r="E2" s="457"/>
      <c r="F2" s="457"/>
      <c r="G2" s="457"/>
      <c r="H2" s="457"/>
      <c r="I2" s="457"/>
      <c r="J2" s="457"/>
      <c r="K2" s="459"/>
      <c r="L2" s="459"/>
      <c r="M2" s="459"/>
      <c r="N2" s="459"/>
      <c r="O2" s="459"/>
      <c r="P2" s="459"/>
      <c r="Q2" s="459"/>
      <c r="R2" s="459"/>
      <c r="S2" s="459"/>
      <c r="T2" s="459"/>
      <c r="U2" s="459"/>
      <c r="V2" s="459"/>
      <c r="W2" s="459"/>
      <c r="X2" s="459"/>
      <c r="Y2" s="459"/>
      <c r="Z2" s="459"/>
      <c r="AA2" s="459"/>
      <c r="AB2" s="459"/>
      <c r="AC2" s="459"/>
      <c r="AD2" s="459"/>
      <c r="AE2" s="460" t="s">
        <v>1393</v>
      </c>
      <c r="AF2" s="460" t="s">
        <v>1394</v>
      </c>
      <c r="AG2" s="459"/>
      <c r="AH2" s="459"/>
      <c r="AI2" s="459" t="s">
        <v>1395</v>
      </c>
      <c r="AJ2" s="459"/>
      <c r="AK2" s="459"/>
      <c r="AL2" s="459"/>
      <c r="AM2" s="459"/>
      <c r="AN2" s="459"/>
      <c r="AO2" s="459"/>
      <c r="AP2" s="459"/>
      <c r="AQ2" s="459"/>
      <c r="AR2" s="459"/>
      <c r="AS2" s="457"/>
      <c r="AT2" s="457"/>
      <c r="AU2" s="457"/>
      <c r="AV2" s="457"/>
      <c r="AW2" s="457"/>
      <c r="AX2" s="457"/>
      <c r="AY2" s="457"/>
      <c r="AZ2" s="457"/>
      <c r="BA2" s="457"/>
      <c r="BB2" s="457"/>
      <c r="BC2" s="457"/>
      <c r="BD2" s="457"/>
      <c r="BE2" s="457"/>
      <c r="BF2" s="457"/>
      <c r="BG2" s="457"/>
      <c r="BH2" s="457"/>
      <c r="BI2" s="457"/>
      <c r="BJ2" s="457"/>
    </row>
    <row r="3" spans="1:62" ht="12.75">
      <c r="A3" s="457"/>
      <c r="B3" s="459" t="s">
        <v>2556</v>
      </c>
      <c r="C3" s="457"/>
      <c r="D3" s="457"/>
      <c r="E3" s="457"/>
      <c r="F3" s="457"/>
      <c r="G3" s="457"/>
      <c r="H3" s="457"/>
      <c r="I3" s="457"/>
      <c r="J3" s="1242"/>
      <c r="K3" s="459"/>
      <c r="L3" s="459"/>
      <c r="M3" s="459"/>
      <c r="N3" s="459"/>
      <c r="O3" s="459"/>
      <c r="P3" s="459"/>
      <c r="Q3" s="459"/>
      <c r="R3" s="459"/>
      <c r="S3" s="459"/>
      <c r="T3" s="459"/>
      <c r="U3" s="459"/>
      <c r="V3" s="459"/>
      <c r="W3" s="459"/>
      <c r="X3" s="459"/>
      <c r="Y3" s="459"/>
      <c r="Z3" s="459"/>
      <c r="AA3" s="459"/>
      <c r="AB3" s="459"/>
      <c r="AC3" s="459"/>
      <c r="AD3" s="459"/>
      <c r="AE3" s="460"/>
      <c r="AF3" s="460"/>
      <c r="AG3" s="459"/>
      <c r="AH3" s="459"/>
      <c r="AI3" s="459"/>
      <c r="AJ3" s="459"/>
      <c r="AK3" s="459"/>
      <c r="AL3" s="459"/>
      <c r="AM3" s="459"/>
      <c r="AN3" s="459"/>
      <c r="AO3" s="459"/>
      <c r="AP3" s="459"/>
      <c r="AQ3" s="459"/>
      <c r="AR3" s="459"/>
      <c r="AS3" s="457"/>
      <c r="AT3" s="457"/>
      <c r="AU3" s="457"/>
      <c r="AV3" s="457"/>
      <c r="AW3" s="457"/>
      <c r="AX3" s="457"/>
      <c r="AY3" s="457"/>
      <c r="AZ3" s="457"/>
      <c r="BA3" s="457"/>
      <c r="BB3" s="457"/>
      <c r="BC3" s="457"/>
      <c r="BD3" s="457"/>
      <c r="BE3" s="457"/>
      <c r="BF3" s="457"/>
      <c r="BG3" s="457"/>
      <c r="BH3" s="457"/>
      <c r="BI3" s="457"/>
      <c r="BJ3" s="457"/>
    </row>
    <row r="4" spans="1:62" ht="12.75">
      <c r="A4" s="457"/>
      <c r="B4" s="461"/>
      <c r="C4" s="459"/>
      <c r="D4" s="459"/>
      <c r="E4" s="462"/>
      <c r="F4" s="459"/>
      <c r="G4" s="463"/>
      <c r="H4" s="459"/>
      <c r="I4" s="459"/>
      <c r="J4" s="459"/>
      <c r="K4" s="459"/>
      <c r="L4" s="459"/>
      <c r="M4" s="459"/>
      <c r="N4" s="459" t="s">
        <v>1397</v>
      </c>
      <c r="O4" s="459"/>
      <c r="P4" s="459"/>
      <c r="Q4" s="459"/>
      <c r="R4" s="459"/>
      <c r="S4" s="459"/>
      <c r="T4" s="459"/>
      <c r="U4" s="460" t="s">
        <v>1398</v>
      </c>
      <c r="V4" s="460" t="s">
        <v>1399</v>
      </c>
      <c r="W4" s="460" t="s">
        <v>1400</v>
      </c>
      <c r="X4" s="460" t="s">
        <v>1401</v>
      </c>
      <c r="Y4" s="460" t="s">
        <v>1402</v>
      </c>
      <c r="Z4" s="459"/>
      <c r="AA4" s="460" t="s">
        <v>1403</v>
      </c>
      <c r="AB4" s="459" t="s">
        <v>1404</v>
      </c>
      <c r="AC4" s="460" t="s">
        <v>1405</v>
      </c>
      <c r="AD4" s="460" t="s">
        <v>565</v>
      </c>
      <c r="AE4" s="460" t="s">
        <v>1406</v>
      </c>
      <c r="AF4" s="459"/>
      <c r="AG4" s="459"/>
      <c r="AH4" s="459"/>
      <c r="AI4" s="459" t="s">
        <v>1407</v>
      </c>
      <c r="AJ4" s="459"/>
      <c r="AK4" s="459"/>
      <c r="AL4" s="459"/>
      <c r="AM4" s="459"/>
      <c r="AN4" s="459"/>
      <c r="AO4" s="459"/>
      <c r="AP4" s="459"/>
      <c r="AQ4" s="459"/>
      <c r="AR4" s="459"/>
      <c r="AS4" s="457"/>
      <c r="AT4" s="457"/>
      <c r="AU4" s="457"/>
      <c r="AV4" s="457"/>
      <c r="AW4" s="457"/>
      <c r="AX4" s="457"/>
      <c r="AY4" s="457"/>
      <c r="AZ4" s="457"/>
      <c r="BA4" s="457"/>
      <c r="BB4" s="457"/>
      <c r="BC4" s="457"/>
      <c r="BD4" s="457"/>
      <c r="BE4" s="457"/>
      <c r="BF4" s="457"/>
      <c r="BG4" s="457"/>
      <c r="BH4" s="457"/>
      <c r="BI4" s="457"/>
      <c r="BJ4" s="457"/>
    </row>
    <row r="5" spans="1:62" ht="12.75">
      <c r="A5" s="457"/>
      <c r="B5" s="464" t="s">
        <v>1408</v>
      </c>
      <c r="C5" s="464" t="s">
        <v>1409</v>
      </c>
      <c r="D5" s="459"/>
      <c r="E5" s="462">
        <f>E7+E6</f>
        <v>68025.492444916556</v>
      </c>
      <c r="F5" s="464" t="s">
        <v>1410</v>
      </c>
      <c r="G5" s="459"/>
      <c r="H5" s="459"/>
      <c r="I5" s="459"/>
      <c r="J5" s="464"/>
      <c r="K5" s="459"/>
      <c r="L5" s="465"/>
      <c r="M5" s="459"/>
      <c r="N5" s="464" t="s">
        <v>1411</v>
      </c>
      <c r="O5" s="459"/>
      <c r="P5" s="459"/>
      <c r="Q5" s="464" t="s">
        <v>1412</v>
      </c>
      <c r="R5" s="459"/>
      <c r="S5" s="459"/>
      <c r="T5" s="459"/>
      <c r="U5" s="466">
        <f>$E$8*1.25</f>
        <v>81837.023451034562</v>
      </c>
      <c r="V5" s="467">
        <f>100*(+U5/$E$9)</f>
        <v>1222.6845903201524</v>
      </c>
      <c r="W5" s="468">
        <f>EXP(5.7226-(0.68367*LN(+V5)))</f>
        <v>2.3691324417508346</v>
      </c>
      <c r="X5" s="468">
        <f>(+W5*V5)/100</f>
        <v>28.967017289563014</v>
      </c>
      <c r="Y5" s="467">
        <f>100*((((X5/100)-((X5/100)-0.03574)*$E$21)-0.03574-0.00619)/0.344)</f>
        <v>46.919742474161595</v>
      </c>
      <c r="Z5" s="459">
        <f>$E$20</f>
        <v>0.25</v>
      </c>
      <c r="AA5" s="467">
        <f>Y5+Z5</f>
        <v>47.169742474161595</v>
      </c>
      <c r="AB5" s="467">
        <f>100*($E$17*$E$19+($E$18*(AA5/100))/(1-$E$21))</f>
        <v>43.899781937976037</v>
      </c>
      <c r="AC5" s="468">
        <f>AB5/V5</f>
        <v>3.590442071939514E-2</v>
      </c>
      <c r="AD5" s="466">
        <f>$E$8/(1-AC5)</f>
        <v>67907.809316665676</v>
      </c>
      <c r="AE5" s="459" t="str">
        <f>IF(AD5=$U$5,"yes","not yet")</f>
        <v>not yet</v>
      </c>
      <c r="AF5" s="467">
        <f>100*(1-AC5)</f>
        <v>96.40955792806048</v>
      </c>
      <c r="AG5" s="459"/>
      <c r="AH5" s="459"/>
      <c r="AI5" s="459">
        <v>0</v>
      </c>
      <c r="AJ5" s="459">
        <v>1</v>
      </c>
      <c r="AK5" s="459"/>
      <c r="AL5" s="459"/>
      <c r="AM5" s="459"/>
      <c r="AN5" s="459"/>
      <c r="AO5" s="459"/>
      <c r="AP5" s="459"/>
      <c r="AQ5" s="459"/>
      <c r="AR5" s="459"/>
      <c r="AS5" s="457"/>
      <c r="AT5" s="457"/>
      <c r="AU5" s="457"/>
      <c r="AV5" s="457"/>
      <c r="AW5" s="457"/>
      <c r="AX5" s="457"/>
      <c r="AY5" s="457"/>
      <c r="AZ5" s="457"/>
      <c r="BA5" s="457"/>
      <c r="BB5" s="457"/>
      <c r="BC5" s="457"/>
      <c r="BD5" s="457"/>
      <c r="BE5" s="457"/>
      <c r="BF5" s="457"/>
      <c r="BG5" s="457"/>
      <c r="BH5" s="457"/>
      <c r="BI5" s="457"/>
      <c r="BJ5" s="457"/>
    </row>
    <row r="6" spans="1:62" ht="12.75">
      <c r="A6" s="457"/>
      <c r="B6" s="464" t="s">
        <v>1408</v>
      </c>
      <c r="C6" s="464" t="s">
        <v>1413</v>
      </c>
      <c r="D6" s="459"/>
      <c r="E6" s="462">
        <f>(+E8-((H15/100)*E7))/H25</f>
        <v>-3819.4462810303694</v>
      </c>
      <c r="F6" s="469" t="s">
        <v>1410</v>
      </c>
      <c r="G6" s="459"/>
      <c r="H6" s="459"/>
      <c r="I6" s="459"/>
      <c r="J6" s="470">
        <f>E6/E7</f>
        <v>-5.3162356997751466E-2</v>
      </c>
      <c r="K6" s="459" t="s">
        <v>1414</v>
      </c>
      <c r="L6" s="465"/>
      <c r="M6" s="459"/>
      <c r="N6" s="464" t="s">
        <v>1415</v>
      </c>
      <c r="O6" s="459"/>
      <c r="P6" s="459"/>
      <c r="Q6" s="464" t="s">
        <v>1416</v>
      </c>
      <c r="R6" s="459"/>
      <c r="S6" s="459"/>
      <c r="T6" s="459"/>
      <c r="U6" s="466">
        <f>$E$8*1.25</f>
        <v>81837.023451034562</v>
      </c>
      <c r="V6" s="467">
        <f>100*(+U6/$E$9)</f>
        <v>1222.6845903201524</v>
      </c>
      <c r="W6" s="468">
        <f>EXP(5.70827-(0.68367*LN(+V6)))</f>
        <v>2.3354248654605003</v>
      </c>
      <c r="X6" s="468">
        <f>(+W6*V6)/100</f>
        <v>28.55487994849069</v>
      </c>
      <c r="Y6" s="467">
        <f>100*((((X6/100)-((X6/100)-0.03574)*$E$21)-0.03574-0.00619)/0.344)</f>
        <v>46.129013854662375</v>
      </c>
      <c r="Z6" s="459">
        <f>$E$20</f>
        <v>0.25</v>
      </c>
      <c r="AA6" s="467">
        <f>Y6+Z6</f>
        <v>46.379013854662375</v>
      </c>
      <c r="AB6" s="467">
        <f>100*($E$17*$E$19+($E$18*(AA6/100))/(1-$E$21))</f>
        <v>43.180937738431297</v>
      </c>
      <c r="AC6" s="468">
        <f>AB6/V6</f>
        <v>3.5316497877121877E-2</v>
      </c>
      <c r="AD6" s="466">
        <f>$E$8/(1-AC6)</f>
        <v>67866.423149930008</v>
      </c>
      <c r="AE6" s="459" t="str">
        <f>IF(AD6=$U$6,"yes","not yet")</f>
        <v>not yet</v>
      </c>
      <c r="AF6" s="467">
        <f>100*(1-AC6)</f>
        <v>96.468350212287817</v>
      </c>
      <c r="AG6" s="459"/>
      <c r="AH6" s="459"/>
      <c r="AI6" s="459">
        <v>50</v>
      </c>
      <c r="AJ6" s="459">
        <v>2</v>
      </c>
      <c r="AK6" s="459"/>
      <c r="AL6" s="459"/>
      <c r="AM6" s="459"/>
      <c r="AN6" s="459"/>
      <c r="AO6" s="459"/>
      <c r="AP6" s="459"/>
      <c r="AQ6" s="459"/>
      <c r="AR6" s="459"/>
      <c r="AS6" s="457"/>
      <c r="AT6" s="457"/>
      <c r="AU6" s="457"/>
      <c r="AV6" s="457"/>
      <c r="AW6" s="457"/>
      <c r="AX6" s="457"/>
      <c r="AY6" s="457"/>
      <c r="AZ6" s="457"/>
      <c r="BA6" s="457"/>
      <c r="BB6" s="457"/>
      <c r="BC6" s="457"/>
      <c r="BD6" s="457"/>
      <c r="BE6" s="457"/>
      <c r="BF6" s="457"/>
      <c r="BG6" s="457"/>
      <c r="BH6" s="457"/>
      <c r="BI6" s="457"/>
      <c r="BJ6" s="457"/>
    </row>
    <row r="7" spans="1:62" ht="12.75">
      <c r="A7" s="457"/>
      <c r="B7" s="471" t="s">
        <v>550</v>
      </c>
      <c r="C7" s="464" t="s">
        <v>105</v>
      </c>
      <c r="D7" s="471" t="s">
        <v>1417</v>
      </c>
      <c r="E7" s="462">
        <f>+'Yakima Consolidated IS'!R20</f>
        <v>71844.938725946922</v>
      </c>
      <c r="F7" s="464" t="s">
        <v>1418</v>
      </c>
      <c r="G7" s="459"/>
      <c r="H7" s="459"/>
      <c r="I7" s="459"/>
      <c r="J7" s="464"/>
      <c r="K7" s="459"/>
      <c r="L7" s="465"/>
      <c r="M7" s="459"/>
      <c r="N7" s="464" t="s">
        <v>1419</v>
      </c>
      <c r="O7" s="459"/>
      <c r="P7" s="459"/>
      <c r="Q7" s="464" t="s">
        <v>1420</v>
      </c>
      <c r="R7" s="459"/>
      <c r="S7" s="459"/>
      <c r="T7" s="459"/>
      <c r="U7" s="466">
        <f>$E$8*1.25</f>
        <v>81837.023451034562</v>
      </c>
      <c r="V7" s="467">
        <f>100*(+U7/$E$9)</f>
        <v>1222.6845903201524</v>
      </c>
      <c r="W7" s="468">
        <f>EXP(5.6985-(0.68367*LN(V7)))</f>
        <v>2.3127188639548275</v>
      </c>
      <c r="X7" s="468">
        <f>(+W7*V7)/100</f>
        <v>28.277257167002968</v>
      </c>
      <c r="Y7" s="467">
        <f>100*((((X7/100)-((X7/100)-0.03574)*$E$21)-0.03574-0.00619)/0.344)</f>
        <v>45.596365494831268</v>
      </c>
      <c r="Z7" s="459">
        <f>$E$20</f>
        <v>0.25</v>
      </c>
      <c r="AA7" s="467">
        <f>Y7+Z7</f>
        <v>45.846365494831268</v>
      </c>
      <c r="AB7" s="467">
        <f>100*($E$17*$E$19+($E$18*(AA7/100))/(1-$E$21))</f>
        <v>42.696711956766656</v>
      </c>
      <c r="AC7" s="468">
        <f>AB7/V7</f>
        <v>3.4920462967139208E-2</v>
      </c>
      <c r="AD7" s="466">
        <f>$E$8/(1-AC7)</f>
        <v>67838.573141975576</v>
      </c>
      <c r="AE7" s="459" t="str">
        <f>IF(AD7=$U$7,"yes","not yet")</f>
        <v>not yet</v>
      </c>
      <c r="AF7" s="467">
        <f>100*(1-AC7)</f>
        <v>96.507953703286077</v>
      </c>
      <c r="AG7" s="459"/>
      <c r="AH7" s="459"/>
      <c r="AI7" s="459">
        <v>125</v>
      </c>
      <c r="AJ7" s="459">
        <v>3</v>
      </c>
      <c r="AK7" s="459"/>
      <c r="AL7" s="459"/>
      <c r="AM7" s="459"/>
      <c r="AN7" s="459"/>
      <c r="AO7" s="459"/>
      <c r="AP7" s="459"/>
      <c r="AQ7" s="459"/>
      <c r="AR7" s="459"/>
      <c r="AS7" s="457"/>
      <c r="AT7" s="457"/>
      <c r="AU7" s="457"/>
      <c r="AV7" s="457"/>
      <c r="AW7" s="457"/>
      <c r="AX7" s="457"/>
      <c r="AY7" s="457"/>
      <c r="AZ7" s="457"/>
      <c r="BA7" s="457"/>
      <c r="BB7" s="457"/>
      <c r="BC7" s="457"/>
      <c r="BD7" s="457"/>
      <c r="BE7" s="457"/>
      <c r="BF7" s="457"/>
      <c r="BG7" s="457"/>
      <c r="BH7" s="457"/>
      <c r="BI7" s="457"/>
      <c r="BJ7" s="457"/>
    </row>
    <row r="8" spans="1:62" ht="12.75">
      <c r="A8" s="457"/>
      <c r="B8" s="471" t="s">
        <v>550</v>
      </c>
      <c r="C8" s="464" t="s">
        <v>1421</v>
      </c>
      <c r="D8" s="471" t="s">
        <v>1417</v>
      </c>
      <c r="E8" s="462">
        <f>+'Yakima Consolidated IS'!R276</f>
        <v>65469.618760827652</v>
      </c>
      <c r="F8" s="464" t="s">
        <v>1418</v>
      </c>
      <c r="G8" s="459"/>
      <c r="H8" s="459"/>
      <c r="I8" s="459"/>
      <c r="J8" s="470"/>
      <c r="K8" s="472"/>
      <c r="L8" s="465"/>
      <c r="M8" s="459"/>
      <c r="N8" s="464" t="s">
        <v>1422</v>
      </c>
      <c r="O8" s="459"/>
      <c r="P8" s="459"/>
      <c r="Q8" s="464" t="s">
        <v>1423</v>
      </c>
      <c r="R8" s="459"/>
      <c r="S8" s="459"/>
      <c r="T8" s="459"/>
      <c r="U8" s="466">
        <f>$E$8*1.25</f>
        <v>81837.023451034562</v>
      </c>
      <c r="V8" s="467">
        <f>100*(+U8/$E$9)</f>
        <v>1222.6845903201524</v>
      </c>
      <c r="W8" s="468">
        <f>EXP(5.6922-(0.68367*LN(V8)))</f>
        <v>2.298194534787974</v>
      </c>
      <c r="X8" s="468">
        <f>(+W8*V8)/100</f>
        <v>28.099670432432472</v>
      </c>
      <c r="Y8" s="467">
        <f>100*((((X8/100)-((X8/100)-0.03574)*$E$21)-0.03574-0.00619)/0.344)</f>
        <v>45.255646759899513</v>
      </c>
      <c r="Z8" s="459">
        <f>$E$20</f>
        <v>0.25</v>
      </c>
      <c r="AA8" s="467">
        <f>Y8+Z8</f>
        <v>45.505646759899513</v>
      </c>
      <c r="AB8" s="467">
        <f>100*($E$17*$E$19+($E$18*(AA8/100))/(1-$E$21))</f>
        <v>42.386967652283239</v>
      </c>
      <c r="AC8" s="468">
        <f>AB8/V8</f>
        <v>3.466713164446153E-2</v>
      </c>
      <c r="AD8" s="466">
        <f>$E$8/(1-AC8)</f>
        <v>67820.770334233312</v>
      </c>
      <c r="AE8" s="459" t="str">
        <f>IF(AD8=$U$8,"yes","not yet")</f>
        <v>not yet</v>
      </c>
      <c r="AF8" s="467">
        <f>100*(1-AC8)</f>
        <v>96.533286835553838</v>
      </c>
      <c r="AG8" s="459"/>
      <c r="AH8" s="459"/>
      <c r="AI8" s="459">
        <v>401</v>
      </c>
      <c r="AJ8" s="459">
        <v>4</v>
      </c>
      <c r="AK8" s="459"/>
      <c r="AL8" s="459"/>
      <c r="AM8" s="459"/>
      <c r="AN8" s="459"/>
      <c r="AO8" s="459"/>
      <c r="AP8" s="459"/>
      <c r="AQ8" s="459"/>
      <c r="AR8" s="459"/>
      <c r="AS8" s="457"/>
      <c r="AT8" s="457"/>
      <c r="AU8" s="457"/>
      <c r="AV8" s="457"/>
      <c r="AW8" s="457"/>
      <c r="AX8" s="457"/>
      <c r="AY8" s="457"/>
      <c r="AZ8" s="457"/>
      <c r="BA8" s="457"/>
      <c r="BB8" s="457"/>
      <c r="BC8" s="457"/>
      <c r="BD8" s="457"/>
      <c r="BE8" s="457"/>
      <c r="BF8" s="457"/>
      <c r="BG8" s="457"/>
      <c r="BH8" s="457"/>
      <c r="BI8" s="457"/>
      <c r="BJ8" s="457"/>
    </row>
    <row r="9" spans="1:62" ht="12.75">
      <c r="A9" s="457"/>
      <c r="B9" s="471" t="s">
        <v>550</v>
      </c>
      <c r="C9" s="464" t="s">
        <v>1424</v>
      </c>
      <c r="D9" s="459"/>
      <c r="E9" s="462">
        <f>+'Yakima Consolidated IS'!R282</f>
        <v>6693.2244095434326</v>
      </c>
      <c r="F9" s="464" t="s">
        <v>1418</v>
      </c>
      <c r="G9" s="459"/>
      <c r="H9" s="459"/>
      <c r="I9" s="459"/>
      <c r="J9" s="464"/>
      <c r="K9" s="459"/>
      <c r="L9" s="465"/>
      <c r="M9" s="459"/>
      <c r="N9" s="459"/>
      <c r="O9" s="459"/>
      <c r="P9" s="459"/>
      <c r="Q9" s="459"/>
      <c r="R9" s="459"/>
      <c r="S9" s="459"/>
      <c r="T9" s="459"/>
      <c r="U9" s="459"/>
      <c r="V9" s="459"/>
      <c r="W9" s="459"/>
      <c r="X9" s="459"/>
      <c r="Y9" s="459"/>
      <c r="Z9" s="459"/>
      <c r="AA9" s="467"/>
      <c r="AB9" s="459"/>
      <c r="AC9" s="459"/>
      <c r="AD9" s="459"/>
      <c r="AE9" s="459"/>
      <c r="AF9" s="459"/>
      <c r="AG9" s="459"/>
      <c r="AH9" s="459"/>
      <c r="AI9" s="459"/>
      <c r="AJ9" s="459"/>
      <c r="AK9" s="459"/>
      <c r="AL9" s="459"/>
      <c r="AM9" s="459"/>
      <c r="AN9" s="459"/>
      <c r="AO9" s="459"/>
      <c r="AP9" s="459"/>
      <c r="AQ9" s="459"/>
      <c r="AR9" s="459"/>
      <c r="AS9" s="457"/>
      <c r="AT9" s="457"/>
      <c r="AU9" s="457"/>
      <c r="AV9" s="457"/>
      <c r="AW9" s="457"/>
      <c r="AX9" s="457"/>
      <c r="AY9" s="457"/>
      <c r="AZ9" s="457"/>
      <c r="BA9" s="457"/>
      <c r="BB9" s="457"/>
      <c r="BC9" s="457"/>
      <c r="BD9" s="457"/>
      <c r="BE9" s="457"/>
      <c r="BF9" s="457"/>
      <c r="BG9" s="457"/>
      <c r="BH9" s="457"/>
      <c r="BI9" s="457"/>
      <c r="BJ9" s="457"/>
    </row>
    <row r="10" spans="1:62" ht="12.75">
      <c r="A10" s="457"/>
      <c r="B10" s="461"/>
      <c r="C10" s="464" t="s">
        <v>1425</v>
      </c>
      <c r="D10" s="459"/>
      <c r="E10" s="467">
        <f>V5</f>
        <v>1222.6845903201524</v>
      </c>
      <c r="F10" s="464" t="s">
        <v>1426</v>
      </c>
      <c r="G10" s="459"/>
      <c r="H10" s="467"/>
      <c r="I10" s="467"/>
      <c r="J10" s="461"/>
      <c r="K10" s="463"/>
      <c r="L10" s="459"/>
      <c r="M10" s="459"/>
      <c r="N10" s="459"/>
      <c r="O10" s="459"/>
      <c r="P10" s="459"/>
      <c r="Q10" s="459"/>
      <c r="R10" s="459"/>
      <c r="S10" s="459"/>
      <c r="T10" s="459"/>
      <c r="U10" s="459"/>
      <c r="V10" s="473" t="s">
        <v>1427</v>
      </c>
      <c r="W10" s="473" t="s">
        <v>1400</v>
      </c>
      <c r="X10" s="473" t="s">
        <v>1401</v>
      </c>
      <c r="Y10" s="473" t="s">
        <v>1402</v>
      </c>
      <c r="Z10" s="459"/>
      <c r="AA10" s="467"/>
      <c r="AB10" s="459"/>
      <c r="AC10" s="459"/>
      <c r="AD10" s="459"/>
      <c r="AE10" s="459"/>
      <c r="AF10" s="459"/>
      <c r="AG10" s="459"/>
      <c r="AH10" s="459"/>
      <c r="AI10" s="459" t="s">
        <v>1428</v>
      </c>
      <c r="AJ10" s="459"/>
      <c r="AK10" s="459"/>
      <c r="AL10" s="459"/>
      <c r="AM10" s="459"/>
      <c r="AN10" s="459"/>
      <c r="AO10" s="459"/>
      <c r="AP10" s="459"/>
      <c r="AQ10" s="459"/>
      <c r="AR10" s="459"/>
      <c r="AS10" s="457"/>
      <c r="AT10" s="457"/>
      <c r="AU10" s="457"/>
      <c r="AV10" s="457"/>
      <c r="AW10" s="457"/>
      <c r="AX10" s="457"/>
      <c r="AY10" s="457"/>
      <c r="AZ10" s="457"/>
      <c r="BA10" s="457"/>
      <c r="BB10" s="457"/>
      <c r="BC10" s="457"/>
      <c r="BD10" s="457"/>
      <c r="BE10" s="457"/>
      <c r="BF10" s="457"/>
      <c r="BG10" s="457"/>
      <c r="BH10" s="457"/>
      <c r="BI10" s="457"/>
      <c r="BJ10" s="457"/>
    </row>
    <row r="11" spans="1:62" ht="12.75">
      <c r="A11" s="457"/>
      <c r="B11" s="461"/>
      <c r="C11" s="464" t="s">
        <v>1429</v>
      </c>
      <c r="D11" s="459"/>
      <c r="E11" s="467">
        <f>HLOOKUP($AJ$34,$AJ$28:$AR$32,($E$12)+1)</f>
        <v>1017.7755268875981</v>
      </c>
      <c r="F11" s="464" t="s">
        <v>1426</v>
      </c>
      <c r="G11" s="459"/>
      <c r="H11" s="459"/>
      <c r="I11" s="459"/>
      <c r="J11" s="471"/>
      <c r="K11" s="462"/>
      <c r="L11" s="459"/>
      <c r="M11" s="459"/>
      <c r="N11" s="459"/>
      <c r="O11" s="459"/>
      <c r="P11" s="459"/>
      <c r="Q11" s="459"/>
      <c r="R11" s="459"/>
      <c r="S11" s="459"/>
      <c r="T11" s="459"/>
      <c r="U11" s="459"/>
      <c r="V11" s="467">
        <f>100*(+AD5/$E$9)</f>
        <v>1014.5754148006805</v>
      </c>
      <c r="W11" s="474">
        <f>EXP(5.7226-(0.68367*LN(+V11)))</f>
        <v>2.6914554234655528</v>
      </c>
      <c r="X11" s="468">
        <f>(+W11*V11)/100</f>
        <v>27.306845026801042</v>
      </c>
      <c r="Y11" s="467">
        <f>100*((((X11/100)-((X11/100)-0.03574)*$E$21)-0.03574-0.00619)/0.344)</f>
        <v>43.734528249095021</v>
      </c>
      <c r="Z11" s="459">
        <f>$E$20</f>
        <v>0.25</v>
      </c>
      <c r="AA11" s="467">
        <f>Y11+Z11</f>
        <v>43.984528249095021</v>
      </c>
      <c r="AB11" s="467">
        <f>100*($E$17*$E$19+($E$18*(AA11/100))/(1-$E$21))</f>
        <v>41.004132642460974</v>
      </c>
      <c r="AC11" s="468">
        <f>AB11/V11</f>
        <v>4.041506628712907E-2</v>
      </c>
      <c r="AD11" s="466">
        <f>$E$8/(1-AC11)</f>
        <v>68227.018224962681</v>
      </c>
      <c r="AE11" s="459" t="str">
        <f>IF(AD11=AD5,"yes","not yet")</f>
        <v>not yet</v>
      </c>
      <c r="AF11" s="467">
        <f>100*(1-AC11)</f>
        <v>95.958493371287091</v>
      </c>
      <c r="AG11" s="459"/>
      <c r="AH11" s="459"/>
      <c r="AI11" s="459"/>
      <c r="AJ11" s="459"/>
      <c r="AK11" s="459"/>
      <c r="AL11" s="459"/>
      <c r="AM11" s="459"/>
      <c r="AN11" s="459"/>
      <c r="AO11" s="459"/>
      <c r="AP11" s="459"/>
      <c r="AQ11" s="459"/>
      <c r="AR11" s="459"/>
      <c r="AS11" s="457"/>
      <c r="AT11" s="457"/>
      <c r="AU11" s="457"/>
      <c r="AV11" s="457"/>
      <c r="AW11" s="457"/>
      <c r="AX11" s="457"/>
      <c r="AY11" s="457"/>
      <c r="AZ11" s="457"/>
      <c r="BA11" s="457"/>
      <c r="BB11" s="457"/>
      <c r="BC11" s="457"/>
      <c r="BD11" s="457"/>
      <c r="BE11" s="457"/>
      <c r="BF11" s="457"/>
      <c r="BG11" s="457"/>
      <c r="BH11" s="457"/>
      <c r="BI11" s="457"/>
      <c r="BJ11" s="457"/>
    </row>
    <row r="12" spans="1:62" ht="12.75">
      <c r="A12" s="457"/>
      <c r="B12" s="461"/>
      <c r="C12" s="464" t="s">
        <v>1430</v>
      </c>
      <c r="D12" s="459"/>
      <c r="E12" s="459">
        <f>VLOOKUP(E10,AI5:AJ8,2)</f>
        <v>4</v>
      </c>
      <c r="F12" s="464" t="s">
        <v>1426</v>
      </c>
      <c r="G12" s="459"/>
      <c r="H12" s="459"/>
      <c r="I12" s="459"/>
      <c r="J12" s="471"/>
      <c r="K12" s="462"/>
      <c r="L12" s="459"/>
      <c r="M12" s="459"/>
      <c r="N12" s="459"/>
      <c r="O12" s="459"/>
      <c r="P12" s="459"/>
      <c r="Q12" s="459"/>
      <c r="R12" s="459"/>
      <c r="S12" s="459"/>
      <c r="T12" s="459"/>
      <c r="U12" s="459"/>
      <c r="V12" s="467">
        <f>100*(+AD6/$E$9)</f>
        <v>1013.9570855141761</v>
      </c>
      <c r="W12" s="474">
        <f>EXP(5.70827-(0.68367*LN(+V12)))</f>
        <v>2.6542679300738783</v>
      </c>
      <c r="X12" s="468">
        <f>(+W12*V12)/100</f>
        <v>26.913137745514547</v>
      </c>
      <c r="Y12" s="467">
        <f>100*((((X12/100)-((X12/100)-0.03574)*$E$21)-0.03574-0.00619)/0.344)</f>
        <v>42.979159628022103</v>
      </c>
      <c r="Z12" s="459">
        <f>$E$20</f>
        <v>0.25</v>
      </c>
      <c r="AA12" s="467">
        <f>Y12+Z12</f>
        <v>43.229159628022103</v>
      </c>
      <c r="AB12" s="467">
        <f>100*($E$17*$E$19+($E$18*(AA12/100))/(1-$E$21))</f>
        <v>40.317433896031041</v>
      </c>
      <c r="AC12" s="468">
        <f>AB12/V12</f>
        <v>3.9762465761148197E-2</v>
      </c>
      <c r="AD12" s="466">
        <f>$E$8/(1-AC12)</f>
        <v>68180.649502233035</v>
      </c>
      <c r="AE12" s="459" t="str">
        <f>IF(AD12=AD6,"yes","not yet")</f>
        <v>not yet</v>
      </c>
      <c r="AF12" s="467">
        <f>100*(1-AC12)</f>
        <v>96.023753423885182</v>
      </c>
      <c r="AG12" s="459"/>
      <c r="AH12" s="459"/>
      <c r="AI12" s="459"/>
      <c r="AJ12" s="459"/>
      <c r="AK12" s="459"/>
      <c r="AL12" s="459"/>
      <c r="AM12" s="459"/>
      <c r="AN12" s="459"/>
      <c r="AO12" s="459"/>
      <c r="AP12" s="459"/>
      <c r="AQ12" s="459"/>
      <c r="AR12" s="459"/>
      <c r="AS12" s="457"/>
      <c r="AT12" s="457"/>
      <c r="AU12" s="457"/>
      <c r="AV12" s="457"/>
      <c r="AW12" s="457"/>
      <c r="AX12" s="457"/>
      <c r="AY12" s="457"/>
      <c r="AZ12" s="457"/>
      <c r="BA12" s="457"/>
      <c r="BB12" s="457"/>
      <c r="BC12" s="457"/>
      <c r="BD12" s="457"/>
      <c r="BE12" s="457"/>
      <c r="BF12" s="457"/>
      <c r="BG12" s="457"/>
      <c r="BH12" s="457"/>
      <c r="BI12" s="457"/>
      <c r="BJ12" s="457"/>
    </row>
    <row r="13" spans="1:62" ht="12.75">
      <c r="A13" s="457"/>
      <c r="B13" s="461"/>
      <c r="C13" s="459"/>
      <c r="D13" s="459"/>
      <c r="E13" s="459"/>
      <c r="F13" s="459"/>
      <c r="G13" s="459"/>
      <c r="H13" s="459"/>
      <c r="I13" s="459"/>
      <c r="J13" s="496"/>
      <c r="K13" s="497"/>
      <c r="L13" s="493"/>
      <c r="M13" s="459"/>
      <c r="N13" s="459"/>
      <c r="O13" s="459"/>
      <c r="P13" s="459"/>
      <c r="Q13" s="459"/>
      <c r="R13" s="459"/>
      <c r="S13" s="459"/>
      <c r="T13" s="459"/>
      <c r="U13" s="459"/>
      <c r="V13" s="467">
        <f>100*(+AD7/$E$9)</f>
        <v>1013.5409929666929</v>
      </c>
      <c r="W13" s="474">
        <f>EXP(5.6985-(0.68367*LN(V13)))</f>
        <v>2.6291996807251059</v>
      </c>
      <c r="X13" s="468">
        <f>(+W13*V13)/100</f>
        <v>26.648016551098358</v>
      </c>
      <c r="Y13" s="467">
        <f>100*((((X13/100)-((X13/100)-0.03574)*$E$21)-0.03574-0.00619)/0.344)</f>
        <v>42.470496871293371</v>
      </c>
      <c r="Z13" s="459">
        <f>$E$20</f>
        <v>0.25</v>
      </c>
      <c r="AA13" s="467">
        <f>Y13+Z13</f>
        <v>42.720496871293371</v>
      </c>
      <c r="AB13" s="467">
        <f>100*($E$17*$E$19+($E$18*(AA13/100))/(1-$E$21))</f>
        <v>39.855013208095833</v>
      </c>
      <c r="AC13" s="468">
        <f>AB13/V13</f>
        <v>3.9322546877396558E-2</v>
      </c>
      <c r="AD13" s="466">
        <f>$E$8/(1-AC13)</f>
        <v>68149.427831395456</v>
      </c>
      <c r="AE13" s="459" t="str">
        <f>IF(AD13=AD7,"yes","not yet")</f>
        <v>not yet</v>
      </c>
      <c r="AF13" s="467">
        <f>100*(1-AC13)</f>
        <v>96.067745312260342</v>
      </c>
      <c r="AG13" s="459"/>
      <c r="AH13" s="459"/>
      <c r="AI13" s="459"/>
      <c r="AJ13" s="459">
        <v>1</v>
      </c>
      <c r="AK13" s="459">
        <v>2</v>
      </c>
      <c r="AL13" s="459">
        <v>3</v>
      </c>
      <c r="AM13" s="459">
        <v>4</v>
      </c>
      <c r="AN13" s="459">
        <v>5</v>
      </c>
      <c r="AO13" s="459">
        <v>6</v>
      </c>
      <c r="AP13" s="459">
        <v>7</v>
      </c>
      <c r="AQ13" s="459">
        <v>8</v>
      </c>
      <c r="AR13" s="459">
        <v>9</v>
      </c>
      <c r="AS13" s="457"/>
      <c r="AT13" s="457"/>
      <c r="AU13" s="457"/>
      <c r="AV13" s="457"/>
      <c r="AW13" s="457"/>
      <c r="AX13" s="457"/>
      <c r="AY13" s="457"/>
      <c r="AZ13" s="457"/>
      <c r="BA13" s="457"/>
      <c r="BB13" s="457"/>
      <c r="BC13" s="457"/>
      <c r="BD13" s="457"/>
      <c r="BE13" s="457"/>
      <c r="BF13" s="457"/>
      <c r="BG13" s="457"/>
      <c r="BH13" s="457"/>
      <c r="BI13" s="457"/>
      <c r="BJ13" s="457"/>
    </row>
    <row r="14" spans="1:62" ht="12.75">
      <c r="A14" s="457"/>
      <c r="B14" s="461"/>
      <c r="C14" s="464" t="s">
        <v>1431</v>
      </c>
      <c r="D14" s="459"/>
      <c r="E14" s="459"/>
      <c r="F14" s="459"/>
      <c r="G14" s="459"/>
      <c r="H14" s="459"/>
      <c r="I14" s="459"/>
      <c r="J14" s="461"/>
      <c r="K14" s="462"/>
      <c r="L14" s="459"/>
      <c r="M14" s="459"/>
      <c r="N14" s="459"/>
      <c r="O14" s="459"/>
      <c r="P14" s="459"/>
      <c r="Q14" s="459"/>
      <c r="R14" s="459"/>
      <c r="S14" s="459"/>
      <c r="T14" s="459"/>
      <c r="U14" s="459"/>
      <c r="V14" s="467">
        <f>100*(+AD8/$E$9)</f>
        <v>1013.2750104349122</v>
      </c>
      <c r="W14" s="474">
        <f>EXP(5.6922-(0.68367*LN(V14)))</f>
        <v>2.6131566483049697</v>
      </c>
      <c r="X14" s="468">
        <f>(+W14*V14)/100</f>
        <v>26.478463300792786</v>
      </c>
      <c r="Y14" s="467">
        <f>100*((((X14/100)-((X14/100)-0.03574)*$E$21)-0.03574-0.00619)/0.344)</f>
        <v>42.145191216637322</v>
      </c>
      <c r="Z14" s="459">
        <f>$E$20</f>
        <v>0.25</v>
      </c>
      <c r="AA14" s="467">
        <f>Y14+Z14</f>
        <v>42.395191216637322</v>
      </c>
      <c r="AB14" s="467">
        <f>100*($E$17*$E$19+($E$18*(AA14/100))/(1-$E$21))</f>
        <v>39.55928079477215</v>
      </c>
      <c r="AC14" s="468">
        <f>AB14/V14</f>
        <v>3.9041010966798378E-2</v>
      </c>
      <c r="AD14" s="466">
        <f>$E$8/(1-AC14)</f>
        <v>68129.461827184845</v>
      </c>
      <c r="AE14" s="459" t="str">
        <f>IF(AD14=AD8,"yes","not yet")</f>
        <v>not yet</v>
      </c>
      <c r="AF14" s="467">
        <f>100*(1-AC14)</f>
        <v>96.095898903320162</v>
      </c>
      <c r="AG14" s="459"/>
      <c r="AH14" s="459"/>
      <c r="AI14" s="459"/>
      <c r="AJ14" s="459" t="str">
        <f>AE5</f>
        <v>not yet</v>
      </c>
      <c r="AK14" s="459" t="str">
        <f>AE11</f>
        <v>not yet</v>
      </c>
      <c r="AL14" s="459" t="str">
        <f>AE17</f>
        <v>not yet</v>
      </c>
      <c r="AM14" s="459" t="str">
        <f>AE23</f>
        <v>not yet</v>
      </c>
      <c r="AN14" s="459" t="str">
        <f>AE29</f>
        <v>not yet</v>
      </c>
      <c r="AO14" s="459" t="str">
        <f>AE35</f>
        <v>not yet</v>
      </c>
      <c r="AP14" s="459" t="str">
        <f>AE41</f>
        <v>yes</v>
      </c>
      <c r="AQ14" s="459" t="str">
        <f>AE47</f>
        <v>yes</v>
      </c>
      <c r="AR14" s="459" t="str">
        <f>AE53</f>
        <v>yes</v>
      </c>
      <c r="AS14" s="457"/>
      <c r="AT14" s="457"/>
      <c r="AU14" s="457"/>
      <c r="AV14" s="457"/>
      <c r="AW14" s="457"/>
      <c r="AX14" s="457"/>
      <c r="AY14" s="457"/>
      <c r="AZ14" s="457"/>
      <c r="BA14" s="457"/>
      <c r="BB14" s="457"/>
      <c r="BC14" s="457"/>
      <c r="BD14" s="457"/>
      <c r="BE14" s="457"/>
      <c r="BF14" s="457"/>
      <c r="BG14" s="457"/>
      <c r="BH14" s="457"/>
      <c r="BI14" s="457"/>
      <c r="BJ14" s="457"/>
    </row>
    <row r="15" spans="1:62" ht="14.25">
      <c r="A15" s="457"/>
      <c r="B15" s="461"/>
      <c r="C15" s="464" t="s">
        <v>1432</v>
      </c>
      <c r="D15" s="459"/>
      <c r="E15" s="471" t="s">
        <v>1408</v>
      </c>
      <c r="F15" s="464" t="s">
        <v>1433</v>
      </c>
      <c r="G15" s="459"/>
      <c r="H15" s="467">
        <f>HLOOKUP($AJ$25,$AJ$19:$AR$23,($E$12)+1)</f>
        <v>96.106796737845642</v>
      </c>
      <c r="I15" s="464" t="s">
        <v>1410</v>
      </c>
      <c r="J15" s="457"/>
      <c r="K15" s="475"/>
      <c r="L15" s="459"/>
      <c r="M15" s="459"/>
      <c r="N15" s="459"/>
      <c r="O15" s="459"/>
      <c r="P15" s="459"/>
      <c r="Q15" s="459"/>
      <c r="R15" s="459"/>
      <c r="S15" s="459"/>
      <c r="T15" s="459"/>
      <c r="U15" s="459"/>
      <c r="V15" s="459"/>
      <c r="W15" s="459"/>
      <c r="X15" s="459"/>
      <c r="Y15" s="459"/>
      <c r="Z15" s="459"/>
      <c r="AA15" s="467"/>
      <c r="AB15" s="459"/>
      <c r="AC15" s="459"/>
      <c r="AD15" s="459"/>
      <c r="AE15" s="459"/>
      <c r="AF15" s="459"/>
      <c r="AG15" s="459"/>
      <c r="AH15" s="459"/>
      <c r="AI15" s="459"/>
      <c r="AJ15" s="459" t="str">
        <f>AE6</f>
        <v>not yet</v>
      </c>
      <c r="AK15" s="459" t="str">
        <f>AE12</f>
        <v>not yet</v>
      </c>
      <c r="AL15" s="459" t="str">
        <f>AE18</f>
        <v>not yet</v>
      </c>
      <c r="AM15" s="459" t="str">
        <f>AE24</f>
        <v>not yet</v>
      </c>
      <c r="AN15" s="459" t="str">
        <f>AE30</f>
        <v>not yet</v>
      </c>
      <c r="AO15" s="459" t="str">
        <f>AE36</f>
        <v>not yet</v>
      </c>
      <c r="AP15" s="459" t="str">
        <f>AE42</f>
        <v>yes</v>
      </c>
      <c r="AQ15" s="459" t="str">
        <f>AE48</f>
        <v>yes</v>
      </c>
      <c r="AR15" s="459" t="str">
        <f>AE54</f>
        <v>yes</v>
      </c>
      <c r="AS15" s="457"/>
      <c r="AT15" s="457"/>
      <c r="AU15" s="457"/>
      <c r="AV15" s="457"/>
      <c r="AW15" s="457"/>
      <c r="AX15" s="457"/>
      <c r="AY15" s="457"/>
      <c r="AZ15" s="457"/>
      <c r="BA15" s="457"/>
      <c r="BB15" s="457"/>
      <c r="BC15" s="457"/>
      <c r="BD15" s="457"/>
      <c r="BE15" s="457"/>
      <c r="BF15" s="457"/>
      <c r="BG15" s="457"/>
      <c r="BH15" s="457"/>
      <c r="BI15" s="457"/>
      <c r="BJ15" s="457"/>
    </row>
    <row r="16" spans="1:62" ht="14.25">
      <c r="A16" s="457"/>
      <c r="B16" s="461"/>
      <c r="C16" s="476"/>
      <c r="D16" s="476"/>
      <c r="E16" s="477"/>
      <c r="F16" s="459"/>
      <c r="G16" s="459"/>
      <c r="H16" s="476"/>
      <c r="I16" s="461"/>
      <c r="J16" s="457"/>
      <c r="L16" s="478"/>
      <c r="M16" s="478"/>
      <c r="N16" s="478"/>
      <c r="O16" s="459"/>
      <c r="P16" s="459"/>
      <c r="Q16" s="459"/>
      <c r="R16" s="459"/>
      <c r="S16" s="459"/>
      <c r="T16" s="459"/>
      <c r="U16" s="459"/>
      <c r="V16" s="464" t="s">
        <v>1434</v>
      </c>
      <c r="W16" s="473" t="s">
        <v>1400</v>
      </c>
      <c r="X16" s="473" t="s">
        <v>1401</v>
      </c>
      <c r="Y16" s="473" t="s">
        <v>1402</v>
      </c>
      <c r="Z16" s="459"/>
      <c r="AA16" s="467"/>
      <c r="AB16" s="459"/>
      <c r="AC16" s="459"/>
      <c r="AD16" s="459"/>
      <c r="AE16" s="459"/>
      <c r="AF16" s="459"/>
      <c r="AG16" s="459"/>
      <c r="AH16" s="459"/>
      <c r="AI16" s="459"/>
      <c r="AJ16" s="459" t="str">
        <f>AE7</f>
        <v>not yet</v>
      </c>
      <c r="AK16" s="459" t="str">
        <f>AE13</f>
        <v>not yet</v>
      </c>
      <c r="AL16" s="459" t="str">
        <f>AE19</f>
        <v>not yet</v>
      </c>
      <c r="AM16" s="459" t="str">
        <f>AE25</f>
        <v>not yet</v>
      </c>
      <c r="AN16" s="459" t="str">
        <f>AE31</f>
        <v>not yet</v>
      </c>
      <c r="AO16" s="459" t="str">
        <f>AE37</f>
        <v>not yet</v>
      </c>
      <c r="AP16" s="459" t="str">
        <f>AE43</f>
        <v>yes</v>
      </c>
      <c r="AQ16" s="459" t="str">
        <f>AE49</f>
        <v>yes</v>
      </c>
      <c r="AR16" s="459" t="str">
        <f>AE55</f>
        <v>yes</v>
      </c>
      <c r="AS16" s="457"/>
      <c r="AT16" s="457"/>
      <c r="AU16" s="457"/>
      <c r="AV16" s="457"/>
      <c r="AW16" s="457"/>
      <c r="AX16" s="457"/>
      <c r="AY16" s="457"/>
      <c r="AZ16" s="457"/>
      <c r="BA16" s="457"/>
      <c r="BB16" s="457"/>
      <c r="BC16" s="457"/>
      <c r="BD16" s="457"/>
      <c r="BE16" s="457"/>
      <c r="BF16" s="457"/>
      <c r="BG16" s="457"/>
      <c r="BH16" s="457"/>
      <c r="BI16" s="457"/>
      <c r="BJ16" s="457"/>
    </row>
    <row r="17" spans="1:62" ht="12.75">
      <c r="A17" s="457"/>
      <c r="B17" s="471" t="s">
        <v>550</v>
      </c>
      <c r="C17" s="464" t="s">
        <v>1435</v>
      </c>
      <c r="D17" s="459"/>
      <c r="E17" s="465">
        <f>'WCI BS'!E67</f>
        <v>0.4</v>
      </c>
      <c r="F17" s="464" t="s">
        <v>1436</v>
      </c>
      <c r="G17" s="459"/>
      <c r="H17" s="459"/>
      <c r="I17" s="461"/>
      <c r="J17" s="457"/>
      <c r="K17" s="459"/>
      <c r="L17" s="479"/>
      <c r="M17" s="479"/>
      <c r="N17" s="480"/>
      <c r="O17" s="481"/>
      <c r="P17" s="459"/>
      <c r="Q17" s="459"/>
      <c r="R17" s="459"/>
      <c r="S17" s="459"/>
      <c r="T17" s="459"/>
      <c r="U17" s="459"/>
      <c r="V17" s="467">
        <f>100*(+AD11/$E$9)</f>
        <v>1019.3445498059534</v>
      </c>
      <c r="W17" s="474">
        <f>EXP(5.7226-(0.68367*LN(+V17)))</f>
        <v>2.682840047307808</v>
      </c>
      <c r="X17" s="468">
        <f>(+W17*V17)/100</f>
        <v>27.347383802243602</v>
      </c>
      <c r="Y17" s="467">
        <f>100*((((X17/100)-((X17/100)-0.03574)*$E$21)-0.03574-0.00619)/0.344)</f>
        <v>43.812306132211567</v>
      </c>
      <c r="Z17" s="459">
        <f>$E$20</f>
        <v>0.25</v>
      </c>
      <c r="AA17" s="467">
        <f>Y17+Z17</f>
        <v>44.062306132211567</v>
      </c>
      <c r="AB17" s="467">
        <f>100*($E$17*$E$19+($E$18*(AA17/100))/(1-$E$21))</f>
        <v>41.074839808930555</v>
      </c>
      <c r="AC17" s="468">
        <f>AB17/V17</f>
        <v>4.0295344510106745E-2</v>
      </c>
      <c r="AD17" s="466">
        <f>$E$8/(1-AC17)</f>
        <v>68218.507002456783</v>
      </c>
      <c r="AE17" s="459" t="str">
        <f>IF(AD17=AD11,"yes","not yet")</f>
        <v>not yet</v>
      </c>
      <c r="AF17" s="467">
        <f>100*(1-AC17)</f>
        <v>95.970465548989324</v>
      </c>
      <c r="AG17" s="459"/>
      <c r="AH17" s="459"/>
      <c r="AI17" s="459"/>
      <c r="AJ17" s="459" t="str">
        <f>AE8</f>
        <v>not yet</v>
      </c>
      <c r="AK17" s="459" t="str">
        <f>AE14</f>
        <v>not yet</v>
      </c>
      <c r="AL17" s="459" t="str">
        <f>AE20</f>
        <v>not yet</v>
      </c>
      <c r="AM17" s="459" t="str">
        <f>AE26</f>
        <v>not yet</v>
      </c>
      <c r="AN17" s="459" t="str">
        <f>AE32</f>
        <v>not yet</v>
      </c>
      <c r="AO17" s="459" t="str">
        <f>AE38</f>
        <v>not yet</v>
      </c>
      <c r="AP17" s="459" t="str">
        <f>AE44</f>
        <v>yes</v>
      </c>
      <c r="AQ17" s="459" t="str">
        <f>AE50</f>
        <v>yes</v>
      </c>
      <c r="AR17" s="459" t="str">
        <f>AE56</f>
        <v>yes</v>
      </c>
      <c r="AS17" s="457"/>
      <c r="AT17" s="457"/>
      <c r="AU17" s="457"/>
      <c r="AV17" s="457"/>
      <c r="AW17" s="457"/>
      <c r="AX17" s="457"/>
      <c r="AY17" s="457"/>
      <c r="AZ17" s="457"/>
      <c r="BA17" s="457"/>
      <c r="BB17" s="457"/>
      <c r="BC17" s="457"/>
      <c r="BD17" s="457"/>
      <c r="BE17" s="457"/>
      <c r="BF17" s="457"/>
      <c r="BG17" s="457"/>
      <c r="BH17" s="457"/>
      <c r="BI17" s="457"/>
      <c r="BJ17" s="457"/>
    </row>
    <row r="18" spans="1:62" ht="12.75">
      <c r="A18" s="457"/>
      <c r="B18" s="471" t="s">
        <v>550</v>
      </c>
      <c r="C18" s="464" t="s">
        <v>1437</v>
      </c>
      <c r="D18" s="459"/>
      <c r="E18" s="465">
        <f>'WCI BS'!E68</f>
        <v>0.6</v>
      </c>
      <c r="F18" s="464" t="s">
        <v>1438</v>
      </c>
      <c r="G18" s="459"/>
      <c r="H18" s="465">
        <v>1.4999999999999999E-2</v>
      </c>
      <c r="I18" s="464" t="s">
        <v>550</v>
      </c>
      <c r="J18" s="457"/>
      <c r="K18" s="459"/>
      <c r="L18" s="479"/>
      <c r="M18" s="479"/>
      <c r="N18" s="480"/>
      <c r="O18" s="481"/>
      <c r="P18" s="459"/>
      <c r="Q18" s="459"/>
      <c r="R18" s="459"/>
      <c r="S18" s="459"/>
      <c r="T18" s="459"/>
      <c r="U18" s="459"/>
      <c r="V18" s="467">
        <f>100*(+AD12/$E$9)</f>
        <v>1018.6517787304231</v>
      </c>
      <c r="W18" s="474">
        <f>EXP(5.70827-(0.68367*LN(+V18)))</f>
        <v>2.6458986162378291</v>
      </c>
      <c r="X18" s="468">
        <f>(+W18*V18)/100</f>
        <v>26.952493317710296</v>
      </c>
      <c r="Y18" s="467">
        <f>100*((((X18/100)-((X18/100)-0.03574)*$E$21)-0.03574-0.00619)/0.344)</f>
        <v>43.05466741188603</v>
      </c>
      <c r="Z18" s="459">
        <f>$E$20</f>
        <v>0.25</v>
      </c>
      <c r="AA18" s="467">
        <f>Y18+Z18</f>
        <v>43.30466741188603</v>
      </c>
      <c r="AB18" s="467">
        <f>100*($E$17*$E$19+($E$18*(AA18/100))/(1-$E$21))</f>
        <v>40.386077335907338</v>
      </c>
      <c r="AC18" s="468">
        <f>AB18/V18</f>
        <v>3.9646597766944208E-2</v>
      </c>
      <c r="AD18" s="466">
        <f>$E$8/(1-AC18)</f>
        <v>68172.423410584932</v>
      </c>
      <c r="AE18" s="459" t="str">
        <f>IF(AD18=AD12,"yes","not yet")</f>
        <v>not yet</v>
      </c>
      <c r="AF18" s="467">
        <f>100*(1-AC18)</f>
        <v>96.035340223305582</v>
      </c>
      <c r="AG18" s="459"/>
      <c r="AH18" s="459"/>
      <c r="AI18" s="459"/>
      <c r="AJ18" s="459"/>
      <c r="AK18" s="459"/>
      <c r="AL18" s="459"/>
      <c r="AM18" s="459"/>
      <c r="AN18" s="459"/>
      <c r="AO18" s="459"/>
      <c r="AP18" s="459"/>
      <c r="AQ18" s="459"/>
      <c r="AR18" s="459"/>
      <c r="AS18" s="457"/>
      <c r="AT18" s="457"/>
      <c r="AU18" s="457"/>
      <c r="AV18" s="457"/>
      <c r="AW18" s="457"/>
      <c r="AX18" s="457"/>
      <c r="AY18" s="457"/>
      <c r="AZ18" s="457"/>
      <c r="BA18" s="457"/>
      <c r="BB18" s="457"/>
      <c r="BC18" s="457"/>
      <c r="BD18" s="457"/>
      <c r="BE18" s="457"/>
      <c r="BF18" s="457"/>
      <c r="BG18" s="457"/>
      <c r="BH18" s="457"/>
      <c r="BI18" s="457"/>
      <c r="BJ18" s="457"/>
    </row>
    <row r="19" spans="1:62" ht="12.75">
      <c r="A19" s="457"/>
      <c r="B19" s="471" t="s">
        <v>550</v>
      </c>
      <c r="C19" s="464" t="s">
        <v>1439</v>
      </c>
      <c r="D19" s="459"/>
      <c r="E19" s="465">
        <f>'WCI BS'!C76</f>
        <v>2.5454946763910118E-2</v>
      </c>
      <c r="F19" s="464" t="s">
        <v>1440</v>
      </c>
      <c r="G19" s="459"/>
      <c r="H19" s="1284">
        <v>5.1000000000000004E-3</v>
      </c>
      <c r="I19" s="464" t="s">
        <v>550</v>
      </c>
      <c r="J19" s="457"/>
      <c r="K19" s="459"/>
      <c r="L19" s="479"/>
      <c r="M19" s="459"/>
      <c r="N19" s="480"/>
      <c r="O19" s="482"/>
      <c r="P19" s="459"/>
      <c r="Q19" s="459"/>
      <c r="R19" s="459"/>
      <c r="S19" s="459"/>
      <c r="T19" s="459"/>
      <c r="U19" s="459"/>
      <c r="V19" s="467">
        <f>100*(+AD13/$E$9)</f>
        <v>1018.1853119137262</v>
      </c>
      <c r="W19" s="474">
        <f>EXP(5.6985-(0.68367*LN(V19)))</f>
        <v>2.6209946702469478</v>
      </c>
      <c r="X19" s="468">
        <f>(+W19*V19)/100</f>
        <v>26.686582758496023</v>
      </c>
      <c r="Y19" s="467">
        <f>100*((((X19/100)-((X19/100)-0.03574)*$E$21)-0.03574-0.00619)/0.344)</f>
        <v>42.544490176184233</v>
      </c>
      <c r="Z19" s="459">
        <f>$E$20</f>
        <v>0.25</v>
      </c>
      <c r="AA19" s="467">
        <f>Y19+Z19</f>
        <v>42.794490176184233</v>
      </c>
      <c r="AB19" s="467">
        <f>100*($E$17*$E$19+($E$18*(AA19/100))/(1-$E$21))</f>
        <v>39.92227984890571</v>
      </c>
      <c r="AC19" s="468">
        <f>AB19/V19</f>
        <v>3.9209247454051313E-2</v>
      </c>
      <c r="AD19" s="466">
        <f>$E$8/(1-AC19)</f>
        <v>68141.391439648185</v>
      </c>
      <c r="AE19" s="459" t="str">
        <f>IF(AD19=AD13,"yes","not yet")</f>
        <v>not yet</v>
      </c>
      <c r="AF19" s="467">
        <f>100*(1-AC19)</f>
        <v>96.079075254594869</v>
      </c>
      <c r="AG19" s="459"/>
      <c r="AH19" s="459"/>
      <c r="AI19" s="459"/>
      <c r="AJ19" s="459" t="str">
        <f>HLOOKUP(1,$AJ$13:$AR$17,($E$12)+1)</f>
        <v>not yet</v>
      </c>
      <c r="AK19" s="459" t="str">
        <f>HLOOKUP(2,$AJ$13:$AR$17,($E$12)+1)</f>
        <v>not yet</v>
      </c>
      <c r="AL19" s="459" t="str">
        <f>HLOOKUP(3,$AJ$13:$AR$17,($E$12)+1)</f>
        <v>not yet</v>
      </c>
      <c r="AM19" s="459" t="str">
        <f>HLOOKUP(4,$AJ$13:$AR$17,($E$12)+1)</f>
        <v>not yet</v>
      </c>
      <c r="AN19" s="459" t="str">
        <f>HLOOKUP(5,$AJ$13:$AR$17,($E$12)+1)</f>
        <v>not yet</v>
      </c>
      <c r="AO19" s="459" t="str">
        <f>HLOOKUP(6,$AJ$13:$AR$17,($E$12)+1)</f>
        <v>not yet</v>
      </c>
      <c r="AP19" s="459" t="str">
        <f>HLOOKUP(7,$AJ$13:$AR$17,($E$12)+1)</f>
        <v>yes</v>
      </c>
      <c r="AQ19" s="459" t="str">
        <f>HLOOKUP(8,$AJ$13:$AR$17,($E$12)+1)</f>
        <v>yes</v>
      </c>
      <c r="AR19" s="459" t="str">
        <f>HLOOKUP(9,$AJ$13:$AR$17,($E$12)+1)</f>
        <v>yes</v>
      </c>
      <c r="AS19" s="457"/>
      <c r="AT19" s="457"/>
      <c r="AU19" s="457"/>
      <c r="AV19" s="457"/>
      <c r="AW19" s="457"/>
      <c r="AX19" s="457"/>
      <c r="AY19" s="457"/>
      <c r="AZ19" s="457"/>
      <c r="BA19" s="457"/>
      <c r="BB19" s="457"/>
      <c r="BC19" s="457"/>
      <c r="BD19" s="457"/>
      <c r="BE19" s="457"/>
      <c r="BF19" s="457"/>
      <c r="BG19" s="457"/>
      <c r="BH19" s="457"/>
      <c r="BI19" s="457"/>
      <c r="BJ19" s="457"/>
    </row>
    <row r="20" spans="1:62" ht="12.75">
      <c r="A20" s="457"/>
      <c r="B20" s="471" t="s">
        <v>550</v>
      </c>
      <c r="C20" s="464" t="s">
        <v>1441</v>
      </c>
      <c r="D20" s="459"/>
      <c r="E20" s="483">
        <v>0.25</v>
      </c>
      <c r="F20" s="464" t="s">
        <v>1442</v>
      </c>
      <c r="G20" s="459"/>
      <c r="H20" s="465"/>
      <c r="I20" s="464" t="s">
        <v>550</v>
      </c>
      <c r="J20" s="457"/>
      <c r="K20" s="459"/>
      <c r="L20" s="459"/>
      <c r="M20" s="459"/>
      <c r="N20" s="459"/>
      <c r="O20" s="484"/>
      <c r="P20" s="459"/>
      <c r="Q20" s="459"/>
      <c r="R20" s="459"/>
      <c r="S20" s="459"/>
      <c r="T20" s="459"/>
      <c r="U20" s="459"/>
      <c r="V20" s="467">
        <f>100*(+AD14/$E$9)</f>
        <v>1017.8870101836641</v>
      </c>
      <c r="W20" s="474">
        <f>EXP(5.6922-(0.68367*LN(V20)))</f>
        <v>2.6050561187430068</v>
      </c>
      <c r="X20" s="468">
        <f>(+W20*V20)/100</f>
        <v>26.516527840679792</v>
      </c>
      <c r="Y20" s="467">
        <f>100*((((X20/100)-((X20/100)-0.03574)*$E$21)-0.03574-0.00619)/0.344)</f>
        <v>42.218222019908907</v>
      </c>
      <c r="Z20" s="459">
        <f>$E$20</f>
        <v>0.25</v>
      </c>
      <c r="AA20" s="467">
        <f>Y20+Z20</f>
        <v>42.468222019908907</v>
      </c>
      <c r="AB20" s="467">
        <f>100*($E$17*$E$19+($E$18*(AA20/100))/(1-$E$21))</f>
        <v>39.625672434109958</v>
      </c>
      <c r="AC20" s="468">
        <f>AB20/V20</f>
        <v>3.892934288154442E-2</v>
      </c>
      <c r="AD20" s="466">
        <f>$E$8/(1-AC20)</f>
        <v>68121.545773879843</v>
      </c>
      <c r="AE20" s="459" t="str">
        <f>IF(AD20=AD14,"yes","not yet")</f>
        <v>not yet</v>
      </c>
      <c r="AF20" s="467">
        <f>100*(1-AC20)</f>
        <v>96.107065711845564</v>
      </c>
      <c r="AG20" s="459"/>
      <c r="AH20" s="459"/>
      <c r="AI20" s="459">
        <v>1</v>
      </c>
      <c r="AJ20" s="467">
        <f>AF5</f>
        <v>96.40955792806048</v>
      </c>
      <c r="AK20" s="467">
        <f>AF11</f>
        <v>95.958493371287091</v>
      </c>
      <c r="AL20" s="467">
        <f>AF17</f>
        <v>95.970465548989324</v>
      </c>
      <c r="AM20" s="467">
        <f>AF23</f>
        <v>95.970147494595679</v>
      </c>
      <c r="AN20" s="467">
        <f>AF29</f>
        <v>95.970155943865436</v>
      </c>
      <c r="AO20" s="467">
        <f>AF35</f>
        <v>95.970155719406321</v>
      </c>
      <c r="AP20" s="467">
        <f>AF41</f>
        <v>95.970165919070681</v>
      </c>
      <c r="AQ20" s="467">
        <f>AF47</f>
        <v>95.970165919070681</v>
      </c>
      <c r="AR20" s="467">
        <f>AF53</f>
        <v>95.970165919070681</v>
      </c>
      <c r="AS20" s="457"/>
      <c r="AT20" s="457"/>
      <c r="AU20" s="457"/>
      <c r="AV20" s="457"/>
      <c r="AW20" s="457"/>
      <c r="AX20" s="457"/>
      <c r="AY20" s="457"/>
      <c r="AZ20" s="457"/>
      <c r="BA20" s="457"/>
      <c r="BB20" s="457"/>
      <c r="BC20" s="457"/>
      <c r="BD20" s="457"/>
      <c r="BE20" s="457"/>
      <c r="BF20" s="457"/>
      <c r="BG20" s="457"/>
      <c r="BH20" s="457"/>
      <c r="BI20" s="457"/>
      <c r="BJ20" s="457"/>
    </row>
    <row r="21" spans="1:62" ht="12.75">
      <c r="A21" s="457"/>
      <c r="B21" s="471" t="s">
        <v>550</v>
      </c>
      <c r="C21" s="464" t="s">
        <v>1443</v>
      </c>
      <c r="D21" s="459"/>
      <c r="E21" s="483">
        <v>0.34</v>
      </c>
      <c r="F21" s="464" t="s">
        <v>1444</v>
      </c>
      <c r="G21" s="459"/>
      <c r="H21" s="465">
        <f>'Restating Adj''s'!E118</f>
        <v>4.1173865181838021E-3</v>
      </c>
      <c r="I21" s="464" t="s">
        <v>550</v>
      </c>
      <c r="J21" s="457"/>
      <c r="K21" s="459"/>
      <c r="L21" s="459"/>
      <c r="M21" s="459"/>
      <c r="N21" s="459"/>
      <c r="O21" s="459"/>
      <c r="P21" s="459"/>
      <c r="Q21" s="459"/>
      <c r="R21" s="459"/>
      <c r="S21" s="459"/>
      <c r="T21" s="459"/>
      <c r="U21" s="459"/>
      <c r="V21" s="459"/>
      <c r="W21" s="459"/>
      <c r="X21" s="459"/>
      <c r="Y21" s="459"/>
      <c r="Z21" s="459"/>
      <c r="AA21" s="467"/>
      <c r="AB21" s="459"/>
      <c r="AC21" s="459"/>
      <c r="AD21" s="459"/>
      <c r="AE21" s="459"/>
      <c r="AF21" s="459"/>
      <c r="AG21" s="459"/>
      <c r="AH21" s="459"/>
      <c r="AI21" s="459">
        <v>2</v>
      </c>
      <c r="AJ21" s="467">
        <f>AF6</f>
        <v>96.468350212287817</v>
      </c>
      <c r="AK21" s="467">
        <f>AF12</f>
        <v>96.023753423885182</v>
      </c>
      <c r="AL21" s="467">
        <f>AF18</f>
        <v>96.035340223305582</v>
      </c>
      <c r="AM21" s="467">
        <f>AF24</f>
        <v>96.035037984519235</v>
      </c>
      <c r="AN21" s="467">
        <f>AF30</f>
        <v>96.035045868158377</v>
      </c>
      <c r="AO21" s="467">
        <f>AF36</f>
        <v>96.03504566252029</v>
      </c>
      <c r="AP21" s="467">
        <f>AF42</f>
        <v>96.035059171171511</v>
      </c>
      <c r="AQ21" s="467">
        <f>AF48</f>
        <v>96.035059171171511</v>
      </c>
      <c r="AR21" s="467">
        <f>AF54</f>
        <v>96.035059171171511</v>
      </c>
      <c r="AS21" s="457"/>
      <c r="AT21" s="457"/>
      <c r="AU21" s="457"/>
      <c r="AV21" s="457"/>
      <c r="AW21" s="457"/>
      <c r="AX21" s="457"/>
      <c r="AY21" s="457"/>
      <c r="AZ21" s="457"/>
      <c r="BA21" s="457"/>
      <c r="BB21" s="457"/>
      <c r="BC21" s="457"/>
      <c r="BD21" s="457"/>
      <c r="BE21" s="457"/>
      <c r="BF21" s="457"/>
      <c r="BG21" s="457"/>
      <c r="BH21" s="457"/>
      <c r="BI21" s="457"/>
      <c r="BJ21" s="457"/>
    </row>
    <row r="22" spans="1:62" ht="12.75">
      <c r="A22" s="457"/>
      <c r="B22" s="461"/>
      <c r="C22" s="459"/>
      <c r="D22" s="459"/>
      <c r="E22" s="459"/>
      <c r="F22" s="459"/>
      <c r="G22" s="459"/>
      <c r="H22" s="476"/>
      <c r="I22" s="476"/>
      <c r="J22" s="461"/>
      <c r="K22" s="459"/>
      <c r="L22" s="459"/>
      <c r="M22" s="459"/>
      <c r="N22" s="459"/>
      <c r="O22" s="459"/>
      <c r="P22" s="459"/>
      <c r="Q22" s="459"/>
      <c r="R22" s="459"/>
      <c r="S22" s="459"/>
      <c r="T22" s="459"/>
      <c r="U22" s="459"/>
      <c r="V22" s="464" t="s">
        <v>1445</v>
      </c>
      <c r="W22" s="473" t="s">
        <v>1400</v>
      </c>
      <c r="X22" s="473" t="s">
        <v>1401</v>
      </c>
      <c r="Y22" s="473" t="s">
        <v>1402</v>
      </c>
      <c r="Z22" s="459"/>
      <c r="AA22" s="467"/>
      <c r="AB22" s="459"/>
      <c r="AC22" s="459"/>
      <c r="AD22" s="459"/>
      <c r="AE22" s="459"/>
      <c r="AF22" s="459"/>
      <c r="AG22" s="459"/>
      <c r="AH22" s="459"/>
      <c r="AI22" s="459">
        <v>3</v>
      </c>
      <c r="AJ22" s="467">
        <f>AF7</f>
        <v>96.507953703286077</v>
      </c>
      <c r="AK22" s="467">
        <f>AF13</f>
        <v>96.067745312260342</v>
      </c>
      <c r="AL22" s="467">
        <f>AF19</f>
        <v>96.079075254594869</v>
      </c>
      <c r="AM22" s="467">
        <f>AF25</f>
        <v>96.078783388440343</v>
      </c>
      <c r="AN22" s="467">
        <f>AF31</f>
        <v>96.078790906916154</v>
      </c>
      <c r="AO22" s="467">
        <f>AF37</f>
        <v>96.078790713239997</v>
      </c>
      <c r="AP22" s="467">
        <f>AF43</f>
        <v>96.078805492099448</v>
      </c>
      <c r="AQ22" s="467">
        <f>AF49</f>
        <v>96.078805492099448</v>
      </c>
      <c r="AR22" s="467">
        <f>AF55</f>
        <v>96.078805492099448</v>
      </c>
      <c r="AS22" s="457"/>
      <c r="AT22" s="457"/>
      <c r="AU22" s="457"/>
      <c r="AV22" s="457"/>
      <c r="AW22" s="457"/>
      <c r="AX22" s="457"/>
      <c r="AY22" s="457"/>
      <c r="AZ22" s="457"/>
      <c r="BA22" s="457"/>
      <c r="BB22" s="457"/>
      <c r="BC22" s="457"/>
      <c r="BD22" s="457"/>
      <c r="BE22" s="457"/>
      <c r="BF22" s="457"/>
      <c r="BG22" s="457"/>
      <c r="BH22" s="457"/>
      <c r="BI22" s="457"/>
      <c r="BJ22" s="457"/>
    </row>
    <row r="23" spans="1:62" ht="14.25">
      <c r="A23" s="457"/>
      <c r="B23" s="461"/>
      <c r="C23" s="459"/>
      <c r="D23" s="459"/>
      <c r="E23" s="459"/>
      <c r="F23" s="464" t="s">
        <v>1446</v>
      </c>
      <c r="G23" s="459"/>
      <c r="H23" s="465">
        <f>SUM(H18:H21)</f>
        <v>2.4217386518183802E-2</v>
      </c>
      <c r="I23" s="465"/>
      <c r="J23" s="461"/>
      <c r="K23" s="475"/>
      <c r="N23" s="462"/>
      <c r="O23" s="459"/>
      <c r="P23" s="462"/>
      <c r="Q23" s="459"/>
      <c r="R23" s="459"/>
      <c r="S23" s="459"/>
      <c r="T23" s="459"/>
      <c r="U23" s="459"/>
      <c r="V23" s="467">
        <f>100*(+AD17/$E$9)</f>
        <v>1019.2173880377962</v>
      </c>
      <c r="W23" s="474">
        <f>EXP(5.7226-(0.68367*LN(+V23)))</f>
        <v>2.6830688823172202</v>
      </c>
      <c r="X23" s="468">
        <f>(+W23*V23)/100</f>
        <v>27.346304581608464</v>
      </c>
      <c r="Y23" s="467">
        <f>100*((((X23/100)-((X23/100)-0.03574)*$E$21)-0.03574-0.00619)/0.344)</f>
        <v>43.810235534481357</v>
      </c>
      <c r="Z23" s="459">
        <f>$E$20</f>
        <v>0.25</v>
      </c>
      <c r="AA23" s="467">
        <f>Y23+Z23</f>
        <v>44.060235534481357</v>
      </c>
      <c r="AB23" s="467">
        <f>100*($E$17*$E$19+($E$18*(AA23/100))/(1-$E$21))</f>
        <v>41.072957447357638</v>
      </c>
      <c r="AC23" s="468">
        <f>AB23/V23</f>
        <v>4.0298525054043237E-2</v>
      </c>
      <c r="AD23" s="466">
        <f>$E$8/(1-AC23)</f>
        <v>68218.733085217376</v>
      </c>
      <c r="AE23" s="459" t="str">
        <f>IF(AD23=AD17,"yes","not yet")</f>
        <v>not yet</v>
      </c>
      <c r="AF23" s="467">
        <f>100*(1-AC23)</f>
        <v>95.970147494595679</v>
      </c>
      <c r="AG23" s="459"/>
      <c r="AH23" s="459"/>
      <c r="AI23" s="459">
        <v>4</v>
      </c>
      <c r="AJ23" s="467">
        <f>AF8</f>
        <v>96.533286835553838</v>
      </c>
      <c r="AK23" s="467">
        <f>AF14</f>
        <v>96.095898903320162</v>
      </c>
      <c r="AL23" s="467">
        <f>AF20</f>
        <v>96.107065711845564</v>
      </c>
      <c r="AM23" s="467">
        <f>AF26</f>
        <v>96.106780362985972</v>
      </c>
      <c r="AN23" s="467">
        <f>AF32</f>
        <v>96.106787654427123</v>
      </c>
      <c r="AO23" s="467">
        <f>AF38</f>
        <v>96.106787468110809</v>
      </c>
      <c r="AP23" s="467">
        <f>AF44</f>
        <v>96.106796737845642</v>
      </c>
      <c r="AQ23" s="467">
        <f>AF50</f>
        <v>96.106796737845642</v>
      </c>
      <c r="AR23" s="467">
        <f>AF56</f>
        <v>96.106796737845642</v>
      </c>
      <c r="AS23" s="457"/>
      <c r="AT23" s="457"/>
      <c r="AU23" s="457"/>
      <c r="AV23" s="457"/>
      <c r="AW23" s="457"/>
      <c r="AX23" s="457"/>
      <c r="AY23" s="457"/>
      <c r="AZ23" s="457"/>
      <c r="BA23" s="457"/>
      <c r="BB23" s="457"/>
      <c r="BC23" s="457"/>
      <c r="BD23" s="457"/>
      <c r="BE23" s="457"/>
      <c r="BF23" s="457"/>
      <c r="BG23" s="457"/>
      <c r="BH23" s="457"/>
      <c r="BI23" s="457"/>
      <c r="BJ23" s="457"/>
    </row>
    <row r="24" spans="1:62" ht="12.75">
      <c r="A24" s="457"/>
      <c r="B24" s="461"/>
      <c r="C24" s="459"/>
      <c r="D24" s="459"/>
      <c r="E24" s="459"/>
      <c r="F24" s="459"/>
      <c r="G24" s="459"/>
      <c r="H24" s="459"/>
      <c r="I24" s="459"/>
      <c r="J24" s="461"/>
      <c r="N24" s="462"/>
      <c r="O24" s="459"/>
      <c r="P24" s="459"/>
      <c r="Q24" s="459"/>
      <c r="R24" s="459"/>
      <c r="S24" s="459"/>
      <c r="T24" s="459"/>
      <c r="U24" s="459"/>
      <c r="V24" s="467">
        <f>100*(+AD18/$E$9)</f>
        <v>1018.528876954765</v>
      </c>
      <c r="W24" s="474">
        <f>EXP(5.70827-(0.68367*LN(+V24)))</f>
        <v>2.6461168873418539</v>
      </c>
      <c r="X24" s="468">
        <f>(+W24*V24)/100</f>
        <v>26.95146461555337</v>
      </c>
      <c r="Y24" s="467">
        <f>100*((((X24/100)-((X24/100)-0.03574)*$E$21)-0.03574-0.00619)/0.344)</f>
        <v>43.052693739143102</v>
      </c>
      <c r="Z24" s="459">
        <f>$E$20</f>
        <v>0.25</v>
      </c>
      <c r="AA24" s="467">
        <f>Y24+Z24</f>
        <v>43.302693739143102</v>
      </c>
      <c r="AB24" s="467">
        <f>100*($E$17*$E$19+($E$18*(AA24/100))/(1-$E$21))</f>
        <v>40.384283087959226</v>
      </c>
      <c r="AC24" s="468">
        <f>AB24/V24</f>
        <v>3.9649620154807622E-2</v>
      </c>
      <c r="AD24" s="466">
        <f>$E$8/(1-AC24)</f>
        <v>68172.637960929744</v>
      </c>
      <c r="AE24" s="459" t="str">
        <f>IF(AD24=AD18,"yes","not yet")</f>
        <v>not yet</v>
      </c>
      <c r="AF24" s="467">
        <f>100*(1-AC24)</f>
        <v>96.035037984519235</v>
      </c>
      <c r="AG24" s="459"/>
      <c r="AH24" s="459"/>
      <c r="AI24" s="459"/>
      <c r="AJ24" s="459"/>
      <c r="AK24" s="459"/>
      <c r="AL24" s="459"/>
      <c r="AM24" s="459"/>
      <c r="AN24" s="459"/>
      <c r="AO24" s="459"/>
      <c r="AP24" s="459"/>
      <c r="AQ24" s="459"/>
      <c r="AR24" s="459"/>
      <c r="AS24" s="457"/>
      <c r="AT24" s="457"/>
      <c r="AU24" s="457"/>
      <c r="AV24" s="457"/>
      <c r="AW24" s="457"/>
      <c r="AX24" s="457"/>
      <c r="AY24" s="457"/>
      <c r="AZ24" s="457"/>
      <c r="BA24" s="457"/>
      <c r="BB24" s="457"/>
      <c r="BC24" s="457"/>
      <c r="BD24" s="457"/>
      <c r="BE24" s="457"/>
      <c r="BF24" s="457"/>
      <c r="BG24" s="457"/>
      <c r="BH24" s="457"/>
      <c r="BI24" s="457"/>
      <c r="BJ24" s="457"/>
    </row>
    <row r="25" spans="1:62" ht="12.75">
      <c r="A25" s="457"/>
      <c r="B25" s="461"/>
      <c r="C25" s="459"/>
      <c r="D25" s="459"/>
      <c r="E25" s="459"/>
      <c r="F25" s="464" t="s">
        <v>1447</v>
      </c>
      <c r="G25" s="459"/>
      <c r="H25" s="468">
        <f>((+H15/100)-H23)</f>
        <v>0.93685058086027262</v>
      </c>
      <c r="I25" s="468"/>
      <c r="J25" s="461"/>
      <c r="N25" s="459"/>
      <c r="O25" s="459"/>
      <c r="P25" s="459"/>
      <c r="Q25" s="459"/>
      <c r="R25" s="459"/>
      <c r="S25" s="459"/>
      <c r="T25" s="459"/>
      <c r="U25" s="459"/>
      <c r="V25" s="467">
        <f>100*(+AD19/$E$9)</f>
        <v>1018.0652443460556</v>
      </c>
      <c r="W25" s="474">
        <f>EXP(5.6985-(0.68367*LN(V25)))</f>
        <v>2.6212059970882016</v>
      </c>
      <c r="X25" s="468">
        <f>(+W25*V25)/100</f>
        <v>26.685587239069463</v>
      </c>
      <c r="Y25" s="467">
        <f>100*((((X25/100)-((X25/100)-0.03574)*$E$21)-0.03574-0.00619)/0.344)</f>
        <v>42.542580167982109</v>
      </c>
      <c r="Z25" s="459">
        <f>$E$20</f>
        <v>0.25</v>
      </c>
      <c r="AA25" s="467">
        <f>Y25+Z25</f>
        <v>42.792580167982109</v>
      </c>
      <c r="AB25" s="467">
        <f>100*($E$17*$E$19+($E$18*(AA25/100))/(1-$E$21))</f>
        <v>39.92054347781287</v>
      </c>
      <c r="AC25" s="468">
        <f>AB25/V25</f>
        <v>3.9212166115596497E-2</v>
      </c>
      <c r="AD25" s="466">
        <f>$E$8/(1-AC25)</f>
        <v>68141.598438167348</v>
      </c>
      <c r="AE25" s="459" t="str">
        <f>IF(AD25=AD19,"yes","not yet")</f>
        <v>not yet</v>
      </c>
      <c r="AF25" s="467">
        <f>100*(1-AC25)</f>
        <v>96.078783388440343</v>
      </c>
      <c r="AG25" s="459"/>
      <c r="AH25" s="459"/>
      <c r="AI25" s="459"/>
      <c r="AJ25" s="459" t="s">
        <v>1448</v>
      </c>
      <c r="AK25" s="459"/>
      <c r="AL25" s="459"/>
      <c r="AM25" s="459"/>
      <c r="AN25" s="459"/>
      <c r="AO25" s="459"/>
      <c r="AP25" s="459"/>
      <c r="AQ25" s="459"/>
      <c r="AR25" s="459"/>
      <c r="AS25" s="457"/>
      <c r="AT25" s="457"/>
      <c r="AU25" s="457"/>
      <c r="AV25" s="457"/>
      <c r="AW25" s="457"/>
      <c r="AX25" s="457"/>
      <c r="AY25" s="457"/>
      <c r="AZ25" s="457"/>
      <c r="BA25" s="457"/>
      <c r="BB25" s="457"/>
      <c r="BC25" s="457"/>
      <c r="BD25" s="457"/>
      <c r="BE25" s="457"/>
      <c r="BF25" s="457"/>
      <c r="BG25" s="457"/>
      <c r="BH25" s="457"/>
      <c r="BI25" s="457"/>
      <c r="BJ25" s="457"/>
    </row>
    <row r="26" spans="1:62" ht="12.75">
      <c r="A26" s="457"/>
      <c r="B26" s="461"/>
      <c r="C26" s="459"/>
      <c r="D26" s="459"/>
      <c r="E26" s="459"/>
      <c r="F26" s="459"/>
      <c r="G26" s="459"/>
      <c r="H26" s="459"/>
      <c r="I26" s="459"/>
      <c r="J26" s="461"/>
      <c r="N26" s="459"/>
      <c r="O26" s="459"/>
      <c r="P26" s="459"/>
      <c r="Q26" s="459"/>
      <c r="R26" s="459"/>
      <c r="S26" s="459"/>
      <c r="T26" s="459"/>
      <c r="U26" s="459"/>
      <c r="V26" s="467">
        <f>100*(+AD20/$E$9)</f>
        <v>1017.7687405303453</v>
      </c>
      <c r="W26" s="474">
        <f>EXP(5.6922-(0.68367*LN(V26)))</f>
        <v>2.6052630756096917</v>
      </c>
      <c r="X26" s="468">
        <f>(+W26*V26)/100</f>
        <v>26.515553192134899</v>
      </c>
      <c r="Y26" s="467">
        <f>100*((((X26/100)-((X26/100)-0.03574)*$E$21)-0.03574-0.00619)/0.344)</f>
        <v>42.216352054677422</v>
      </c>
      <c r="Z26" s="459">
        <f>$E$20</f>
        <v>0.25</v>
      </c>
      <c r="AA26" s="467">
        <f>Y26+Z26</f>
        <v>42.466352054677422</v>
      </c>
      <c r="AB26" s="467">
        <f>100*($E$17*$E$19+($E$18*(AA26/100))/(1-$E$21))</f>
        <v>39.623972465717692</v>
      </c>
      <c r="AC26" s="468">
        <f>AB26/V26</f>
        <v>3.8932196370140219E-2</v>
      </c>
      <c r="AD26" s="466">
        <f>$E$8/(1-AC26)</f>
        <v>68121.748032298303</v>
      </c>
      <c r="AE26" s="459" t="str">
        <f>IF(AD26=AD20,"yes","not yet")</f>
        <v>not yet</v>
      </c>
      <c r="AF26" s="467">
        <f>100*(1-AC26)</f>
        <v>96.106780362985972</v>
      </c>
      <c r="AG26" s="459"/>
      <c r="AH26" s="459"/>
      <c r="AI26" s="459"/>
      <c r="AJ26" s="467">
        <f>HLOOKUP($AJ$25,$AJ$19:$AR$23,($E$12)+1)</f>
        <v>96.106796737845642</v>
      </c>
      <c r="AK26" s="459"/>
      <c r="AL26" s="459"/>
      <c r="AM26" s="459"/>
      <c r="AN26" s="459"/>
      <c r="AO26" s="459"/>
      <c r="AP26" s="459"/>
      <c r="AQ26" s="459"/>
      <c r="AR26" s="459"/>
      <c r="AS26" s="457"/>
      <c r="AT26" s="457"/>
      <c r="AU26" s="457"/>
      <c r="AV26" s="457"/>
      <c r="AW26" s="457"/>
      <c r="AX26" s="457"/>
      <c r="AY26" s="457"/>
      <c r="AZ26" s="457"/>
      <c r="BA26" s="457"/>
      <c r="BB26" s="457"/>
      <c r="BC26" s="457"/>
      <c r="BD26" s="457"/>
      <c r="BE26" s="457"/>
      <c r="BF26" s="457"/>
      <c r="BG26" s="457"/>
      <c r="BH26" s="457"/>
      <c r="BI26" s="457"/>
      <c r="BJ26" s="457"/>
    </row>
    <row r="27" spans="1:62" ht="12.75">
      <c r="A27" s="457"/>
      <c r="B27" s="461"/>
      <c r="C27" s="459"/>
      <c r="D27" s="459"/>
      <c r="E27" s="466"/>
      <c r="F27" s="459"/>
      <c r="G27" s="459"/>
      <c r="H27" s="459"/>
      <c r="I27" s="459"/>
      <c r="J27" s="461"/>
      <c r="N27" s="459"/>
      <c r="O27" s="459"/>
      <c r="P27" s="459"/>
      <c r="Q27" s="459"/>
      <c r="R27" s="459"/>
      <c r="S27" s="459"/>
      <c r="T27" s="459"/>
      <c r="U27" s="459"/>
      <c r="V27" s="459"/>
      <c r="W27" s="459"/>
      <c r="X27" s="459"/>
      <c r="Y27" s="459"/>
      <c r="Z27" s="459"/>
      <c r="AA27" s="467"/>
      <c r="AB27" s="459"/>
      <c r="AC27" s="459"/>
      <c r="AD27" s="459"/>
      <c r="AE27" s="459"/>
      <c r="AF27" s="459"/>
      <c r="AG27" s="459"/>
      <c r="AH27" s="459"/>
      <c r="AI27" s="459"/>
      <c r="AJ27" s="459"/>
      <c r="AK27" s="459"/>
      <c r="AL27" s="459"/>
      <c r="AM27" s="459"/>
      <c r="AN27" s="459"/>
      <c r="AO27" s="459"/>
      <c r="AP27" s="459"/>
      <c r="AQ27" s="459"/>
      <c r="AR27" s="459"/>
      <c r="AS27" s="457"/>
      <c r="AT27" s="457"/>
      <c r="AU27" s="457"/>
      <c r="AV27" s="457"/>
      <c r="AW27" s="457"/>
      <c r="AX27" s="457"/>
      <c r="AY27" s="457"/>
      <c r="AZ27" s="457"/>
      <c r="BA27" s="457"/>
      <c r="BB27" s="457"/>
      <c r="BC27" s="457"/>
      <c r="BD27" s="457"/>
      <c r="BE27" s="457"/>
      <c r="BF27" s="457"/>
      <c r="BG27" s="457"/>
      <c r="BH27" s="457"/>
      <c r="BI27" s="457"/>
      <c r="BJ27" s="457"/>
    </row>
    <row r="28" spans="1:62" ht="12.75">
      <c r="A28" s="457"/>
      <c r="B28" s="461"/>
      <c r="C28" s="485"/>
      <c r="D28" s="461"/>
      <c r="E28" s="462"/>
      <c r="F28" s="461"/>
      <c r="G28" s="461"/>
      <c r="H28" s="461"/>
      <c r="I28" s="461"/>
      <c r="J28" s="459"/>
      <c r="K28" s="459"/>
      <c r="L28" s="459"/>
      <c r="M28" s="459"/>
      <c r="N28" s="459"/>
      <c r="O28" s="459"/>
      <c r="P28" s="459"/>
      <c r="Q28" s="459"/>
      <c r="R28" s="459"/>
      <c r="S28" s="459"/>
      <c r="T28" s="459"/>
      <c r="U28" s="459"/>
      <c r="V28" s="464" t="s">
        <v>1449</v>
      </c>
      <c r="W28" s="473" t="s">
        <v>1400</v>
      </c>
      <c r="X28" s="473" t="s">
        <v>1401</v>
      </c>
      <c r="Y28" s="473" t="s">
        <v>1402</v>
      </c>
      <c r="Z28" s="459"/>
      <c r="AA28" s="467"/>
      <c r="AB28" s="459"/>
      <c r="AC28" s="459"/>
      <c r="AD28" s="459"/>
      <c r="AE28" s="459"/>
      <c r="AF28" s="459"/>
      <c r="AG28" s="459"/>
      <c r="AH28" s="459"/>
      <c r="AI28" s="459"/>
      <c r="AJ28" s="459" t="str">
        <f>HLOOKUP(1,$AJ$13:$AR$17,($E$12)+1)</f>
        <v>not yet</v>
      </c>
      <c r="AK28" s="459" t="str">
        <f>HLOOKUP(2,$AJ$13:$AR$17,($E$12)+1)</f>
        <v>not yet</v>
      </c>
      <c r="AL28" s="459" t="str">
        <f>HLOOKUP(3,$AJ$13:$AR$17,($E$12)+1)</f>
        <v>not yet</v>
      </c>
      <c r="AM28" s="459" t="str">
        <f>HLOOKUP(4,$AJ$13:$AR$17,($E$12)+1)</f>
        <v>not yet</v>
      </c>
      <c r="AN28" s="459" t="str">
        <f>HLOOKUP(5,$AJ$13:$AR$17,($E$12)+1)</f>
        <v>not yet</v>
      </c>
      <c r="AO28" s="459" t="str">
        <f>HLOOKUP(6,$AJ$13:$AR$17,($E$12)+1)</f>
        <v>not yet</v>
      </c>
      <c r="AP28" s="459" t="str">
        <f>HLOOKUP(7,$AJ$13:$AR$17,($E$12)+1)</f>
        <v>yes</v>
      </c>
      <c r="AQ28" s="459" t="str">
        <f>HLOOKUP(8,$AJ$13:$AR$17,($E$12)+1)</f>
        <v>yes</v>
      </c>
      <c r="AR28" s="459" t="str">
        <f>HLOOKUP(9,$AJ$13:$AR$17,($E$12)+1)</f>
        <v>yes</v>
      </c>
      <c r="AS28" s="457"/>
      <c r="AT28" s="457"/>
      <c r="AU28" s="457"/>
      <c r="AV28" s="457"/>
      <c r="AW28" s="457"/>
      <c r="AX28" s="457"/>
      <c r="AY28" s="457"/>
      <c r="AZ28" s="457"/>
      <c r="BA28" s="457"/>
      <c r="BB28" s="457"/>
      <c r="BC28" s="457"/>
      <c r="BD28" s="457"/>
      <c r="BE28" s="457"/>
      <c r="BF28" s="457"/>
      <c r="BG28" s="457"/>
      <c r="BH28" s="457"/>
      <c r="BI28" s="457"/>
      <c r="BJ28" s="457"/>
    </row>
    <row r="29" spans="1:62" ht="14.25">
      <c r="A29" s="457"/>
      <c r="B29" s="459"/>
      <c r="C29" s="1432"/>
      <c r="D29" s="1432"/>
      <c r="E29" s="1432"/>
      <c r="F29" s="459"/>
      <c r="G29" s="466"/>
      <c r="H29" s="459"/>
      <c r="I29" s="463"/>
      <c r="J29" s="459"/>
      <c r="K29" s="459"/>
      <c r="L29" s="459"/>
      <c r="M29" s="459"/>
      <c r="N29" s="459"/>
      <c r="O29" s="459"/>
      <c r="P29" s="459"/>
      <c r="Q29" s="459"/>
      <c r="R29" s="459"/>
      <c r="S29" s="459"/>
      <c r="T29" s="459"/>
      <c r="U29" s="459"/>
      <c r="V29" s="467">
        <f>100*(+AD23/$E$9)</f>
        <v>1019.2207658232516</v>
      </c>
      <c r="W29" s="474">
        <f>EXP(5.7226-(0.68367*LN(+V29)))</f>
        <v>2.683062803174058</v>
      </c>
      <c r="X29" s="468">
        <f>(+W29*V29)/100</f>
        <v>27.346333250029435</v>
      </c>
      <c r="Y29" s="467">
        <f>100*((((X29/100)-((X29/100)-0.03574)*$E$21)-0.03574-0.00619)/0.344)</f>
        <v>43.810290537847173</v>
      </c>
      <c r="Z29" s="459">
        <f>$E$20</f>
        <v>0.25</v>
      </c>
      <c r="AA29" s="467">
        <f>Y29+Z29</f>
        <v>44.060290537847173</v>
      </c>
      <c r="AB29" s="467">
        <f>100*($E$17*$E$19+($E$18*(AA29/100))/(1-$E$21))</f>
        <v>41.073007450417478</v>
      </c>
      <c r="AC29" s="468">
        <f>AB29/V29</f>
        <v>4.0298440561345635E-2</v>
      </c>
      <c r="AD29" s="466">
        <f>$E$8/(1-AC29)</f>
        <v>68218.727079199438</v>
      </c>
      <c r="AE29" s="459" t="str">
        <f>IF(AD29=AD23,"yes","not yet")</f>
        <v>not yet</v>
      </c>
      <c r="AF29" s="467">
        <f>100*(1-AC29)</f>
        <v>95.970155943865436</v>
      </c>
      <c r="AG29" s="459"/>
      <c r="AH29" s="459"/>
      <c r="AI29" s="459">
        <v>1</v>
      </c>
      <c r="AJ29" s="467">
        <f>V5</f>
        <v>1222.6845903201524</v>
      </c>
      <c r="AK29" s="467">
        <f>V11</f>
        <v>1014.5754148006805</v>
      </c>
      <c r="AL29" s="467">
        <f>V17</f>
        <v>1019.3445498059534</v>
      </c>
      <c r="AM29" s="467">
        <f>V23</f>
        <v>1019.2173880377962</v>
      </c>
      <c r="AN29" s="467">
        <f>V29</f>
        <v>1019.2207658232516</v>
      </c>
      <c r="AO29" s="467">
        <f>V35</f>
        <v>1019.2206760904476</v>
      </c>
      <c r="AP29" s="467">
        <f>V41</f>
        <v>1019.2247536588042</v>
      </c>
      <c r="AQ29" s="467">
        <f>V47</f>
        <v>1019.2247536588042</v>
      </c>
      <c r="AR29" s="467">
        <f>V53</f>
        <v>1019.2247536588042</v>
      </c>
      <c r="AS29" s="457"/>
      <c r="AT29" s="457"/>
      <c r="AU29" s="457"/>
      <c r="AV29" s="457"/>
      <c r="AW29" s="457"/>
      <c r="AX29" s="457"/>
      <c r="AY29" s="457"/>
      <c r="AZ29" s="457"/>
      <c r="BA29" s="457"/>
      <c r="BB29" s="457"/>
      <c r="BC29" s="457"/>
      <c r="BD29" s="457"/>
      <c r="BE29" s="457"/>
      <c r="BF29" s="457"/>
      <c r="BG29" s="457"/>
      <c r="BH29" s="457"/>
      <c r="BI29" s="457"/>
      <c r="BJ29" s="457"/>
    </row>
    <row r="30" spans="1:62" ht="15.75" customHeight="1">
      <c r="A30" s="457"/>
      <c r="B30" s="459"/>
      <c r="C30" s="493"/>
      <c r="D30" s="493"/>
      <c r="E30" s="1296"/>
      <c r="F30" s="459"/>
      <c r="G30" s="486"/>
      <c r="H30" s="459"/>
      <c r="I30" s="463"/>
      <c r="J30" s="459"/>
      <c r="K30" s="1428"/>
      <c r="L30" s="1428"/>
      <c r="M30" s="1428"/>
      <c r="O30" s="459"/>
      <c r="P30" s="459"/>
      <c r="Q30" s="459"/>
      <c r="R30" s="459"/>
      <c r="S30" s="459"/>
      <c r="T30" s="459"/>
      <c r="U30" s="459"/>
      <c r="V30" s="467">
        <f>100*(+AD24/$E$9)</f>
        <v>1018.5320824403678</v>
      </c>
      <c r="W30" s="474">
        <f>EXP(5.70827-(0.68367*LN(+V30)))</f>
        <v>2.6461111939001136</v>
      </c>
      <c r="X30" s="468">
        <f>(+W30*V30)/100</f>
        <v>26.951491446918507</v>
      </c>
      <c r="Y30" s="467">
        <f>100*((((X30/100)-((X30/100)-0.03574)*$E$21)-0.03574-0.00619)/0.344)</f>
        <v>43.05274521792505</v>
      </c>
      <c r="Z30" s="459">
        <f>$E$20</f>
        <v>0.25</v>
      </c>
      <c r="AA30" s="467">
        <f>Y30+Z30</f>
        <v>43.30274521792505</v>
      </c>
      <c r="AB30" s="467">
        <f>100*($E$17*$E$19+($E$18*(AA30/100))/(1-$E$21))</f>
        <v>40.384329886851901</v>
      </c>
      <c r="AC30" s="468">
        <f>AB30/V30</f>
        <v>3.9649541318416241E-2</v>
      </c>
      <c r="AD30" s="466">
        <f>$E$8/(1-AC30)</f>
        <v>68172.632364551129</v>
      </c>
      <c r="AE30" s="459" t="str">
        <f>IF(AD30=AD24,"yes","not yet")</f>
        <v>not yet</v>
      </c>
      <c r="AF30" s="467">
        <f>100*(1-AC30)</f>
        <v>96.035045868158377</v>
      </c>
      <c r="AG30" s="459"/>
      <c r="AH30" s="459"/>
      <c r="AI30" s="459">
        <v>2</v>
      </c>
      <c r="AJ30" s="467">
        <f>V6</f>
        <v>1222.6845903201524</v>
      </c>
      <c r="AK30" s="467">
        <f>V12</f>
        <v>1013.9570855141761</v>
      </c>
      <c r="AL30" s="467">
        <f>V18</f>
        <v>1018.6517787304231</v>
      </c>
      <c r="AM30" s="467">
        <f>V24</f>
        <v>1018.528876954765</v>
      </c>
      <c r="AN30" s="467">
        <f>V30</f>
        <v>1018.5320824403678</v>
      </c>
      <c r="AO30" s="467">
        <f>V36</f>
        <v>1018.531998827773</v>
      </c>
      <c r="AP30" s="467">
        <f>V42</f>
        <v>1018.5374914786445</v>
      </c>
      <c r="AQ30" s="467">
        <f>V48</f>
        <v>1018.5374914786445</v>
      </c>
      <c r="AR30" s="467">
        <f>V54</f>
        <v>1018.5374914786445</v>
      </c>
      <c r="AS30" s="457"/>
      <c r="AT30" s="457"/>
      <c r="AU30" s="457"/>
      <c r="AV30" s="457"/>
      <c r="AW30" s="457"/>
      <c r="AX30" s="457"/>
      <c r="AY30" s="457"/>
      <c r="AZ30" s="457"/>
      <c r="BA30" s="457"/>
      <c r="BB30" s="457"/>
      <c r="BC30" s="457"/>
      <c r="BD30" s="457"/>
      <c r="BE30" s="457"/>
      <c r="BF30" s="457"/>
      <c r="BG30" s="457"/>
      <c r="BH30" s="457"/>
      <c r="BI30" s="457"/>
      <c r="BJ30" s="457"/>
    </row>
    <row r="31" spans="1:62" ht="14.25">
      <c r="A31" s="457"/>
      <c r="B31" s="459"/>
      <c r="C31" s="493"/>
      <c r="D31" s="1287"/>
      <c r="E31" s="1296"/>
      <c r="F31" s="489"/>
      <c r="G31" s="488"/>
      <c r="H31" s="459"/>
      <c r="I31" s="488"/>
      <c r="J31" s="459"/>
      <c r="K31" s="1257"/>
      <c r="L31" s="1257"/>
      <c r="M31" s="493"/>
      <c r="O31" s="459"/>
      <c r="P31" s="459"/>
      <c r="Q31" s="459"/>
      <c r="R31" s="459"/>
      <c r="S31" s="459"/>
      <c r="T31" s="459"/>
      <c r="U31" s="459"/>
      <c r="V31" s="467">
        <f>100*(+AD25/$E$9)</f>
        <v>1018.0683370037419</v>
      </c>
      <c r="W31" s="474">
        <f>EXP(5.6985-(0.68367*LN(V31)))</f>
        <v>2.6212005532801146</v>
      </c>
      <c r="X31" s="468">
        <f>(+W31*V31)/100</f>
        <v>26.685612882311744</v>
      </c>
      <c r="Y31" s="467">
        <f>100*((((X31/100)-((X31/100)-0.03574)*$E$21)-0.03574-0.00619)/0.344)</f>
        <v>42.54262936722602</v>
      </c>
      <c r="Z31" s="459">
        <f>$E$20</f>
        <v>0.25</v>
      </c>
      <c r="AA31" s="467">
        <f>Y31+Z31</f>
        <v>42.79262936722602</v>
      </c>
      <c r="AB31" s="467">
        <f>100*($E$17*$E$19+($E$18*(AA31/100))/(1-$E$21))</f>
        <v>39.920588204398243</v>
      </c>
      <c r="AC31" s="468">
        <f>AB31/V31</f>
        <v>3.9212090930838481E-2</v>
      </c>
      <c r="AD31" s="466">
        <f>$E$8/(1-AC31)</f>
        <v>68141.593105867112</v>
      </c>
      <c r="AE31" s="459" t="str">
        <f>IF(AD31=AD25,"yes","not yet")</f>
        <v>not yet</v>
      </c>
      <c r="AF31" s="467">
        <f>100*(1-AC31)</f>
        <v>96.078790906916154</v>
      </c>
      <c r="AG31" s="459"/>
      <c r="AH31" s="459"/>
      <c r="AI31" s="459">
        <v>3</v>
      </c>
      <c r="AJ31" s="467">
        <f>V7</f>
        <v>1222.6845903201524</v>
      </c>
      <c r="AK31" s="467">
        <f>V13</f>
        <v>1013.5409929666929</v>
      </c>
      <c r="AL31" s="467">
        <f>V19</f>
        <v>1018.1853119137262</v>
      </c>
      <c r="AM31" s="467">
        <f>V25</f>
        <v>1018.0652443460556</v>
      </c>
      <c r="AN31" s="467">
        <f>V31</f>
        <v>1018.0683370037419</v>
      </c>
      <c r="AO31" s="467">
        <f>V37</f>
        <v>1018.0682573366053</v>
      </c>
      <c r="AP31" s="467">
        <f>V43</f>
        <v>1018.0743365311457</v>
      </c>
      <c r="AQ31" s="467">
        <f>V49</f>
        <v>1018.0743365311457</v>
      </c>
      <c r="AR31" s="467">
        <f>V55</f>
        <v>1018.0743365311457</v>
      </c>
      <c r="AS31" s="457"/>
      <c r="AT31" s="457"/>
      <c r="AU31" s="457"/>
      <c r="AV31" s="457"/>
      <c r="AW31" s="457"/>
      <c r="AX31" s="457"/>
      <c r="AY31" s="457"/>
      <c r="AZ31" s="457"/>
      <c r="BA31" s="457"/>
      <c r="BB31" s="457"/>
      <c r="BC31" s="457"/>
      <c r="BD31" s="457"/>
      <c r="BE31" s="457"/>
      <c r="BF31" s="457"/>
      <c r="BG31" s="457"/>
      <c r="BH31" s="457"/>
      <c r="BI31" s="457"/>
      <c r="BJ31" s="457"/>
    </row>
    <row r="32" spans="1:62" ht="12.75">
      <c r="A32" s="457"/>
      <c r="B32" s="459"/>
      <c r="C32" s="493"/>
      <c r="D32" s="493"/>
      <c r="E32" s="1297"/>
      <c r="F32" s="489"/>
      <c r="G32" s="466"/>
      <c r="H32" s="459"/>
      <c r="I32" s="459"/>
      <c r="J32" s="459"/>
      <c r="K32" s="491"/>
      <c r="L32" s="491"/>
      <c r="M32" s="494"/>
      <c r="O32" s="459"/>
      <c r="P32" s="459"/>
      <c r="Q32" s="459"/>
      <c r="R32" s="459"/>
      <c r="S32" s="459"/>
      <c r="T32" s="459"/>
      <c r="U32" s="459"/>
      <c r="V32" s="467">
        <f>100*(+AD26/$E$9)</f>
        <v>1017.7717623686416</v>
      </c>
      <c r="W32" s="474">
        <f>EXP(5.6922-(0.68367*LN(V32)))</f>
        <v>2.605257787272548</v>
      </c>
      <c r="X32" s="468">
        <f>(+W32*V32)/100</f>
        <v>26.515578095770088</v>
      </c>
      <c r="Y32" s="467">
        <f>100*((((X32/100)-((X32/100)-0.03574)*$E$21)-0.03574-0.00619)/0.344)</f>
        <v>42.216399834907726</v>
      </c>
      <c r="Z32" s="459">
        <f>$E$20</f>
        <v>0.25</v>
      </c>
      <c r="AA32" s="467">
        <f>Y32+Z32</f>
        <v>42.466399834907726</v>
      </c>
      <c r="AB32" s="467">
        <f>100*($E$17*$E$19+($E$18*(AA32/100))/(1-$E$21))</f>
        <v>39.624015902290708</v>
      </c>
      <c r="AC32" s="468">
        <f>AB32/V32</f>
        <v>3.8932123455728877E-2</v>
      </c>
      <c r="AD32" s="466">
        <f>$E$8/(1-AC32)</f>
        <v>68121.742864029467</v>
      </c>
      <c r="AE32" s="459" t="str">
        <f>IF(AD32=AD26,"yes","not yet")</f>
        <v>not yet</v>
      </c>
      <c r="AF32" s="467">
        <f>100*(1-AC32)</f>
        <v>96.106787654427123</v>
      </c>
      <c r="AG32" s="459"/>
      <c r="AH32" s="459"/>
      <c r="AI32" s="459">
        <v>4</v>
      </c>
      <c r="AJ32" s="467">
        <f>V8</f>
        <v>1222.6845903201524</v>
      </c>
      <c r="AK32" s="467">
        <f>V14</f>
        <v>1013.2750104349122</v>
      </c>
      <c r="AL32" s="467">
        <f>V20</f>
        <v>1017.8870101836641</v>
      </c>
      <c r="AM32" s="467">
        <f>V26</f>
        <v>1017.7687405303453</v>
      </c>
      <c r="AN32" s="467">
        <f>V32</f>
        <v>1017.7717623686416</v>
      </c>
      <c r="AO32" s="467">
        <f>V38</f>
        <v>1017.7716851522133</v>
      </c>
      <c r="AP32" s="467">
        <f>V44</f>
        <v>1017.7755268875981</v>
      </c>
      <c r="AQ32" s="467">
        <f>V50</f>
        <v>1017.7755268875981</v>
      </c>
      <c r="AR32" s="467">
        <f>V56</f>
        <v>1017.7755268875981</v>
      </c>
      <c r="AS32" s="457"/>
      <c r="AT32" s="457"/>
      <c r="AU32" s="457"/>
      <c r="AV32" s="457"/>
      <c r="AW32" s="457"/>
      <c r="AX32" s="457"/>
      <c r="AY32" s="457"/>
      <c r="AZ32" s="457"/>
      <c r="BA32" s="457"/>
      <c r="BB32" s="457"/>
      <c r="BC32" s="457"/>
      <c r="BD32" s="457"/>
      <c r="BE32" s="457"/>
      <c r="BF32" s="457"/>
      <c r="BG32" s="457"/>
      <c r="BH32" s="457"/>
      <c r="BI32" s="457"/>
      <c r="BJ32" s="457"/>
    </row>
    <row r="33" spans="1:62" ht="12.75">
      <c r="A33" s="457"/>
      <c r="B33" s="459"/>
      <c r="C33" s="493"/>
      <c r="D33" s="493"/>
      <c r="E33" s="1298"/>
      <c r="F33" s="489"/>
      <c r="G33" s="465"/>
      <c r="H33" s="459"/>
      <c r="I33" s="465"/>
      <c r="J33" s="459"/>
      <c r="K33" s="494"/>
      <c r="L33" s="491"/>
      <c r="M33" s="494"/>
      <c r="O33" s="459"/>
      <c r="P33" s="459"/>
      <c r="Q33" s="459"/>
      <c r="R33" s="459"/>
      <c r="S33" s="459"/>
      <c r="T33" s="459"/>
      <c r="U33" s="459"/>
      <c r="V33" s="459"/>
      <c r="W33" s="459"/>
      <c r="X33" s="459"/>
      <c r="Y33" s="459"/>
      <c r="Z33" s="459"/>
      <c r="AA33" s="467"/>
      <c r="AB33" s="459"/>
      <c r="AC33" s="459"/>
      <c r="AD33" s="459"/>
      <c r="AE33" s="459"/>
      <c r="AF33" s="459"/>
      <c r="AG33" s="459"/>
      <c r="AH33" s="459"/>
      <c r="AI33" s="459"/>
      <c r="AJ33" s="459"/>
      <c r="AK33" s="459"/>
      <c r="AL33" s="459"/>
      <c r="AM33" s="459"/>
      <c r="AN33" s="459"/>
      <c r="AO33" s="459"/>
      <c r="AP33" s="459"/>
      <c r="AQ33" s="459"/>
      <c r="AR33" s="459"/>
      <c r="AS33" s="457"/>
      <c r="AT33" s="457"/>
      <c r="AU33" s="457"/>
      <c r="AV33" s="457"/>
      <c r="AW33" s="457"/>
      <c r="AX33" s="457"/>
      <c r="AY33" s="457"/>
      <c r="AZ33" s="457"/>
      <c r="BA33" s="457"/>
      <c r="BB33" s="457"/>
      <c r="BC33" s="457"/>
      <c r="BD33" s="457"/>
      <c r="BE33" s="457"/>
      <c r="BF33" s="457"/>
      <c r="BG33" s="457"/>
      <c r="BH33" s="457"/>
      <c r="BI33" s="457"/>
      <c r="BJ33" s="457"/>
    </row>
    <row r="34" spans="1:62" ht="12.75">
      <c r="A34" s="457"/>
      <c r="B34" s="459"/>
      <c r="C34" s="493"/>
      <c r="D34" s="493"/>
      <c r="E34" s="1299"/>
      <c r="F34" s="489"/>
      <c r="G34" s="459"/>
      <c r="H34" s="459"/>
      <c r="I34" s="459"/>
      <c r="J34" s="459"/>
      <c r="K34" s="493"/>
      <c r="L34" s="491"/>
      <c r="M34" s="495"/>
      <c r="O34" s="459"/>
      <c r="P34" s="459"/>
      <c r="Q34" s="459"/>
      <c r="R34" s="459"/>
      <c r="S34" s="459"/>
      <c r="T34" s="459"/>
      <c r="U34" s="459"/>
      <c r="V34" s="464" t="s">
        <v>1450</v>
      </c>
      <c r="W34" s="473" t="s">
        <v>1400</v>
      </c>
      <c r="X34" s="473" t="s">
        <v>1401</v>
      </c>
      <c r="Y34" s="473" t="s">
        <v>1402</v>
      </c>
      <c r="Z34" s="459"/>
      <c r="AA34" s="467"/>
      <c r="AB34" s="459"/>
      <c r="AC34" s="459"/>
      <c r="AD34" s="459"/>
      <c r="AE34" s="459"/>
      <c r="AF34" s="459"/>
      <c r="AG34" s="459"/>
      <c r="AH34" s="459"/>
      <c r="AI34" s="459"/>
      <c r="AJ34" s="459" t="s">
        <v>1448</v>
      </c>
      <c r="AK34" s="459"/>
      <c r="AL34" s="459"/>
      <c r="AM34" s="459"/>
      <c r="AN34" s="459"/>
      <c r="AO34" s="459"/>
      <c r="AP34" s="459"/>
      <c r="AQ34" s="459"/>
      <c r="AR34" s="459"/>
      <c r="AS34" s="457"/>
      <c r="AT34" s="457"/>
      <c r="AU34" s="457"/>
      <c r="AV34" s="457"/>
      <c r="AW34" s="457"/>
      <c r="AX34" s="457"/>
      <c r="AY34" s="457"/>
      <c r="AZ34" s="457"/>
      <c r="BA34" s="457"/>
      <c r="BB34" s="457"/>
      <c r="BC34" s="457"/>
      <c r="BD34" s="457"/>
      <c r="BE34" s="457"/>
      <c r="BF34" s="457"/>
      <c r="BG34" s="457"/>
      <c r="BH34" s="457"/>
      <c r="BI34" s="457"/>
      <c r="BJ34" s="457"/>
    </row>
    <row r="35" spans="1:62" ht="12.75">
      <c r="A35" s="457"/>
      <c r="B35" s="459"/>
      <c r="C35" s="493"/>
      <c r="D35" s="493"/>
      <c r="E35" s="495"/>
      <c r="F35" s="489"/>
      <c r="G35" s="489"/>
      <c r="H35" s="459"/>
      <c r="I35" s="459"/>
      <c r="J35" s="459"/>
      <c r="K35" s="493"/>
      <c r="L35" s="493"/>
      <c r="M35" s="493"/>
      <c r="N35" s="459"/>
      <c r="O35" s="459"/>
      <c r="P35" s="459"/>
      <c r="Q35" s="459"/>
      <c r="R35" s="459"/>
      <c r="S35" s="459"/>
      <c r="T35" s="459"/>
      <c r="U35" s="459"/>
      <c r="V35" s="467">
        <f>100*(+AD29/$E$9)</f>
        <v>1019.2206760904476</v>
      </c>
      <c r="W35" s="474">
        <f>EXP(5.7226-(0.68367*LN(+V35)))</f>
        <v>2.6830629646695376</v>
      </c>
      <c r="X35" s="468">
        <f>(+W35*V35)/100</f>
        <v>27.34633248843727</v>
      </c>
      <c r="Y35" s="467">
        <f>100*((((X35/100)-((X35/100)-0.03574)*$E$21)-0.03574-0.00619)/0.344)</f>
        <v>43.8102890766529</v>
      </c>
      <c r="Z35" s="459">
        <f>$E$20</f>
        <v>0.25</v>
      </c>
      <c r="AA35" s="467">
        <f>Y35+Z35</f>
        <v>44.0602890766529</v>
      </c>
      <c r="AB35" s="467">
        <f>100*($E$17*$E$19+($E$18*(AA35/100))/(1-$E$21))</f>
        <v>41.073006122059041</v>
      </c>
      <c r="AC35" s="468">
        <f>AB35/V35</f>
        <v>4.0298442805936703E-2</v>
      </c>
      <c r="AD35" s="466">
        <f>ROUND($E$8/(1-AC35),0)</f>
        <v>68219</v>
      </c>
      <c r="AE35" s="459" t="str">
        <f>IF(AD35=AD29,"yes","not yet")</f>
        <v>not yet</v>
      </c>
      <c r="AF35" s="467">
        <f>100*(1-AC35)</f>
        <v>95.970155719406321</v>
      </c>
      <c r="AG35" s="459"/>
      <c r="AH35" s="459"/>
      <c r="AI35" s="459"/>
      <c r="AJ35" s="467">
        <f>HLOOKUP($AJ$34,$AJ$28:$AR$32,($E$12)+1)</f>
        <v>1017.7755268875981</v>
      </c>
      <c r="AK35" s="459"/>
      <c r="AL35" s="459"/>
      <c r="AM35" s="459"/>
      <c r="AN35" s="459"/>
      <c r="AO35" s="459"/>
      <c r="AP35" s="459"/>
      <c r="AQ35" s="459"/>
      <c r="AR35" s="459"/>
      <c r="AS35" s="457"/>
      <c r="AT35" s="457"/>
      <c r="AU35" s="457"/>
      <c r="AV35" s="457"/>
      <c r="AW35" s="457"/>
      <c r="AX35" s="457"/>
      <c r="AY35" s="457"/>
      <c r="AZ35" s="457"/>
      <c r="BA35" s="457"/>
      <c r="BB35" s="457"/>
      <c r="BC35" s="457"/>
      <c r="BD35" s="457"/>
      <c r="BE35" s="457"/>
      <c r="BF35" s="457"/>
      <c r="BG35" s="457"/>
      <c r="BH35" s="457"/>
      <c r="BI35" s="457"/>
      <c r="BJ35" s="457"/>
    </row>
    <row r="36" spans="1:62" ht="14.25">
      <c r="A36" s="457"/>
      <c r="B36" s="459"/>
      <c r="C36" s="493"/>
      <c r="D36" s="493"/>
      <c r="E36" s="1300"/>
      <c r="F36" s="459"/>
      <c r="G36" s="459"/>
      <c r="H36" s="459"/>
      <c r="I36" s="459"/>
      <c r="J36" s="459"/>
      <c r="K36" s="459"/>
      <c r="L36" s="459"/>
      <c r="M36" s="459"/>
      <c r="N36" s="459"/>
      <c r="O36" s="459"/>
      <c r="P36" s="459"/>
      <c r="Q36" s="459"/>
      <c r="R36" s="459"/>
      <c r="S36" s="459"/>
      <c r="T36" s="459"/>
      <c r="U36" s="459"/>
      <c r="V36" s="467">
        <f>100*(+AD30/$E$9)</f>
        <v>1018.531998827773</v>
      </c>
      <c r="W36" s="474">
        <f>EXP(5.70827-(0.68367*LN(+V36)))</f>
        <v>2.6461113424087221</v>
      </c>
      <c r="X36" s="468">
        <f>(+W36*V36)/100</f>
        <v>26.951490747043977</v>
      </c>
      <c r="Y36" s="467">
        <f>100*((((X36/100)-((X36/100)-0.03574)*$E$21)-0.03574-0.00619)/0.344)</f>
        <v>43.052743875142518</v>
      </c>
      <c r="Z36" s="459">
        <f>$E$20</f>
        <v>0.25</v>
      </c>
      <c r="AA36" s="467">
        <f>Y36+Z36</f>
        <v>43.302743875142518</v>
      </c>
      <c r="AB36" s="467">
        <f>100*($E$17*$E$19+($E$18*(AA36/100))/(1-$E$21))</f>
        <v>40.384328666140519</v>
      </c>
      <c r="AC36" s="468">
        <f>AB36/V36</f>
        <v>3.9649543374797043E-2</v>
      </c>
      <c r="AD36" s="466">
        <f>ROUND($E$8/(1-AC36),0)</f>
        <v>68173</v>
      </c>
      <c r="AE36" s="459" t="str">
        <f>IF(AD36=AD30,"yes","not yet")</f>
        <v>not yet</v>
      </c>
      <c r="AF36" s="467">
        <f>100*(1-AC36)</f>
        <v>96.03504566252029</v>
      </c>
      <c r="AG36" s="459"/>
      <c r="AH36" s="459"/>
      <c r="AI36" s="459"/>
      <c r="AJ36" s="459"/>
      <c r="AK36" s="459"/>
      <c r="AL36" s="459"/>
      <c r="AM36" s="459"/>
      <c r="AN36" s="459"/>
      <c r="AO36" s="459"/>
      <c r="AP36" s="459"/>
      <c r="AQ36" s="459"/>
      <c r="AR36" s="459"/>
      <c r="AS36" s="457"/>
      <c r="AT36" s="457"/>
      <c r="AU36" s="457"/>
      <c r="AV36" s="457"/>
      <c r="AW36" s="457"/>
      <c r="AX36" s="457"/>
      <c r="AY36" s="457"/>
      <c r="AZ36" s="457"/>
      <c r="BA36" s="457"/>
      <c r="BB36" s="457"/>
      <c r="BC36" s="457"/>
      <c r="BD36" s="457"/>
      <c r="BE36" s="457"/>
      <c r="BF36" s="457"/>
      <c r="BG36" s="457"/>
      <c r="BH36" s="457"/>
      <c r="BI36" s="457"/>
      <c r="BJ36" s="457"/>
    </row>
    <row r="37" spans="1:62" ht="12.75">
      <c r="A37" s="457"/>
      <c r="B37" s="459"/>
      <c r="C37" s="493"/>
      <c r="D37" s="493"/>
      <c r="E37" s="495"/>
      <c r="F37" s="459"/>
      <c r="G37" s="489"/>
      <c r="H37" s="459"/>
      <c r="I37" s="459"/>
      <c r="J37" s="459"/>
      <c r="K37" s="459"/>
      <c r="L37" s="459"/>
      <c r="M37" s="459"/>
      <c r="N37" s="459"/>
      <c r="O37" s="459"/>
      <c r="P37" s="459"/>
      <c r="Q37" s="459"/>
      <c r="R37" s="459"/>
      <c r="S37" s="459"/>
      <c r="T37" s="459"/>
      <c r="U37" s="459"/>
      <c r="V37" s="467">
        <f>100*(+AD31/$E$9)</f>
        <v>1018.0682573366053</v>
      </c>
      <c r="W37" s="474">
        <f>EXP(5.6985-(0.68367*LN(V37)))</f>
        <v>2.6212006935127463</v>
      </c>
      <c r="X37" s="468">
        <f>(+W37*V37)/100</f>
        <v>26.685612221740229</v>
      </c>
      <c r="Y37" s="467">
        <f>100*((((X37/100)-((X37/100)-0.03574)*$E$21)-0.03574-0.00619)/0.344)</f>
        <v>42.542628099850447</v>
      </c>
      <c r="Z37" s="459">
        <f>$E$20</f>
        <v>0.25</v>
      </c>
      <c r="AA37" s="467">
        <f>Y37+Z37</f>
        <v>42.792628099850447</v>
      </c>
      <c r="AB37" s="467">
        <f>100*($E$17*$E$19+($E$18*(AA37/100))/(1-$E$21))</f>
        <v>39.920587052238638</v>
      </c>
      <c r="AC37" s="468">
        <f>AB37/V37</f>
        <v>3.9212092867599975E-2</v>
      </c>
      <c r="AD37" s="466">
        <f>ROUND($E$8/(1-AC37),0)</f>
        <v>68142</v>
      </c>
      <c r="AE37" s="459" t="str">
        <f>IF(AD37=AD31,"yes","not yet")</f>
        <v>not yet</v>
      </c>
      <c r="AF37" s="467">
        <f>100*(1-AC37)</f>
        <v>96.078790713239997</v>
      </c>
      <c r="AG37" s="459"/>
      <c r="AH37" s="459"/>
      <c r="AI37" s="459"/>
      <c r="AJ37" s="459" t="str">
        <f>HLOOKUP(1,$AJ$13:$AR$17,($E$12)+1)</f>
        <v>not yet</v>
      </c>
      <c r="AK37" s="459" t="str">
        <f>HLOOKUP(2,$AJ$13:$AR$17,($E$12)+1)</f>
        <v>not yet</v>
      </c>
      <c r="AL37" s="459" t="str">
        <f>HLOOKUP(3,$AJ$13:$AR$17,($E$12)+1)</f>
        <v>not yet</v>
      </c>
      <c r="AM37" s="459" t="str">
        <f>HLOOKUP(4,$AJ$13:$AR$17,($E$12)+1)</f>
        <v>not yet</v>
      </c>
      <c r="AN37" s="459" t="str">
        <f>HLOOKUP(5,$AJ$13:$AR$17,($E$12)+1)</f>
        <v>not yet</v>
      </c>
      <c r="AO37" s="459" t="str">
        <f>HLOOKUP(6,$AJ$13:$AR$17,($E$12)+1)</f>
        <v>not yet</v>
      </c>
      <c r="AP37" s="459" t="str">
        <f>HLOOKUP(7,$AJ$13:$AR$17,($E$12)+1)</f>
        <v>yes</v>
      </c>
      <c r="AQ37" s="459" t="str">
        <f>HLOOKUP(8,$AJ$13:$AR$17,($E$12)+1)</f>
        <v>yes</v>
      </c>
      <c r="AR37" s="459" t="str">
        <f>HLOOKUP(9,$AJ$13:$AR$17,($E$12)+1)</f>
        <v>yes</v>
      </c>
      <c r="AS37" s="457"/>
      <c r="AT37" s="457"/>
      <c r="AU37" s="457"/>
      <c r="AV37" s="457"/>
      <c r="AW37" s="457"/>
      <c r="AX37" s="457"/>
      <c r="AY37" s="457"/>
      <c r="AZ37" s="457"/>
      <c r="BA37" s="457"/>
      <c r="BB37" s="457"/>
      <c r="BC37" s="457"/>
      <c r="BD37" s="457"/>
      <c r="BE37" s="457"/>
      <c r="BF37" s="457"/>
      <c r="BG37" s="457"/>
      <c r="BH37" s="457"/>
      <c r="BI37" s="457"/>
      <c r="BJ37" s="457"/>
    </row>
    <row r="38" spans="1:62" ht="12.75">
      <c r="A38" s="457"/>
      <c r="B38" s="459"/>
      <c r="C38" s="459"/>
      <c r="D38" s="459"/>
      <c r="E38" s="463"/>
      <c r="F38" s="459"/>
      <c r="G38" s="459"/>
      <c r="H38" s="459"/>
      <c r="I38" s="459"/>
      <c r="J38" s="459"/>
      <c r="K38" s="459"/>
      <c r="L38" s="459"/>
      <c r="M38" s="459"/>
      <c r="N38" s="459"/>
      <c r="O38" s="459"/>
      <c r="P38" s="459"/>
      <c r="Q38" s="459"/>
      <c r="R38" s="459"/>
      <c r="S38" s="459"/>
      <c r="T38" s="459"/>
      <c r="U38" s="459"/>
      <c r="V38" s="467">
        <f>100*(+AD32/$E$9)</f>
        <v>1017.7716851522133</v>
      </c>
      <c r="W38" s="474">
        <f>EXP(5.6922-(0.68367*LN(V38)))</f>
        <v>2.6052579224040375</v>
      </c>
      <c r="X38" s="468">
        <f>(+W38*V38)/100</f>
        <v>26.515577459413116</v>
      </c>
      <c r="Y38" s="467">
        <f>100*((((X38/100)-((X38/100)-0.03574)*$E$21)-0.03574-0.00619)/0.344)</f>
        <v>42.216398613990286</v>
      </c>
      <c r="Z38" s="459">
        <f>$E$20</f>
        <v>0.25</v>
      </c>
      <c r="AA38" s="467">
        <f>Y38+Z38</f>
        <v>42.466398613990286</v>
      </c>
      <c r="AB38" s="467">
        <f>100*($E$17*$E$19+($E$18*(AA38/100))/(1-$E$21))</f>
        <v>39.624014792365756</v>
      </c>
      <c r="AC38" s="468">
        <f>AB38/V38</f>
        <v>3.8932125318891897E-2</v>
      </c>
      <c r="AD38" s="466">
        <f>ROUND($E$8/(1-AC38),0)</f>
        <v>68122</v>
      </c>
      <c r="AE38" s="459" t="str">
        <f>IF(AD38=AD32,"yes","not yet")</f>
        <v>not yet</v>
      </c>
      <c r="AF38" s="467">
        <f>100*(1-AC38)</f>
        <v>96.106787468110809</v>
      </c>
      <c r="AG38" s="459"/>
      <c r="AH38" s="459"/>
      <c r="AI38" s="459">
        <v>1</v>
      </c>
      <c r="AJ38" s="466">
        <f>AD5</f>
        <v>67907.809316665676</v>
      </c>
      <c r="AK38" s="466">
        <f>AD11</f>
        <v>68227.018224962681</v>
      </c>
      <c r="AL38" s="466">
        <f>AD17</f>
        <v>68218.507002456783</v>
      </c>
      <c r="AM38" s="466">
        <f>AD23</f>
        <v>68218.733085217376</v>
      </c>
      <c r="AN38" s="466">
        <f>AD29</f>
        <v>68218.727079199438</v>
      </c>
      <c r="AO38" s="466">
        <f>AD35</f>
        <v>68219</v>
      </c>
      <c r="AP38" s="466">
        <f>AD41</f>
        <v>68219</v>
      </c>
      <c r="AQ38" s="466">
        <f>AD47</f>
        <v>68219</v>
      </c>
      <c r="AR38" s="466">
        <f>AD53</f>
        <v>68219</v>
      </c>
      <c r="AS38" s="457"/>
      <c r="AT38" s="457"/>
      <c r="AU38" s="457"/>
      <c r="AV38" s="457"/>
      <c r="AW38" s="457"/>
      <c r="AX38" s="457"/>
      <c r="AY38" s="457"/>
      <c r="AZ38" s="457"/>
      <c r="BA38" s="457"/>
      <c r="BB38" s="457"/>
      <c r="BC38" s="457"/>
      <c r="BD38" s="457"/>
      <c r="BE38" s="457"/>
      <c r="BF38" s="457"/>
      <c r="BG38" s="457"/>
      <c r="BH38" s="457"/>
      <c r="BI38" s="457"/>
      <c r="BJ38" s="457"/>
    </row>
    <row r="39" spans="1:62" ht="12.75">
      <c r="A39" s="457"/>
      <c r="B39" s="459"/>
      <c r="C39" s="459"/>
      <c r="D39" s="459"/>
      <c r="E39" s="463"/>
      <c r="F39" s="459"/>
      <c r="G39" s="459"/>
      <c r="H39" s="459"/>
      <c r="I39" s="459"/>
      <c r="J39" s="459"/>
      <c r="K39" s="459"/>
      <c r="L39" s="459"/>
      <c r="M39" s="459"/>
      <c r="N39" s="459"/>
      <c r="O39" s="459"/>
      <c r="P39" s="459"/>
      <c r="Q39" s="459"/>
      <c r="R39" s="459"/>
      <c r="S39" s="459"/>
      <c r="T39" s="459"/>
      <c r="U39" s="459"/>
      <c r="V39" s="459"/>
      <c r="W39" s="459"/>
      <c r="X39" s="459"/>
      <c r="Y39" s="459"/>
      <c r="Z39" s="459"/>
      <c r="AA39" s="467"/>
      <c r="AB39" s="459"/>
      <c r="AC39" s="459"/>
      <c r="AD39" s="459"/>
      <c r="AE39" s="459"/>
      <c r="AF39" s="459"/>
      <c r="AG39" s="459"/>
      <c r="AH39" s="459"/>
      <c r="AI39" s="459">
        <v>2</v>
      </c>
      <c r="AJ39" s="466">
        <f>AD6</f>
        <v>67866.423149930008</v>
      </c>
      <c r="AK39" s="466">
        <f>AD12</f>
        <v>68180.649502233035</v>
      </c>
      <c r="AL39" s="466">
        <f>AD18</f>
        <v>68172.423410584932</v>
      </c>
      <c r="AM39" s="466">
        <f>AD24</f>
        <v>68172.637960929744</v>
      </c>
      <c r="AN39" s="466">
        <f>AD30</f>
        <v>68172.632364551129</v>
      </c>
      <c r="AO39" s="466">
        <f>AD36</f>
        <v>68173</v>
      </c>
      <c r="AP39" s="466">
        <f>AD42</f>
        <v>68173</v>
      </c>
      <c r="AQ39" s="466">
        <f>AD48</f>
        <v>68173</v>
      </c>
      <c r="AR39" s="466">
        <f>AD54</f>
        <v>68173</v>
      </c>
      <c r="AS39" s="457"/>
      <c r="AT39" s="457"/>
      <c r="AU39" s="457"/>
      <c r="AV39" s="457"/>
      <c r="AW39" s="457"/>
      <c r="AX39" s="457"/>
      <c r="AY39" s="457"/>
      <c r="AZ39" s="457"/>
      <c r="BA39" s="457"/>
      <c r="BB39" s="457"/>
      <c r="BC39" s="457"/>
      <c r="BD39" s="457"/>
      <c r="BE39" s="457"/>
      <c r="BF39" s="457"/>
      <c r="BG39" s="457"/>
      <c r="BH39" s="457"/>
      <c r="BI39" s="457"/>
      <c r="BJ39" s="457"/>
    </row>
    <row r="40" spans="1:62" ht="12.75">
      <c r="A40" s="457"/>
      <c r="B40" s="459"/>
      <c r="C40" s="459"/>
      <c r="D40" s="459"/>
      <c r="E40" s="463"/>
      <c r="F40" s="459"/>
      <c r="G40" s="459"/>
      <c r="H40" s="459"/>
      <c r="I40" s="459"/>
      <c r="J40" s="459"/>
      <c r="K40" s="459"/>
      <c r="L40" s="459"/>
      <c r="M40" s="459"/>
      <c r="N40" s="459"/>
      <c r="O40" s="459"/>
      <c r="P40" s="459"/>
      <c r="Q40" s="459"/>
      <c r="R40" s="459"/>
      <c r="S40" s="459"/>
      <c r="T40" s="459"/>
      <c r="U40" s="459"/>
      <c r="V40" s="464" t="s">
        <v>1451</v>
      </c>
      <c r="W40" s="473" t="s">
        <v>1400</v>
      </c>
      <c r="X40" s="473" t="s">
        <v>1401</v>
      </c>
      <c r="Y40" s="473" t="s">
        <v>1402</v>
      </c>
      <c r="Z40" s="459"/>
      <c r="AA40" s="467"/>
      <c r="AB40" s="459"/>
      <c r="AC40" s="459"/>
      <c r="AD40" s="459"/>
      <c r="AE40" s="459"/>
      <c r="AF40" s="459"/>
      <c r="AG40" s="459"/>
      <c r="AH40" s="459"/>
      <c r="AI40" s="459">
        <v>3</v>
      </c>
      <c r="AJ40" s="466">
        <f>AD7</f>
        <v>67838.573141975576</v>
      </c>
      <c r="AK40" s="466">
        <f>AD13</f>
        <v>68149.427831395456</v>
      </c>
      <c r="AL40" s="466">
        <f>AD19</f>
        <v>68141.391439648185</v>
      </c>
      <c r="AM40" s="466">
        <f>AD25</f>
        <v>68141.598438167348</v>
      </c>
      <c r="AN40" s="466">
        <f>AD31</f>
        <v>68141.593105867112</v>
      </c>
      <c r="AO40" s="466">
        <f>AD37</f>
        <v>68142</v>
      </c>
      <c r="AP40" s="466">
        <f>AD43</f>
        <v>68142</v>
      </c>
      <c r="AQ40" s="466">
        <f>AD49</f>
        <v>68142</v>
      </c>
      <c r="AR40" s="466">
        <f>AD55</f>
        <v>68142</v>
      </c>
      <c r="AS40" s="457"/>
      <c r="AT40" s="457"/>
      <c r="AU40" s="457"/>
      <c r="AV40" s="457"/>
      <c r="AW40" s="457"/>
      <c r="AX40" s="457"/>
      <c r="AY40" s="457"/>
      <c r="AZ40" s="457"/>
      <c r="BA40" s="457"/>
      <c r="BB40" s="457"/>
      <c r="BC40" s="457"/>
      <c r="BD40" s="457"/>
      <c r="BE40" s="457"/>
      <c r="BF40" s="457"/>
      <c r="BG40" s="457"/>
      <c r="BH40" s="457"/>
      <c r="BI40" s="457"/>
      <c r="BJ40" s="457"/>
    </row>
    <row r="41" spans="1:62" ht="12.75">
      <c r="A41" s="457"/>
      <c r="B41" s="459"/>
      <c r="C41" s="459"/>
      <c r="D41" s="459"/>
      <c r="E41" s="463"/>
      <c r="F41" s="459"/>
      <c r="G41" s="459"/>
      <c r="H41" s="459"/>
      <c r="I41" s="459"/>
      <c r="J41" s="459"/>
      <c r="K41" s="459"/>
      <c r="L41" s="459"/>
      <c r="M41" s="459"/>
      <c r="N41" s="459"/>
      <c r="O41" s="459"/>
      <c r="P41" s="459"/>
      <c r="Q41" s="459"/>
      <c r="R41" s="459"/>
      <c r="S41" s="459"/>
      <c r="T41" s="459"/>
      <c r="U41" s="459"/>
      <c r="V41" s="467">
        <f>100*(+AD35/$E$9)</f>
        <v>1019.2247536588042</v>
      </c>
      <c r="W41" s="474">
        <f>EXP(5.7226-(0.68367*LN(+V41)))</f>
        <v>2.683055626141631</v>
      </c>
      <c r="X41" s="468">
        <f>(+W41*V41)/100</f>
        <v>27.346367096070725</v>
      </c>
      <c r="Y41" s="467">
        <f>100*((((X41/100)-((X41/100)-0.03574)*$E$21)-0.03574-0.00619)/0.344)</f>
        <v>43.810355475019414</v>
      </c>
      <c r="Z41" s="459">
        <f>$E$20</f>
        <v>0.25</v>
      </c>
      <c r="AA41" s="467">
        <f>Y41+Z41</f>
        <v>44.060355475019414</v>
      </c>
      <c r="AB41" s="467">
        <f>100*($E$17*$E$19+($E$18*(AA41/100))/(1-$E$21))</f>
        <v>41.073066484210415</v>
      </c>
      <c r="AC41" s="468">
        <f>AB41/V41</f>
        <v>4.0298340809293218E-2</v>
      </c>
      <c r="AD41" s="466">
        <f>ROUND($E$8/(1-AC41),0)</f>
        <v>68219</v>
      </c>
      <c r="AE41" s="459" t="str">
        <f>IF(OR(OR(AD41=AD35,AD41=(AD35+1)),AD41=(AD27-1)),"yes","not yet")</f>
        <v>yes</v>
      </c>
      <c r="AF41" s="467">
        <f>100*(1-AC41)</f>
        <v>95.970165919070681</v>
      </c>
      <c r="AG41" s="459"/>
      <c r="AH41" s="459"/>
      <c r="AI41" s="459">
        <v>4</v>
      </c>
      <c r="AJ41" s="466">
        <f>AD8</f>
        <v>67820.770334233312</v>
      </c>
      <c r="AK41" s="466">
        <f>AD14</f>
        <v>68129.461827184845</v>
      </c>
      <c r="AL41" s="466">
        <f>AD20</f>
        <v>68121.545773879843</v>
      </c>
      <c r="AM41" s="466">
        <f>AD26</f>
        <v>68121.748032298303</v>
      </c>
      <c r="AN41" s="466">
        <f>AD32</f>
        <v>68121.742864029467</v>
      </c>
      <c r="AO41" s="466">
        <f>AD38</f>
        <v>68122</v>
      </c>
      <c r="AP41" s="466">
        <f>AD44</f>
        <v>68122</v>
      </c>
      <c r="AQ41" s="466">
        <f>AD50</f>
        <v>68122</v>
      </c>
      <c r="AR41" s="466">
        <f>AD56</f>
        <v>68122</v>
      </c>
      <c r="AS41" s="457"/>
      <c r="AT41" s="457"/>
      <c r="AU41" s="457"/>
      <c r="AV41" s="457"/>
      <c r="AW41" s="457"/>
      <c r="AX41" s="457"/>
      <c r="AY41" s="457"/>
      <c r="AZ41" s="457"/>
      <c r="BA41" s="457"/>
      <c r="BB41" s="457"/>
      <c r="BC41" s="457"/>
      <c r="BD41" s="457"/>
      <c r="BE41" s="457"/>
      <c r="BF41" s="457"/>
      <c r="BG41" s="457"/>
      <c r="BH41" s="457"/>
      <c r="BI41" s="457"/>
      <c r="BJ41" s="457"/>
    </row>
    <row r="42" spans="1:62" ht="12.75">
      <c r="A42" s="457"/>
      <c r="B42" s="459"/>
      <c r="C42" s="459"/>
      <c r="D42" s="459"/>
      <c r="E42" s="462"/>
      <c r="F42" s="459"/>
      <c r="G42" s="459"/>
      <c r="H42" s="459"/>
      <c r="I42" s="459"/>
      <c r="J42" s="459"/>
      <c r="K42" s="459"/>
      <c r="L42" s="459"/>
      <c r="M42" s="459"/>
      <c r="N42" s="459"/>
      <c r="O42" s="459"/>
      <c r="P42" s="459"/>
      <c r="Q42" s="459"/>
      <c r="R42" s="459"/>
      <c r="S42" s="459"/>
      <c r="T42" s="459"/>
      <c r="U42" s="459"/>
      <c r="V42" s="467">
        <f>100*(+AD36/$E$9)</f>
        <v>1018.5374914786445</v>
      </c>
      <c r="W42" s="474">
        <f>EXP(5.70827-(0.68367*LN(+V42)))</f>
        <v>2.6461015866739848</v>
      </c>
      <c r="X42" s="468">
        <f>(+W42*V42)/100</f>
        <v>26.951536722885812</v>
      </c>
      <c r="Y42" s="467">
        <f>100*((((X42/100)-((X42/100)-0.03574)*$E$21)-0.03574-0.00619)/0.344)</f>
        <v>43.052832084606493</v>
      </c>
      <c r="Z42" s="459">
        <f>$E$20</f>
        <v>0.25</v>
      </c>
      <c r="AA42" s="467">
        <f>Y42+Z42</f>
        <v>43.302832084606493</v>
      </c>
      <c r="AB42" s="467">
        <f>100*($E$17*$E$19+($E$18*(AA42/100))/(1-$E$21))</f>
        <v>40.38440885656231</v>
      </c>
      <c r="AC42" s="468">
        <f>AB42/V42</f>
        <v>3.9649408288284935E-2</v>
      </c>
      <c r="AD42" s="466">
        <f>ROUND($E$8/(1-AC42),0)</f>
        <v>68173</v>
      </c>
      <c r="AE42" s="459" t="str">
        <f>IF(OR(OR(AD42=AD36,AD42=(AD36+5)),AD42=(AD28-5)),"yes","not yet")</f>
        <v>yes</v>
      </c>
      <c r="AF42" s="467">
        <f>100*(1-AC42)</f>
        <v>96.035059171171511</v>
      </c>
      <c r="AG42" s="459"/>
      <c r="AH42" s="459"/>
      <c r="AI42" s="459"/>
      <c r="AJ42" s="459"/>
      <c r="AK42" s="459"/>
      <c r="AL42" s="459"/>
      <c r="AM42" s="459"/>
      <c r="AN42" s="459"/>
      <c r="AO42" s="459"/>
      <c r="AP42" s="459"/>
      <c r="AQ42" s="459"/>
      <c r="AR42" s="459"/>
      <c r="AS42" s="457"/>
      <c r="AT42" s="457"/>
      <c r="AU42" s="457"/>
      <c r="AV42" s="457"/>
      <c r="AW42" s="457"/>
      <c r="AX42" s="457"/>
      <c r="AY42" s="457"/>
      <c r="AZ42" s="457"/>
      <c r="BA42" s="457"/>
      <c r="BB42" s="457"/>
      <c r="BC42" s="457"/>
      <c r="BD42" s="457"/>
      <c r="BE42" s="457"/>
      <c r="BF42" s="457"/>
      <c r="BG42" s="457"/>
      <c r="BH42" s="457"/>
      <c r="BI42" s="457"/>
      <c r="BJ42" s="457"/>
    </row>
    <row r="43" spans="1:62" ht="12.75">
      <c r="A43" s="457"/>
      <c r="B43" s="459"/>
      <c r="C43" s="459"/>
      <c r="D43" s="459"/>
      <c r="E43" s="463"/>
      <c r="F43" s="459"/>
      <c r="G43" s="459"/>
      <c r="H43" s="459"/>
      <c r="I43" s="459"/>
      <c r="J43" s="459"/>
      <c r="K43" s="459"/>
      <c r="L43" s="459"/>
      <c r="M43" s="459"/>
      <c r="N43" s="459"/>
      <c r="O43" s="459"/>
      <c r="P43" s="459"/>
      <c r="Q43" s="459"/>
      <c r="R43" s="459"/>
      <c r="S43" s="459"/>
      <c r="T43" s="459"/>
      <c r="U43" s="459"/>
      <c r="V43" s="467">
        <f>100*(+AD37/$E$9)</f>
        <v>1018.0743365311457</v>
      </c>
      <c r="W43" s="474">
        <f>EXP(5.6985-(0.68367*LN(V43)))</f>
        <v>2.6211899927740498</v>
      </c>
      <c r="X43" s="468">
        <f>(+W43*V43)/100</f>
        <v>26.685662628155196</v>
      </c>
      <c r="Y43" s="467">
        <f>100*((((X43/100)-((X43/100)-0.03574)*$E$21)-0.03574-0.00619)/0.344)</f>
        <v>42.542724809832642</v>
      </c>
      <c r="Z43" s="459">
        <f>$E$20</f>
        <v>0.25</v>
      </c>
      <c r="AA43" s="467">
        <f>Y43+Z43</f>
        <v>42.792724809832642</v>
      </c>
      <c r="AB43" s="467">
        <f>100*($E$17*$E$19+($E$18*(AA43/100))/(1-$E$21))</f>
        <v>39.920674970404264</v>
      </c>
      <c r="AC43" s="468">
        <f>AB43/V43</f>
        <v>3.9211945079005515E-2</v>
      </c>
      <c r="AD43" s="466">
        <f>ROUND($E$8/(1-AC43),0)</f>
        <v>68142</v>
      </c>
      <c r="AE43" s="459" t="str">
        <f>IF(OR(OR(AD43=AD37,AD43=(AD37+5)),AD43=(AD29-5)),"yes","not yet")</f>
        <v>yes</v>
      </c>
      <c r="AF43" s="467">
        <f>100*(1-AC43)</f>
        <v>96.078805492099448</v>
      </c>
      <c r="AG43" s="459"/>
      <c r="AH43" s="459"/>
      <c r="AI43" s="459"/>
      <c r="AJ43" s="459" t="s">
        <v>1448</v>
      </c>
      <c r="AK43" s="459"/>
      <c r="AL43" s="459"/>
      <c r="AM43" s="459"/>
      <c r="AN43" s="459"/>
      <c r="AO43" s="459"/>
      <c r="AP43" s="459"/>
      <c r="AQ43" s="459"/>
      <c r="AR43" s="459"/>
      <c r="AS43" s="457"/>
      <c r="AT43" s="457"/>
      <c r="AU43" s="457"/>
      <c r="AV43" s="457"/>
      <c r="AW43" s="457"/>
      <c r="AX43" s="457"/>
      <c r="AY43" s="457"/>
      <c r="AZ43" s="457"/>
      <c r="BA43" s="457"/>
      <c r="BB43" s="457"/>
      <c r="BC43" s="457"/>
      <c r="BD43" s="457"/>
      <c r="BE43" s="457"/>
      <c r="BF43" s="457"/>
      <c r="BG43" s="457"/>
      <c r="BH43" s="457"/>
      <c r="BI43" s="457"/>
      <c r="BJ43" s="457"/>
    </row>
    <row r="44" spans="1:62" ht="12.75">
      <c r="A44" s="457"/>
      <c r="B44" s="459"/>
      <c r="C44" s="459"/>
      <c r="D44" s="459"/>
      <c r="E44" s="489"/>
      <c r="F44" s="459"/>
      <c r="G44" s="459"/>
      <c r="H44" s="459"/>
      <c r="I44" s="459"/>
      <c r="J44" s="459"/>
      <c r="K44" s="459"/>
      <c r="L44" s="459"/>
      <c r="M44" s="459"/>
      <c r="N44" s="459"/>
      <c r="O44" s="459"/>
      <c r="P44" s="459"/>
      <c r="Q44" s="459"/>
      <c r="R44" s="459"/>
      <c r="S44" s="459"/>
      <c r="T44" s="459"/>
      <c r="U44" s="459"/>
      <c r="V44" s="467">
        <f>100*(+AD38/$E$9)</f>
        <v>1017.7755268875981</v>
      </c>
      <c r="W44" s="474">
        <f>EXP(5.6922-(0.68367*LN(V44)))</f>
        <v>2.6052511992517058</v>
      </c>
      <c r="X44" s="468">
        <f>(+W44*V44)/100</f>
        <v>26.515609119929518</v>
      </c>
      <c r="Y44" s="467">
        <f>100*((((X44/100)-((X44/100)-0.03574)*$E$21)-0.03574-0.00619)/0.344)</f>
        <v>42.216459358004307</v>
      </c>
      <c r="Z44" s="459">
        <f>$E$20</f>
        <v>0.25</v>
      </c>
      <c r="AA44" s="467">
        <f>Y44+Z44</f>
        <v>42.466459358004307</v>
      </c>
      <c r="AB44" s="467">
        <f>100*($E$17*$E$19+($E$18*(AA44/100))/(1-$E$21))</f>
        <v>39.624070014196683</v>
      </c>
      <c r="AC44" s="468">
        <f>AB44/V44</f>
        <v>3.8932032621543593E-2</v>
      </c>
      <c r="AD44" s="466">
        <f>ROUND($E$8/(1-AC44),0)</f>
        <v>68122</v>
      </c>
      <c r="AE44" s="459" t="str">
        <f>IF(OR(OR(AD44=AD38,AD44=(AD38+5)),AD44=(AD30-5)),"yes","not yet")</f>
        <v>yes</v>
      </c>
      <c r="AF44" s="467">
        <f>100*(1-AC44)</f>
        <v>96.106796737845642</v>
      </c>
      <c r="AG44" s="459"/>
      <c r="AH44" s="459"/>
      <c r="AI44" s="459"/>
      <c r="AJ44" s="466">
        <f>HLOOKUP($AJ$34,$AJ$37:$AR$41,($E$12)+1)</f>
        <v>68122</v>
      </c>
      <c r="AK44" s="459"/>
      <c r="AL44" s="459"/>
      <c r="AM44" s="459"/>
      <c r="AN44" s="459"/>
      <c r="AO44" s="459"/>
      <c r="AP44" s="459"/>
      <c r="AQ44" s="459"/>
      <c r="AR44" s="459"/>
      <c r="AS44" s="457"/>
      <c r="AT44" s="457"/>
      <c r="AU44" s="457"/>
      <c r="AV44" s="457"/>
      <c r="AW44" s="457"/>
      <c r="AX44" s="457"/>
      <c r="AY44" s="457"/>
      <c r="AZ44" s="457"/>
      <c r="BA44" s="457"/>
      <c r="BB44" s="457"/>
      <c r="BC44" s="457"/>
      <c r="BD44" s="457"/>
      <c r="BE44" s="457"/>
      <c r="BF44" s="457"/>
      <c r="BG44" s="457"/>
      <c r="BH44" s="457"/>
      <c r="BI44" s="457"/>
      <c r="BJ44" s="457"/>
    </row>
    <row r="45" spans="1:62" ht="12.75">
      <c r="A45" s="457"/>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67"/>
      <c r="AB45" s="459"/>
      <c r="AC45" s="459"/>
      <c r="AD45" s="459"/>
      <c r="AE45" s="459"/>
      <c r="AF45" s="459"/>
      <c r="AG45" s="459"/>
      <c r="AH45" s="459"/>
      <c r="AI45" s="459"/>
      <c r="AJ45" s="459"/>
      <c r="AK45" s="459"/>
      <c r="AL45" s="459"/>
      <c r="AM45" s="459"/>
      <c r="AN45" s="459"/>
      <c r="AO45" s="459"/>
      <c r="AP45" s="459"/>
      <c r="AQ45" s="459"/>
      <c r="AR45" s="459"/>
      <c r="AS45" s="457"/>
      <c r="AT45" s="457"/>
      <c r="AU45" s="457"/>
      <c r="AV45" s="457"/>
      <c r="AW45" s="457"/>
      <c r="AX45" s="457"/>
      <c r="AY45" s="457"/>
      <c r="AZ45" s="457"/>
      <c r="BA45" s="457"/>
      <c r="BB45" s="457"/>
      <c r="BC45" s="457"/>
      <c r="BD45" s="457"/>
      <c r="BE45" s="457"/>
      <c r="BF45" s="457"/>
      <c r="BG45" s="457"/>
      <c r="BH45" s="457"/>
      <c r="BI45" s="457"/>
      <c r="BJ45" s="457"/>
    </row>
    <row r="46" spans="1:62" ht="12.75">
      <c r="A46" s="457"/>
      <c r="B46" s="459"/>
      <c r="C46" s="459"/>
      <c r="D46" s="466"/>
      <c r="E46" s="466"/>
      <c r="F46" s="466"/>
      <c r="G46" s="459"/>
      <c r="H46" s="459"/>
      <c r="I46" s="459"/>
      <c r="J46" s="459"/>
      <c r="K46" s="459"/>
      <c r="L46" s="459"/>
      <c r="M46" s="459"/>
      <c r="N46" s="459"/>
      <c r="O46" s="459"/>
      <c r="P46" s="459"/>
      <c r="Q46" s="459"/>
      <c r="R46" s="459"/>
      <c r="S46" s="459"/>
      <c r="T46" s="459"/>
      <c r="U46" s="459"/>
      <c r="V46" s="464" t="s">
        <v>1452</v>
      </c>
      <c r="W46" s="473" t="s">
        <v>1400</v>
      </c>
      <c r="X46" s="473" t="s">
        <v>1401</v>
      </c>
      <c r="Y46" s="473" t="s">
        <v>1402</v>
      </c>
      <c r="Z46" s="459"/>
      <c r="AA46" s="467"/>
      <c r="AB46" s="459"/>
      <c r="AC46" s="459"/>
      <c r="AD46" s="459"/>
      <c r="AE46" s="459"/>
      <c r="AF46" s="459"/>
      <c r="AG46" s="459"/>
      <c r="AH46" s="459"/>
      <c r="AI46" s="459"/>
      <c r="AJ46" s="459"/>
      <c r="AK46" s="459"/>
      <c r="AL46" s="459"/>
      <c r="AM46" s="459"/>
      <c r="AN46" s="459"/>
      <c r="AO46" s="459"/>
      <c r="AP46" s="459"/>
      <c r="AQ46" s="459"/>
      <c r="AR46" s="459"/>
      <c r="AS46" s="457"/>
      <c r="AT46" s="457"/>
      <c r="AU46" s="457"/>
      <c r="AV46" s="457"/>
      <c r="AW46" s="457"/>
      <c r="AX46" s="457"/>
      <c r="AY46" s="457"/>
      <c r="AZ46" s="457"/>
      <c r="BA46" s="457"/>
      <c r="BB46" s="457"/>
      <c r="BC46" s="457"/>
      <c r="BD46" s="457"/>
      <c r="BE46" s="457"/>
      <c r="BF46" s="457"/>
      <c r="BG46" s="457"/>
      <c r="BH46" s="457"/>
      <c r="BI46" s="457"/>
      <c r="BJ46" s="457"/>
    </row>
    <row r="47" spans="1:62" ht="12.75">
      <c r="A47" s="457"/>
      <c r="B47" s="459"/>
      <c r="C47" s="459"/>
      <c r="D47" s="466"/>
      <c r="E47" s="466"/>
      <c r="F47" s="466"/>
      <c r="G47" s="459"/>
      <c r="H47" s="459"/>
      <c r="I47" s="459"/>
      <c r="J47" s="459"/>
      <c r="K47" s="459"/>
      <c r="L47" s="459"/>
      <c r="M47" s="459"/>
      <c r="N47" s="459"/>
      <c r="O47" s="459"/>
      <c r="P47" s="459"/>
      <c r="Q47" s="459"/>
      <c r="R47" s="459"/>
      <c r="S47" s="459"/>
      <c r="T47" s="459"/>
      <c r="U47" s="459"/>
      <c r="V47" s="467">
        <f>100*(+AD41/$E$9)</f>
        <v>1019.2247536588042</v>
      </c>
      <c r="W47" s="474">
        <f>EXP(5.7226-(0.68367*LN(+V47)))</f>
        <v>2.683055626141631</v>
      </c>
      <c r="X47" s="468">
        <f>(+W47*V47)/100</f>
        <v>27.346367096070725</v>
      </c>
      <c r="Y47" s="467">
        <f>100*((((X47/100)-((X47/100)-0.03574)*$E$21)-0.03574-0.00619)/0.344)</f>
        <v>43.810355475019414</v>
      </c>
      <c r="Z47" s="459">
        <f>$E$20</f>
        <v>0.25</v>
      </c>
      <c r="AA47" s="467">
        <f>Y47+Z47</f>
        <v>44.060355475019414</v>
      </c>
      <c r="AB47" s="467">
        <f>100*($E$17*$E$19+($E$18*(AA47/100))/(1-$E$21))</f>
        <v>41.073066484210415</v>
      </c>
      <c r="AC47" s="468">
        <f>AB47/V47</f>
        <v>4.0298340809293218E-2</v>
      </c>
      <c r="AD47" s="466">
        <f>ROUND($E$8/(1-AC47),0)</f>
        <v>68219</v>
      </c>
      <c r="AE47" s="459" t="str">
        <f>IF(OR(OR(AD47=AD41,AD47=(AD41+1)),AD47=(AD33-1)),"yes","not yet")</f>
        <v>yes</v>
      </c>
      <c r="AF47" s="467">
        <f>100*(1-AC47)</f>
        <v>95.970165919070681</v>
      </c>
      <c r="AG47" s="459"/>
      <c r="AH47" s="459"/>
      <c r="AI47" s="459"/>
      <c r="AJ47" s="459"/>
      <c r="AK47" s="459"/>
      <c r="AL47" s="459"/>
      <c r="AM47" s="459"/>
      <c r="AN47" s="459"/>
      <c r="AO47" s="459"/>
      <c r="AP47" s="459"/>
      <c r="AQ47" s="459"/>
      <c r="AR47" s="459"/>
      <c r="AS47" s="457"/>
      <c r="AT47" s="457"/>
      <c r="AU47" s="457"/>
      <c r="AV47" s="457"/>
      <c r="AW47" s="457"/>
      <c r="AX47" s="457"/>
      <c r="AY47" s="457"/>
      <c r="AZ47" s="457"/>
      <c r="BA47" s="457"/>
      <c r="BB47" s="457"/>
      <c r="BC47" s="457"/>
      <c r="BD47" s="457"/>
      <c r="BE47" s="457"/>
      <c r="BF47" s="457"/>
      <c r="BG47" s="457"/>
      <c r="BH47" s="457"/>
      <c r="BI47" s="457"/>
      <c r="BJ47" s="457"/>
    </row>
    <row r="48" spans="1:62" ht="12.75">
      <c r="A48" s="457"/>
      <c r="B48" s="459"/>
      <c r="C48" s="459"/>
      <c r="D48" s="459"/>
      <c r="E48" s="462"/>
      <c r="F48" s="459"/>
      <c r="G48" s="459"/>
      <c r="H48" s="459"/>
      <c r="I48" s="459"/>
      <c r="J48" s="459"/>
      <c r="K48" s="459"/>
      <c r="L48" s="459"/>
      <c r="M48" s="459"/>
      <c r="N48" s="459"/>
      <c r="O48" s="459"/>
      <c r="P48" s="459"/>
      <c r="Q48" s="459"/>
      <c r="R48" s="459"/>
      <c r="S48" s="459"/>
      <c r="T48" s="459"/>
      <c r="U48" s="459"/>
      <c r="V48" s="467">
        <f>100*(+AD42/$E$9)</f>
        <v>1018.5374914786445</v>
      </c>
      <c r="W48" s="474">
        <f>EXP(5.70827-(0.68367*LN(+V48)))</f>
        <v>2.6461015866739848</v>
      </c>
      <c r="X48" s="468">
        <f>(+W48*V48)/100</f>
        <v>26.951536722885812</v>
      </c>
      <c r="Y48" s="467">
        <f>100*((((X48/100)-((X48/100)-0.03574)*$E$21)-0.03574-0.00619)/0.344)</f>
        <v>43.052832084606493</v>
      </c>
      <c r="Z48" s="459">
        <f>$E$20</f>
        <v>0.25</v>
      </c>
      <c r="AA48" s="467">
        <f>Y48+Z48</f>
        <v>43.302832084606493</v>
      </c>
      <c r="AB48" s="467">
        <f>100*($E$17*$E$19+($E$18*(AA48/100))/(1-$E$21))</f>
        <v>40.38440885656231</v>
      </c>
      <c r="AC48" s="468">
        <f>AB48/V48</f>
        <v>3.9649408288284935E-2</v>
      </c>
      <c r="AD48" s="466">
        <f>ROUND($E$8/(1-AC48),0)</f>
        <v>68173</v>
      </c>
      <c r="AE48" s="459" t="str">
        <f>IF(OR(OR(AD48=AD42,AD48=(AD42+1)),AD48=(AD42-1)),"yes","not yet")</f>
        <v>yes</v>
      </c>
      <c r="AF48" s="467">
        <f>100*(1-AC48)</f>
        <v>96.035059171171511</v>
      </c>
      <c r="AG48" s="459"/>
      <c r="AH48" s="459"/>
      <c r="AI48" s="459"/>
      <c r="AJ48" s="459"/>
      <c r="AK48" s="459"/>
      <c r="AL48" s="459"/>
      <c r="AM48" s="459"/>
      <c r="AN48" s="459"/>
      <c r="AO48" s="459"/>
      <c r="AP48" s="459"/>
      <c r="AQ48" s="459"/>
      <c r="AR48" s="459"/>
      <c r="AS48" s="457"/>
      <c r="AT48" s="457"/>
      <c r="AU48" s="457"/>
      <c r="AV48" s="457"/>
      <c r="AW48" s="457"/>
      <c r="AX48" s="457"/>
      <c r="AY48" s="457"/>
      <c r="AZ48" s="457"/>
      <c r="BA48" s="457"/>
      <c r="BB48" s="457"/>
      <c r="BC48" s="457"/>
      <c r="BD48" s="457"/>
      <c r="BE48" s="457"/>
      <c r="BF48" s="457"/>
      <c r="BG48" s="457"/>
      <c r="BH48" s="457"/>
      <c r="BI48" s="457"/>
      <c r="BJ48" s="457"/>
    </row>
    <row r="49" spans="1:62" ht="12.75">
      <c r="A49" s="457"/>
      <c r="B49" s="459"/>
      <c r="C49" s="459"/>
      <c r="D49" s="459"/>
      <c r="E49" s="462"/>
      <c r="F49" s="459"/>
      <c r="G49" s="459"/>
      <c r="H49" s="459"/>
      <c r="I49" s="459"/>
      <c r="J49" s="459"/>
      <c r="K49" s="459"/>
      <c r="L49" s="459"/>
      <c r="M49" s="459"/>
      <c r="N49" s="459"/>
      <c r="O49" s="459"/>
      <c r="P49" s="459"/>
      <c r="Q49" s="459"/>
      <c r="R49" s="459"/>
      <c r="S49" s="459"/>
      <c r="T49" s="459"/>
      <c r="U49" s="459"/>
      <c r="V49" s="467">
        <f>100*(+AD43/$E$9)</f>
        <v>1018.0743365311457</v>
      </c>
      <c r="W49" s="474">
        <f>EXP(5.6985-(0.68367*LN(V49)))</f>
        <v>2.6211899927740498</v>
      </c>
      <c r="X49" s="468">
        <f>(+W49*V49)/100</f>
        <v>26.685662628155196</v>
      </c>
      <c r="Y49" s="467">
        <f>100*((((X49/100)-((X49/100)-0.03574)*$E$21)-0.03574-0.00619)/0.344)</f>
        <v>42.542724809832642</v>
      </c>
      <c r="Z49" s="459">
        <f>$E$20</f>
        <v>0.25</v>
      </c>
      <c r="AA49" s="467">
        <f>Y49+Z49</f>
        <v>42.792724809832642</v>
      </c>
      <c r="AB49" s="467">
        <f>100*($E$17*$E$19+($E$18*(AA49/100))/(1-$E$21))</f>
        <v>39.920674970404264</v>
      </c>
      <c r="AC49" s="468">
        <f>AB49/V49</f>
        <v>3.9211945079005515E-2</v>
      </c>
      <c r="AD49" s="466">
        <f>ROUND($E$8/(1-AC49),0)</f>
        <v>68142</v>
      </c>
      <c r="AE49" s="459" t="str">
        <f>IF(OR(OR(AD49=AD43,AD49=(AD43+1)),AD49=(AD43-1)),"yes","not yet")</f>
        <v>yes</v>
      </c>
      <c r="AF49" s="467">
        <f>100*(1-AC49)</f>
        <v>96.078805492099448</v>
      </c>
      <c r="AG49" s="459"/>
      <c r="AH49" s="459"/>
      <c r="AI49" s="459"/>
      <c r="AJ49" s="459"/>
      <c r="AK49" s="459"/>
      <c r="AL49" s="459"/>
      <c r="AM49" s="459"/>
      <c r="AN49" s="459"/>
      <c r="AO49" s="459"/>
      <c r="AP49" s="459"/>
      <c r="AQ49" s="459"/>
      <c r="AR49" s="459"/>
      <c r="AS49" s="457"/>
      <c r="AT49" s="457"/>
      <c r="AU49" s="457"/>
      <c r="AV49" s="457"/>
      <c r="AW49" s="457"/>
      <c r="AX49" s="457"/>
      <c r="AY49" s="457"/>
      <c r="AZ49" s="457"/>
      <c r="BA49" s="457"/>
      <c r="BB49" s="457"/>
      <c r="BC49" s="457"/>
      <c r="BD49" s="457"/>
      <c r="BE49" s="457"/>
      <c r="BF49" s="457"/>
      <c r="BG49" s="457"/>
      <c r="BH49" s="457"/>
      <c r="BI49" s="457"/>
      <c r="BJ49" s="457"/>
    </row>
    <row r="50" spans="1:62" ht="12.75">
      <c r="A50" s="457"/>
      <c r="B50" s="459"/>
      <c r="C50" s="459"/>
      <c r="D50" s="459"/>
      <c r="E50" s="462"/>
      <c r="F50" s="459"/>
      <c r="G50" s="459"/>
      <c r="H50" s="459"/>
      <c r="I50" s="459"/>
      <c r="J50" s="459"/>
      <c r="K50" s="459"/>
      <c r="L50" s="459"/>
      <c r="M50" s="459"/>
      <c r="N50" s="459"/>
      <c r="O50" s="459"/>
      <c r="P50" s="459"/>
      <c r="Q50" s="459"/>
      <c r="R50" s="459"/>
      <c r="S50" s="459"/>
      <c r="T50" s="459"/>
      <c r="U50" s="459"/>
      <c r="V50" s="467">
        <f>100*(+AD44/$E$9)</f>
        <v>1017.7755268875981</v>
      </c>
      <c r="W50" s="474">
        <f>EXP(5.6922-(0.68367*LN(V50)))</f>
        <v>2.6052511992517058</v>
      </c>
      <c r="X50" s="468">
        <f>(+W50*V50)/100</f>
        <v>26.515609119929518</v>
      </c>
      <c r="Y50" s="467">
        <f>100*((((X50/100)-((X50/100)-0.03574)*$E$21)-0.03574-0.00619)/0.344)</f>
        <v>42.216459358004307</v>
      </c>
      <c r="Z50" s="459">
        <f>$E$20</f>
        <v>0.25</v>
      </c>
      <c r="AA50" s="467">
        <f>Y50+Z50</f>
        <v>42.466459358004307</v>
      </c>
      <c r="AB50" s="467">
        <f>100*($E$17*$E$19+($E$18*(AA50/100))/(1-$E$21))</f>
        <v>39.624070014196683</v>
      </c>
      <c r="AC50" s="468">
        <f>AB50/V50</f>
        <v>3.8932032621543593E-2</v>
      </c>
      <c r="AD50" s="466">
        <f>ROUND($E$8/(1-AC50),0)</f>
        <v>68122</v>
      </c>
      <c r="AE50" s="459" t="str">
        <f>IF(OR(OR(AD50=AD44,AD50=(AD44+1)),AD50=(AD44-1)),"yes","not yet")</f>
        <v>yes</v>
      </c>
      <c r="AF50" s="467">
        <f>100*(1-AC50)</f>
        <v>96.106796737845642</v>
      </c>
      <c r="AG50" s="459"/>
      <c r="AH50" s="459"/>
      <c r="AI50" s="459"/>
      <c r="AJ50" s="459"/>
      <c r="AK50" s="459"/>
      <c r="AL50" s="459"/>
      <c r="AM50" s="459"/>
      <c r="AN50" s="459"/>
      <c r="AO50" s="459"/>
      <c r="AP50" s="459"/>
      <c r="AQ50" s="459"/>
      <c r="AR50" s="459"/>
      <c r="AS50" s="457"/>
      <c r="AT50" s="457"/>
      <c r="AU50" s="457"/>
      <c r="AV50" s="457"/>
      <c r="AW50" s="457"/>
      <c r="AX50" s="457"/>
      <c r="AY50" s="457"/>
      <c r="AZ50" s="457"/>
      <c r="BA50" s="457"/>
      <c r="BB50" s="457"/>
      <c r="BC50" s="457"/>
      <c r="BD50" s="457"/>
      <c r="BE50" s="457"/>
      <c r="BF50" s="457"/>
      <c r="BG50" s="457"/>
      <c r="BH50" s="457"/>
      <c r="BI50" s="457"/>
      <c r="BJ50" s="457"/>
    </row>
    <row r="51" spans="1:62" ht="12.75">
      <c r="A51" s="457"/>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67"/>
      <c r="AB51" s="459"/>
      <c r="AC51" s="459"/>
      <c r="AD51" s="459"/>
      <c r="AE51" s="459"/>
      <c r="AF51" s="459"/>
      <c r="AG51" s="459"/>
      <c r="AH51" s="459"/>
      <c r="AI51" s="459"/>
      <c r="AJ51" s="459"/>
      <c r="AK51" s="459"/>
      <c r="AL51" s="459"/>
      <c r="AM51" s="459"/>
      <c r="AN51" s="459"/>
      <c r="AO51" s="459"/>
      <c r="AP51" s="459"/>
      <c r="AQ51" s="459"/>
      <c r="AR51" s="459"/>
      <c r="AS51" s="457"/>
      <c r="AT51" s="457"/>
      <c r="AU51" s="457"/>
      <c r="AV51" s="457"/>
      <c r="AW51" s="457"/>
      <c r="AX51" s="457"/>
      <c r="AY51" s="457"/>
      <c r="AZ51" s="457"/>
      <c r="BA51" s="457"/>
      <c r="BB51" s="457"/>
      <c r="BC51" s="457"/>
      <c r="BD51" s="457"/>
      <c r="BE51" s="457"/>
      <c r="BF51" s="457"/>
      <c r="BG51" s="457"/>
      <c r="BH51" s="457"/>
      <c r="BI51" s="457"/>
      <c r="BJ51" s="457"/>
    </row>
    <row r="52" spans="1:62" ht="12.75">
      <c r="A52" s="457"/>
      <c r="B52" s="459"/>
      <c r="C52" s="459"/>
      <c r="D52" s="459"/>
      <c r="E52" s="459"/>
      <c r="F52" s="459"/>
      <c r="G52" s="459"/>
      <c r="H52" s="459"/>
      <c r="I52" s="459"/>
      <c r="J52" s="459"/>
      <c r="K52" s="459"/>
      <c r="L52" s="459"/>
      <c r="M52" s="459"/>
      <c r="N52" s="459"/>
      <c r="O52" s="459"/>
      <c r="P52" s="459"/>
      <c r="Q52" s="459"/>
      <c r="R52" s="459"/>
      <c r="S52" s="459"/>
      <c r="T52" s="459"/>
      <c r="U52" s="459"/>
      <c r="V52" s="464" t="s">
        <v>1453</v>
      </c>
      <c r="W52" s="473" t="s">
        <v>1400</v>
      </c>
      <c r="X52" s="473" t="s">
        <v>1401</v>
      </c>
      <c r="Y52" s="473" t="s">
        <v>1402</v>
      </c>
      <c r="Z52" s="459"/>
      <c r="AA52" s="467"/>
      <c r="AB52" s="459"/>
      <c r="AC52" s="459"/>
      <c r="AD52" s="459"/>
      <c r="AE52" s="459"/>
      <c r="AF52" s="459"/>
      <c r="AG52" s="459"/>
      <c r="AH52" s="459"/>
      <c r="AI52" s="459"/>
      <c r="AJ52" s="459"/>
      <c r="AK52" s="459"/>
      <c r="AL52" s="459"/>
      <c r="AM52" s="459"/>
      <c r="AN52" s="459"/>
      <c r="AO52" s="459"/>
      <c r="AP52" s="459"/>
      <c r="AQ52" s="459"/>
      <c r="AR52" s="459"/>
      <c r="AS52" s="457"/>
      <c r="AT52" s="457"/>
      <c r="AU52" s="457"/>
      <c r="AV52" s="457"/>
      <c r="AW52" s="457"/>
      <c r="AX52" s="457"/>
      <c r="AY52" s="457"/>
      <c r="AZ52" s="457"/>
      <c r="BA52" s="457"/>
      <c r="BB52" s="457"/>
      <c r="BC52" s="457"/>
      <c r="BD52" s="457"/>
      <c r="BE52" s="457"/>
      <c r="BF52" s="457"/>
      <c r="BG52" s="457"/>
      <c r="BH52" s="457"/>
      <c r="BI52" s="457"/>
      <c r="BJ52" s="457"/>
    </row>
    <row r="53" spans="1:62" ht="12.75">
      <c r="A53" s="457"/>
      <c r="B53" s="459"/>
      <c r="C53" s="459"/>
      <c r="D53" s="459"/>
      <c r="E53" s="459"/>
      <c r="F53" s="459"/>
      <c r="G53" s="459"/>
      <c r="H53" s="459"/>
      <c r="I53" s="459"/>
      <c r="J53" s="459"/>
      <c r="K53" s="459"/>
      <c r="L53" s="459"/>
      <c r="M53" s="459"/>
      <c r="N53" s="459"/>
      <c r="O53" s="459"/>
      <c r="P53" s="459"/>
      <c r="Q53" s="459"/>
      <c r="R53" s="459"/>
      <c r="S53" s="459"/>
      <c r="T53" s="459"/>
      <c r="U53" s="459"/>
      <c r="V53" s="467">
        <f>100*(+AD47/$E$9)</f>
        <v>1019.2247536588042</v>
      </c>
      <c r="W53" s="474">
        <f>EXP(5.7226-(0.68367*LN(+V53)))</f>
        <v>2.683055626141631</v>
      </c>
      <c r="X53" s="468">
        <f>(+W53*V53)/100</f>
        <v>27.346367096070725</v>
      </c>
      <c r="Y53" s="467">
        <f>100*((((X53/100)-((X53/100)-0.03574)*$E$21)-0.03574-0.00619)/0.344)</f>
        <v>43.810355475019414</v>
      </c>
      <c r="Z53" s="459">
        <f>$E$20</f>
        <v>0.25</v>
      </c>
      <c r="AA53" s="467">
        <f>Y53+Z53</f>
        <v>44.060355475019414</v>
      </c>
      <c r="AB53" s="467">
        <f>100*($E$17*$E$19+($E$18*(AA53/100))/(1-$E$21))</f>
        <v>41.073066484210415</v>
      </c>
      <c r="AC53" s="468">
        <f>AB53/V53</f>
        <v>4.0298340809293218E-2</v>
      </c>
      <c r="AD53" s="466">
        <f>ROUND($E$8/(1-AC53),0)</f>
        <v>68219</v>
      </c>
      <c r="AE53" s="459" t="str">
        <f>IF(OR(OR(AD53=AD47,AD53=(AD47+1)),AD53=(AD39-1)),"yes","not yet")</f>
        <v>yes</v>
      </c>
      <c r="AF53" s="467">
        <f>100*(1-AC53)</f>
        <v>95.970165919070681</v>
      </c>
      <c r="AG53" s="459"/>
      <c r="AH53" s="459"/>
      <c r="AI53" s="459"/>
      <c r="AJ53" s="459"/>
      <c r="AK53" s="459"/>
      <c r="AL53" s="459"/>
      <c r="AM53" s="459"/>
      <c r="AN53" s="459"/>
      <c r="AO53" s="459"/>
      <c r="AP53" s="459"/>
      <c r="AQ53" s="459"/>
      <c r="AR53" s="459"/>
      <c r="AS53" s="457"/>
      <c r="AT53" s="457"/>
      <c r="AU53" s="457"/>
      <c r="AV53" s="457"/>
      <c r="AW53" s="457"/>
      <c r="AX53" s="457"/>
      <c r="AY53" s="457"/>
      <c r="AZ53" s="457"/>
      <c r="BA53" s="457"/>
      <c r="BB53" s="457"/>
      <c r="BC53" s="457"/>
      <c r="BD53" s="457"/>
      <c r="BE53" s="457"/>
      <c r="BF53" s="457"/>
      <c r="BG53" s="457"/>
      <c r="BH53" s="457"/>
      <c r="BI53" s="457"/>
      <c r="BJ53" s="457"/>
    </row>
    <row r="54" spans="1:62" ht="12.75">
      <c r="A54" s="457"/>
      <c r="B54" s="459"/>
      <c r="C54" s="459"/>
      <c r="D54" s="459"/>
      <c r="E54" s="459"/>
      <c r="F54" s="459"/>
      <c r="G54" s="459"/>
      <c r="H54" s="459"/>
      <c r="I54" s="459"/>
      <c r="J54" s="459"/>
      <c r="K54" s="459"/>
      <c r="L54" s="459"/>
      <c r="M54" s="459"/>
      <c r="N54" s="459"/>
      <c r="O54" s="459"/>
      <c r="P54" s="459"/>
      <c r="Q54" s="459"/>
      <c r="R54" s="459"/>
      <c r="S54" s="459"/>
      <c r="T54" s="459"/>
      <c r="U54" s="459"/>
      <c r="V54" s="467">
        <f>100*(+AD48/$E$9)</f>
        <v>1018.5374914786445</v>
      </c>
      <c r="W54" s="474">
        <f>EXP(5.70827-(0.68367*LN(+V54)))</f>
        <v>2.6461015866739848</v>
      </c>
      <c r="X54" s="468">
        <f>(+W54*V54)/100</f>
        <v>26.951536722885812</v>
      </c>
      <c r="Y54" s="467">
        <f>100*((((X54/100)-((X54/100)-0.03574)*$E$21)-0.03574-0.00619)/0.344)</f>
        <v>43.052832084606493</v>
      </c>
      <c r="Z54" s="459">
        <f>$E$20</f>
        <v>0.25</v>
      </c>
      <c r="AA54" s="467">
        <f>Y54+Z54</f>
        <v>43.302832084606493</v>
      </c>
      <c r="AB54" s="467">
        <f>100*($E$17*$E$19+($E$18*(AA54/100))/(1-$E$21))</f>
        <v>40.38440885656231</v>
      </c>
      <c r="AC54" s="468">
        <f>AB54/V54</f>
        <v>3.9649408288284935E-2</v>
      </c>
      <c r="AD54" s="466">
        <f>ROUND($E$8/(1-AC54),0)</f>
        <v>68173</v>
      </c>
      <c r="AE54" s="459" t="str">
        <f>IF(OR(OR(AD54=AD48,AD54=(AD48+1)),AD54=(AD48-1)),"yes","not yet")</f>
        <v>yes</v>
      </c>
      <c r="AF54" s="467">
        <f>100*(1-AC54)</f>
        <v>96.035059171171511</v>
      </c>
      <c r="AG54" s="459"/>
      <c r="AH54" s="459"/>
      <c r="AI54" s="459"/>
      <c r="AJ54" s="459"/>
      <c r="AK54" s="459"/>
      <c r="AL54" s="459"/>
      <c r="AM54" s="459"/>
      <c r="AN54" s="459"/>
      <c r="AO54" s="459"/>
      <c r="AP54" s="459"/>
      <c r="AQ54" s="459"/>
      <c r="AR54" s="459"/>
      <c r="AS54" s="457"/>
      <c r="AT54" s="457"/>
      <c r="AU54" s="457"/>
      <c r="AV54" s="457"/>
      <c r="AW54" s="457"/>
      <c r="AX54" s="457"/>
      <c r="AY54" s="457"/>
      <c r="AZ54" s="457"/>
      <c r="BA54" s="457"/>
      <c r="BB54" s="457"/>
      <c r="BC54" s="457"/>
      <c r="BD54" s="457"/>
      <c r="BE54" s="457"/>
      <c r="BF54" s="457"/>
      <c r="BG54" s="457"/>
      <c r="BH54" s="457"/>
      <c r="BI54" s="457"/>
      <c r="BJ54" s="457"/>
    </row>
    <row r="55" spans="1:62" ht="12.75">
      <c r="A55" s="457"/>
      <c r="B55" s="459"/>
      <c r="C55" s="459"/>
      <c r="D55" s="459"/>
      <c r="E55" s="459"/>
      <c r="F55" s="459"/>
      <c r="G55" s="459"/>
      <c r="H55" s="459"/>
      <c r="I55" s="459"/>
      <c r="J55" s="459"/>
      <c r="K55" s="459"/>
      <c r="L55" s="459"/>
      <c r="M55" s="459"/>
      <c r="N55" s="459"/>
      <c r="O55" s="459"/>
      <c r="P55" s="459"/>
      <c r="Q55" s="459"/>
      <c r="R55" s="459"/>
      <c r="S55" s="459"/>
      <c r="T55" s="459"/>
      <c r="U55" s="459"/>
      <c r="V55" s="467">
        <f>100*(+AD49/$E$9)</f>
        <v>1018.0743365311457</v>
      </c>
      <c r="W55" s="474">
        <f>EXP(5.6985-(0.68367*LN(V55)))</f>
        <v>2.6211899927740498</v>
      </c>
      <c r="X55" s="468">
        <f>(+W55*V55)/100</f>
        <v>26.685662628155196</v>
      </c>
      <c r="Y55" s="467">
        <f>100*((((X55/100)-((X55/100)-0.03574)*$E$21)-0.03574-0.00619)/0.344)</f>
        <v>42.542724809832642</v>
      </c>
      <c r="Z55" s="459">
        <f>$E$20</f>
        <v>0.25</v>
      </c>
      <c r="AA55" s="467">
        <f>Y55+Z55</f>
        <v>42.792724809832642</v>
      </c>
      <c r="AB55" s="467">
        <f>100*($E$17*$E$19+($E$18*(AA55/100))/(1-$E$21))</f>
        <v>39.920674970404264</v>
      </c>
      <c r="AC55" s="468">
        <f>AB55/V55</f>
        <v>3.9211945079005515E-2</v>
      </c>
      <c r="AD55" s="466">
        <f>ROUND($E$8/(1-AC55),0)</f>
        <v>68142</v>
      </c>
      <c r="AE55" s="459" t="str">
        <f>IF(OR(OR(AD55=AD49,AD55=(AD49+1)),AD55=(AD49-1)),"yes","not yet")</f>
        <v>yes</v>
      </c>
      <c r="AF55" s="467">
        <f>100*(1-AC55)</f>
        <v>96.078805492099448</v>
      </c>
      <c r="AG55" s="459"/>
      <c r="AH55" s="459"/>
      <c r="AI55" s="459"/>
      <c r="AJ55" s="459"/>
      <c r="AK55" s="459"/>
      <c r="AL55" s="459"/>
      <c r="AM55" s="459"/>
      <c r="AN55" s="459"/>
      <c r="AO55" s="459"/>
      <c r="AP55" s="459"/>
      <c r="AQ55" s="459"/>
      <c r="AR55" s="459"/>
      <c r="AS55" s="457"/>
      <c r="AT55" s="457"/>
      <c r="AU55" s="457"/>
      <c r="AV55" s="457"/>
      <c r="AW55" s="457"/>
      <c r="AX55" s="457"/>
      <c r="AY55" s="457"/>
      <c r="AZ55" s="457"/>
      <c r="BA55" s="457"/>
      <c r="BB55" s="457"/>
      <c r="BC55" s="457"/>
      <c r="BD55" s="457"/>
      <c r="BE55" s="457"/>
      <c r="BF55" s="457"/>
      <c r="BG55" s="457"/>
      <c r="BH55" s="457"/>
      <c r="BI55" s="457"/>
      <c r="BJ55" s="457"/>
    </row>
    <row r="56" spans="1:62" ht="12.75">
      <c r="A56" s="457"/>
      <c r="B56" s="459"/>
      <c r="C56" s="459"/>
      <c r="D56" s="459"/>
      <c r="E56" s="459"/>
      <c r="F56" s="459"/>
      <c r="G56" s="459"/>
      <c r="H56" s="459"/>
      <c r="I56" s="459"/>
      <c r="J56" s="459"/>
      <c r="K56" s="459"/>
      <c r="L56" s="459"/>
      <c r="M56" s="459"/>
      <c r="N56" s="459"/>
      <c r="O56" s="459"/>
      <c r="P56" s="459"/>
      <c r="Q56" s="459"/>
      <c r="R56" s="459"/>
      <c r="S56" s="459"/>
      <c r="T56" s="459"/>
      <c r="U56" s="459"/>
      <c r="V56" s="467">
        <f>100*(+AD50/$E$9)</f>
        <v>1017.7755268875981</v>
      </c>
      <c r="W56" s="474">
        <f>EXP(5.6922-(0.68367*LN(V56)))</f>
        <v>2.6052511992517058</v>
      </c>
      <c r="X56" s="468">
        <f>(+W56*V56)/100</f>
        <v>26.515609119929518</v>
      </c>
      <c r="Y56" s="467">
        <f>100*((((X56/100)-((X56/100)-0.03574)*$E$21)-0.03574-0.00619)/0.344)</f>
        <v>42.216459358004307</v>
      </c>
      <c r="Z56" s="459">
        <f>$E$20</f>
        <v>0.25</v>
      </c>
      <c r="AA56" s="467">
        <f>Y56+Z56</f>
        <v>42.466459358004307</v>
      </c>
      <c r="AB56" s="467">
        <f>100*($E$17*$E$19+($E$18*(AA56/100))/(1-$E$21))</f>
        <v>39.624070014196683</v>
      </c>
      <c r="AC56" s="468">
        <f>AB56/V56</f>
        <v>3.8932032621543593E-2</v>
      </c>
      <c r="AD56" s="466">
        <f>ROUND($E$8/(1-AC56),0)</f>
        <v>68122</v>
      </c>
      <c r="AE56" s="459" t="str">
        <f>IF(OR(OR(AD56=AD50,AD56=(AD50+1)),AD56=(AD50-1)),"yes","not yet")</f>
        <v>yes</v>
      </c>
      <c r="AF56" s="467">
        <f>100*(1-AC56)</f>
        <v>96.106796737845642</v>
      </c>
      <c r="AG56" s="459"/>
      <c r="AH56" s="459"/>
      <c r="AI56" s="459"/>
      <c r="AJ56" s="459"/>
      <c r="AK56" s="459"/>
      <c r="AL56" s="459"/>
      <c r="AM56" s="459"/>
      <c r="AN56" s="459"/>
      <c r="AO56" s="459"/>
      <c r="AP56" s="459"/>
      <c r="AQ56" s="459"/>
      <c r="AR56" s="459"/>
      <c r="AS56" s="457"/>
      <c r="AT56" s="457"/>
      <c r="AU56" s="457"/>
      <c r="AV56" s="457"/>
      <c r="AW56" s="457"/>
      <c r="AX56" s="457"/>
      <c r="AY56" s="457"/>
      <c r="AZ56" s="457"/>
      <c r="BA56" s="457"/>
      <c r="BB56" s="457"/>
      <c r="BC56" s="457"/>
      <c r="BD56" s="457"/>
      <c r="BE56" s="457"/>
      <c r="BF56" s="457"/>
      <c r="BG56" s="457"/>
      <c r="BH56" s="457"/>
      <c r="BI56" s="457"/>
      <c r="BJ56" s="457"/>
    </row>
    <row r="57" spans="1:62" ht="12.75">
      <c r="A57" s="457"/>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67"/>
      <c r="AB57" s="459"/>
      <c r="AC57" s="459"/>
      <c r="AD57" s="459"/>
      <c r="AE57" s="459"/>
      <c r="AF57" s="459"/>
      <c r="AG57" s="459"/>
      <c r="AH57" s="459"/>
      <c r="AI57" s="459"/>
      <c r="AJ57" s="459"/>
      <c r="AK57" s="459"/>
      <c r="AL57" s="459"/>
      <c r="AM57" s="459"/>
      <c r="AN57" s="459"/>
      <c r="AO57" s="459"/>
      <c r="AP57" s="459"/>
      <c r="AQ57" s="459"/>
      <c r="AR57" s="459"/>
      <c r="AS57" s="457"/>
      <c r="AT57" s="457"/>
      <c r="AU57" s="457"/>
      <c r="AV57" s="457"/>
      <c r="AW57" s="457"/>
      <c r="AX57" s="457"/>
      <c r="AY57" s="457"/>
      <c r="AZ57" s="457"/>
      <c r="BA57" s="457"/>
      <c r="BB57" s="457"/>
      <c r="BC57" s="457"/>
      <c r="BD57" s="457"/>
      <c r="BE57" s="457"/>
      <c r="BF57" s="457"/>
      <c r="BG57" s="457"/>
      <c r="BH57" s="457"/>
      <c r="BI57" s="457"/>
      <c r="BJ57" s="457"/>
    </row>
    <row r="58" spans="1:62" ht="12.75">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row>
    <row r="59" spans="1:62" ht="12.75">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row>
    <row r="60" spans="1:62" ht="12.75">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row>
    <row r="61" spans="1:62" ht="12.75">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row>
    <row r="62" spans="1:62" ht="12.75">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c r="BI62" s="457"/>
      <c r="BJ62" s="457"/>
    </row>
    <row r="63" spans="1:62" ht="12.75">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row>
    <row r="64" spans="1:62" ht="12.75">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row>
    <row r="65" spans="1:62" ht="12.75">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row>
    <row r="66" spans="1:62" ht="12.75">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row>
    <row r="67" spans="1:62" ht="12.75">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row>
    <row r="68" spans="1:62" ht="12.75">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row>
    <row r="69" spans="1:62" ht="12.75">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row>
    <row r="70" spans="1:62" ht="12.75">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row>
    <row r="71" spans="1:62" ht="12.75">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row>
    <row r="72" spans="1:62" ht="12.75">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c r="BI72" s="457"/>
      <c r="BJ72" s="457"/>
    </row>
    <row r="73" spans="1:62" ht="12.75">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row>
    <row r="74" spans="1:62" ht="12.75">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row>
    <row r="75" spans="1:62" ht="12.7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row>
    <row r="76" spans="1:62" ht="12.75">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row>
    <row r="77" spans="1:62" ht="12.75">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row>
    <row r="78" spans="1:62" ht="12.75">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row>
    <row r="79" spans="1:62" ht="12.75">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row>
    <row r="80" spans="1:62" ht="12.75">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row>
    <row r="81" spans="1:62" ht="12.75">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row>
    <row r="82" spans="1:62" ht="12.75">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row>
    <row r="83" spans="1:62" ht="12.75">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row>
    <row r="84" spans="1:62" ht="12.75">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row>
    <row r="85" spans="1:62" ht="12.75">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row>
    <row r="86" spans="1:62" ht="12.75">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row>
    <row r="87" spans="1:62" ht="12.75">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row>
    <row r="88" spans="1:62" ht="12.75">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c r="BI88" s="457"/>
      <c r="BJ88" s="457"/>
    </row>
    <row r="89" spans="1:62" ht="12.75">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c r="BF89" s="457"/>
      <c r="BG89" s="457"/>
      <c r="BH89" s="457"/>
      <c r="BI89" s="457"/>
      <c r="BJ89" s="457"/>
    </row>
    <row r="90" spans="1:62" ht="12.75">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row>
    <row r="91" spans="1:62" ht="12.75">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c r="BF91" s="457"/>
      <c r="BG91" s="457"/>
      <c r="BH91" s="457"/>
      <c r="BI91" s="457"/>
      <c r="BJ91" s="457"/>
    </row>
    <row r="92" spans="1:62" ht="12.75">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c r="BI92" s="457"/>
      <c r="BJ92" s="457"/>
    </row>
    <row r="93" spans="1:62" ht="12.75">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c r="BI93" s="457"/>
      <c r="BJ93" s="457"/>
    </row>
    <row r="94" spans="1:62" ht="12.75">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c r="BI94" s="457"/>
      <c r="BJ94" s="457"/>
    </row>
    <row r="95" spans="1:62" ht="12.75">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c r="BI95" s="457"/>
      <c r="BJ95" s="457"/>
    </row>
    <row r="96" spans="1:62" ht="12.75">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row>
    <row r="97" spans="1:62" ht="12.75">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row>
    <row r="98" spans="1:62" ht="12.75">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row>
    <row r="99" spans="1:62" ht="12.75">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row>
    <row r="100" spans="1:62" ht="12.75">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row>
    <row r="101" spans="1:62" ht="12.75">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c r="BI101" s="457"/>
      <c r="BJ101" s="457"/>
    </row>
    <row r="102" spans="1:62" ht="12.75">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row>
    <row r="103" spans="1:62" ht="12.75">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row>
    <row r="104" spans="1:62" ht="12.75">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row>
    <row r="105" spans="1:62" ht="12.7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c r="BI105" s="457"/>
      <c r="BJ105" s="457"/>
    </row>
    <row r="106" spans="1:62" ht="12.75">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row>
    <row r="107" spans="1:62" ht="12.75">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c r="BI107" s="457"/>
      <c r="BJ107" s="457"/>
    </row>
    <row r="108" spans="1:62" ht="12.75">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row>
    <row r="109" spans="1:62" ht="12.75">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c r="BI109" s="457"/>
      <c r="BJ109" s="457"/>
    </row>
    <row r="110" spans="1:62" ht="12.75">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row>
    <row r="111" spans="1:62" ht="12.75">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row>
    <row r="112" spans="1:62" ht="12.75">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c r="BF112" s="457"/>
      <c r="BG112" s="457"/>
      <c r="BH112" s="457"/>
      <c r="BI112" s="457"/>
      <c r="BJ112" s="457"/>
    </row>
    <row r="113" spans="1:62" ht="12.75">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c r="BI113" s="457"/>
      <c r="BJ113" s="457"/>
    </row>
    <row r="114" spans="1:62" ht="12.75">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c r="BF114" s="457"/>
      <c r="BG114" s="457"/>
      <c r="BH114" s="457"/>
      <c r="BI114" s="457"/>
      <c r="BJ114" s="457"/>
    </row>
    <row r="115" spans="1:62" ht="12.75">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c r="BF115" s="457"/>
      <c r="BG115" s="457"/>
      <c r="BH115" s="457"/>
      <c r="BI115" s="457"/>
      <c r="BJ115" s="457"/>
    </row>
    <row r="116" spans="1:62" ht="12.75">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c r="BF116" s="457"/>
      <c r="BG116" s="457"/>
      <c r="BH116" s="457"/>
      <c r="BI116" s="457"/>
      <c r="BJ116" s="457"/>
    </row>
    <row r="117" spans="1:62" ht="12.75">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c r="BF117" s="457"/>
      <c r="BG117" s="457"/>
      <c r="BH117" s="457"/>
      <c r="BI117" s="457"/>
      <c r="BJ117" s="457"/>
    </row>
    <row r="118" spans="1:62" ht="12.75">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c r="BF118" s="457"/>
      <c r="BG118" s="457"/>
      <c r="BH118" s="457"/>
      <c r="BI118" s="457"/>
      <c r="BJ118" s="457"/>
    </row>
    <row r="119" spans="1:62" ht="12.75">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c r="BI119" s="457"/>
      <c r="BJ119" s="457"/>
    </row>
    <row r="120" spans="1:62" ht="12.75">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c r="BF120" s="457"/>
      <c r="BG120" s="457"/>
      <c r="BH120" s="457"/>
      <c r="BI120" s="457"/>
      <c r="BJ120" s="457"/>
    </row>
    <row r="121" spans="1:62" ht="12.75">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c r="BI121" s="457"/>
      <c r="BJ121" s="457"/>
    </row>
    <row r="122" spans="1:62" ht="12.75">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c r="BI122" s="457"/>
      <c r="BJ122" s="457"/>
    </row>
    <row r="123" spans="1:62" ht="12.75">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row>
    <row r="124" spans="1:62" ht="12.75">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row>
    <row r="125" spans="1:62" ht="12.75">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row>
    <row r="126" spans="1:62" ht="12.75">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row>
    <row r="127" spans="1:62" ht="12.75">
      <c r="A127" s="457"/>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row>
    <row r="128" spans="1:62" ht="12.75">
      <c r="A128" s="457"/>
      <c r="B128" s="45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c r="BF128" s="457"/>
      <c r="BG128" s="457"/>
      <c r="BH128" s="457"/>
      <c r="BI128" s="457"/>
      <c r="BJ128" s="457"/>
    </row>
    <row r="129" spans="1:62" ht="12.75">
      <c r="A129" s="457"/>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c r="BF129" s="457"/>
      <c r="BG129" s="457"/>
      <c r="BH129" s="457"/>
      <c r="BI129" s="457"/>
      <c r="BJ129" s="457"/>
    </row>
    <row r="130" spans="1:62" ht="12.75">
      <c r="A130" s="457"/>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c r="BF130" s="457"/>
      <c r="BG130" s="457"/>
      <c r="BH130" s="457"/>
      <c r="BI130" s="457"/>
      <c r="BJ130" s="457"/>
    </row>
    <row r="131" spans="1:62" ht="12.75">
      <c r="A131" s="457"/>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c r="BI131" s="457"/>
      <c r="BJ131" s="457"/>
    </row>
    <row r="132" spans="1:62" ht="12.75">
      <c r="A132" s="457"/>
      <c r="B132" s="45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row>
    <row r="133" spans="1:62" ht="12.75">
      <c r="A133" s="457"/>
      <c r="B133" s="45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row>
    <row r="134" spans="1:62" ht="12.75">
      <c r="A134" s="457"/>
      <c r="B134" s="45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row>
    <row r="135" spans="1:62" ht="12.75">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row>
    <row r="136" spans="1:62" ht="12.75">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row>
    <row r="137" spans="1:62" ht="12.75">
      <c r="A137" s="457"/>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row>
    <row r="138" spans="1:62" ht="12.75">
      <c r="A138" s="457"/>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row>
    <row r="139" spans="1:62" ht="12.75">
      <c r="A139" s="457"/>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row>
    <row r="140" spans="1:62" ht="12.75">
      <c r="A140" s="457"/>
      <c r="B140" s="45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row>
    <row r="141" spans="1:62" ht="12.75">
      <c r="A141" s="457"/>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c r="BF141" s="457"/>
      <c r="BG141" s="457"/>
      <c r="BH141" s="457"/>
      <c r="BI141" s="457"/>
      <c r="BJ141" s="457"/>
    </row>
    <row r="142" spans="1:62" ht="12.75">
      <c r="A142" s="457"/>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c r="BF142" s="457"/>
      <c r="BG142" s="457"/>
      <c r="BH142" s="457"/>
      <c r="BI142" s="457"/>
      <c r="BJ142" s="457"/>
    </row>
    <row r="143" spans="1:62" ht="12.75">
      <c r="A143" s="457"/>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c r="BF143" s="457"/>
      <c r="BG143" s="457"/>
      <c r="BH143" s="457"/>
      <c r="BI143" s="457"/>
      <c r="BJ143" s="457"/>
    </row>
    <row r="144" spans="1:62" ht="12.75">
      <c r="A144" s="457"/>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c r="BF144" s="457"/>
      <c r="BG144" s="457"/>
      <c r="BH144" s="457"/>
      <c r="BI144" s="457"/>
      <c r="BJ144" s="457"/>
    </row>
    <row r="145" spans="1:62" ht="12.75">
      <c r="A145" s="457"/>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row>
    <row r="146" spans="1:62" ht="12.75">
      <c r="A146" s="457"/>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c r="AS146" s="457"/>
      <c r="AT146" s="457"/>
      <c r="AU146" s="457"/>
      <c r="AV146" s="457"/>
      <c r="AW146" s="457"/>
      <c r="AX146" s="457"/>
      <c r="AY146" s="457"/>
      <c r="AZ146" s="457"/>
      <c r="BA146" s="457"/>
      <c r="BB146" s="457"/>
      <c r="BC146" s="457"/>
      <c r="BD146" s="457"/>
      <c r="BE146" s="457"/>
      <c r="BF146" s="457"/>
      <c r="BG146" s="457"/>
      <c r="BH146" s="457"/>
      <c r="BI146" s="457"/>
      <c r="BJ146" s="457"/>
    </row>
    <row r="147" spans="1:62" ht="12.75">
      <c r="A147" s="457"/>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c r="BF147" s="457"/>
      <c r="BG147" s="457"/>
      <c r="BH147" s="457"/>
      <c r="BI147" s="457"/>
      <c r="BJ147" s="457"/>
    </row>
    <row r="148" spans="1:62" ht="12.75">
      <c r="A148" s="457"/>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row>
    <row r="149" spans="1:62" ht="12.75">
      <c r="A149" s="457"/>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c r="BF149" s="457"/>
      <c r="BG149" s="457"/>
      <c r="BH149" s="457"/>
      <c r="BI149" s="457"/>
      <c r="BJ149" s="457"/>
    </row>
    <row r="150" spans="1:62" ht="12.75">
      <c r="A150" s="457"/>
      <c r="B150" s="45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c r="BF150" s="457"/>
      <c r="BG150" s="457"/>
      <c r="BH150" s="457"/>
      <c r="BI150" s="457"/>
      <c r="BJ150" s="457"/>
    </row>
    <row r="151" spans="1:62" ht="12.75">
      <c r="A151" s="457"/>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c r="BF151" s="457"/>
      <c r="BG151" s="457"/>
      <c r="BH151" s="457"/>
      <c r="BI151" s="457"/>
      <c r="BJ151" s="457"/>
    </row>
    <row r="152" spans="1:62" ht="12.75">
      <c r="A152" s="457"/>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c r="AX152" s="457"/>
      <c r="AY152" s="457"/>
      <c r="AZ152" s="457"/>
      <c r="BA152" s="457"/>
      <c r="BB152" s="457"/>
      <c r="BC152" s="457"/>
      <c r="BD152" s="457"/>
      <c r="BE152" s="457"/>
      <c r="BF152" s="457"/>
      <c r="BG152" s="457"/>
      <c r="BH152" s="457"/>
      <c r="BI152" s="457"/>
      <c r="BJ152" s="457"/>
    </row>
    <row r="153" spans="1:62" ht="12.75">
      <c r="A153" s="457"/>
      <c r="B153" s="45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c r="BF153" s="457"/>
      <c r="BG153" s="457"/>
      <c r="BH153" s="457"/>
      <c r="BI153" s="457"/>
      <c r="BJ153" s="457"/>
    </row>
    <row r="154" spans="1:62" ht="12.75">
      <c r="A154" s="457"/>
      <c r="B154" s="45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row>
    <row r="155" spans="1:62" ht="12.75">
      <c r="A155" s="457"/>
      <c r="B155" s="45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c r="BF155" s="457"/>
      <c r="BG155" s="457"/>
      <c r="BH155" s="457"/>
      <c r="BI155" s="457"/>
      <c r="BJ155" s="457"/>
    </row>
    <row r="156" spans="1:62" ht="12.75">
      <c r="A156" s="457"/>
      <c r="B156" s="45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c r="AS156" s="457"/>
      <c r="AT156" s="457"/>
      <c r="AU156" s="457"/>
      <c r="AV156" s="457"/>
      <c r="AW156" s="457"/>
      <c r="AX156" s="457"/>
      <c r="AY156" s="457"/>
      <c r="AZ156" s="457"/>
      <c r="BA156" s="457"/>
      <c r="BB156" s="457"/>
      <c r="BC156" s="457"/>
      <c r="BD156" s="457"/>
      <c r="BE156" s="457"/>
      <c r="BF156" s="457"/>
      <c r="BG156" s="457"/>
      <c r="BH156" s="457"/>
      <c r="BI156" s="457"/>
      <c r="BJ156" s="457"/>
    </row>
    <row r="157" spans="1:62" ht="12.75">
      <c r="A157" s="457"/>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row>
    <row r="158" spans="1:62" ht="12.75">
      <c r="A158" s="457"/>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c r="BF158" s="457"/>
      <c r="BG158" s="457"/>
      <c r="BH158" s="457"/>
      <c r="BI158" s="457"/>
      <c r="BJ158" s="457"/>
    </row>
    <row r="159" spans="1:62" ht="12.75">
      <c r="A159" s="457"/>
      <c r="B159" s="45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c r="AS159" s="457"/>
      <c r="AT159" s="457"/>
      <c r="AU159" s="457"/>
      <c r="AV159" s="457"/>
      <c r="AW159" s="457"/>
      <c r="AX159" s="457"/>
      <c r="AY159" s="457"/>
      <c r="AZ159" s="457"/>
      <c r="BA159" s="457"/>
      <c r="BB159" s="457"/>
      <c r="BC159" s="457"/>
      <c r="BD159" s="457"/>
      <c r="BE159" s="457"/>
      <c r="BF159" s="457"/>
      <c r="BG159" s="457"/>
      <c r="BH159" s="457"/>
      <c r="BI159" s="457"/>
      <c r="BJ159" s="457"/>
    </row>
    <row r="160" spans="1:62" ht="12.75">
      <c r="A160" s="457"/>
      <c r="B160" s="45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c r="AS160" s="457"/>
      <c r="AT160" s="457"/>
      <c r="AU160" s="457"/>
      <c r="AV160" s="457"/>
      <c r="AW160" s="457"/>
      <c r="AX160" s="457"/>
      <c r="AY160" s="457"/>
      <c r="AZ160" s="457"/>
      <c r="BA160" s="457"/>
      <c r="BB160" s="457"/>
      <c r="BC160" s="457"/>
      <c r="BD160" s="457"/>
      <c r="BE160" s="457"/>
      <c r="BF160" s="457"/>
      <c r="BG160" s="457"/>
      <c r="BH160" s="457"/>
      <c r="BI160" s="457"/>
      <c r="BJ160" s="457"/>
    </row>
    <row r="161" spans="1:62" ht="12.75">
      <c r="A161" s="457"/>
      <c r="B161" s="45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c r="AS161" s="457"/>
      <c r="AT161" s="457"/>
      <c r="AU161" s="457"/>
      <c r="AV161" s="457"/>
      <c r="AW161" s="457"/>
      <c r="AX161" s="457"/>
      <c r="AY161" s="457"/>
      <c r="AZ161" s="457"/>
      <c r="BA161" s="457"/>
      <c r="BB161" s="457"/>
      <c r="BC161" s="457"/>
      <c r="BD161" s="457"/>
      <c r="BE161" s="457"/>
      <c r="BF161" s="457"/>
      <c r="BG161" s="457"/>
      <c r="BH161" s="457"/>
      <c r="BI161" s="457"/>
      <c r="BJ161" s="457"/>
    </row>
    <row r="162" spans="1:62" ht="12.75">
      <c r="A162" s="457"/>
      <c r="B162" s="45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c r="BF162" s="457"/>
      <c r="BG162" s="457"/>
      <c r="BH162" s="457"/>
      <c r="BI162" s="457"/>
      <c r="BJ162" s="457"/>
    </row>
    <row r="163" spans="1:62" ht="12.75">
      <c r="A163" s="457"/>
      <c r="B163" s="45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457"/>
      <c r="AV163" s="457"/>
      <c r="AW163" s="457"/>
      <c r="AX163" s="457"/>
      <c r="AY163" s="457"/>
      <c r="AZ163" s="457"/>
      <c r="BA163" s="457"/>
      <c r="BB163" s="457"/>
      <c r="BC163" s="457"/>
      <c r="BD163" s="457"/>
      <c r="BE163" s="457"/>
      <c r="BF163" s="457"/>
      <c r="BG163" s="457"/>
      <c r="BH163" s="457"/>
      <c r="BI163" s="457"/>
      <c r="BJ163" s="457"/>
    </row>
    <row r="164" spans="1:62" ht="12.75">
      <c r="A164" s="457"/>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c r="AZ164" s="457"/>
      <c r="BA164" s="457"/>
      <c r="BB164" s="457"/>
      <c r="BC164" s="457"/>
      <c r="BD164" s="457"/>
      <c r="BE164" s="457"/>
      <c r="BF164" s="457"/>
      <c r="BG164" s="457"/>
      <c r="BH164" s="457"/>
      <c r="BI164" s="457"/>
      <c r="BJ164" s="457"/>
    </row>
    <row r="165" spans="1:62" ht="12.75">
      <c r="A165" s="457"/>
      <c r="B165" s="45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row>
    <row r="166" spans="1:62" ht="12.75">
      <c r="A166" s="457"/>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c r="AX166" s="457"/>
      <c r="AY166" s="457"/>
      <c r="AZ166" s="457"/>
      <c r="BA166" s="457"/>
      <c r="BB166" s="457"/>
      <c r="BC166" s="457"/>
      <c r="BD166" s="457"/>
      <c r="BE166" s="457"/>
      <c r="BF166" s="457"/>
      <c r="BG166" s="457"/>
      <c r="BH166" s="457"/>
      <c r="BI166" s="457"/>
      <c r="BJ166" s="457"/>
    </row>
    <row r="167" spans="1:62" ht="12.75">
      <c r="A167" s="457"/>
      <c r="B167" s="45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457"/>
      <c r="AX167" s="457"/>
      <c r="AY167" s="457"/>
      <c r="AZ167" s="457"/>
      <c r="BA167" s="457"/>
      <c r="BB167" s="457"/>
      <c r="BC167" s="457"/>
      <c r="BD167" s="457"/>
      <c r="BE167" s="457"/>
      <c r="BF167" s="457"/>
      <c r="BG167" s="457"/>
      <c r="BH167" s="457"/>
      <c r="BI167" s="457"/>
      <c r="BJ167" s="457"/>
    </row>
    <row r="168" spans="1:62" ht="12.75">
      <c r="A168" s="457"/>
      <c r="B168" s="45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c r="AS168" s="457"/>
      <c r="AT168" s="457"/>
      <c r="AU168" s="457"/>
      <c r="AV168" s="457"/>
      <c r="AW168" s="457"/>
      <c r="AX168" s="457"/>
      <c r="AY168" s="457"/>
      <c r="AZ168" s="457"/>
      <c r="BA168" s="457"/>
      <c r="BB168" s="457"/>
      <c r="BC168" s="457"/>
      <c r="BD168" s="457"/>
      <c r="BE168" s="457"/>
      <c r="BF168" s="457"/>
      <c r="BG168" s="457"/>
      <c r="BH168" s="457"/>
      <c r="BI168" s="457"/>
      <c r="BJ168" s="457"/>
    </row>
    <row r="169" spans="1:62" ht="12.75">
      <c r="A169" s="457"/>
      <c r="B169" s="45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row>
    <row r="170" spans="1:62" ht="12.75">
      <c r="A170" s="457"/>
      <c r="B170" s="45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c r="AS170" s="457"/>
      <c r="AT170" s="457"/>
      <c r="AU170" s="457"/>
      <c r="AV170" s="457"/>
      <c r="AW170" s="457"/>
      <c r="AX170" s="457"/>
      <c r="AY170" s="457"/>
      <c r="AZ170" s="457"/>
      <c r="BA170" s="457"/>
      <c r="BB170" s="457"/>
      <c r="BC170" s="457"/>
      <c r="BD170" s="457"/>
      <c r="BE170" s="457"/>
      <c r="BF170" s="457"/>
      <c r="BG170" s="457"/>
      <c r="BH170" s="457"/>
      <c r="BI170" s="457"/>
      <c r="BJ170" s="457"/>
    </row>
    <row r="171" spans="1:62" ht="12.75">
      <c r="A171" s="457"/>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c r="AS171" s="457"/>
      <c r="AT171" s="457"/>
      <c r="AU171" s="457"/>
      <c r="AV171" s="457"/>
      <c r="AW171" s="457"/>
      <c r="AX171" s="457"/>
      <c r="AY171" s="457"/>
      <c r="AZ171" s="457"/>
      <c r="BA171" s="457"/>
      <c r="BB171" s="457"/>
      <c r="BC171" s="457"/>
      <c r="BD171" s="457"/>
      <c r="BE171" s="457"/>
      <c r="BF171" s="457"/>
      <c r="BG171" s="457"/>
      <c r="BH171" s="457"/>
      <c r="BI171" s="457"/>
      <c r="BJ171" s="457"/>
    </row>
    <row r="172" spans="1:62" ht="12.75">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c r="AX172" s="457"/>
      <c r="AY172" s="457"/>
      <c r="AZ172" s="457"/>
      <c r="BA172" s="457"/>
      <c r="BB172" s="457"/>
      <c r="BC172" s="457"/>
      <c r="BD172" s="457"/>
      <c r="BE172" s="457"/>
      <c r="BF172" s="457"/>
      <c r="BG172" s="457"/>
      <c r="BH172" s="457"/>
      <c r="BI172" s="457"/>
      <c r="BJ172" s="457"/>
    </row>
    <row r="173" spans="1:62" ht="12.75">
      <c r="A173" s="457"/>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c r="AX173" s="457"/>
      <c r="AY173" s="457"/>
      <c r="AZ173" s="457"/>
      <c r="BA173" s="457"/>
      <c r="BB173" s="457"/>
      <c r="BC173" s="457"/>
      <c r="BD173" s="457"/>
      <c r="BE173" s="457"/>
      <c r="BF173" s="457"/>
      <c r="BG173" s="457"/>
      <c r="BH173" s="457"/>
      <c r="BI173" s="457"/>
      <c r="BJ173" s="457"/>
    </row>
    <row r="174" spans="1:62" ht="12.75">
      <c r="A174" s="457"/>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457"/>
      <c r="AV174" s="457"/>
      <c r="AW174" s="457"/>
      <c r="AX174" s="457"/>
      <c r="AY174" s="457"/>
      <c r="AZ174" s="457"/>
      <c r="BA174" s="457"/>
      <c r="BB174" s="457"/>
      <c r="BC174" s="457"/>
      <c r="BD174" s="457"/>
      <c r="BE174" s="457"/>
      <c r="BF174" s="457"/>
      <c r="BG174" s="457"/>
      <c r="BH174" s="457"/>
      <c r="BI174" s="457"/>
      <c r="BJ174" s="457"/>
    </row>
    <row r="175" spans="1:62" ht="12.75">
      <c r="A175" s="457"/>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c r="AS175" s="457"/>
      <c r="AT175" s="457"/>
      <c r="AU175" s="457"/>
      <c r="AV175" s="457"/>
      <c r="AW175" s="457"/>
      <c r="AX175" s="457"/>
      <c r="AY175" s="457"/>
      <c r="AZ175" s="457"/>
      <c r="BA175" s="457"/>
      <c r="BB175" s="457"/>
      <c r="BC175" s="457"/>
      <c r="BD175" s="457"/>
      <c r="BE175" s="457"/>
      <c r="BF175" s="457"/>
      <c r="BG175" s="457"/>
      <c r="BH175" s="457"/>
      <c r="BI175" s="457"/>
      <c r="BJ175" s="457"/>
    </row>
    <row r="176" spans="1:62" ht="12.75">
      <c r="A176" s="457"/>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c r="AS176" s="457"/>
      <c r="AT176" s="457"/>
      <c r="AU176" s="457"/>
      <c r="AV176" s="457"/>
      <c r="AW176" s="457"/>
      <c r="AX176" s="457"/>
      <c r="AY176" s="457"/>
      <c r="AZ176" s="457"/>
      <c r="BA176" s="457"/>
      <c r="BB176" s="457"/>
      <c r="BC176" s="457"/>
      <c r="BD176" s="457"/>
      <c r="BE176" s="457"/>
      <c r="BF176" s="457"/>
      <c r="BG176" s="457"/>
      <c r="BH176" s="457"/>
      <c r="BI176" s="457"/>
      <c r="BJ176" s="457"/>
    </row>
    <row r="177" spans="1:62" ht="12.75">
      <c r="A177" s="457"/>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c r="AS177" s="457"/>
      <c r="AT177" s="457"/>
      <c r="AU177" s="457"/>
      <c r="AV177" s="457"/>
      <c r="AW177" s="457"/>
      <c r="AX177" s="457"/>
      <c r="AY177" s="457"/>
      <c r="AZ177" s="457"/>
      <c r="BA177" s="457"/>
      <c r="BB177" s="457"/>
      <c r="BC177" s="457"/>
      <c r="BD177" s="457"/>
      <c r="BE177" s="457"/>
      <c r="BF177" s="457"/>
      <c r="BG177" s="457"/>
      <c r="BH177" s="457"/>
      <c r="BI177" s="457"/>
      <c r="BJ177" s="457"/>
    </row>
    <row r="178" spans="1:62" ht="12.75">
      <c r="A178" s="457"/>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c r="BF178" s="457"/>
      <c r="BG178" s="457"/>
      <c r="BH178" s="457"/>
      <c r="BI178" s="457"/>
      <c r="BJ178" s="457"/>
    </row>
    <row r="179" spans="1:62" ht="12.75">
      <c r="A179" s="457"/>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c r="AS179" s="457"/>
      <c r="AT179" s="457"/>
      <c r="AU179" s="457"/>
      <c r="AV179" s="457"/>
      <c r="AW179" s="457"/>
      <c r="AX179" s="457"/>
      <c r="AY179" s="457"/>
      <c r="AZ179" s="457"/>
      <c r="BA179" s="457"/>
      <c r="BB179" s="457"/>
      <c r="BC179" s="457"/>
      <c r="BD179" s="457"/>
      <c r="BE179" s="457"/>
      <c r="BF179" s="457"/>
      <c r="BG179" s="457"/>
      <c r="BH179" s="457"/>
      <c r="BI179" s="457"/>
      <c r="BJ179" s="457"/>
    </row>
    <row r="180" spans="1:62" ht="12.75">
      <c r="A180" s="457"/>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c r="AX180" s="457"/>
      <c r="AY180" s="457"/>
      <c r="AZ180" s="457"/>
      <c r="BA180" s="457"/>
      <c r="BB180" s="457"/>
      <c r="BC180" s="457"/>
      <c r="BD180" s="457"/>
      <c r="BE180" s="457"/>
      <c r="BF180" s="457"/>
      <c r="BG180" s="457"/>
      <c r="BH180" s="457"/>
      <c r="BI180" s="457"/>
      <c r="BJ180" s="457"/>
    </row>
    <row r="181" spans="1:62" ht="12.75">
      <c r="A181" s="457"/>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c r="AX181" s="457"/>
      <c r="AY181" s="457"/>
      <c r="AZ181" s="457"/>
      <c r="BA181" s="457"/>
      <c r="BB181" s="457"/>
      <c r="BC181" s="457"/>
      <c r="BD181" s="457"/>
      <c r="BE181" s="457"/>
      <c r="BF181" s="457"/>
      <c r="BG181" s="457"/>
      <c r="BH181" s="457"/>
      <c r="BI181" s="457"/>
      <c r="BJ181" s="457"/>
    </row>
    <row r="182" spans="1:62" ht="12.75">
      <c r="A182" s="457"/>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c r="AS182" s="457"/>
      <c r="AT182" s="457"/>
      <c r="AU182" s="457"/>
      <c r="AV182" s="457"/>
      <c r="AW182" s="457"/>
      <c r="AX182" s="457"/>
      <c r="AY182" s="457"/>
      <c r="AZ182" s="457"/>
      <c r="BA182" s="457"/>
      <c r="BB182" s="457"/>
      <c r="BC182" s="457"/>
      <c r="BD182" s="457"/>
      <c r="BE182" s="457"/>
      <c r="BF182" s="457"/>
      <c r="BG182" s="457"/>
      <c r="BH182" s="457"/>
      <c r="BI182" s="457"/>
      <c r="BJ182" s="457"/>
    </row>
    <row r="183" spans="1:62" ht="12.75">
      <c r="A183" s="457"/>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c r="BF183" s="457"/>
      <c r="BG183" s="457"/>
      <c r="BH183" s="457"/>
      <c r="BI183" s="457"/>
      <c r="BJ183" s="457"/>
    </row>
    <row r="184" spans="1:62" ht="12.75">
      <c r="A184" s="457"/>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c r="AS184" s="457"/>
      <c r="AT184" s="457"/>
      <c r="AU184" s="457"/>
      <c r="AV184" s="457"/>
      <c r="AW184" s="457"/>
      <c r="AX184" s="457"/>
      <c r="AY184" s="457"/>
      <c r="AZ184" s="457"/>
      <c r="BA184" s="457"/>
      <c r="BB184" s="457"/>
      <c r="BC184" s="457"/>
      <c r="BD184" s="457"/>
      <c r="BE184" s="457"/>
      <c r="BF184" s="457"/>
      <c r="BG184" s="457"/>
      <c r="BH184" s="457"/>
      <c r="BI184" s="457"/>
      <c r="BJ184" s="457"/>
    </row>
    <row r="185" spans="1:62" ht="12.75">
      <c r="A185" s="457"/>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U185" s="457"/>
      <c r="AV185" s="457"/>
      <c r="AW185" s="457"/>
      <c r="AX185" s="457"/>
      <c r="AY185" s="457"/>
      <c r="AZ185" s="457"/>
      <c r="BA185" s="457"/>
      <c r="BB185" s="457"/>
      <c r="BC185" s="457"/>
      <c r="BD185" s="457"/>
      <c r="BE185" s="457"/>
      <c r="BF185" s="457"/>
      <c r="BG185" s="457"/>
      <c r="BH185" s="457"/>
      <c r="BI185" s="457"/>
      <c r="BJ185" s="457"/>
    </row>
    <row r="186" spans="1:62" ht="12.75">
      <c r="A186" s="457"/>
      <c r="B186" s="45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c r="BF186" s="457"/>
      <c r="BG186" s="457"/>
      <c r="BH186" s="457"/>
      <c r="BI186" s="457"/>
      <c r="BJ186" s="457"/>
    </row>
    <row r="187" spans="1:62" ht="12.75">
      <c r="A187" s="457"/>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c r="AZ187" s="457"/>
      <c r="BA187" s="457"/>
      <c r="BB187" s="457"/>
      <c r="BC187" s="457"/>
      <c r="BD187" s="457"/>
      <c r="BE187" s="457"/>
      <c r="BF187" s="457"/>
      <c r="BG187" s="457"/>
      <c r="BH187" s="457"/>
      <c r="BI187" s="457"/>
      <c r="BJ187" s="457"/>
    </row>
    <row r="188" spans="1:62" ht="12.75">
      <c r="A188" s="457"/>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c r="AS188" s="457"/>
      <c r="AT188" s="457"/>
      <c r="AU188" s="457"/>
      <c r="AV188" s="457"/>
      <c r="AW188" s="457"/>
      <c r="AX188" s="457"/>
      <c r="AY188" s="457"/>
      <c r="AZ188" s="457"/>
      <c r="BA188" s="457"/>
      <c r="BB188" s="457"/>
      <c r="BC188" s="457"/>
      <c r="BD188" s="457"/>
      <c r="BE188" s="457"/>
      <c r="BF188" s="457"/>
      <c r="BG188" s="457"/>
      <c r="BH188" s="457"/>
      <c r="BI188" s="457"/>
      <c r="BJ188" s="457"/>
    </row>
    <row r="189" spans="1:62" ht="12.75">
      <c r="A189" s="457"/>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c r="AS189" s="457"/>
      <c r="AT189" s="457"/>
      <c r="AU189" s="457"/>
      <c r="AV189" s="457"/>
      <c r="AW189" s="457"/>
      <c r="AX189" s="457"/>
      <c r="AY189" s="457"/>
      <c r="AZ189" s="457"/>
      <c r="BA189" s="457"/>
      <c r="BB189" s="457"/>
      <c r="BC189" s="457"/>
      <c r="BD189" s="457"/>
      <c r="BE189" s="457"/>
      <c r="BF189" s="457"/>
      <c r="BG189" s="457"/>
      <c r="BH189" s="457"/>
      <c r="BI189" s="457"/>
      <c r="BJ189" s="457"/>
    </row>
    <row r="190" spans="1:62" ht="12.75">
      <c r="A190" s="457"/>
      <c r="B190" s="45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c r="AS190" s="457"/>
      <c r="AT190" s="457"/>
      <c r="AU190" s="457"/>
      <c r="AV190" s="457"/>
      <c r="AW190" s="457"/>
      <c r="AX190" s="457"/>
      <c r="AY190" s="457"/>
      <c r="AZ190" s="457"/>
      <c r="BA190" s="457"/>
      <c r="BB190" s="457"/>
      <c r="BC190" s="457"/>
      <c r="BD190" s="457"/>
      <c r="BE190" s="457"/>
      <c r="BF190" s="457"/>
      <c r="BG190" s="457"/>
      <c r="BH190" s="457"/>
      <c r="BI190" s="457"/>
      <c r="BJ190" s="457"/>
    </row>
    <row r="191" spans="1:62" ht="12.75">
      <c r="A191" s="457"/>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c r="BF191" s="457"/>
      <c r="BG191" s="457"/>
      <c r="BH191" s="457"/>
      <c r="BI191" s="457"/>
      <c r="BJ191" s="457"/>
    </row>
    <row r="192" spans="1:62" ht="12.75">
      <c r="A192" s="457"/>
      <c r="B192" s="45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c r="AS192" s="457"/>
      <c r="AT192" s="457"/>
      <c r="AU192" s="457"/>
      <c r="AV192" s="457"/>
      <c r="AW192" s="457"/>
      <c r="AX192" s="457"/>
      <c r="AY192" s="457"/>
      <c r="AZ192" s="457"/>
      <c r="BA192" s="457"/>
      <c r="BB192" s="457"/>
      <c r="BC192" s="457"/>
      <c r="BD192" s="457"/>
      <c r="BE192" s="457"/>
      <c r="BF192" s="457"/>
      <c r="BG192" s="457"/>
      <c r="BH192" s="457"/>
      <c r="BI192" s="457"/>
      <c r="BJ192" s="457"/>
    </row>
    <row r="193" spans="1:62" ht="12.75">
      <c r="A193" s="457"/>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c r="AS193" s="457"/>
      <c r="AT193" s="457"/>
      <c r="AU193" s="457"/>
      <c r="AV193" s="457"/>
      <c r="AW193" s="457"/>
      <c r="AX193" s="457"/>
      <c r="AY193" s="457"/>
      <c r="AZ193" s="457"/>
      <c r="BA193" s="457"/>
      <c r="BB193" s="457"/>
      <c r="BC193" s="457"/>
      <c r="BD193" s="457"/>
      <c r="BE193" s="457"/>
      <c r="BF193" s="457"/>
      <c r="BG193" s="457"/>
      <c r="BH193" s="457"/>
      <c r="BI193" s="457"/>
      <c r="BJ193" s="457"/>
    </row>
    <row r="194" spans="1:62" ht="12.75">
      <c r="A194" s="457"/>
      <c r="B194" s="45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c r="AS194" s="457"/>
      <c r="AT194" s="457"/>
      <c r="AU194" s="457"/>
      <c r="AV194" s="457"/>
      <c r="AW194" s="457"/>
      <c r="AX194" s="457"/>
      <c r="AY194" s="457"/>
      <c r="AZ194" s="457"/>
      <c r="BA194" s="457"/>
      <c r="BB194" s="457"/>
      <c r="BC194" s="457"/>
      <c r="BD194" s="457"/>
      <c r="BE194" s="457"/>
      <c r="BF194" s="457"/>
      <c r="BG194" s="457"/>
      <c r="BH194" s="457"/>
      <c r="BI194" s="457"/>
      <c r="BJ194" s="457"/>
    </row>
    <row r="195" spans="1:62" ht="12.75">
      <c r="A195" s="457"/>
      <c r="B195" s="45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c r="AS195" s="457"/>
      <c r="AT195" s="457"/>
      <c r="AU195" s="457"/>
      <c r="AV195" s="457"/>
      <c r="AW195" s="457"/>
      <c r="AX195" s="457"/>
      <c r="AY195" s="457"/>
      <c r="AZ195" s="457"/>
      <c r="BA195" s="457"/>
      <c r="BB195" s="457"/>
      <c r="BC195" s="457"/>
      <c r="BD195" s="457"/>
      <c r="BE195" s="457"/>
      <c r="BF195" s="457"/>
      <c r="BG195" s="457"/>
      <c r="BH195" s="457"/>
      <c r="BI195" s="457"/>
      <c r="BJ195" s="457"/>
    </row>
    <row r="196" spans="1:62" ht="12.75">
      <c r="A196" s="457"/>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c r="AS196" s="457"/>
      <c r="AT196" s="457"/>
      <c r="AU196" s="457"/>
      <c r="AV196" s="457"/>
      <c r="AW196" s="457"/>
      <c r="AX196" s="457"/>
      <c r="AY196" s="457"/>
      <c r="AZ196" s="457"/>
      <c r="BA196" s="457"/>
      <c r="BB196" s="457"/>
      <c r="BC196" s="457"/>
      <c r="BD196" s="457"/>
      <c r="BE196" s="457"/>
      <c r="BF196" s="457"/>
      <c r="BG196" s="457"/>
      <c r="BH196" s="457"/>
      <c r="BI196" s="457"/>
      <c r="BJ196" s="457"/>
    </row>
    <row r="197" spans="1:62" ht="12.75">
      <c r="A197" s="457"/>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c r="BF197" s="457"/>
      <c r="BG197" s="457"/>
      <c r="BH197" s="457"/>
      <c r="BI197" s="457"/>
      <c r="BJ197" s="457"/>
    </row>
    <row r="198" spans="1:62" ht="12.75">
      <c r="A198" s="457"/>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c r="AS198" s="457"/>
      <c r="AT198" s="457"/>
      <c r="AU198" s="457"/>
      <c r="AV198" s="457"/>
      <c r="AW198" s="457"/>
      <c r="AX198" s="457"/>
      <c r="AY198" s="457"/>
      <c r="AZ198" s="457"/>
      <c r="BA198" s="457"/>
      <c r="BB198" s="457"/>
      <c r="BC198" s="457"/>
      <c r="BD198" s="457"/>
      <c r="BE198" s="457"/>
      <c r="BF198" s="457"/>
      <c r="BG198" s="457"/>
      <c r="BH198" s="457"/>
      <c r="BI198" s="457"/>
      <c r="BJ198" s="457"/>
    </row>
    <row r="199" spans="1:62" ht="12.75">
      <c r="A199" s="457"/>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c r="AX199" s="457"/>
      <c r="AY199" s="457"/>
      <c r="AZ199" s="457"/>
      <c r="BA199" s="457"/>
      <c r="BB199" s="457"/>
      <c r="BC199" s="457"/>
      <c r="BD199" s="457"/>
      <c r="BE199" s="457"/>
      <c r="BF199" s="457"/>
      <c r="BG199" s="457"/>
      <c r="BH199" s="457"/>
      <c r="BI199" s="457"/>
      <c r="BJ199" s="457"/>
    </row>
    <row r="200" spans="1:62" ht="12.75">
      <c r="A200" s="457"/>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c r="AX200" s="457"/>
      <c r="AY200" s="457"/>
      <c r="AZ200" s="457"/>
      <c r="BA200" s="457"/>
      <c r="BB200" s="457"/>
      <c r="BC200" s="457"/>
      <c r="BD200" s="457"/>
      <c r="BE200" s="457"/>
      <c r="BF200" s="457"/>
      <c r="BG200" s="457"/>
      <c r="BH200" s="457"/>
      <c r="BI200" s="457"/>
      <c r="BJ200" s="457"/>
    </row>
    <row r="201" spans="1:62" ht="12.75">
      <c r="A201" s="457"/>
      <c r="B201" s="45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c r="AS201" s="457"/>
      <c r="AT201" s="457"/>
      <c r="AU201" s="457"/>
      <c r="AV201" s="457"/>
      <c r="AW201" s="457"/>
      <c r="AX201" s="457"/>
      <c r="AY201" s="457"/>
      <c r="AZ201" s="457"/>
      <c r="BA201" s="457"/>
      <c r="BB201" s="457"/>
      <c r="BC201" s="457"/>
      <c r="BD201" s="457"/>
      <c r="BE201" s="457"/>
      <c r="BF201" s="457"/>
      <c r="BG201" s="457"/>
      <c r="BH201" s="457"/>
      <c r="BI201" s="457"/>
      <c r="BJ201" s="457"/>
    </row>
    <row r="202" spans="1:62" ht="12.75">
      <c r="A202" s="457"/>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row>
    <row r="203" spans="1:62" ht="12.75">
      <c r="A203" s="457"/>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row>
    <row r="204" spans="1:62" ht="12.75">
      <c r="A204" s="457"/>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c r="AX204" s="457"/>
      <c r="AY204" s="457"/>
      <c r="AZ204" s="457"/>
      <c r="BA204" s="457"/>
      <c r="BB204" s="457"/>
      <c r="BC204" s="457"/>
      <c r="BD204" s="457"/>
      <c r="BE204" s="457"/>
      <c r="BF204" s="457"/>
      <c r="BG204" s="457"/>
      <c r="BH204" s="457"/>
      <c r="BI204" s="457"/>
      <c r="BJ204" s="457"/>
    </row>
    <row r="205" spans="1:62" ht="12.75">
      <c r="A205" s="457"/>
      <c r="B205" s="45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c r="AS205" s="457"/>
      <c r="AT205" s="457"/>
      <c r="AU205" s="457"/>
      <c r="AV205" s="457"/>
      <c r="AW205" s="457"/>
      <c r="AX205" s="457"/>
      <c r="AY205" s="457"/>
      <c r="AZ205" s="457"/>
      <c r="BA205" s="457"/>
      <c r="BB205" s="457"/>
      <c r="BC205" s="457"/>
      <c r="BD205" s="457"/>
      <c r="BE205" s="457"/>
      <c r="BF205" s="457"/>
      <c r="BG205" s="457"/>
      <c r="BH205" s="457"/>
      <c r="BI205" s="457"/>
      <c r="BJ205" s="457"/>
    </row>
    <row r="206" spans="1:62" ht="12.75">
      <c r="A206" s="457"/>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c r="AX206" s="457"/>
      <c r="AY206" s="457"/>
      <c r="AZ206" s="457"/>
      <c r="BA206" s="457"/>
      <c r="BB206" s="457"/>
      <c r="BC206" s="457"/>
      <c r="BD206" s="457"/>
      <c r="BE206" s="457"/>
      <c r="BF206" s="457"/>
      <c r="BG206" s="457"/>
      <c r="BH206" s="457"/>
      <c r="BI206" s="457"/>
      <c r="BJ206" s="457"/>
    </row>
    <row r="207" spans="1:62" ht="12.75">
      <c r="A207" s="457"/>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row>
    <row r="208" spans="1:62" ht="12.75">
      <c r="A208" s="457"/>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row>
    <row r="209" spans="1:62" ht="12.75">
      <c r="A209" s="457"/>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c r="AX209" s="457"/>
      <c r="AY209" s="457"/>
      <c r="AZ209" s="457"/>
      <c r="BA209" s="457"/>
      <c r="BB209" s="457"/>
      <c r="BC209" s="457"/>
      <c r="BD209" s="457"/>
      <c r="BE209" s="457"/>
      <c r="BF209" s="457"/>
      <c r="BG209" s="457"/>
      <c r="BH209" s="457"/>
      <c r="BI209" s="457"/>
      <c r="BJ209" s="457"/>
    </row>
    <row r="210" spans="1:62" ht="12.75">
      <c r="A210" s="457"/>
      <c r="B210" s="45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row>
    <row r="211" spans="1:62" ht="12.75">
      <c r="A211" s="457"/>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c r="BF211" s="457"/>
      <c r="BG211" s="457"/>
      <c r="BH211" s="457"/>
      <c r="BI211" s="457"/>
      <c r="BJ211" s="457"/>
    </row>
    <row r="212" spans="1:62" ht="12.75">
      <c r="A212" s="457"/>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c r="BF212" s="457"/>
      <c r="BG212" s="457"/>
      <c r="BH212" s="457"/>
      <c r="BI212" s="457"/>
      <c r="BJ212" s="457"/>
    </row>
    <row r="213" spans="1:62" ht="12.75">
      <c r="A213" s="457"/>
      <c r="B213" s="45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c r="BF213" s="457"/>
      <c r="BG213" s="457"/>
      <c r="BH213" s="457"/>
      <c r="BI213" s="457"/>
      <c r="BJ213" s="457"/>
    </row>
    <row r="214" spans="1:62" ht="12.75">
      <c r="A214" s="457"/>
      <c r="B214" s="45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c r="BF214" s="457"/>
      <c r="BG214" s="457"/>
      <c r="BH214" s="457"/>
      <c r="BI214" s="457"/>
      <c r="BJ214" s="457"/>
    </row>
    <row r="215" spans="1:62" ht="12.75">
      <c r="A215" s="457"/>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c r="BF215" s="457"/>
      <c r="BG215" s="457"/>
      <c r="BH215" s="457"/>
      <c r="BI215" s="457"/>
      <c r="BJ215" s="457"/>
    </row>
    <row r="216" spans="1:62" ht="12.75">
      <c r="A216" s="457"/>
      <c r="B216" s="45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c r="BF216" s="457"/>
      <c r="BG216" s="457"/>
      <c r="BH216" s="457"/>
      <c r="BI216" s="457"/>
      <c r="BJ216" s="457"/>
    </row>
    <row r="217" spans="1:62" ht="12.75">
      <c r="A217" s="457"/>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c r="BF217" s="457"/>
      <c r="BG217" s="457"/>
      <c r="BH217" s="457"/>
      <c r="BI217" s="457"/>
      <c r="BJ217" s="457"/>
    </row>
    <row r="218" spans="1:62" ht="12.75">
      <c r="A218" s="457"/>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c r="BF218" s="457"/>
      <c r="BG218" s="457"/>
      <c r="BH218" s="457"/>
      <c r="BI218" s="457"/>
      <c r="BJ218" s="457"/>
    </row>
    <row r="219" spans="1:62" ht="12.75">
      <c r="A219" s="457"/>
      <c r="B219" s="45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c r="BF219" s="457"/>
      <c r="BG219" s="457"/>
      <c r="BH219" s="457"/>
      <c r="BI219" s="457"/>
      <c r="BJ219" s="457"/>
    </row>
    <row r="220" spans="1:62" ht="12.75">
      <c r="A220" s="457"/>
      <c r="B220" s="45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c r="BF220" s="457"/>
      <c r="BG220" s="457"/>
      <c r="BH220" s="457"/>
      <c r="BI220" s="457"/>
      <c r="BJ220" s="457"/>
    </row>
    <row r="221" spans="1:62" ht="12.75">
      <c r="A221" s="457"/>
      <c r="B221" s="45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c r="BF221" s="457"/>
      <c r="BG221" s="457"/>
      <c r="BH221" s="457"/>
      <c r="BI221" s="457"/>
      <c r="BJ221" s="457"/>
    </row>
    <row r="222" spans="1:62" ht="12.75">
      <c r="A222" s="457"/>
      <c r="B222" s="45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c r="BF222" s="457"/>
      <c r="BG222" s="457"/>
      <c r="BH222" s="457"/>
      <c r="BI222" s="457"/>
      <c r="BJ222" s="457"/>
    </row>
    <row r="223" spans="1:62" ht="12.75">
      <c r="A223" s="457"/>
      <c r="B223" s="45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c r="BF223" s="457"/>
      <c r="BG223" s="457"/>
      <c r="BH223" s="457"/>
      <c r="BI223" s="457"/>
      <c r="BJ223" s="457"/>
    </row>
    <row r="224" spans="1:62" ht="12.75">
      <c r="A224" s="457"/>
      <c r="B224" s="45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c r="BF224" s="457"/>
      <c r="BG224" s="457"/>
      <c r="BH224" s="457"/>
      <c r="BI224" s="457"/>
      <c r="BJ224" s="457"/>
    </row>
    <row r="225" spans="1:62" ht="12.75">
      <c r="A225" s="457"/>
      <c r="B225" s="45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c r="BF225" s="457"/>
      <c r="BG225" s="457"/>
      <c r="BH225" s="457"/>
      <c r="BI225" s="457"/>
      <c r="BJ225" s="457"/>
    </row>
    <row r="226" spans="1:62" ht="12.75">
      <c r="A226" s="457"/>
      <c r="B226" s="45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c r="BF226" s="457"/>
      <c r="BG226" s="457"/>
      <c r="BH226" s="457"/>
      <c r="BI226" s="457"/>
      <c r="BJ226" s="457"/>
    </row>
    <row r="227" spans="1:62" ht="12.75">
      <c r="A227" s="457"/>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row>
    <row r="228" spans="1:62" ht="12.75">
      <c r="A228" s="457"/>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row>
    <row r="229" spans="1:62" ht="12.75">
      <c r="A229" s="457"/>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row>
    <row r="230" spans="1:62" ht="12.75">
      <c r="A230" s="457"/>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row>
    <row r="231" spans="1:62" ht="12.75">
      <c r="A231" s="457"/>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row>
    <row r="232" spans="1:62" ht="12.75">
      <c r="A232" s="457"/>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row>
    <row r="233" spans="1:62" ht="12.75">
      <c r="A233" s="457"/>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row>
    <row r="234" spans="1:62" ht="12.75">
      <c r="A234" s="457"/>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row>
    <row r="235" spans="1:62" ht="12.75">
      <c r="A235" s="457"/>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row>
    <row r="236" spans="1:62" ht="12.75">
      <c r="A236" s="457"/>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row>
    <row r="237" spans="1:62" ht="12.75">
      <c r="A237" s="457"/>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row>
    <row r="238" spans="1:62" ht="12.75">
      <c r="A238" s="457"/>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row>
    <row r="239" spans="1:62" ht="12.75">
      <c r="A239" s="457"/>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row>
    <row r="240" spans="1:62" ht="12.75">
      <c r="A240" s="457"/>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row>
    <row r="241" spans="1:62" ht="12.75">
      <c r="A241" s="457"/>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row>
    <row r="242" spans="1:62" ht="12.75">
      <c r="A242" s="457"/>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row>
    <row r="243" spans="1:62" ht="12.75">
      <c r="A243" s="457"/>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row>
    <row r="244" spans="1:62" ht="12.75">
      <c r="A244" s="457"/>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row>
    <row r="245" spans="1:62" ht="12.75">
      <c r="A245" s="457"/>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row>
    <row r="246" spans="1:62" ht="12.75">
      <c r="A246" s="457"/>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row>
    <row r="247" spans="1:62" ht="12.75">
      <c r="A247" s="457"/>
      <c r="B247" s="45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c r="BF247" s="457"/>
      <c r="BG247" s="457"/>
      <c r="BH247" s="457"/>
      <c r="BI247" s="457"/>
      <c r="BJ247" s="457"/>
    </row>
    <row r="248" spans="1:62" ht="12.75">
      <c r="A248" s="457"/>
      <c r="B248" s="45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row>
    <row r="249" spans="1:62" ht="12.75">
      <c r="A249" s="457"/>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row>
    <row r="250" spans="1:62" ht="12.75">
      <c r="A250" s="457"/>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row>
    <row r="251" spans="1:62" ht="12.75">
      <c r="A251" s="457"/>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row>
    <row r="252" spans="1:62" ht="12.75">
      <c r="A252" s="457"/>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row>
    <row r="253" spans="1:62" ht="12.75">
      <c r="A253" s="457"/>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row>
    <row r="254" spans="1:62" ht="12.75">
      <c r="A254" s="457"/>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row>
    <row r="255" spans="1:62" ht="12.75">
      <c r="A255" s="457"/>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row>
    <row r="256" spans="1:62" ht="12.75">
      <c r="A256" s="457"/>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row>
    <row r="257" spans="1:62" ht="12.75">
      <c r="A257" s="457"/>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row>
    <row r="258" spans="1:62" ht="12.75">
      <c r="A258" s="457"/>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row>
    <row r="259" spans="1:62" ht="12.75">
      <c r="A259" s="457"/>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row>
  </sheetData>
  <mergeCells count="2">
    <mergeCell ref="K30:M30"/>
    <mergeCell ref="C29:E29"/>
  </mergeCells>
  <pageMargins left="0.75" right="0.75" top="1" bottom="1" header="0.5" footer="0.5"/>
  <pageSetup scale="63" orientation="landscape" r:id="rId1"/>
  <headerFooter alignWithMargins="0"/>
  <colBreaks count="1" manualBreakCount="1">
    <brk id="21"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96"/>
  <sheetViews>
    <sheetView view="pageBreakPreview" zoomScale="60" zoomScaleNormal="100" workbookViewId="0">
      <pane xSplit="2" ySplit="5" topLeftCell="C6" activePane="bottomRight" state="frozen"/>
      <selection activeCell="G20" sqref="G20"/>
      <selection pane="topRight" activeCell="G20" sqref="G20"/>
      <selection pane="bottomLeft" activeCell="G20" sqref="G20"/>
      <selection pane="bottomRight" activeCell="G20" sqref="G20"/>
    </sheetView>
  </sheetViews>
  <sheetFormatPr defaultRowHeight="12.75"/>
  <cols>
    <col min="1" max="1" width="22.7109375" style="744" customWidth="1"/>
    <col min="2" max="2" width="29.140625" style="744" bestFit="1" customWidth="1"/>
    <col min="3" max="3" width="9.7109375" style="744" bestFit="1" customWidth="1"/>
    <col min="4" max="4" width="2.85546875" style="744" customWidth="1"/>
    <col min="5" max="5" width="9.7109375" style="744" customWidth="1"/>
    <col min="6" max="6" width="1.140625" style="744" customWidth="1"/>
    <col min="7" max="7" width="15.140625" style="773" bestFit="1" customWidth="1"/>
    <col min="8" max="8" width="1.5703125" style="744" customWidth="1"/>
    <col min="9" max="9" width="14.7109375" style="773" bestFit="1" customWidth="1"/>
    <col min="10" max="10" width="2" style="744" customWidth="1"/>
    <col min="11" max="11" width="18.28515625" style="773" bestFit="1" customWidth="1"/>
    <col min="12" max="12" width="2" style="744" customWidth="1"/>
    <col min="13" max="13" width="13.42578125" style="744" bestFit="1" customWidth="1"/>
    <col min="14" max="14" width="2" style="744" customWidth="1"/>
    <col min="15" max="15" width="13.42578125" style="744" bestFit="1" customWidth="1"/>
    <col min="16" max="16" width="2" style="744" customWidth="1"/>
    <col min="17" max="17" width="13.42578125" style="744" bestFit="1" customWidth="1"/>
    <col min="18" max="18" width="2" style="744" customWidth="1"/>
    <col min="19" max="19" width="11.28515625" style="744" bestFit="1" customWidth="1"/>
    <col min="20" max="20" width="12.5703125" style="744" bestFit="1" customWidth="1"/>
    <col min="21" max="21" width="10.85546875" style="744" customWidth="1"/>
    <col min="22" max="22" width="2" style="744" customWidth="1"/>
    <col min="23" max="23" width="11.28515625" style="780" bestFit="1" customWidth="1"/>
    <col min="24" max="24" width="2" style="744" customWidth="1"/>
    <col min="25" max="25" width="9.42578125" style="780" customWidth="1"/>
    <col min="26" max="26" width="12.5703125" style="744" customWidth="1"/>
    <col min="27" max="27" width="6.140625" style="744" bestFit="1" customWidth="1"/>
    <col min="28" max="16384" width="9.140625" style="744"/>
  </cols>
  <sheetData>
    <row r="1" spans="1:27" ht="12" customHeight="1">
      <c r="A1" s="739" t="s">
        <v>1733</v>
      </c>
      <c r="B1" s="740"/>
      <c r="C1" s="741" t="s">
        <v>2293</v>
      </c>
      <c r="D1" s="740"/>
      <c r="E1" s="742"/>
      <c r="F1" s="740"/>
      <c r="G1" s="743"/>
      <c r="H1" s="740"/>
      <c r="I1" s="743"/>
      <c r="J1" s="740"/>
      <c r="K1" s="743"/>
      <c r="L1" s="740"/>
      <c r="N1" s="740"/>
      <c r="P1" s="740"/>
      <c r="R1" s="740"/>
      <c r="V1" s="740"/>
      <c r="W1" s="744"/>
      <c r="X1" s="740"/>
      <c r="Y1" s="744"/>
    </row>
    <row r="2" spans="1:27" ht="12" customHeight="1">
      <c r="A2" s="739" t="s">
        <v>1734</v>
      </c>
      <c r="B2" s="740"/>
      <c r="C2" s="742"/>
      <c r="D2" s="740"/>
      <c r="E2" s="742"/>
      <c r="F2" s="740"/>
      <c r="G2" s="743"/>
      <c r="H2" s="740"/>
      <c r="I2" s="743"/>
      <c r="J2" s="740"/>
      <c r="K2" s="743"/>
      <c r="L2" s="740"/>
      <c r="N2" s="740"/>
      <c r="P2" s="740"/>
      <c r="R2" s="740"/>
      <c r="V2" s="740"/>
      <c r="W2" s="744"/>
      <c r="X2" s="740"/>
      <c r="Y2" s="744"/>
    </row>
    <row r="3" spans="1:27" ht="12" customHeight="1">
      <c r="A3" s="745" t="s">
        <v>1563</v>
      </c>
      <c r="B3" s="740"/>
      <c r="C3" s="742"/>
      <c r="D3" s="740"/>
      <c r="E3" s="742"/>
      <c r="F3" s="740"/>
      <c r="G3" s="743"/>
      <c r="H3" s="740"/>
      <c r="I3" s="743"/>
      <c r="J3" s="740"/>
      <c r="K3" s="743"/>
      <c r="L3" s="740"/>
      <c r="M3" s="742"/>
      <c r="N3" s="740"/>
      <c r="P3" s="740"/>
      <c r="R3" s="740"/>
      <c r="V3" s="740"/>
      <c r="W3" s="744"/>
      <c r="X3" s="740"/>
      <c r="Y3" s="744"/>
    </row>
    <row r="4" spans="1:27" ht="25.5">
      <c r="A4" s="740"/>
      <c r="B4" s="746"/>
      <c r="C4" s="981" t="s">
        <v>1735</v>
      </c>
      <c r="D4" s="982"/>
      <c r="E4" s="981" t="s">
        <v>1736</v>
      </c>
      <c r="F4" s="740"/>
      <c r="G4" s="882" t="s">
        <v>105</v>
      </c>
      <c r="H4" s="985"/>
      <c r="I4" s="882" t="s">
        <v>105</v>
      </c>
      <c r="J4" s="985"/>
      <c r="K4" s="882"/>
      <c r="L4" s="740"/>
      <c r="M4" s="993" t="s">
        <v>1737</v>
      </c>
      <c r="N4" s="994"/>
      <c r="O4" s="993" t="s">
        <v>1738</v>
      </c>
      <c r="P4" s="994"/>
      <c r="Q4" s="993" t="s">
        <v>34</v>
      </c>
      <c r="R4" s="740"/>
      <c r="S4" s="988" t="s">
        <v>2135</v>
      </c>
      <c r="T4" s="989" t="s">
        <v>25</v>
      </c>
      <c r="U4" s="988" t="s">
        <v>26</v>
      </c>
      <c r="V4" s="740"/>
      <c r="W4" s="989"/>
      <c r="X4" s="740"/>
      <c r="Y4" s="1433" t="s">
        <v>1580</v>
      </c>
      <c r="Z4" s="1433"/>
    </row>
    <row r="5" spans="1:27" ht="26.25" customHeight="1">
      <c r="A5" s="747" t="s">
        <v>1739</v>
      </c>
      <c r="B5" s="746" t="s">
        <v>1740</v>
      </c>
      <c r="C5" s="983" t="s">
        <v>1737</v>
      </c>
      <c r="D5" s="984"/>
      <c r="E5" s="983" t="s">
        <v>1741</v>
      </c>
      <c r="F5" s="746"/>
      <c r="G5" s="882" t="s">
        <v>1737</v>
      </c>
      <c r="H5" s="748"/>
      <c r="I5" s="882" t="s">
        <v>1738</v>
      </c>
      <c r="J5" s="748"/>
      <c r="K5" s="882" t="s">
        <v>1742</v>
      </c>
      <c r="L5" s="746"/>
      <c r="M5" s="986" t="s">
        <v>1743</v>
      </c>
      <c r="N5" s="986"/>
      <c r="O5" s="986" t="s">
        <v>1743</v>
      </c>
      <c r="P5" s="986"/>
      <c r="Q5" s="986" t="s">
        <v>1743</v>
      </c>
      <c r="R5" s="746"/>
      <c r="S5" s="990">
        <f>+'LG-Garbage'!E36</f>
        <v>8.8546485705000733E-2</v>
      </c>
      <c r="T5" s="990">
        <f>'LG-Recycle'!E36</f>
        <v>-5.2505146465273579E-2</v>
      </c>
      <c r="U5" s="991">
        <f>'LG-Yardwaste'!J6</f>
        <v>-5.3162356997751466E-2</v>
      </c>
      <c r="V5" s="746"/>
      <c r="W5" s="988" t="s">
        <v>2136</v>
      </c>
      <c r="X5" s="746"/>
      <c r="Y5" s="992" t="s">
        <v>1735</v>
      </c>
      <c r="Z5" s="992" t="s">
        <v>2137</v>
      </c>
    </row>
    <row r="6" spans="1:27" s="740" customFormat="1" ht="12" customHeight="1">
      <c r="C6" s="742"/>
      <c r="E6" s="742"/>
      <c r="G6" s="743"/>
      <c r="I6" s="743"/>
      <c r="K6" s="743"/>
      <c r="M6" s="744"/>
    </row>
    <row r="7" spans="1:27" s="740" customFormat="1" ht="12" customHeight="1">
      <c r="C7" s="742"/>
      <c r="D7" s="749"/>
      <c r="E7" s="742"/>
      <c r="F7" s="749"/>
      <c r="G7" s="743"/>
      <c r="H7" s="749"/>
      <c r="I7" s="743"/>
      <c r="J7" s="749"/>
      <c r="K7" s="743"/>
      <c r="L7" s="749"/>
      <c r="M7" s="744"/>
      <c r="N7" s="749"/>
      <c r="P7" s="749"/>
      <c r="R7" s="749"/>
      <c r="V7" s="749"/>
      <c r="X7" s="749"/>
    </row>
    <row r="8" spans="1:27" s="740" customFormat="1" ht="12" customHeight="1">
      <c r="A8" s="750" t="s">
        <v>1744</v>
      </c>
      <c r="B8" s="750" t="s">
        <v>1744</v>
      </c>
      <c r="C8" s="742"/>
      <c r="D8" s="749"/>
      <c r="E8" s="742"/>
      <c r="F8" s="749"/>
      <c r="G8" s="743"/>
      <c r="H8" s="749"/>
      <c r="I8" s="743"/>
      <c r="J8" s="749"/>
      <c r="K8" s="743"/>
      <c r="L8" s="749"/>
      <c r="M8" s="744"/>
      <c r="N8" s="749"/>
      <c r="P8" s="749"/>
      <c r="R8" s="749"/>
      <c r="V8" s="749"/>
      <c r="X8" s="749"/>
    </row>
    <row r="9" spans="1:27" s="740" customFormat="1" ht="12" customHeight="1">
      <c r="A9" s="750"/>
      <c r="B9" s="750"/>
      <c r="C9" s="742"/>
      <c r="D9" s="749"/>
      <c r="E9" s="742"/>
      <c r="F9" s="749"/>
      <c r="G9" s="743"/>
      <c r="H9" s="749"/>
      <c r="I9" s="743"/>
      <c r="J9" s="749"/>
      <c r="K9" s="743"/>
      <c r="L9" s="749"/>
      <c r="M9" s="744"/>
      <c r="N9" s="749"/>
      <c r="P9" s="749"/>
      <c r="R9" s="749"/>
      <c r="V9" s="749"/>
      <c r="W9" s="751"/>
      <c r="X9" s="749"/>
    </row>
    <row r="10" spans="1:27" s="740" customFormat="1" ht="12" customHeight="1">
      <c r="A10" s="752" t="s">
        <v>1745</v>
      </c>
      <c r="B10" s="752" t="s">
        <v>1745</v>
      </c>
      <c r="C10" s="753"/>
      <c r="D10" s="753"/>
      <c r="E10" s="753"/>
      <c r="F10" s="753"/>
      <c r="G10" s="743"/>
      <c r="H10" s="753"/>
      <c r="I10" s="743"/>
      <c r="J10" s="753"/>
      <c r="K10" s="743"/>
      <c r="L10" s="753"/>
      <c r="M10" s="744"/>
      <c r="N10" s="753"/>
      <c r="P10" s="753"/>
      <c r="Q10" s="751"/>
      <c r="R10" s="753"/>
      <c r="V10" s="753"/>
      <c r="W10" s="755"/>
      <c r="X10" s="753"/>
    </row>
    <row r="11" spans="1:27" s="740" customFormat="1" ht="12" customHeight="1">
      <c r="A11" s="756" t="s">
        <v>1746</v>
      </c>
      <c r="B11" s="756" t="s">
        <v>1747</v>
      </c>
      <c r="C11" s="757">
        <v>5.72</v>
      </c>
      <c r="D11" s="757"/>
      <c r="E11" s="757">
        <f>+'Proposed Rates'!B57</f>
        <v>5.77</v>
      </c>
      <c r="F11" s="757"/>
      <c r="G11" s="743">
        <v>542.42000000000007</v>
      </c>
      <c r="H11" s="757"/>
      <c r="I11" s="743">
        <v>413.75</v>
      </c>
      <c r="J11" s="757"/>
      <c r="K11" s="743">
        <f>+G11+I11</f>
        <v>956.17000000000007</v>
      </c>
      <c r="L11" s="757"/>
      <c r="M11" s="759">
        <f t="shared" ref="M11:M22" si="0">(G11/7)/C11</f>
        <v>13.546953046953048</v>
      </c>
      <c r="N11" s="757"/>
      <c r="O11" s="759">
        <f t="shared" ref="O11:O22" si="1">(I11/5)/E11</f>
        <v>14.341421143847487</v>
      </c>
      <c r="P11" s="757"/>
      <c r="Q11" s="759">
        <f t="shared" ref="Q11:Q22" si="2">(M11+O11)/2</f>
        <v>13.944187095400267</v>
      </c>
      <c r="R11" s="757"/>
      <c r="S11" s="840">
        <f>+$E11*S$5</f>
        <v>0.5109132225178542</v>
      </c>
      <c r="T11" s="840"/>
      <c r="U11" s="840"/>
      <c r="V11" s="841"/>
      <c r="W11" s="987">
        <f>+Q11*SUM(S11:U11)*12</f>
        <v>85.491234771633927</v>
      </c>
      <c r="X11" s="841"/>
      <c r="Y11" s="840">
        <f>+E11+SUM(S11:U11)</f>
        <v>6.2809132225178539</v>
      </c>
      <c r="Z11" s="858">
        <f>K11+W11</f>
        <v>1041.6612347716341</v>
      </c>
      <c r="AA11" s="858"/>
    </row>
    <row r="12" spans="1:27" s="740" customFormat="1" ht="12" customHeight="1">
      <c r="A12" s="756" t="s">
        <v>1748</v>
      </c>
      <c r="B12" s="756" t="s">
        <v>1749</v>
      </c>
      <c r="C12" s="757">
        <v>4.2699999999999996</v>
      </c>
      <c r="D12" s="757"/>
      <c r="E12" s="757">
        <f>+'Proposed Rates'!B64</f>
        <v>4.29</v>
      </c>
      <c r="F12" s="757"/>
      <c r="G12" s="743">
        <v>923.28000000000009</v>
      </c>
      <c r="H12" s="757"/>
      <c r="I12" s="743">
        <v>679.88000000000011</v>
      </c>
      <c r="J12" s="757"/>
      <c r="K12" s="743">
        <f t="shared" ref="K12:K37" si="3">+G12+I12</f>
        <v>1603.1600000000003</v>
      </c>
      <c r="L12" s="757"/>
      <c r="M12" s="759">
        <f t="shared" si="0"/>
        <v>30.889260622281707</v>
      </c>
      <c r="N12" s="757"/>
      <c r="O12" s="759">
        <f t="shared" si="1"/>
        <v>31.696037296037304</v>
      </c>
      <c r="P12" s="757"/>
      <c r="Q12" s="759">
        <f t="shared" si="2"/>
        <v>31.292648959159507</v>
      </c>
      <c r="R12" s="757"/>
      <c r="S12" s="840">
        <f t="shared" ref="S12:S37" si="4">+$E12*S$5</f>
        <v>0.37986442367445317</v>
      </c>
      <c r="T12" s="840"/>
      <c r="U12" s="840"/>
      <c r="V12" s="841"/>
      <c r="W12" s="987">
        <f t="shared" ref="W12:W37" si="5">+Q12*SUM(S12:U12)*12</f>
        <v>142.64356874541724</v>
      </c>
      <c r="X12" s="841"/>
      <c r="Y12" s="840">
        <f t="shared" ref="Y12:Y37" si="6">+E12+SUM(S12:U12)</f>
        <v>4.6698644236744533</v>
      </c>
      <c r="Z12" s="858">
        <f t="shared" ref="Z12:Z37" si="7">K12+W12</f>
        <v>1745.8035687454176</v>
      </c>
      <c r="AA12" s="858"/>
    </row>
    <row r="13" spans="1:27" s="740" customFormat="1" ht="12" customHeight="1">
      <c r="A13" s="756" t="s">
        <v>1750</v>
      </c>
      <c r="B13" s="756" t="s">
        <v>1751</v>
      </c>
      <c r="C13" s="757">
        <v>7.15</v>
      </c>
      <c r="D13" s="757"/>
      <c r="E13" s="757">
        <f>+'Proposed Rates'!B58</f>
        <v>7.23</v>
      </c>
      <c r="F13" s="757"/>
      <c r="G13" s="743">
        <v>124214.11499999999</v>
      </c>
      <c r="H13" s="757"/>
      <c r="I13" s="743">
        <v>86554.13499999998</v>
      </c>
      <c r="J13" s="757"/>
      <c r="K13" s="743">
        <f t="shared" si="3"/>
        <v>210768.24999999997</v>
      </c>
      <c r="L13" s="757"/>
      <c r="M13" s="759">
        <f t="shared" si="0"/>
        <v>2481.800499500499</v>
      </c>
      <c r="N13" s="757"/>
      <c r="O13" s="759">
        <f t="shared" si="1"/>
        <v>2394.3052558782842</v>
      </c>
      <c r="P13" s="757"/>
      <c r="Q13" s="759">
        <f t="shared" si="2"/>
        <v>2438.0528776893916</v>
      </c>
      <c r="R13" s="757"/>
      <c r="S13" s="840">
        <f t="shared" si="4"/>
        <v>0.64019109164715537</v>
      </c>
      <c r="T13" s="840"/>
      <c r="U13" s="840"/>
      <c r="V13" s="841"/>
      <c r="W13" s="987">
        <f t="shared" si="5"/>
        <v>18729.836799137523</v>
      </c>
      <c r="X13" s="841"/>
      <c r="Y13" s="840">
        <f t="shared" si="6"/>
        <v>7.8701910916471558</v>
      </c>
      <c r="Z13" s="858">
        <f t="shared" si="7"/>
        <v>229498.0867991375</v>
      </c>
      <c r="AA13" s="858"/>
    </row>
    <row r="14" spans="1:27" s="740" customFormat="1" ht="12" customHeight="1">
      <c r="A14" s="756" t="s">
        <v>1752</v>
      </c>
      <c r="B14" s="756" t="s">
        <v>1753</v>
      </c>
      <c r="C14" s="757">
        <v>9.39</v>
      </c>
      <c r="D14" s="757"/>
      <c r="E14" s="757">
        <f>+'Proposed Rates'!B59</f>
        <v>9.51</v>
      </c>
      <c r="F14" s="757"/>
      <c r="G14" s="743">
        <v>177936.875</v>
      </c>
      <c r="H14" s="757"/>
      <c r="I14" s="743">
        <v>123760.26500000001</v>
      </c>
      <c r="J14" s="757"/>
      <c r="K14" s="743">
        <f t="shared" si="3"/>
        <v>301697.14</v>
      </c>
      <c r="L14" s="757"/>
      <c r="M14" s="759">
        <f t="shared" si="0"/>
        <v>2707.0877072873877</v>
      </c>
      <c r="N14" s="757"/>
      <c r="O14" s="759">
        <f t="shared" si="1"/>
        <v>2602.7395373291279</v>
      </c>
      <c r="P14" s="757"/>
      <c r="Q14" s="759">
        <f t="shared" si="2"/>
        <v>2654.9136223082578</v>
      </c>
      <c r="R14" s="757"/>
      <c r="S14" s="840">
        <f t="shared" si="4"/>
        <v>0.84207707905455698</v>
      </c>
      <c r="T14" s="840"/>
      <c r="U14" s="840"/>
      <c r="V14" s="841"/>
      <c r="W14" s="987">
        <f t="shared" si="5"/>
        <v>26827.702898585892</v>
      </c>
      <c r="X14" s="841"/>
      <c r="Y14" s="840">
        <f t="shared" si="6"/>
        <v>10.352077079054556</v>
      </c>
      <c r="Z14" s="858">
        <f t="shared" si="7"/>
        <v>328524.84289858589</v>
      </c>
      <c r="AA14" s="858"/>
    </row>
    <row r="15" spans="1:27" s="740" customFormat="1" ht="12" customHeight="1">
      <c r="A15" s="756" t="s">
        <v>1754</v>
      </c>
      <c r="B15" s="756" t="s">
        <v>1755</v>
      </c>
      <c r="C15" s="757">
        <v>11.59</v>
      </c>
      <c r="D15" s="757"/>
      <c r="E15" s="757">
        <f>+'Proposed Rates'!B60</f>
        <v>11.77</v>
      </c>
      <c r="F15" s="757"/>
      <c r="G15" s="743">
        <v>27889.374999999996</v>
      </c>
      <c r="H15" s="757"/>
      <c r="I15" s="743">
        <v>19204.585000000003</v>
      </c>
      <c r="J15" s="757"/>
      <c r="K15" s="743">
        <f t="shared" si="3"/>
        <v>47093.96</v>
      </c>
      <c r="L15" s="757"/>
      <c r="M15" s="759">
        <f t="shared" si="0"/>
        <v>343.76155552816465</v>
      </c>
      <c r="N15" s="757"/>
      <c r="O15" s="759">
        <f t="shared" si="1"/>
        <v>326.331096006797</v>
      </c>
      <c r="P15" s="757"/>
      <c r="Q15" s="759">
        <f t="shared" si="2"/>
        <v>335.04632576748082</v>
      </c>
      <c r="R15" s="757"/>
      <c r="S15" s="840">
        <f t="shared" si="4"/>
        <v>1.0421921367478586</v>
      </c>
      <c r="T15" s="840"/>
      <c r="U15" s="840"/>
      <c r="V15" s="841"/>
      <c r="W15" s="987">
        <f t="shared" si="5"/>
        <v>4190.19175393356</v>
      </c>
      <c r="X15" s="841"/>
      <c r="Y15" s="840">
        <f t="shared" si="6"/>
        <v>12.812192136747859</v>
      </c>
      <c r="Z15" s="858">
        <f t="shared" si="7"/>
        <v>51284.151753933562</v>
      </c>
      <c r="AA15" s="858"/>
    </row>
    <row r="16" spans="1:27" s="740" customFormat="1" ht="12" customHeight="1">
      <c r="A16" s="756" t="s">
        <v>1756</v>
      </c>
      <c r="B16" s="756" t="s">
        <v>1757</v>
      </c>
      <c r="C16" s="757">
        <v>13.81</v>
      </c>
      <c r="D16" s="757"/>
      <c r="E16" s="757">
        <f>+'Proposed Rates'!B61</f>
        <v>14.04</v>
      </c>
      <c r="F16" s="757"/>
      <c r="G16" s="743">
        <v>4857.1899999999996</v>
      </c>
      <c r="H16" s="757"/>
      <c r="I16" s="743">
        <v>3452.29</v>
      </c>
      <c r="J16" s="757"/>
      <c r="K16" s="743">
        <f t="shared" si="3"/>
        <v>8309.48</v>
      </c>
      <c r="L16" s="757"/>
      <c r="M16" s="759">
        <f t="shared" si="0"/>
        <v>50.245060515154641</v>
      </c>
      <c r="N16" s="757"/>
      <c r="O16" s="759">
        <f t="shared" si="1"/>
        <v>49.177920227920225</v>
      </c>
      <c r="P16" s="757"/>
      <c r="Q16" s="759">
        <f t="shared" si="2"/>
        <v>49.711490371537437</v>
      </c>
      <c r="R16" s="757"/>
      <c r="S16" s="840">
        <f t="shared" si="4"/>
        <v>1.2431926592982101</v>
      </c>
      <c r="T16" s="840"/>
      <c r="U16" s="840"/>
      <c r="V16" s="841"/>
      <c r="W16" s="987">
        <f t="shared" si="5"/>
        <v>741.61151895202795</v>
      </c>
      <c r="X16" s="841"/>
      <c r="Y16" s="840">
        <f t="shared" si="6"/>
        <v>15.283192659298209</v>
      </c>
      <c r="Z16" s="858">
        <f t="shared" si="7"/>
        <v>9051.0915189520274</v>
      </c>
      <c r="AA16" s="858"/>
    </row>
    <row r="17" spans="1:27" s="740" customFormat="1" ht="12" customHeight="1">
      <c r="A17" s="756" t="s">
        <v>1758</v>
      </c>
      <c r="B17" s="756" t="s">
        <v>1759</v>
      </c>
      <c r="C17" s="757">
        <v>16.3</v>
      </c>
      <c r="D17" s="757"/>
      <c r="E17" s="757">
        <f>+'Proposed Rates'!B62</f>
        <v>16.579999999999998</v>
      </c>
      <c r="F17" s="757"/>
      <c r="G17" s="743">
        <v>293.96000000000004</v>
      </c>
      <c r="H17" s="757"/>
      <c r="I17" s="743">
        <v>260.85999999999996</v>
      </c>
      <c r="J17" s="757"/>
      <c r="K17" s="743">
        <f t="shared" si="3"/>
        <v>554.81999999999994</v>
      </c>
      <c r="L17" s="757"/>
      <c r="M17" s="759">
        <f t="shared" si="0"/>
        <v>2.5763365468886943</v>
      </c>
      <c r="N17" s="757"/>
      <c r="O17" s="759">
        <f t="shared" si="1"/>
        <v>3.1466827503015677</v>
      </c>
      <c r="P17" s="757"/>
      <c r="Q17" s="759">
        <f t="shared" si="2"/>
        <v>2.8615096485951312</v>
      </c>
      <c r="R17" s="757"/>
      <c r="S17" s="840">
        <f t="shared" si="4"/>
        <v>1.468100732988912</v>
      </c>
      <c r="T17" s="840"/>
      <c r="U17" s="840"/>
      <c r="V17" s="841"/>
      <c r="W17" s="987">
        <f t="shared" si="5"/>
        <v>50.411812950688272</v>
      </c>
      <c r="X17" s="841"/>
      <c r="Y17" s="840">
        <f t="shared" si="6"/>
        <v>18.04810073298891</v>
      </c>
      <c r="Z17" s="858">
        <f t="shared" si="7"/>
        <v>605.23181295068821</v>
      </c>
      <c r="AA17" s="858"/>
    </row>
    <row r="18" spans="1:27" s="740" customFormat="1" ht="12" customHeight="1">
      <c r="A18" s="756" t="s">
        <v>1760</v>
      </c>
      <c r="B18" s="756" t="s">
        <v>1761</v>
      </c>
      <c r="C18" s="757">
        <v>19.059999999999999</v>
      </c>
      <c r="D18" s="757"/>
      <c r="E18" s="757">
        <f>+'Proposed Rates'!B63</f>
        <v>19.43</v>
      </c>
      <c r="F18" s="757"/>
      <c r="G18" s="743">
        <v>262.43</v>
      </c>
      <c r="H18" s="757"/>
      <c r="I18" s="743">
        <v>120.98000000000002</v>
      </c>
      <c r="J18" s="757"/>
      <c r="K18" s="743">
        <f t="shared" si="3"/>
        <v>383.41</v>
      </c>
      <c r="L18" s="757"/>
      <c r="M18" s="759">
        <f t="shared" si="0"/>
        <v>1.9669464847848901</v>
      </c>
      <c r="N18" s="757"/>
      <c r="O18" s="759">
        <f t="shared" si="1"/>
        <v>1.2452907874421002</v>
      </c>
      <c r="P18" s="757"/>
      <c r="Q18" s="759">
        <f t="shared" si="2"/>
        <v>1.6061186361134951</v>
      </c>
      <c r="R18" s="757"/>
      <c r="S18" s="840">
        <f t="shared" si="4"/>
        <v>1.7204582172481642</v>
      </c>
      <c r="T18" s="840"/>
      <c r="U18" s="840"/>
      <c r="V18" s="841"/>
      <c r="W18" s="987">
        <f t="shared" si="5"/>
        <v>33.159120064522519</v>
      </c>
      <c r="X18" s="841"/>
      <c r="Y18" s="840">
        <f t="shared" si="6"/>
        <v>21.150458217248165</v>
      </c>
      <c r="Z18" s="858">
        <f t="shared" si="7"/>
        <v>416.56912006452256</v>
      </c>
      <c r="AA18" s="858"/>
    </row>
    <row r="19" spans="1:27" s="740" customFormat="1" ht="12" customHeight="1">
      <c r="A19" s="756" t="s">
        <v>1762</v>
      </c>
      <c r="B19" s="756" t="s">
        <v>1763</v>
      </c>
      <c r="C19" s="757">
        <v>10.210000000000001</v>
      </c>
      <c r="D19" s="757"/>
      <c r="E19" s="757">
        <f>+'Proposed Rates'!B73</f>
        <v>10.32</v>
      </c>
      <c r="F19" s="757"/>
      <c r="G19" s="743">
        <v>57233.829999999994</v>
      </c>
      <c r="H19" s="757"/>
      <c r="I19" s="743">
        <v>41370.569999999992</v>
      </c>
      <c r="J19" s="757"/>
      <c r="K19" s="743">
        <f t="shared" si="3"/>
        <v>98604.4</v>
      </c>
      <c r="L19" s="757"/>
      <c r="M19" s="759">
        <f t="shared" si="0"/>
        <v>800.80915069259822</v>
      </c>
      <c r="N19" s="757"/>
      <c r="O19" s="759">
        <f t="shared" si="1"/>
        <v>801.75523255813926</v>
      </c>
      <c r="P19" s="757"/>
      <c r="Q19" s="759">
        <f t="shared" si="2"/>
        <v>801.2821916253688</v>
      </c>
      <c r="R19" s="757"/>
      <c r="S19" s="840">
        <f t="shared" si="4"/>
        <v>0.91379973247560764</v>
      </c>
      <c r="T19" s="840"/>
      <c r="U19" s="840"/>
      <c r="V19" s="841"/>
      <c r="W19" s="987">
        <f t="shared" si="5"/>
        <v>8786.5374281367658</v>
      </c>
      <c r="X19" s="841"/>
      <c r="Y19" s="840">
        <f t="shared" si="6"/>
        <v>11.233799732475608</v>
      </c>
      <c r="Z19" s="858">
        <f t="shared" si="7"/>
        <v>107390.93742813676</v>
      </c>
      <c r="AA19" s="858"/>
    </row>
    <row r="20" spans="1:27" s="740" customFormat="1" ht="12" customHeight="1">
      <c r="A20" s="756" t="s">
        <v>1764</v>
      </c>
      <c r="B20" s="756" t="s">
        <v>1765</v>
      </c>
      <c r="C20" s="757">
        <v>10.72</v>
      </c>
      <c r="D20" s="757"/>
      <c r="E20" s="757">
        <f>+'Proposed Rates'!B74</f>
        <v>10.84</v>
      </c>
      <c r="F20" s="757"/>
      <c r="G20" s="743">
        <v>157034.46999999997</v>
      </c>
      <c r="H20" s="757"/>
      <c r="I20" s="743">
        <v>116239.20000000001</v>
      </c>
      <c r="J20" s="757"/>
      <c r="K20" s="743">
        <f t="shared" si="3"/>
        <v>273273.67</v>
      </c>
      <c r="L20" s="757"/>
      <c r="M20" s="759">
        <f t="shared" si="0"/>
        <v>2092.6768390191892</v>
      </c>
      <c r="N20" s="757"/>
      <c r="O20" s="759">
        <f t="shared" si="1"/>
        <v>2144.6346863468639</v>
      </c>
      <c r="P20" s="757"/>
      <c r="Q20" s="759">
        <f t="shared" si="2"/>
        <v>2118.6557626830263</v>
      </c>
      <c r="R20" s="757"/>
      <c r="S20" s="840">
        <f t="shared" si="4"/>
        <v>0.95984390504220796</v>
      </c>
      <c r="T20" s="840"/>
      <c r="U20" s="840"/>
      <c r="V20" s="841"/>
      <c r="W20" s="987">
        <f t="shared" si="5"/>
        <v>24402.945848326242</v>
      </c>
      <c r="X20" s="841"/>
      <c r="Y20" s="840">
        <f t="shared" si="6"/>
        <v>11.799843905042207</v>
      </c>
      <c r="Z20" s="858">
        <f t="shared" si="7"/>
        <v>297676.61584832624</v>
      </c>
      <c r="AA20" s="858"/>
    </row>
    <row r="21" spans="1:27" s="740" customFormat="1" ht="12" customHeight="1">
      <c r="A21" s="756" t="s">
        <v>1766</v>
      </c>
      <c r="B21" s="756" t="s">
        <v>1767</v>
      </c>
      <c r="C21" s="757">
        <v>13.05</v>
      </c>
      <c r="D21" s="757"/>
      <c r="E21" s="757">
        <f>+'Proposed Rates'!B75</f>
        <v>13.23</v>
      </c>
      <c r="F21" s="757"/>
      <c r="G21" s="743">
        <v>289938.71499999997</v>
      </c>
      <c r="H21" s="757"/>
      <c r="I21" s="743">
        <v>221413.48499999999</v>
      </c>
      <c r="J21" s="757"/>
      <c r="K21" s="743">
        <f t="shared" si="3"/>
        <v>511352.19999999995</v>
      </c>
      <c r="L21" s="757"/>
      <c r="M21" s="759">
        <f t="shared" si="0"/>
        <v>3173.9322933771205</v>
      </c>
      <c r="N21" s="757"/>
      <c r="O21" s="759">
        <f t="shared" si="1"/>
        <v>3347.1426303854873</v>
      </c>
      <c r="P21" s="757"/>
      <c r="Q21" s="759">
        <f t="shared" si="2"/>
        <v>3260.5374618813039</v>
      </c>
      <c r="R21" s="757"/>
      <c r="S21" s="840">
        <f t="shared" si="4"/>
        <v>1.1714700058771597</v>
      </c>
      <c r="T21" s="840"/>
      <c r="U21" s="840"/>
      <c r="V21" s="841"/>
      <c r="W21" s="987">
        <f t="shared" si="5"/>
        <v>45835.462075593488</v>
      </c>
      <c r="X21" s="841"/>
      <c r="Y21" s="840">
        <f t="shared" si="6"/>
        <v>14.40147000587716</v>
      </c>
      <c r="Z21" s="858">
        <f t="shared" si="7"/>
        <v>557187.66207559349</v>
      </c>
      <c r="AA21" s="858"/>
    </row>
    <row r="22" spans="1:27" s="740" customFormat="1" ht="12" customHeight="1">
      <c r="A22" s="756" t="s">
        <v>1768</v>
      </c>
      <c r="B22" s="756" t="s">
        <v>1769</v>
      </c>
      <c r="C22" s="757">
        <v>4.2699999999999996</v>
      </c>
      <c r="D22" s="757"/>
      <c r="E22" s="757">
        <f>+'Proposed Rates'!B84</f>
        <v>4.29</v>
      </c>
      <c r="F22" s="757"/>
      <c r="G22" s="743">
        <v>111.12999999999998</v>
      </c>
      <c r="H22" s="757"/>
      <c r="I22" s="743">
        <v>55.769999999999996</v>
      </c>
      <c r="J22" s="757"/>
      <c r="K22" s="743">
        <f t="shared" si="3"/>
        <v>166.89999999999998</v>
      </c>
      <c r="L22" s="757"/>
      <c r="M22" s="759">
        <f t="shared" si="0"/>
        <v>3.7179658748745394</v>
      </c>
      <c r="N22" s="757"/>
      <c r="O22" s="759">
        <f t="shared" si="1"/>
        <v>2.6</v>
      </c>
      <c r="P22" s="757"/>
      <c r="Q22" s="759">
        <f t="shared" si="2"/>
        <v>3.15898293743727</v>
      </c>
      <c r="R22" s="757"/>
      <c r="S22" s="840">
        <f t="shared" si="4"/>
        <v>0.37986442367445317</v>
      </c>
      <c r="T22" s="840"/>
      <c r="U22" s="840"/>
      <c r="V22" s="841"/>
      <c r="W22" s="987">
        <f t="shared" si="5"/>
        <v>14.399822795124477</v>
      </c>
      <c r="X22" s="841"/>
      <c r="Y22" s="840">
        <f t="shared" si="6"/>
        <v>4.6698644236744533</v>
      </c>
      <c r="Z22" s="858">
        <f t="shared" si="7"/>
        <v>181.29982279512444</v>
      </c>
      <c r="AA22" s="858"/>
    </row>
    <row r="23" spans="1:27" s="740" customFormat="1" ht="12" customHeight="1">
      <c r="A23" s="756" t="s">
        <v>1770</v>
      </c>
      <c r="B23" s="756" t="s">
        <v>1771</v>
      </c>
      <c r="C23" s="757">
        <v>2.08</v>
      </c>
      <c r="D23" s="757"/>
      <c r="E23" s="757">
        <f>+'Proposed Rates'!B79</f>
        <v>2.1</v>
      </c>
      <c r="F23" s="757"/>
      <c r="G23" s="743">
        <v>47612.480000000003</v>
      </c>
      <c r="H23" s="757"/>
      <c r="I23" s="743">
        <v>50966.570000000007</v>
      </c>
      <c r="J23" s="757"/>
      <c r="K23" s="743">
        <f t="shared" si="3"/>
        <v>98579.050000000017</v>
      </c>
      <c r="L23" s="757"/>
      <c r="M23" s="759">
        <f t="shared" ref="M23:M37" si="8">(G23/7)/C23</f>
        <v>3270.0879120879122</v>
      </c>
      <c r="N23" s="757"/>
      <c r="O23" s="759">
        <f t="shared" ref="O23:O37" si="9">(I23/5)/E23</f>
        <v>4853.9590476190488</v>
      </c>
      <c r="P23" s="757"/>
      <c r="Q23" s="759">
        <f t="shared" ref="Q23:Q37" si="10">(M23+O23)/2</f>
        <v>4062.0234798534802</v>
      </c>
      <c r="R23" s="757"/>
      <c r="S23" s="840">
        <f t="shared" si="4"/>
        <v>0.18594761998050155</v>
      </c>
      <c r="T23" s="840"/>
      <c r="U23" s="840"/>
      <c r="V23" s="841"/>
      <c r="W23" s="987">
        <f t="shared" si="5"/>
        <v>9063.8831806040344</v>
      </c>
      <c r="X23" s="841"/>
      <c r="Y23" s="840">
        <f t="shared" si="6"/>
        <v>2.2859476199805018</v>
      </c>
      <c r="Z23" s="858">
        <f t="shared" si="7"/>
        <v>107642.93318060406</v>
      </c>
      <c r="AA23" s="858"/>
    </row>
    <row r="24" spans="1:27" s="740" customFormat="1" ht="12" customHeight="1">
      <c r="A24" s="756" t="s">
        <v>1772</v>
      </c>
      <c r="B24" s="756" t="s">
        <v>1773</v>
      </c>
      <c r="C24" s="757">
        <v>1.76</v>
      </c>
      <c r="D24" s="757"/>
      <c r="E24" s="757">
        <f>+'Proposed Rates'!B20</f>
        <v>1.78</v>
      </c>
      <c r="F24" s="757"/>
      <c r="G24" s="743">
        <v>1448.48</v>
      </c>
      <c r="H24" s="757"/>
      <c r="I24" s="743">
        <v>1929.6</v>
      </c>
      <c r="J24" s="757"/>
      <c r="K24" s="743">
        <f t="shared" si="3"/>
        <v>3378.08</v>
      </c>
      <c r="L24" s="757"/>
      <c r="M24" s="759">
        <f t="shared" si="8"/>
        <v>117.57142857142857</v>
      </c>
      <c r="N24" s="757"/>
      <c r="O24" s="759">
        <f t="shared" si="9"/>
        <v>216.80898876404493</v>
      </c>
      <c r="P24" s="757"/>
      <c r="Q24" s="759">
        <f t="shared" si="10"/>
        <v>167.19020866773675</v>
      </c>
      <c r="R24" s="757"/>
      <c r="S24" s="840">
        <f t="shared" si="4"/>
        <v>0.15761274455490132</v>
      </c>
      <c r="T24" s="840"/>
      <c r="U24" s="840"/>
      <c r="V24" s="841"/>
      <c r="W24" s="987">
        <f t="shared" si="5"/>
        <v>316.21569180994368</v>
      </c>
      <c r="X24" s="841"/>
      <c r="Y24" s="840">
        <f t="shared" si="6"/>
        <v>1.9376127445549014</v>
      </c>
      <c r="Z24" s="858">
        <f t="shared" si="7"/>
        <v>3694.2956918099435</v>
      </c>
      <c r="AA24" s="858"/>
    </row>
    <row r="25" spans="1:27" s="740" customFormat="1" ht="12" customHeight="1">
      <c r="A25" s="756" t="s">
        <v>1774</v>
      </c>
      <c r="B25" s="756" t="s">
        <v>1775</v>
      </c>
      <c r="C25" s="757">
        <f>0.14*References!B11</f>
        <v>0.60620000000000007</v>
      </c>
      <c r="D25" s="757"/>
      <c r="E25" s="757">
        <f>+'Proposed Rates'!B54*References!B11</f>
        <v>0.60620000000000007</v>
      </c>
      <c r="F25" s="757"/>
      <c r="G25" s="743">
        <v>98.02000000000001</v>
      </c>
      <c r="H25" s="757"/>
      <c r="I25" s="743">
        <v>73.81</v>
      </c>
      <c r="J25" s="757"/>
      <c r="K25" s="743">
        <f t="shared" si="3"/>
        <v>171.83</v>
      </c>
      <c r="L25" s="757"/>
      <c r="M25" s="759">
        <f t="shared" si="8"/>
        <v>23.099401423386904</v>
      </c>
      <c r="N25" s="757"/>
      <c r="O25" s="759">
        <f t="shared" si="9"/>
        <v>24.35169910920488</v>
      </c>
      <c r="P25" s="757"/>
      <c r="Q25" s="759">
        <f t="shared" si="10"/>
        <v>23.72555026629589</v>
      </c>
      <c r="R25" s="757"/>
      <c r="S25" s="840">
        <f t="shared" si="4"/>
        <v>5.3676879634371448E-2</v>
      </c>
      <c r="T25" s="840"/>
      <c r="U25" s="840"/>
      <c r="V25" s="841"/>
      <c r="W25" s="987">
        <f t="shared" si="5"/>
        <v>15.282162070838327</v>
      </c>
      <c r="X25" s="841"/>
      <c r="Y25" s="840">
        <f t="shared" si="6"/>
        <v>0.65987687963437147</v>
      </c>
      <c r="Z25" s="858">
        <f t="shared" si="7"/>
        <v>187.11216207083834</v>
      </c>
      <c r="AA25" s="858"/>
    </row>
    <row r="26" spans="1:27" s="740" customFormat="1" ht="12" customHeight="1">
      <c r="A26" s="756" t="s">
        <v>1776</v>
      </c>
      <c r="B26" s="756" t="s">
        <v>1777</v>
      </c>
      <c r="C26" s="995">
        <f>0.28*References!B11</f>
        <v>1.2124000000000001</v>
      </c>
      <c r="D26" s="757"/>
      <c r="E26" s="757">
        <f>+'Proposed Rates'!B38*References!B11</f>
        <v>1.2124000000000001</v>
      </c>
      <c r="F26" s="757"/>
      <c r="G26" s="743">
        <v>463.92</v>
      </c>
      <c r="H26" s="757"/>
      <c r="I26" s="743">
        <v>331.85</v>
      </c>
      <c r="J26" s="757"/>
      <c r="K26" s="743">
        <f t="shared" si="3"/>
        <v>795.77</v>
      </c>
      <c r="L26" s="757"/>
      <c r="M26" s="759">
        <f t="shared" si="8"/>
        <v>54.663713060281843</v>
      </c>
      <c r="N26" s="757"/>
      <c r="O26" s="759">
        <f t="shared" si="9"/>
        <v>54.742659188386668</v>
      </c>
      <c r="P26" s="757"/>
      <c r="Q26" s="759">
        <f t="shared" si="10"/>
        <v>54.703186124334252</v>
      </c>
      <c r="R26" s="757"/>
      <c r="S26" s="840">
        <f t="shared" si="4"/>
        <v>0.1073537592687429</v>
      </c>
      <c r="T26" s="840"/>
      <c r="U26" s="840"/>
      <c r="V26" s="841"/>
      <c r="W26" s="987">
        <f t="shared" si="5"/>
        <v>70.471112093100203</v>
      </c>
      <c r="X26" s="841"/>
      <c r="Y26" s="840">
        <f t="shared" si="6"/>
        <v>1.3197537592687429</v>
      </c>
      <c r="Z26" s="858">
        <f t="shared" si="7"/>
        <v>866.24111209310013</v>
      </c>
      <c r="AA26" s="858"/>
    </row>
    <row r="27" spans="1:27" s="740" customFormat="1" ht="12" customHeight="1">
      <c r="A27" s="756" t="s">
        <v>1778</v>
      </c>
      <c r="B27" s="756" t="s">
        <v>1779</v>
      </c>
      <c r="C27" s="757">
        <f>C26+(0.11*References!$B$11)</f>
        <v>1.6887000000000001</v>
      </c>
      <c r="D27" s="757"/>
      <c r="E27" s="757">
        <f>+'Proposed Rates'!B39*References!B11+'Proposed Rates'!B38*References!B11</f>
        <v>1.6887000000000001</v>
      </c>
      <c r="F27" s="757"/>
      <c r="G27" s="743">
        <v>283.51</v>
      </c>
      <c r="H27" s="757"/>
      <c r="I27" s="743">
        <v>243.35999999999999</v>
      </c>
      <c r="J27" s="757"/>
      <c r="K27" s="743">
        <f t="shared" si="3"/>
        <v>526.87</v>
      </c>
      <c r="L27" s="757"/>
      <c r="M27" s="759">
        <f t="shared" si="8"/>
        <v>23.983791420281026</v>
      </c>
      <c r="N27" s="757"/>
      <c r="O27" s="759">
        <f t="shared" si="9"/>
        <v>28.822170900692836</v>
      </c>
      <c r="P27" s="757"/>
      <c r="Q27" s="759">
        <f t="shared" si="10"/>
        <v>26.402981160486931</v>
      </c>
      <c r="R27" s="757"/>
      <c r="S27" s="840">
        <f t="shared" si="4"/>
        <v>0.14952845041003474</v>
      </c>
      <c r="T27" s="840"/>
      <c r="U27" s="840"/>
      <c r="V27" s="841"/>
      <c r="W27" s="987">
        <f t="shared" si="5"/>
        <v>47.375962309595415</v>
      </c>
      <c r="X27" s="841"/>
      <c r="Y27" s="840">
        <f t="shared" si="6"/>
        <v>1.8382284504100348</v>
      </c>
      <c r="Z27" s="858">
        <f t="shared" si="7"/>
        <v>574.24596230959537</v>
      </c>
      <c r="AA27" s="858"/>
    </row>
    <row r="28" spans="1:27" s="740" customFormat="1" ht="12" customHeight="1">
      <c r="A28" s="756" t="s">
        <v>1780</v>
      </c>
      <c r="B28" s="756" t="s">
        <v>1781</v>
      </c>
      <c r="C28" s="757">
        <f>C27+(0.11*References!$B$11)</f>
        <v>2.165</v>
      </c>
      <c r="D28" s="757"/>
      <c r="E28" s="757">
        <f>+('Proposed Rates'!B38+'Proposed Rates'!B39+'Proposed Rates'!B39)*References!B11</f>
        <v>2.165</v>
      </c>
      <c r="F28" s="757"/>
      <c r="G28" s="743">
        <v>251.68</v>
      </c>
      <c r="H28" s="757"/>
      <c r="I28" s="743">
        <v>174.28</v>
      </c>
      <c r="J28" s="757"/>
      <c r="K28" s="743">
        <f t="shared" si="3"/>
        <v>425.96000000000004</v>
      </c>
      <c r="L28" s="757"/>
      <c r="M28" s="759">
        <f t="shared" si="8"/>
        <v>16.607060376113495</v>
      </c>
      <c r="N28" s="757"/>
      <c r="O28" s="759">
        <f t="shared" si="9"/>
        <v>16.099769053117782</v>
      </c>
      <c r="P28" s="757"/>
      <c r="Q28" s="759">
        <f t="shared" si="10"/>
        <v>16.353414714615639</v>
      </c>
      <c r="R28" s="757"/>
      <c r="S28" s="840">
        <f t="shared" si="4"/>
        <v>0.19170314155132659</v>
      </c>
      <c r="T28" s="840"/>
      <c r="U28" s="840"/>
      <c r="V28" s="841"/>
      <c r="W28" s="987">
        <f t="shared" si="5"/>
        <v>37.620011710602107</v>
      </c>
      <c r="X28" s="841"/>
      <c r="Y28" s="840">
        <f t="shared" si="6"/>
        <v>2.3567031415513267</v>
      </c>
      <c r="Z28" s="858">
        <f t="shared" si="7"/>
        <v>463.58001171060215</v>
      </c>
      <c r="AA28" s="858"/>
    </row>
    <row r="29" spans="1:27" s="740" customFormat="1" ht="12" customHeight="1">
      <c r="A29" s="756" t="s">
        <v>1782</v>
      </c>
      <c r="B29" s="756" t="s">
        <v>1783</v>
      </c>
      <c r="C29" s="757">
        <f>C28+(0.11*References!$B$11)</f>
        <v>2.6413000000000002</v>
      </c>
      <c r="D29" s="757"/>
      <c r="E29" s="757">
        <f>+('Proposed Rates'!B38+'Proposed Rates'!B39+'Proposed Rates'!B39+'Proposed Rates'!B39)*References!B11</f>
        <v>2.6413000000000002</v>
      </c>
      <c r="F29" s="757"/>
      <c r="G29" s="743">
        <v>130.02000000000001</v>
      </c>
      <c r="H29" s="757"/>
      <c r="I29" s="743">
        <v>121.44</v>
      </c>
      <c r="J29" s="757"/>
      <c r="K29" s="743">
        <f t="shared" si="3"/>
        <v>251.46</v>
      </c>
      <c r="L29" s="757"/>
      <c r="M29" s="759">
        <f t="shared" si="8"/>
        <v>7.0322514346290514</v>
      </c>
      <c r="N29" s="757"/>
      <c r="O29" s="759">
        <f t="shared" si="9"/>
        <v>9.1954719267027603</v>
      </c>
      <c r="P29" s="757"/>
      <c r="Q29" s="759">
        <f t="shared" si="10"/>
        <v>8.1138616806659059</v>
      </c>
      <c r="R29" s="757"/>
      <c r="S29" s="840">
        <f t="shared" si="4"/>
        <v>0.23387783269261844</v>
      </c>
      <c r="T29" s="840"/>
      <c r="U29" s="840"/>
      <c r="V29" s="841"/>
      <c r="W29" s="987">
        <f t="shared" si="5"/>
        <v>22.771828615701946</v>
      </c>
      <c r="X29" s="841"/>
      <c r="Y29" s="840">
        <f t="shared" si="6"/>
        <v>2.8751778326926187</v>
      </c>
      <c r="Z29" s="858">
        <f t="shared" si="7"/>
        <v>274.23182861570194</v>
      </c>
      <c r="AA29" s="858"/>
    </row>
    <row r="30" spans="1:27" s="740" customFormat="1" ht="12" customHeight="1">
      <c r="A30" s="756" t="s">
        <v>1784</v>
      </c>
      <c r="B30" s="756" t="s">
        <v>1785</v>
      </c>
      <c r="C30" s="757">
        <f>C29+(0.11*References!$B$11)</f>
        <v>3.1176000000000004</v>
      </c>
      <c r="D30" s="757"/>
      <c r="E30" s="757">
        <f>+('Proposed Rates'!B38+'Proposed Rates'!B39+'Proposed Rates'!B39+'Proposed Rates'!B39+'Proposed Rates'!B39)*References!B11</f>
        <v>3.1175999999999999</v>
      </c>
      <c r="F30" s="757"/>
      <c r="G30" s="743">
        <v>93.6</v>
      </c>
      <c r="H30" s="757"/>
      <c r="I30" s="743">
        <v>56.94</v>
      </c>
      <c r="J30" s="757"/>
      <c r="K30" s="743">
        <f t="shared" si="3"/>
        <v>150.54</v>
      </c>
      <c r="L30" s="757"/>
      <c r="M30" s="759">
        <f t="shared" si="8"/>
        <v>4.289013526888815</v>
      </c>
      <c r="N30" s="757"/>
      <c r="O30" s="759">
        <f t="shared" si="9"/>
        <v>3.6528098537336415</v>
      </c>
      <c r="P30" s="757"/>
      <c r="Q30" s="759">
        <f t="shared" si="10"/>
        <v>3.9709116903112283</v>
      </c>
      <c r="R30" s="757"/>
      <c r="S30" s="840">
        <f t="shared" si="4"/>
        <v>0.27605252383391027</v>
      </c>
      <c r="T30" s="840"/>
      <c r="U30" s="840"/>
      <c r="V30" s="841"/>
      <c r="W30" s="987">
        <f t="shared" si="5"/>
        <v>13.154162328383919</v>
      </c>
      <c r="X30" s="841"/>
      <c r="Y30" s="840">
        <f t="shared" si="6"/>
        <v>3.3936525238339104</v>
      </c>
      <c r="Z30" s="858">
        <f t="shared" si="7"/>
        <v>163.69416232838392</v>
      </c>
      <c r="AA30" s="858"/>
    </row>
    <row r="31" spans="1:27" s="740" customFormat="1" ht="12" customHeight="1">
      <c r="A31" s="756" t="s">
        <v>1786</v>
      </c>
      <c r="B31" s="756" t="s">
        <v>1787</v>
      </c>
      <c r="C31" s="757">
        <f>0.81*References!B11</f>
        <v>3.5073000000000003</v>
      </c>
      <c r="D31" s="757"/>
      <c r="E31" s="757">
        <f>+'Proposed Rates'!B46*References!B11</f>
        <v>3.5073000000000003</v>
      </c>
      <c r="F31" s="757"/>
      <c r="G31" s="743">
        <v>24694.54</v>
      </c>
      <c r="H31" s="757"/>
      <c r="I31" s="743">
        <v>17937.16</v>
      </c>
      <c r="J31" s="757"/>
      <c r="K31" s="743">
        <f t="shared" si="3"/>
        <v>42631.7</v>
      </c>
      <c r="L31" s="757"/>
      <c r="M31" s="759">
        <f t="shared" si="8"/>
        <v>1005.8425080749945</v>
      </c>
      <c r="N31" s="757"/>
      <c r="O31" s="759">
        <f t="shared" si="9"/>
        <v>1022.8472044022466</v>
      </c>
      <c r="P31" s="757"/>
      <c r="Q31" s="759">
        <f t="shared" si="10"/>
        <v>1014.3448562386205</v>
      </c>
      <c r="R31" s="757"/>
      <c r="S31" s="840">
        <f t="shared" si="4"/>
        <v>0.31055908931314907</v>
      </c>
      <c r="T31" s="840"/>
      <c r="U31" s="840"/>
      <c r="V31" s="841"/>
      <c r="W31" s="987">
        <f t="shared" si="5"/>
        <v>3780.1681776353171</v>
      </c>
      <c r="X31" s="841"/>
      <c r="Y31" s="840">
        <f t="shared" si="6"/>
        <v>3.8178590893131492</v>
      </c>
      <c r="Z31" s="858">
        <f t="shared" si="7"/>
        <v>46411.868177635311</v>
      </c>
      <c r="AA31" s="858"/>
    </row>
    <row r="32" spans="1:27" s="740" customFormat="1" ht="12" customHeight="1">
      <c r="A32" s="756" t="s">
        <v>1788</v>
      </c>
      <c r="B32" s="756" t="s">
        <v>1789</v>
      </c>
      <c r="C32" s="757">
        <v>0.81</v>
      </c>
      <c r="D32" s="757"/>
      <c r="E32" s="757">
        <f>+'Proposed Rates'!B46</f>
        <v>0.81</v>
      </c>
      <c r="F32" s="757"/>
      <c r="G32" s="743">
        <v>104.36000000000001</v>
      </c>
      <c r="H32" s="757"/>
      <c r="I32" s="743">
        <v>72.59</v>
      </c>
      <c r="J32" s="757"/>
      <c r="K32" s="743">
        <f t="shared" si="3"/>
        <v>176.95000000000002</v>
      </c>
      <c r="L32" s="757"/>
      <c r="M32" s="759">
        <f t="shared" si="8"/>
        <v>18.405643738977073</v>
      </c>
      <c r="N32" s="757"/>
      <c r="O32" s="759">
        <f t="shared" si="9"/>
        <v>17.923456790123456</v>
      </c>
      <c r="P32" s="757"/>
      <c r="Q32" s="759">
        <f t="shared" si="10"/>
        <v>18.164550264550265</v>
      </c>
      <c r="R32" s="757"/>
      <c r="S32" s="840">
        <f t="shared" si="4"/>
        <v>7.1722653421050594E-2</v>
      </c>
      <c r="T32" s="840"/>
      <c r="U32" s="840"/>
      <c r="V32" s="841"/>
      <c r="W32" s="987">
        <f t="shared" si="5"/>
        <v>15.633716918083097</v>
      </c>
      <c r="X32" s="841"/>
      <c r="Y32" s="840">
        <f t="shared" si="6"/>
        <v>0.88172265342105061</v>
      </c>
      <c r="Z32" s="858">
        <f t="shared" si="7"/>
        <v>192.58371691808313</v>
      </c>
      <c r="AA32" s="858"/>
    </row>
    <row r="33" spans="1:27" s="740" customFormat="1" ht="12" customHeight="1">
      <c r="A33" s="756" t="s">
        <v>1790</v>
      </c>
      <c r="B33" s="756" t="s">
        <v>1791</v>
      </c>
      <c r="C33" s="757">
        <f>0.81*References!B12</f>
        <v>1.7577</v>
      </c>
      <c r="D33" s="757"/>
      <c r="E33" s="757">
        <f>+'Proposed Rates'!B46*References!B12</f>
        <v>1.7577</v>
      </c>
      <c r="F33" s="757"/>
      <c r="G33" s="743">
        <v>156.20999999999998</v>
      </c>
      <c r="H33" s="757"/>
      <c r="I33" s="743">
        <v>134.26</v>
      </c>
      <c r="J33" s="757"/>
      <c r="K33" s="743">
        <f t="shared" si="3"/>
        <v>290.46999999999997</v>
      </c>
      <c r="L33" s="757"/>
      <c r="M33" s="759">
        <f t="shared" si="8"/>
        <v>12.695974447126519</v>
      </c>
      <c r="N33" s="757"/>
      <c r="O33" s="759">
        <f t="shared" si="9"/>
        <v>15.276782158502586</v>
      </c>
      <c r="P33" s="757"/>
      <c r="Q33" s="759">
        <f t="shared" si="10"/>
        <v>13.986378302814552</v>
      </c>
      <c r="R33" s="757"/>
      <c r="S33" s="840">
        <f t="shared" si="4"/>
        <v>0.1556381579236798</v>
      </c>
      <c r="T33" s="840"/>
      <c r="U33" s="840"/>
      <c r="V33" s="841"/>
      <c r="W33" s="987">
        <f t="shared" si="5"/>
        <v>26.121769860885358</v>
      </c>
      <c r="X33" s="841"/>
      <c r="Y33" s="840">
        <f t="shared" si="6"/>
        <v>1.9133381579236799</v>
      </c>
      <c r="Z33" s="858">
        <f t="shared" si="7"/>
        <v>316.59176986088534</v>
      </c>
      <c r="AA33" s="858"/>
    </row>
    <row r="34" spans="1:27" s="740" customFormat="1" ht="12" customHeight="1">
      <c r="A34" s="756" t="s">
        <v>1792</v>
      </c>
      <c r="B34" s="756" t="s">
        <v>1793</v>
      </c>
      <c r="C34" s="757">
        <v>15.17</v>
      </c>
      <c r="D34" s="757"/>
      <c r="E34" s="757">
        <f>+'Proposed Rates'!B17</f>
        <v>15.17</v>
      </c>
      <c r="F34" s="757"/>
      <c r="G34" s="743">
        <v>728.16</v>
      </c>
      <c r="H34" s="757"/>
      <c r="I34" s="743">
        <v>773.67000000000007</v>
      </c>
      <c r="J34" s="757"/>
      <c r="K34" s="743">
        <f t="shared" si="3"/>
        <v>1501.83</v>
      </c>
      <c r="L34" s="757"/>
      <c r="M34" s="759">
        <f t="shared" si="8"/>
        <v>6.8571428571428568</v>
      </c>
      <c r="N34" s="757"/>
      <c r="O34" s="759">
        <f t="shared" si="9"/>
        <v>10.200000000000001</v>
      </c>
      <c r="P34" s="757"/>
      <c r="Q34" s="759">
        <f t="shared" si="10"/>
        <v>8.5285714285714285</v>
      </c>
      <c r="R34" s="757"/>
      <c r="S34" s="840">
        <f t="shared" si="4"/>
        <v>1.3432501881448611</v>
      </c>
      <c r="T34" s="840"/>
      <c r="U34" s="840"/>
      <c r="V34" s="841"/>
      <c r="W34" s="987">
        <f t="shared" si="5"/>
        <v>137.47206211242548</v>
      </c>
      <c r="X34" s="841"/>
      <c r="Y34" s="840">
        <f t="shared" si="6"/>
        <v>16.513250188144863</v>
      </c>
      <c r="Z34" s="858">
        <f t="shared" si="7"/>
        <v>1639.3020621124253</v>
      </c>
      <c r="AA34" s="858"/>
    </row>
    <row r="35" spans="1:27" s="740" customFormat="1" ht="12" customHeight="1">
      <c r="A35" s="756" t="s">
        <v>1794</v>
      </c>
      <c r="B35" s="756" t="s">
        <v>1795</v>
      </c>
      <c r="C35" s="757">
        <v>11.73</v>
      </c>
      <c r="D35" s="757"/>
      <c r="E35" s="757">
        <f>+'Proposed Rates'!B14</f>
        <v>11.73</v>
      </c>
      <c r="F35" s="757"/>
      <c r="G35" s="743">
        <v>5020.4399999999996</v>
      </c>
      <c r="H35" s="757"/>
      <c r="I35" s="743">
        <v>3483.8099999999995</v>
      </c>
      <c r="J35" s="757"/>
      <c r="K35" s="743">
        <f t="shared" si="3"/>
        <v>8504.25</v>
      </c>
      <c r="L35" s="757"/>
      <c r="M35" s="759">
        <f t="shared" si="8"/>
        <v>61.142857142857132</v>
      </c>
      <c r="N35" s="757"/>
      <c r="O35" s="759">
        <f t="shared" si="9"/>
        <v>59.399999999999991</v>
      </c>
      <c r="P35" s="757"/>
      <c r="Q35" s="759">
        <f t="shared" si="10"/>
        <v>60.271428571428558</v>
      </c>
      <c r="R35" s="757"/>
      <c r="S35" s="840">
        <f t="shared" si="4"/>
        <v>1.0386502773196586</v>
      </c>
      <c r="T35" s="840"/>
      <c r="U35" s="840"/>
      <c r="V35" s="841"/>
      <c r="W35" s="987">
        <f t="shared" si="5"/>
        <v>751.21123200199531</v>
      </c>
      <c r="X35" s="841"/>
      <c r="Y35" s="840">
        <f t="shared" si="6"/>
        <v>12.76865027731966</v>
      </c>
      <c r="Z35" s="858">
        <f t="shared" si="7"/>
        <v>9255.4612320019951</v>
      </c>
      <c r="AA35" s="858"/>
    </row>
    <row r="36" spans="1:27" s="740" customFormat="1" ht="12" customHeight="1">
      <c r="A36" s="756" t="s">
        <v>1796</v>
      </c>
      <c r="B36" s="756" t="s">
        <v>1797</v>
      </c>
      <c r="C36" s="757">
        <v>4.22</v>
      </c>
      <c r="D36" s="757"/>
      <c r="E36" s="757">
        <f>+'Proposed Rates'!B28</f>
        <v>4.22</v>
      </c>
      <c r="F36" s="757"/>
      <c r="G36" s="743">
        <v>519.05999999999995</v>
      </c>
      <c r="H36" s="757"/>
      <c r="I36" s="743">
        <v>274.3</v>
      </c>
      <c r="J36" s="757"/>
      <c r="K36" s="743">
        <f t="shared" si="3"/>
        <v>793.3599999999999</v>
      </c>
      <c r="L36" s="757"/>
      <c r="M36" s="759">
        <f t="shared" si="8"/>
        <v>17.571428571428573</v>
      </c>
      <c r="N36" s="757"/>
      <c r="O36" s="759">
        <f t="shared" si="9"/>
        <v>13</v>
      </c>
      <c r="P36" s="757"/>
      <c r="Q36" s="759">
        <f t="shared" si="10"/>
        <v>15.285714285714286</v>
      </c>
      <c r="R36" s="757"/>
      <c r="S36" s="840">
        <f t="shared" si="4"/>
        <v>0.37366616967510308</v>
      </c>
      <c r="T36" s="840"/>
      <c r="U36" s="840"/>
      <c r="V36" s="841"/>
      <c r="W36" s="987">
        <f t="shared" si="5"/>
        <v>68.541051694690339</v>
      </c>
      <c r="X36" s="841"/>
      <c r="Y36" s="840">
        <f t="shared" si="6"/>
        <v>4.5936661696751031</v>
      </c>
      <c r="Z36" s="858">
        <f t="shared" si="7"/>
        <v>861.9010516946903</v>
      </c>
      <c r="AA36" s="858"/>
    </row>
    <row r="37" spans="1:27" s="740" customFormat="1" ht="12" customHeight="1">
      <c r="A37" s="756" t="s">
        <v>1798</v>
      </c>
      <c r="B37" s="756" t="s">
        <v>1799</v>
      </c>
      <c r="C37" s="757">
        <v>84.78</v>
      </c>
      <c r="D37" s="757"/>
      <c r="E37" s="757">
        <f>+'Proposed Rates'!B141</f>
        <v>84.78</v>
      </c>
      <c r="F37" s="757"/>
      <c r="G37" s="743">
        <v>20.7</v>
      </c>
      <c r="H37" s="757"/>
      <c r="I37" s="743">
        <v>30</v>
      </c>
      <c r="J37" s="757"/>
      <c r="K37" s="743">
        <f t="shared" si="3"/>
        <v>50.7</v>
      </c>
      <c r="L37" s="757"/>
      <c r="M37" s="759">
        <f t="shared" si="8"/>
        <v>3.4880194115862899E-2</v>
      </c>
      <c r="N37" s="757"/>
      <c r="O37" s="759">
        <f t="shared" si="9"/>
        <v>7.0771408351026188E-2</v>
      </c>
      <c r="P37" s="757"/>
      <c r="Q37" s="759">
        <f t="shared" si="10"/>
        <v>5.2825801233444547E-2</v>
      </c>
      <c r="R37" s="757"/>
      <c r="S37" s="840">
        <f t="shared" si="4"/>
        <v>7.5069710580699622</v>
      </c>
      <c r="T37" s="840"/>
      <c r="U37" s="840"/>
      <c r="V37" s="841"/>
      <c r="W37" s="987">
        <f t="shared" si="5"/>
        <v>4.7587411317458965</v>
      </c>
      <c r="X37" s="841"/>
      <c r="Y37" s="840">
        <f t="shared" si="6"/>
        <v>92.286971058069966</v>
      </c>
      <c r="Z37" s="858">
        <f t="shared" si="7"/>
        <v>55.458741131745896</v>
      </c>
      <c r="AA37" s="858"/>
    </row>
    <row r="38" spans="1:27" s="740" customFormat="1" ht="12" customHeight="1" thickBot="1">
      <c r="A38" s="761"/>
      <c r="B38" s="761"/>
      <c r="C38" s="757"/>
      <c r="D38" s="757"/>
      <c r="E38" s="757"/>
      <c r="F38" s="757"/>
      <c r="G38" s="743"/>
      <c r="H38" s="757"/>
      <c r="I38" s="743"/>
      <c r="J38" s="757"/>
      <c r="K38" s="743"/>
      <c r="L38" s="757"/>
      <c r="M38" s="744"/>
      <c r="N38" s="757"/>
      <c r="P38" s="757"/>
      <c r="Q38" s="760"/>
      <c r="R38" s="757"/>
      <c r="S38" s="840"/>
      <c r="T38" s="840"/>
      <c r="U38" s="840"/>
      <c r="V38" s="841"/>
      <c r="W38" s="987"/>
      <c r="X38" s="841"/>
      <c r="Y38" s="858"/>
    </row>
    <row r="39" spans="1:27" s="740" customFormat="1" ht="12" customHeight="1" thickBot="1">
      <c r="A39" s="762"/>
      <c r="B39" s="763" t="s">
        <v>1800</v>
      </c>
      <c r="C39" s="757"/>
      <c r="D39" s="757"/>
      <c r="E39" s="757"/>
      <c r="F39" s="757"/>
      <c r="G39" s="764">
        <f>SUM(G11:G38)</f>
        <v>922862.97000000009</v>
      </c>
      <c r="H39" s="757"/>
      <c r="I39" s="764">
        <f>SUM(I11:I38)</f>
        <v>690129.41000000015</v>
      </c>
      <c r="J39" s="757"/>
      <c r="K39" s="764">
        <f>SUM(K11:K38)</f>
        <v>1612992.3800000001</v>
      </c>
      <c r="L39" s="757"/>
      <c r="M39" s="765"/>
      <c r="N39" s="757"/>
      <c r="O39" s="765"/>
      <c r="P39" s="757"/>
      <c r="Q39" s="766">
        <f>SUM(Q11:Q21)</f>
        <v>11707.904196665637</v>
      </c>
      <c r="R39" s="757"/>
      <c r="S39" s="840"/>
      <c r="T39" s="840"/>
      <c r="U39" s="840"/>
      <c r="V39" s="841"/>
      <c r="W39" s="1243">
        <f>+SUM(W6:W38)</f>
        <v>144211.07474489021</v>
      </c>
      <c r="X39" s="841"/>
      <c r="Y39" s="1243">
        <f>+SUM(Y6:Y38)</f>
        <v>288.01437817604051</v>
      </c>
      <c r="Z39" s="1243">
        <f>+SUM(Z6:Z38)</f>
        <v>1757203.4547448903</v>
      </c>
      <c r="AA39" s="858"/>
    </row>
    <row r="40" spans="1:27" s="740" customFormat="1" ht="12" customHeight="1">
      <c r="A40" s="750"/>
      <c r="B40" s="767"/>
      <c r="C40" s="757"/>
      <c r="D40" s="757"/>
      <c r="E40" s="757"/>
      <c r="F40" s="757"/>
      <c r="G40" s="743"/>
      <c r="H40" s="757"/>
      <c r="I40" s="743"/>
      <c r="J40" s="757"/>
      <c r="K40" s="743"/>
      <c r="L40" s="757"/>
      <c r="M40" s="744"/>
      <c r="N40" s="757"/>
      <c r="P40" s="757"/>
      <c r="R40" s="757"/>
      <c r="S40" s="840"/>
      <c r="T40" s="840"/>
      <c r="U40" s="840"/>
      <c r="V40" s="841"/>
      <c r="W40" s="1254">
        <f>W39/K39</f>
        <v>8.9405924375718496E-2</v>
      </c>
      <c r="X40" s="841"/>
      <c r="Y40" s="858"/>
    </row>
    <row r="41" spans="1:27" s="740" customFormat="1" ht="12" customHeight="1" thickBot="1">
      <c r="A41" s="752" t="s">
        <v>1801</v>
      </c>
      <c r="B41" s="752" t="s">
        <v>1801</v>
      </c>
      <c r="C41" s="757"/>
      <c r="D41" s="757"/>
      <c r="E41" s="757"/>
      <c r="F41" s="757"/>
      <c r="G41" s="743"/>
      <c r="H41" s="757"/>
      <c r="I41" s="743"/>
      <c r="J41" s="757"/>
      <c r="K41" s="743"/>
      <c r="L41" s="757"/>
      <c r="M41" s="758"/>
      <c r="N41" s="757"/>
      <c r="O41" s="759"/>
      <c r="P41" s="757"/>
      <c r="R41" s="757"/>
      <c r="S41" s="840"/>
      <c r="T41" s="840"/>
      <c r="U41" s="840"/>
      <c r="V41" s="841"/>
      <c r="W41" s="987"/>
      <c r="X41" s="841"/>
      <c r="Y41" s="858"/>
    </row>
    <row r="42" spans="1:27" s="740" customFormat="1" ht="12" customHeight="1" thickBot="1">
      <c r="A42" s="756" t="s">
        <v>1802</v>
      </c>
      <c r="B42" s="756" t="s">
        <v>1803</v>
      </c>
      <c r="C42" s="757">
        <v>9.56</v>
      </c>
      <c r="D42" s="757"/>
      <c r="E42" s="757">
        <f>+'Proposed Rates'!B67</f>
        <v>9.56</v>
      </c>
      <c r="F42" s="757"/>
      <c r="G42" s="743">
        <v>176997.82500000001</v>
      </c>
      <c r="H42" s="757"/>
      <c r="I42" s="743">
        <v>128050.86500000001</v>
      </c>
      <c r="J42" s="757"/>
      <c r="K42" s="743">
        <f t="shared" ref="K42" si="11">+G42+I42</f>
        <v>305048.69</v>
      </c>
      <c r="L42" s="757"/>
      <c r="M42" s="775">
        <f>(G42/7)/C42</f>
        <v>2644.9166915720266</v>
      </c>
      <c r="N42" s="757"/>
      <c r="O42" s="759">
        <f>(I42/5)/E42</f>
        <v>2678.8883891213391</v>
      </c>
      <c r="P42" s="757"/>
      <c r="Q42" s="766">
        <f>(M42+O42)/2</f>
        <v>2661.9025403466831</v>
      </c>
      <c r="R42" s="757"/>
      <c r="S42" s="840"/>
      <c r="T42" s="840">
        <f t="shared" ref="T42" si="12">+$E42*T$5</f>
        <v>-0.50194920020801548</v>
      </c>
      <c r="U42" s="840"/>
      <c r="V42" s="841"/>
      <c r="W42" s="987">
        <f>+O42*SUM(S42:U42)*12</f>
        <v>-16135.990612391939</v>
      </c>
      <c r="X42" s="841"/>
      <c r="Y42" s="858">
        <f t="shared" ref="Y42" si="13">+E42+SUM(S42:U42)</f>
        <v>9.0580507997919852</v>
      </c>
      <c r="Z42" s="858">
        <f t="shared" ref="Z42" si="14">K42+W42</f>
        <v>288912.69938760804</v>
      </c>
    </row>
    <row r="43" spans="1:27" s="740" customFormat="1" ht="12" customHeight="1">
      <c r="A43" s="768"/>
      <c r="B43" s="744"/>
      <c r="C43" s="757"/>
      <c r="D43" s="757"/>
      <c r="E43" s="757"/>
      <c r="F43" s="757"/>
      <c r="G43" s="743"/>
      <c r="H43" s="757"/>
      <c r="I43" s="743"/>
      <c r="J43" s="757"/>
      <c r="K43" s="743"/>
      <c r="L43" s="757"/>
      <c r="M43" s="744"/>
      <c r="N43" s="757"/>
      <c r="P43" s="757"/>
      <c r="R43" s="757"/>
      <c r="S43" s="840"/>
      <c r="T43" s="840"/>
      <c r="U43" s="840"/>
      <c r="V43" s="841"/>
      <c r="W43" s="987"/>
      <c r="X43" s="841"/>
      <c r="Y43" s="858"/>
    </row>
    <row r="44" spans="1:27" s="740" customFormat="1" ht="12" customHeight="1">
      <c r="A44" s="762"/>
      <c r="B44" s="763" t="s">
        <v>1804</v>
      </c>
      <c r="C44" s="757"/>
      <c r="D44" s="757"/>
      <c r="E44" s="757"/>
      <c r="F44" s="757"/>
      <c r="G44" s="764">
        <f>SUM(G42:G43)</f>
        <v>176997.82500000001</v>
      </c>
      <c r="H44" s="757"/>
      <c r="I44" s="764">
        <f>SUM(I42:I43)</f>
        <v>128050.86500000001</v>
      </c>
      <c r="J44" s="757"/>
      <c r="K44" s="764">
        <f>+SUM(K42:K43)</f>
        <v>305048.69</v>
      </c>
      <c r="L44" s="757"/>
      <c r="N44" s="757"/>
      <c r="P44" s="757"/>
      <c r="R44" s="757"/>
      <c r="S44" s="840"/>
      <c r="T44" s="840"/>
      <c r="U44" s="840"/>
      <c r="V44" s="841"/>
      <c r="W44" s="1243">
        <f>+SUM(W42:W43)</f>
        <v>-16135.990612391939</v>
      </c>
      <c r="X44" s="841"/>
      <c r="Y44" s="1243">
        <f>+SUM(Y42:Y43)</f>
        <v>9.0580507997919852</v>
      </c>
      <c r="Z44" s="1243">
        <f>+SUM(Z42:Z43)</f>
        <v>288912.69938760804</v>
      </c>
      <c r="AA44" s="858"/>
    </row>
    <row r="45" spans="1:27" s="740" customFormat="1" ht="12" customHeight="1">
      <c r="A45" s="762"/>
      <c r="B45" s="763"/>
      <c r="C45" s="757"/>
      <c r="D45" s="757"/>
      <c r="E45" s="757"/>
      <c r="F45" s="757"/>
      <c r="G45" s="743"/>
      <c r="H45" s="757"/>
      <c r="I45" s="743"/>
      <c r="J45" s="757"/>
      <c r="K45" s="743"/>
      <c r="L45" s="757"/>
      <c r="M45" s="744"/>
      <c r="N45" s="757"/>
      <c r="P45" s="757"/>
      <c r="R45" s="757"/>
      <c r="S45" s="840"/>
      <c r="T45" s="840"/>
      <c r="U45" s="840"/>
      <c r="V45" s="841"/>
      <c r="W45" s="1254">
        <f>W44/K44</f>
        <v>-5.2896442900285653E-2</v>
      </c>
      <c r="X45" s="841"/>
      <c r="Y45" s="858"/>
    </row>
    <row r="46" spans="1:27" s="740" customFormat="1" ht="12" customHeight="1" thickBot="1">
      <c r="A46" s="769" t="s">
        <v>1805</v>
      </c>
      <c r="B46" s="769" t="s">
        <v>1805</v>
      </c>
      <c r="C46" s="757"/>
      <c r="D46" s="757"/>
      <c r="E46" s="757"/>
      <c r="F46" s="757"/>
      <c r="G46" s="743"/>
      <c r="H46" s="757"/>
      <c r="I46" s="743"/>
      <c r="J46" s="757"/>
      <c r="K46" s="743"/>
      <c r="L46" s="757"/>
      <c r="N46" s="757"/>
      <c r="P46" s="757"/>
      <c r="R46" s="757"/>
      <c r="S46" s="840"/>
      <c r="T46" s="840"/>
      <c r="U46" s="840"/>
      <c r="V46" s="841"/>
      <c r="W46" s="987"/>
      <c r="X46" s="841"/>
      <c r="Y46" s="858"/>
    </row>
    <row r="47" spans="1:27" s="740" customFormat="1" ht="12" customHeight="1" thickBot="1">
      <c r="A47" s="756" t="s">
        <v>1806</v>
      </c>
      <c r="B47" s="756" t="s">
        <v>1807</v>
      </c>
      <c r="C47" s="757">
        <v>10.78</v>
      </c>
      <c r="D47" s="770"/>
      <c r="E47" s="757">
        <f>+'Proposed Rates'!B70</f>
        <v>10.78</v>
      </c>
      <c r="F47" s="770"/>
      <c r="G47" s="743">
        <v>43179.084999999999</v>
      </c>
      <c r="H47" s="770"/>
      <c r="I47" s="743">
        <v>28470.474999999999</v>
      </c>
      <c r="J47" s="770"/>
      <c r="K47" s="743">
        <f t="shared" ref="K47" si="15">+G47+I47</f>
        <v>71649.56</v>
      </c>
      <c r="L47" s="770"/>
      <c r="M47" s="775">
        <f>(G47/7)/C47</f>
        <v>572.21156904320173</v>
      </c>
      <c r="N47" s="770"/>
      <c r="O47" s="759">
        <f>(I47/5)/E47</f>
        <v>528.2091836734694</v>
      </c>
      <c r="P47" s="770"/>
      <c r="Q47" s="766">
        <f>(M47+O47)/2</f>
        <v>550.21037635833557</v>
      </c>
      <c r="R47" s="770"/>
      <c r="S47" s="840"/>
      <c r="T47" s="840"/>
      <c r="U47" s="840">
        <f t="shared" ref="U47" si="16">+$E47*U$5</f>
        <v>-0.57309020843576075</v>
      </c>
      <c r="V47" s="842"/>
      <c r="W47" s="987">
        <f>+Q47*SUM(S47:U47)*12</f>
        <v>-3783.8421512486029</v>
      </c>
      <c r="X47" s="842"/>
      <c r="Y47" s="858">
        <f t="shared" ref="Y47" si="17">+E47+SUM(S47:U47)</f>
        <v>10.206909791564239</v>
      </c>
      <c r="Z47" s="858">
        <f t="shared" ref="Z47" si="18">K47+W47</f>
        <v>67865.717848751388</v>
      </c>
    </row>
    <row r="48" spans="1:27" s="740" customFormat="1" ht="12" customHeight="1">
      <c r="A48" s="761"/>
      <c r="B48" s="761"/>
      <c r="C48" s="757"/>
      <c r="D48" s="771"/>
      <c r="E48" s="757"/>
      <c r="F48" s="771"/>
      <c r="G48" s="743"/>
      <c r="H48" s="771"/>
      <c r="I48" s="743"/>
      <c r="J48" s="771"/>
      <c r="K48" s="743"/>
      <c r="L48" s="771"/>
      <c r="M48" s="744"/>
      <c r="N48" s="771"/>
      <c r="P48" s="771"/>
      <c r="R48" s="771"/>
      <c r="S48" s="840"/>
      <c r="T48" s="840"/>
      <c r="U48" s="840"/>
      <c r="V48" s="712"/>
      <c r="W48" s="987"/>
      <c r="X48" s="712"/>
      <c r="Y48" s="858"/>
    </row>
    <row r="49" spans="1:30" s="740" customFormat="1" ht="12" customHeight="1">
      <c r="A49" s="762"/>
      <c r="B49" s="763" t="s">
        <v>1808</v>
      </c>
      <c r="C49" s="757"/>
      <c r="D49" s="772"/>
      <c r="E49" s="757"/>
      <c r="F49" s="772"/>
      <c r="G49" s="764">
        <f>SUM(G47:G48)</f>
        <v>43179.084999999999</v>
      </c>
      <c r="H49" s="772"/>
      <c r="I49" s="764">
        <f>SUM(I47:I48)</f>
        <v>28470.474999999999</v>
      </c>
      <c r="J49" s="772"/>
      <c r="K49" s="764">
        <f>SUM(K47:K48)</f>
        <v>71649.56</v>
      </c>
      <c r="L49" s="772"/>
      <c r="M49" s="744"/>
      <c r="N49" s="772"/>
      <c r="P49" s="772"/>
      <c r="R49" s="772"/>
      <c r="S49" s="840"/>
      <c r="T49" s="840"/>
      <c r="U49" s="840"/>
      <c r="V49" s="843"/>
      <c r="W49" s="1243">
        <f>+SUM(W47:W48)</f>
        <v>-3783.8421512486029</v>
      </c>
      <c r="X49" s="843"/>
      <c r="Y49" s="1243">
        <f>+SUM(Y47:Y48)</f>
        <v>10.206909791564239</v>
      </c>
      <c r="Z49" s="1243">
        <f>+SUM(Z47:Z48)</f>
        <v>67865.717848751388</v>
      </c>
      <c r="AA49" s="858"/>
    </row>
    <row r="50" spans="1:30" s="740" customFormat="1" ht="12" customHeight="1">
      <c r="C50" s="757"/>
      <c r="D50" s="757"/>
      <c r="E50" s="757"/>
      <c r="F50" s="757"/>
      <c r="G50" s="743"/>
      <c r="H50" s="757"/>
      <c r="I50" s="743"/>
      <c r="J50" s="757"/>
      <c r="K50" s="743"/>
      <c r="L50" s="757"/>
      <c r="M50" s="744"/>
      <c r="N50" s="757"/>
      <c r="P50" s="757"/>
      <c r="R50" s="757"/>
      <c r="S50" s="840"/>
      <c r="T50" s="840"/>
      <c r="U50" s="840"/>
      <c r="V50" s="841"/>
      <c r="W50" s="1254">
        <f>W49/K49</f>
        <v>-5.2810403179706936E-2</v>
      </c>
      <c r="X50" s="841"/>
      <c r="Y50" s="858"/>
    </row>
    <row r="51" spans="1:30" ht="12" customHeight="1">
      <c r="A51" s="750" t="s">
        <v>1809</v>
      </c>
      <c r="B51" s="750" t="s">
        <v>1809</v>
      </c>
      <c r="C51" s="761"/>
      <c r="D51" s="761"/>
      <c r="E51" s="761"/>
      <c r="F51" s="761"/>
      <c r="H51" s="761"/>
      <c r="J51" s="761"/>
      <c r="L51" s="761"/>
      <c r="N51" s="761"/>
      <c r="P51" s="761"/>
      <c r="R51" s="761"/>
      <c r="S51" s="844"/>
      <c r="T51" s="844"/>
      <c r="U51" s="844"/>
      <c r="V51" s="842"/>
      <c r="W51" s="987"/>
      <c r="X51" s="842"/>
    </row>
    <row r="52" spans="1:30" ht="12" customHeight="1">
      <c r="A52" s="750"/>
      <c r="B52" s="750"/>
      <c r="C52" s="761"/>
      <c r="D52" s="761"/>
      <c r="E52" s="761"/>
      <c r="F52" s="761"/>
      <c r="H52" s="761"/>
      <c r="J52" s="761"/>
      <c r="L52" s="761"/>
      <c r="N52" s="761"/>
      <c r="P52" s="761"/>
      <c r="R52" s="761"/>
      <c r="S52" s="844"/>
      <c r="T52" s="844"/>
      <c r="U52" s="844"/>
      <c r="V52" s="842"/>
      <c r="W52" s="987"/>
      <c r="X52" s="842"/>
    </row>
    <row r="53" spans="1:30" s="740" customFormat="1" ht="12" customHeight="1">
      <c r="A53" s="752" t="s">
        <v>1810</v>
      </c>
      <c r="B53" s="752" t="s">
        <v>1810</v>
      </c>
      <c r="C53" s="757"/>
      <c r="D53" s="757"/>
      <c r="E53" s="757"/>
      <c r="F53" s="757"/>
      <c r="G53" s="743"/>
      <c r="H53" s="757"/>
      <c r="I53" s="743"/>
      <c r="J53" s="757"/>
      <c r="K53" s="743"/>
      <c r="L53" s="757"/>
      <c r="M53" s="744"/>
      <c r="N53" s="757"/>
      <c r="P53" s="757"/>
      <c r="R53" s="757"/>
      <c r="S53" s="840"/>
      <c r="T53" s="840"/>
      <c r="U53" s="840"/>
      <c r="V53" s="841"/>
      <c r="W53" s="987"/>
      <c r="X53" s="841"/>
      <c r="Y53" s="858"/>
    </row>
    <row r="54" spans="1:30" s="740" customFormat="1" ht="12" customHeight="1">
      <c r="A54" s="756" t="s">
        <v>1811</v>
      </c>
      <c r="B54" s="756" t="s">
        <v>1812</v>
      </c>
      <c r="C54" s="757">
        <f>7.07*References!$B$11</f>
        <v>30.613100000000003</v>
      </c>
      <c r="D54" s="757"/>
      <c r="E54" s="757">
        <f>+'Proposed Rates'!B198*References!B11</f>
        <v>31.2193</v>
      </c>
      <c r="F54" s="757"/>
      <c r="G54" s="743">
        <v>49726</v>
      </c>
      <c r="H54" s="757"/>
      <c r="I54" s="743">
        <v>35704.520000000004</v>
      </c>
      <c r="J54" s="757"/>
      <c r="K54" s="743">
        <f t="shared" ref="K54:K117" si="19">+G54+I54</f>
        <v>85430.52</v>
      </c>
      <c r="L54" s="757"/>
      <c r="M54" s="775">
        <f>(G54/7)/C54</f>
        <v>232.04818478737158</v>
      </c>
      <c r="N54" s="757"/>
      <c r="O54" s="759">
        <f>(I54/5)/E54</f>
        <v>228.73363592393167</v>
      </c>
      <c r="P54" s="757"/>
      <c r="Q54" s="759">
        <f>(M54+O54)/2</f>
        <v>230.39091035565161</v>
      </c>
      <c r="R54" s="757"/>
      <c r="S54" s="840">
        <f t="shared" ref="S54:S117" si="20">+$E54*S$5</f>
        <v>2.7643593011701295</v>
      </c>
      <c r="T54" s="840"/>
      <c r="U54" s="840"/>
      <c r="V54" s="841"/>
      <c r="W54" s="987">
        <f t="shared" ref="W54:W117" si="21">+Q54*SUM(S54:U54)*12</f>
        <v>7642.5990713603878</v>
      </c>
      <c r="X54" s="841"/>
      <c r="Y54" s="858">
        <f t="shared" ref="Y54:Y117" si="22">+E54+SUM(S54:U54)</f>
        <v>33.983659301170128</v>
      </c>
      <c r="Z54" s="858">
        <f t="shared" ref="Z54:Z117" si="23">K54+W54</f>
        <v>93073.119071360386</v>
      </c>
      <c r="AB54" s="840"/>
    </row>
    <row r="55" spans="1:30" s="740" customFormat="1" ht="12" customHeight="1">
      <c r="A55" s="756" t="s">
        <v>1813</v>
      </c>
      <c r="B55" s="756" t="s">
        <v>1814</v>
      </c>
      <c r="C55" s="757">
        <f>C54*2</f>
        <v>61.226200000000006</v>
      </c>
      <c r="D55" s="757"/>
      <c r="E55" s="757">
        <f>+'Proposed Rates'!B198*References!B10</f>
        <v>62.438600000000001</v>
      </c>
      <c r="F55" s="757"/>
      <c r="G55" s="743">
        <v>6214.8499999999995</v>
      </c>
      <c r="H55" s="757"/>
      <c r="I55" s="743">
        <v>4683</v>
      </c>
      <c r="J55" s="757"/>
      <c r="K55" s="743">
        <f t="shared" si="19"/>
        <v>10897.849999999999</v>
      </c>
      <c r="L55" s="757"/>
      <c r="M55" s="775">
        <f t="shared" ref="M55:M93" si="24">(G55/7)/C55</f>
        <v>14.500911607869083</v>
      </c>
      <c r="N55" s="757"/>
      <c r="O55" s="759">
        <f t="shared" ref="O55:O93" si="25">(I55/5)/E55</f>
        <v>15.000336330410995</v>
      </c>
      <c r="P55" s="757"/>
      <c r="Q55" s="759">
        <f t="shared" ref="Q55:Q93" si="26">(M55+O55)/2</f>
        <v>14.75062396914004</v>
      </c>
      <c r="R55" s="757"/>
      <c r="S55" s="840">
        <f t="shared" si="20"/>
        <v>5.528718602340259</v>
      </c>
      <c r="T55" s="840"/>
      <c r="U55" s="840"/>
      <c r="V55" s="841"/>
      <c r="W55" s="987">
        <f t="shared" si="21"/>
        <v>978.62458961172774</v>
      </c>
      <c r="X55" s="841"/>
      <c r="Y55" s="858">
        <f t="shared" si="22"/>
        <v>67.967318602340256</v>
      </c>
      <c r="Z55" s="858">
        <f t="shared" si="23"/>
        <v>11876.474589611726</v>
      </c>
      <c r="AB55" s="759"/>
    </row>
    <row r="56" spans="1:30" s="740" customFormat="1" ht="12" customHeight="1">
      <c r="A56" s="756" t="s">
        <v>1815</v>
      </c>
      <c r="B56" s="756" t="s">
        <v>1816</v>
      </c>
      <c r="C56" s="757">
        <f>C54*3</f>
        <v>91.839300000000009</v>
      </c>
      <c r="D56" s="757"/>
      <c r="E56" s="757">
        <f>+'Proposed Rates'!B198*References!B9</f>
        <v>93.657899999999998</v>
      </c>
      <c r="F56" s="757"/>
      <c r="G56" s="743">
        <v>2571.5200000000004</v>
      </c>
      <c r="H56" s="757"/>
      <c r="I56" s="743">
        <v>1873.1999999999998</v>
      </c>
      <c r="J56" s="757"/>
      <c r="K56" s="743">
        <f t="shared" si="19"/>
        <v>4444.72</v>
      </c>
      <c r="L56" s="757"/>
      <c r="M56" s="775">
        <f t="shared" si="24"/>
        <v>4.0000304880372566</v>
      </c>
      <c r="N56" s="757"/>
      <c r="O56" s="759">
        <f t="shared" si="25"/>
        <v>4.0000896881095986</v>
      </c>
      <c r="P56" s="757"/>
      <c r="Q56" s="759">
        <f t="shared" si="26"/>
        <v>4.0000600880734272</v>
      </c>
      <c r="R56" s="757"/>
      <c r="S56" s="840">
        <f t="shared" si="20"/>
        <v>8.2930779035103885</v>
      </c>
      <c r="T56" s="840"/>
      <c r="U56" s="840"/>
      <c r="V56" s="841"/>
      <c r="W56" s="987">
        <f t="shared" si="21"/>
        <v>398.0737191493867</v>
      </c>
      <c r="X56" s="841"/>
      <c r="Y56" s="858">
        <f t="shared" si="22"/>
        <v>101.95097790351039</v>
      </c>
      <c r="Z56" s="858">
        <f t="shared" si="23"/>
        <v>4842.7937191493866</v>
      </c>
      <c r="AB56" s="759"/>
      <c r="AD56" s="759"/>
    </row>
    <row r="57" spans="1:30" s="740" customFormat="1" ht="12" customHeight="1">
      <c r="A57" s="756" t="s">
        <v>1817</v>
      </c>
      <c r="B57" s="756" t="s">
        <v>1818</v>
      </c>
      <c r="C57" s="757">
        <f>C54*5</f>
        <v>153.06550000000001</v>
      </c>
      <c r="D57" s="757"/>
      <c r="E57" s="757">
        <f>+'Proposed Rates'!B198*References!B7</f>
        <v>156.09649999999999</v>
      </c>
      <c r="F57" s="757"/>
      <c r="G57" s="743">
        <v>1071.4899999999998</v>
      </c>
      <c r="H57" s="757"/>
      <c r="I57" s="743">
        <v>780.5</v>
      </c>
      <c r="J57" s="757"/>
      <c r="K57" s="743">
        <f t="shared" si="19"/>
        <v>1851.9899999999998</v>
      </c>
      <c r="L57" s="757"/>
      <c r="M57" s="775">
        <f t="shared" si="24"/>
        <v>1.0000293991787825</v>
      </c>
      <c r="N57" s="757"/>
      <c r="O57" s="759">
        <f t="shared" si="25"/>
        <v>1.0000224220273997</v>
      </c>
      <c r="P57" s="757"/>
      <c r="Q57" s="759">
        <f t="shared" si="26"/>
        <v>1.0000259106030911</v>
      </c>
      <c r="R57" s="757"/>
      <c r="S57" s="840">
        <f t="shared" si="20"/>
        <v>13.821796505850646</v>
      </c>
      <c r="T57" s="840"/>
      <c r="U57" s="840"/>
      <c r="V57" s="841"/>
      <c r="W57" s="987">
        <f t="shared" si="21"/>
        <v>165.86585564320697</v>
      </c>
      <c r="X57" s="841"/>
      <c r="Y57" s="858">
        <f t="shared" si="22"/>
        <v>169.91829650585063</v>
      </c>
      <c r="Z57" s="858">
        <f t="shared" si="23"/>
        <v>2017.8558556432067</v>
      </c>
    </row>
    <row r="58" spans="1:30" s="740" customFormat="1" ht="12" customHeight="1">
      <c r="A58" s="756" t="s">
        <v>1819</v>
      </c>
      <c r="B58" s="756" t="s">
        <v>1820</v>
      </c>
      <c r="C58" s="757">
        <f>7.07*References!$B$11</f>
        <v>30.613100000000003</v>
      </c>
      <c r="D58" s="757"/>
      <c r="E58" s="757">
        <f>+E54</f>
        <v>31.2193</v>
      </c>
      <c r="F58" s="757"/>
      <c r="G58" s="743">
        <v>949977.90500000003</v>
      </c>
      <c r="H58" s="757"/>
      <c r="I58" s="743">
        <v>684705.70499999996</v>
      </c>
      <c r="J58" s="757"/>
      <c r="K58" s="743">
        <f t="shared" si="19"/>
        <v>1634683.6099999999</v>
      </c>
      <c r="L58" s="757"/>
      <c r="M58" s="775">
        <f t="shared" si="24"/>
        <v>4433.1063918947866</v>
      </c>
      <c r="N58" s="757"/>
      <c r="O58" s="759">
        <f t="shared" si="25"/>
        <v>4386.4257366436786</v>
      </c>
      <c r="P58" s="757"/>
      <c r="Q58" s="759">
        <f t="shared" si="26"/>
        <v>4409.7660642692326</v>
      </c>
      <c r="R58" s="757"/>
      <c r="S58" s="840">
        <f t="shared" si="20"/>
        <v>2.7643593011701295</v>
      </c>
      <c r="T58" s="840"/>
      <c r="U58" s="840"/>
      <c r="V58" s="841"/>
      <c r="W58" s="987">
        <f t="shared" si="21"/>
        <v>146282.13402896459</v>
      </c>
      <c r="X58" s="841"/>
      <c r="Y58" s="858">
        <f t="shared" si="22"/>
        <v>33.983659301170128</v>
      </c>
      <c r="Z58" s="858">
        <f t="shared" si="23"/>
        <v>1780965.7440289645</v>
      </c>
    </row>
    <row r="59" spans="1:30" s="740" customFormat="1" ht="12" customHeight="1">
      <c r="A59" s="756" t="s">
        <v>1821</v>
      </c>
      <c r="B59" s="756" t="s">
        <v>1822</v>
      </c>
      <c r="C59" s="757">
        <f>C55</f>
        <v>61.226200000000006</v>
      </c>
      <c r="D59" s="757"/>
      <c r="E59" s="757">
        <f t="shared" ref="E59:E61" si="27">+E55</f>
        <v>62.438600000000001</v>
      </c>
      <c r="F59" s="757"/>
      <c r="G59" s="743">
        <v>42707.9</v>
      </c>
      <c r="H59" s="757"/>
      <c r="I59" s="743">
        <v>29846.36</v>
      </c>
      <c r="J59" s="757"/>
      <c r="K59" s="743">
        <f t="shared" si="19"/>
        <v>72554.260000000009</v>
      </c>
      <c r="L59" s="757"/>
      <c r="M59" s="775">
        <f t="shared" si="24"/>
        <v>99.648983138404319</v>
      </c>
      <c r="N59" s="757"/>
      <c r="O59" s="759">
        <f t="shared" si="25"/>
        <v>95.602271671690261</v>
      </c>
      <c r="P59" s="757"/>
      <c r="Q59" s="759">
        <f t="shared" si="26"/>
        <v>97.625627405047283</v>
      </c>
      <c r="R59" s="757"/>
      <c r="S59" s="840">
        <f t="shared" si="20"/>
        <v>5.528718602340259</v>
      </c>
      <c r="T59" s="840"/>
      <c r="U59" s="840"/>
      <c r="V59" s="841"/>
      <c r="W59" s="987">
        <f t="shared" si="21"/>
        <v>6476.9354675930863</v>
      </c>
      <c r="X59" s="841"/>
      <c r="Y59" s="858">
        <f t="shared" si="22"/>
        <v>67.967318602340256</v>
      </c>
      <c r="Z59" s="858">
        <f t="shared" si="23"/>
        <v>79031.19546759309</v>
      </c>
    </row>
    <row r="60" spans="1:30" s="740" customFormat="1" ht="12" customHeight="1">
      <c r="A60" s="756" t="s">
        <v>1823</v>
      </c>
      <c r="B60" s="756" t="s">
        <v>1824</v>
      </c>
      <c r="C60" s="757">
        <f>C56</f>
        <v>91.839300000000009</v>
      </c>
      <c r="D60" s="757"/>
      <c r="E60" s="757">
        <f t="shared" si="27"/>
        <v>93.657899999999998</v>
      </c>
      <c r="F60" s="757"/>
      <c r="G60" s="743">
        <v>2571.5200000000004</v>
      </c>
      <c r="H60" s="757"/>
      <c r="I60" s="743">
        <v>1873.1999999999998</v>
      </c>
      <c r="J60" s="757"/>
      <c r="K60" s="743">
        <f t="shared" si="19"/>
        <v>4444.72</v>
      </c>
      <c r="L60" s="757"/>
      <c r="M60" s="775">
        <f t="shared" si="24"/>
        <v>4.0000304880372566</v>
      </c>
      <c r="N60" s="757"/>
      <c r="O60" s="759">
        <f t="shared" si="25"/>
        <v>4.0000896881095986</v>
      </c>
      <c r="P60" s="757"/>
      <c r="Q60" s="759">
        <f t="shared" si="26"/>
        <v>4.0000600880734272</v>
      </c>
      <c r="R60" s="757"/>
      <c r="S60" s="840">
        <f t="shared" si="20"/>
        <v>8.2930779035103885</v>
      </c>
      <c r="T60" s="840"/>
      <c r="U60" s="840"/>
      <c r="V60" s="841"/>
      <c r="W60" s="987">
        <f t="shared" si="21"/>
        <v>398.0737191493867</v>
      </c>
      <c r="X60" s="841"/>
      <c r="Y60" s="858">
        <f t="shared" si="22"/>
        <v>101.95097790351039</v>
      </c>
      <c r="Z60" s="858">
        <f t="shared" si="23"/>
        <v>4842.7937191493866</v>
      </c>
    </row>
    <row r="61" spans="1:30" s="740" customFormat="1" ht="12" customHeight="1">
      <c r="A61" s="756" t="s">
        <v>1825</v>
      </c>
      <c r="B61" s="756" t="s">
        <v>1826</v>
      </c>
      <c r="C61" s="757">
        <f>C57</f>
        <v>153.06550000000001</v>
      </c>
      <c r="D61" s="757"/>
      <c r="E61" s="757">
        <f t="shared" si="27"/>
        <v>156.09649999999999</v>
      </c>
      <c r="F61" s="757"/>
      <c r="G61" s="743">
        <v>3214.47</v>
      </c>
      <c r="H61" s="757"/>
      <c r="I61" s="743">
        <v>2341.5</v>
      </c>
      <c r="J61" s="757"/>
      <c r="K61" s="743">
        <f t="shared" si="19"/>
        <v>5555.9699999999993</v>
      </c>
      <c r="L61" s="757"/>
      <c r="M61" s="775">
        <f t="shared" si="24"/>
        <v>3.0000881975363485</v>
      </c>
      <c r="N61" s="757"/>
      <c r="O61" s="759">
        <f t="shared" si="25"/>
        <v>3.0000672660821994</v>
      </c>
      <c r="P61" s="757"/>
      <c r="Q61" s="759">
        <f t="shared" si="26"/>
        <v>3.0000777318092737</v>
      </c>
      <c r="R61" s="757"/>
      <c r="S61" s="840">
        <f t="shared" si="20"/>
        <v>13.821796505850646</v>
      </c>
      <c r="T61" s="840"/>
      <c r="U61" s="840"/>
      <c r="V61" s="841"/>
      <c r="W61" s="987">
        <f t="shared" si="21"/>
        <v>497.597566929621</v>
      </c>
      <c r="X61" s="841"/>
      <c r="Y61" s="858">
        <f t="shared" si="22"/>
        <v>169.91829650585063</v>
      </c>
      <c r="Z61" s="858">
        <f t="shared" si="23"/>
        <v>6053.5675669296206</v>
      </c>
    </row>
    <row r="62" spans="1:30" s="740" customFormat="1" ht="12" customHeight="1">
      <c r="A62" s="756" t="s">
        <v>1827</v>
      </c>
      <c r="B62" s="756" t="s">
        <v>1828</v>
      </c>
      <c r="C62" s="757">
        <f>7.07*References!B12</f>
        <v>15.341900000000001</v>
      </c>
      <c r="D62" s="757"/>
      <c r="E62" s="757">
        <f>+'Proposed Rates'!B198*References!B12</f>
        <v>15.6457</v>
      </c>
      <c r="F62" s="757"/>
      <c r="G62" s="743">
        <v>5691.1399999999994</v>
      </c>
      <c r="H62" s="757"/>
      <c r="I62" s="743">
        <v>3989.9800000000005</v>
      </c>
      <c r="J62" s="757"/>
      <c r="K62" s="743">
        <f t="shared" si="19"/>
        <v>9681.119999999999</v>
      </c>
      <c r="L62" s="757"/>
      <c r="M62" s="775">
        <f t="shared" si="24"/>
        <v>52.993436275819803</v>
      </c>
      <c r="N62" s="757"/>
      <c r="O62" s="759">
        <f t="shared" si="25"/>
        <v>51.004173670721038</v>
      </c>
      <c r="P62" s="757"/>
      <c r="Q62" s="759">
        <f t="shared" si="26"/>
        <v>51.998804973270424</v>
      </c>
      <c r="R62" s="757"/>
      <c r="S62" s="840">
        <f t="shared" si="20"/>
        <v>1.3853717513947299</v>
      </c>
      <c r="T62" s="840"/>
      <c r="U62" s="840"/>
      <c r="V62" s="841"/>
      <c r="W62" s="987">
        <f t="shared" si="21"/>
        <v>864.45210619503155</v>
      </c>
      <c r="X62" s="841"/>
      <c r="Y62" s="858">
        <f t="shared" si="22"/>
        <v>17.03107175139473</v>
      </c>
      <c r="Z62" s="858">
        <f t="shared" si="23"/>
        <v>10545.57210619503</v>
      </c>
    </row>
    <row r="63" spans="1:30" s="740" customFormat="1" ht="12" customHeight="1">
      <c r="A63" s="756" t="s">
        <v>1829</v>
      </c>
      <c r="B63" s="756" t="s">
        <v>1830</v>
      </c>
      <c r="C63" s="757">
        <f>12.41*References!B11</f>
        <v>53.735300000000002</v>
      </c>
      <c r="D63" s="757"/>
      <c r="E63" s="757">
        <f>+'Proposed Rates'!B199*References!B11</f>
        <v>54.8611</v>
      </c>
      <c r="F63" s="757"/>
      <c r="G63" s="743">
        <v>171162.08</v>
      </c>
      <c r="H63" s="757"/>
      <c r="I63" s="743">
        <v>124740.65</v>
      </c>
      <c r="J63" s="757"/>
      <c r="K63" s="743">
        <f t="shared" si="19"/>
        <v>295902.73</v>
      </c>
      <c r="L63" s="757"/>
      <c r="M63" s="775">
        <f t="shared" si="24"/>
        <v>455.04027546669903</v>
      </c>
      <c r="N63" s="757"/>
      <c r="O63" s="759">
        <f t="shared" si="25"/>
        <v>454.75081615206398</v>
      </c>
      <c r="P63" s="757"/>
      <c r="Q63" s="759">
        <f t="shared" si="26"/>
        <v>454.89554580938147</v>
      </c>
      <c r="R63" s="757"/>
      <c r="S63" s="840">
        <f t="shared" si="20"/>
        <v>4.8577576069106154</v>
      </c>
      <c r="T63" s="840"/>
      <c r="U63" s="840"/>
      <c r="V63" s="841"/>
      <c r="W63" s="987">
        <f t="shared" si="21"/>
        <v>26517.26757606335</v>
      </c>
      <c r="X63" s="841"/>
      <c r="Y63" s="858">
        <f t="shared" si="22"/>
        <v>59.718857606910618</v>
      </c>
      <c r="Z63" s="858">
        <f t="shared" si="23"/>
        <v>322419.99757606332</v>
      </c>
    </row>
    <row r="64" spans="1:30" s="740" customFormat="1" ht="12" customHeight="1">
      <c r="A64" s="756" t="s">
        <v>1831</v>
      </c>
      <c r="B64" s="756" t="s">
        <v>1832</v>
      </c>
      <c r="C64" s="757">
        <f>C63*2</f>
        <v>107.4706</v>
      </c>
      <c r="D64" s="757"/>
      <c r="E64" s="757">
        <f>+'Proposed Rates'!B199*2*References!B11</f>
        <v>109.7222</v>
      </c>
      <c r="F64" s="757"/>
      <c r="G64" s="743">
        <v>69506.23</v>
      </c>
      <c r="H64" s="757"/>
      <c r="I64" s="743">
        <v>51324</v>
      </c>
      <c r="J64" s="757"/>
      <c r="K64" s="743">
        <f t="shared" si="19"/>
        <v>120830.23</v>
      </c>
      <c r="L64" s="757"/>
      <c r="M64" s="775">
        <f t="shared" si="24"/>
        <v>92.392351290226614</v>
      </c>
      <c r="N64" s="757"/>
      <c r="O64" s="759">
        <f t="shared" si="25"/>
        <v>93.552626542304097</v>
      </c>
      <c r="P64" s="757"/>
      <c r="Q64" s="759">
        <f t="shared" si="26"/>
        <v>92.972488916265348</v>
      </c>
      <c r="R64" s="757"/>
      <c r="S64" s="840">
        <f t="shared" si="20"/>
        <v>9.7155152138212308</v>
      </c>
      <c r="T64" s="840"/>
      <c r="U64" s="840"/>
      <c r="V64" s="841"/>
      <c r="W64" s="987">
        <f t="shared" si="21"/>
        <v>10839.307566393622</v>
      </c>
      <c r="X64" s="841"/>
      <c r="Y64" s="858">
        <f t="shared" si="22"/>
        <v>119.43771521382124</v>
      </c>
      <c r="Z64" s="858">
        <f t="shared" si="23"/>
        <v>131669.53756639361</v>
      </c>
    </row>
    <row r="65" spans="1:26" s="740" customFormat="1" ht="12" customHeight="1">
      <c r="A65" s="756" t="s">
        <v>1833</v>
      </c>
      <c r="B65" s="756" t="s">
        <v>1834</v>
      </c>
      <c r="C65" s="757">
        <f>C63*3</f>
        <v>161.20590000000001</v>
      </c>
      <c r="D65" s="757"/>
      <c r="E65" s="757">
        <f>+'Proposed Rates'!B199*3*References!B11</f>
        <v>164.58329999999998</v>
      </c>
      <c r="F65" s="757"/>
      <c r="G65" s="743">
        <v>19183.990000000002</v>
      </c>
      <c r="H65" s="757"/>
      <c r="I65" s="743">
        <v>14757.369999999999</v>
      </c>
      <c r="J65" s="757"/>
      <c r="K65" s="743">
        <f t="shared" si="19"/>
        <v>33941.360000000001</v>
      </c>
      <c r="L65" s="757"/>
      <c r="M65" s="775">
        <f t="shared" si="24"/>
        <v>17.000432366309173</v>
      </c>
      <c r="N65" s="757"/>
      <c r="O65" s="759">
        <f t="shared" si="25"/>
        <v>17.93301021428055</v>
      </c>
      <c r="P65" s="757"/>
      <c r="Q65" s="759">
        <f t="shared" si="26"/>
        <v>17.466721290294863</v>
      </c>
      <c r="R65" s="757"/>
      <c r="S65" s="840">
        <f t="shared" si="20"/>
        <v>14.573272820731844</v>
      </c>
      <c r="T65" s="840"/>
      <c r="U65" s="840"/>
      <c r="V65" s="841"/>
      <c r="W65" s="987">
        <f t="shared" si="21"/>
        <v>3054.5675357658288</v>
      </c>
      <c r="X65" s="841"/>
      <c r="Y65" s="858">
        <f t="shared" si="22"/>
        <v>179.15657282073181</v>
      </c>
      <c r="Z65" s="858">
        <f t="shared" si="23"/>
        <v>36995.927535765826</v>
      </c>
    </row>
    <row r="66" spans="1:26" s="740" customFormat="1" ht="12" customHeight="1">
      <c r="A66" s="756" t="s">
        <v>1835</v>
      </c>
      <c r="B66" s="756" t="s">
        <v>1836</v>
      </c>
      <c r="C66" s="757">
        <f>C63*5</f>
        <v>268.67650000000003</v>
      </c>
      <c r="D66" s="757"/>
      <c r="E66" s="757">
        <f>+'Proposed Rates'!B199*5*References!B11</f>
        <v>274.30549999999999</v>
      </c>
      <c r="F66" s="757"/>
      <c r="G66" s="743">
        <v>16819.37</v>
      </c>
      <c r="H66" s="757"/>
      <c r="I66" s="743">
        <v>12343.5</v>
      </c>
      <c r="J66" s="757"/>
      <c r="K66" s="743">
        <f t="shared" si="19"/>
        <v>29162.87</v>
      </c>
      <c r="L66" s="757"/>
      <c r="M66" s="775">
        <f t="shared" si="24"/>
        <v>8.9429747032477422</v>
      </c>
      <c r="N66" s="757"/>
      <c r="O66" s="759">
        <f t="shared" si="25"/>
        <v>8.9998195442672486</v>
      </c>
      <c r="P66" s="757"/>
      <c r="Q66" s="759">
        <f t="shared" si="26"/>
        <v>8.9713971237574945</v>
      </c>
      <c r="R66" s="757"/>
      <c r="S66" s="840">
        <f t="shared" si="20"/>
        <v>24.288788034553079</v>
      </c>
      <c r="T66" s="840"/>
      <c r="U66" s="840"/>
      <c r="V66" s="841"/>
      <c r="W66" s="987">
        <f t="shared" si="21"/>
        <v>2614.8523573529392</v>
      </c>
      <c r="X66" s="841"/>
      <c r="Y66" s="858">
        <f t="shared" si="22"/>
        <v>298.59428803455307</v>
      </c>
      <c r="Z66" s="858">
        <f t="shared" si="23"/>
        <v>31777.722357352937</v>
      </c>
    </row>
    <row r="67" spans="1:26" s="740" customFormat="1" ht="12" customHeight="1">
      <c r="A67" s="756" t="s">
        <v>1837</v>
      </c>
      <c r="B67" s="756" t="s">
        <v>1838</v>
      </c>
      <c r="C67" s="757">
        <f>16.39*References!B11</f>
        <v>70.968699999999998</v>
      </c>
      <c r="D67" s="757"/>
      <c r="E67" s="757">
        <f>+'Proposed Rates'!B200*References!B11</f>
        <v>72.397599999999997</v>
      </c>
      <c r="F67" s="757"/>
      <c r="G67" s="743">
        <v>104037.03</v>
      </c>
      <c r="H67" s="757"/>
      <c r="I67" s="743">
        <v>74877.75</v>
      </c>
      <c r="J67" s="757"/>
      <c r="K67" s="743">
        <f t="shared" si="19"/>
        <v>178914.78</v>
      </c>
      <c r="L67" s="757"/>
      <c r="M67" s="775">
        <f t="shared" si="24"/>
        <v>209.42236305783899</v>
      </c>
      <c r="N67" s="757"/>
      <c r="O67" s="759">
        <f t="shared" si="25"/>
        <v>206.85147021448225</v>
      </c>
      <c r="P67" s="757"/>
      <c r="Q67" s="759">
        <f t="shared" si="26"/>
        <v>208.13691663616061</v>
      </c>
      <c r="R67" s="757"/>
      <c r="S67" s="840">
        <f t="shared" si="20"/>
        <v>6.4105530534763604</v>
      </c>
      <c r="T67" s="840"/>
      <c r="U67" s="840"/>
      <c r="V67" s="841"/>
      <c r="W67" s="987">
        <f t="shared" si="21"/>
        <v>16011.272957797129</v>
      </c>
      <c r="X67" s="841"/>
      <c r="Y67" s="858">
        <f t="shared" si="22"/>
        <v>78.80815305347636</v>
      </c>
      <c r="Z67" s="858">
        <f t="shared" si="23"/>
        <v>194926.05295779713</v>
      </c>
    </row>
    <row r="68" spans="1:26" s="740" customFormat="1" ht="12" customHeight="1">
      <c r="A68" s="756" t="s">
        <v>1839</v>
      </c>
      <c r="B68" s="756" t="s">
        <v>1840</v>
      </c>
      <c r="C68" s="757">
        <f>C67*2</f>
        <v>141.9374</v>
      </c>
      <c r="D68" s="757"/>
      <c r="E68" s="757">
        <f>+'Proposed Rates'!B200*2*References!B11</f>
        <v>144.79519999999999</v>
      </c>
      <c r="F68" s="757"/>
      <c r="G68" s="743">
        <v>81952.62999999999</v>
      </c>
      <c r="H68" s="757"/>
      <c r="I68" s="743">
        <v>60233.9</v>
      </c>
      <c r="J68" s="757"/>
      <c r="K68" s="743">
        <f t="shared" si="19"/>
        <v>142186.53</v>
      </c>
      <c r="L68" s="757"/>
      <c r="M68" s="775">
        <f t="shared" si="24"/>
        <v>82.483676405433457</v>
      </c>
      <c r="N68" s="757"/>
      <c r="O68" s="759">
        <f t="shared" si="25"/>
        <v>83.198752444832436</v>
      </c>
      <c r="P68" s="757"/>
      <c r="Q68" s="759">
        <f t="shared" si="26"/>
        <v>82.841214425132947</v>
      </c>
      <c r="R68" s="757"/>
      <c r="S68" s="840">
        <f t="shared" si="20"/>
        <v>12.821106106952721</v>
      </c>
      <c r="T68" s="840"/>
      <c r="U68" s="840"/>
      <c r="V68" s="841"/>
      <c r="W68" s="987">
        <f t="shared" si="21"/>
        <v>12745.392002081422</v>
      </c>
      <c r="X68" s="841"/>
      <c r="Y68" s="858">
        <f t="shared" si="22"/>
        <v>157.61630610695272</v>
      </c>
      <c r="Z68" s="858">
        <f t="shared" si="23"/>
        <v>154931.92200208141</v>
      </c>
    </row>
    <row r="69" spans="1:26" s="740" customFormat="1" ht="12" customHeight="1">
      <c r="A69" s="756" t="s">
        <v>1841</v>
      </c>
      <c r="B69" s="756" t="s">
        <v>1842</v>
      </c>
      <c r="C69" s="757">
        <f>C67*3</f>
        <v>212.90609999999998</v>
      </c>
      <c r="D69" s="757"/>
      <c r="E69" s="757">
        <f>+'Proposed Rates'!B200*References!B11*3</f>
        <v>217.19279999999998</v>
      </c>
      <c r="F69" s="757"/>
      <c r="G69" s="743">
        <v>42404.58</v>
      </c>
      <c r="H69" s="757"/>
      <c r="I69" s="743">
        <v>31429.649999999998</v>
      </c>
      <c r="J69" s="757"/>
      <c r="K69" s="743">
        <f t="shared" si="19"/>
        <v>73834.23</v>
      </c>
      <c r="L69" s="757"/>
      <c r="M69" s="775">
        <f t="shared" si="24"/>
        <v>28.452905496165414</v>
      </c>
      <c r="N69" s="757"/>
      <c r="O69" s="759">
        <f t="shared" si="25"/>
        <v>28.941705249897787</v>
      </c>
      <c r="P69" s="757"/>
      <c r="Q69" s="759">
        <f t="shared" si="26"/>
        <v>28.6973053730316</v>
      </c>
      <c r="R69" s="757"/>
      <c r="S69" s="840">
        <f t="shared" si="20"/>
        <v>19.231659160429082</v>
      </c>
      <c r="T69" s="840"/>
      <c r="U69" s="840"/>
      <c r="V69" s="841"/>
      <c r="W69" s="987">
        <f t="shared" si="21"/>
        <v>6622.7615490827266</v>
      </c>
      <c r="X69" s="841"/>
      <c r="Y69" s="858">
        <f t="shared" si="22"/>
        <v>236.42445916042905</v>
      </c>
      <c r="Z69" s="858">
        <f t="shared" si="23"/>
        <v>80456.991549082726</v>
      </c>
    </row>
    <row r="70" spans="1:26" s="740" customFormat="1" ht="12" customHeight="1">
      <c r="A70" s="756" t="s">
        <v>1843</v>
      </c>
      <c r="B70" s="756" t="s">
        <v>1844</v>
      </c>
      <c r="C70" s="757">
        <f>C67*4</f>
        <v>283.87479999999999</v>
      </c>
      <c r="D70" s="757"/>
      <c r="E70" s="757">
        <f>+'Proposed Rates'!B200*4*References!B11</f>
        <v>289.59039999999999</v>
      </c>
      <c r="F70" s="757"/>
      <c r="G70" s="743">
        <v>1986.8799999999997</v>
      </c>
      <c r="H70" s="757"/>
      <c r="I70" s="743">
        <v>579.20000000000005</v>
      </c>
      <c r="J70" s="757"/>
      <c r="K70" s="743">
        <f t="shared" si="19"/>
        <v>2566.08</v>
      </c>
      <c r="L70" s="757"/>
      <c r="M70" s="775">
        <f t="shared" si="24"/>
        <v>0.999877410745864</v>
      </c>
      <c r="N70" s="757"/>
      <c r="O70" s="759">
        <f t="shared" si="25"/>
        <v>0.40001326010806992</v>
      </c>
      <c r="P70" s="757"/>
      <c r="Q70" s="759">
        <f t="shared" si="26"/>
        <v>0.69994533542696691</v>
      </c>
      <c r="R70" s="757"/>
      <c r="S70" s="840">
        <f t="shared" si="20"/>
        <v>25.642212213905442</v>
      </c>
      <c r="T70" s="840"/>
      <c r="U70" s="840"/>
      <c r="V70" s="841"/>
      <c r="W70" s="987">
        <f t="shared" si="21"/>
        <v>215.37776194981814</v>
      </c>
      <c r="X70" s="841"/>
      <c r="Y70" s="858">
        <f t="shared" si="22"/>
        <v>315.23261221390544</v>
      </c>
      <c r="Z70" s="858">
        <f t="shared" si="23"/>
        <v>2781.4577619498182</v>
      </c>
    </row>
    <row r="71" spans="1:26" s="740" customFormat="1" ht="12" customHeight="1">
      <c r="A71" s="756" t="s">
        <v>1845</v>
      </c>
      <c r="B71" s="756" t="s">
        <v>1846</v>
      </c>
      <c r="C71" s="757">
        <f>C67*5</f>
        <v>354.84350000000001</v>
      </c>
      <c r="D71" s="757"/>
      <c r="E71" s="757">
        <f>+'Proposed Rates'!B200*5*References!B11</f>
        <v>361.988</v>
      </c>
      <c r="F71" s="757"/>
      <c r="G71" s="743">
        <v>52161.48</v>
      </c>
      <c r="H71" s="757"/>
      <c r="I71" s="743">
        <v>38010</v>
      </c>
      <c r="J71" s="757"/>
      <c r="K71" s="743">
        <f t="shared" si="19"/>
        <v>90171.48000000001</v>
      </c>
      <c r="L71" s="757"/>
      <c r="M71" s="775">
        <f t="shared" si="24"/>
        <v>20.999792866432667</v>
      </c>
      <c r="N71" s="757"/>
      <c r="O71" s="759">
        <f t="shared" si="25"/>
        <v>21.000696155673669</v>
      </c>
      <c r="P71" s="757"/>
      <c r="Q71" s="759">
        <f t="shared" si="26"/>
        <v>21.000244511053168</v>
      </c>
      <c r="R71" s="757"/>
      <c r="S71" s="840">
        <f t="shared" si="20"/>
        <v>32.052765267381808</v>
      </c>
      <c r="T71" s="840"/>
      <c r="U71" s="840"/>
      <c r="V71" s="841"/>
      <c r="W71" s="987">
        <f t="shared" si="21"/>
        <v>8077.3908944449249</v>
      </c>
      <c r="X71" s="841"/>
      <c r="Y71" s="858">
        <f t="shared" si="22"/>
        <v>394.0407652673818</v>
      </c>
      <c r="Z71" s="858">
        <f t="shared" si="23"/>
        <v>98248.870894444932</v>
      </c>
    </row>
    <row r="72" spans="1:26" s="740" customFormat="1" ht="12" customHeight="1">
      <c r="A72" s="756" t="s">
        <v>1847</v>
      </c>
      <c r="B72" s="756" t="s">
        <v>1848</v>
      </c>
      <c r="C72" s="757">
        <f>22.28*References!B11</f>
        <v>96.472400000000007</v>
      </c>
      <c r="D72" s="757"/>
      <c r="E72" s="757">
        <f>+'Proposed Rates'!B201*References!B11</f>
        <v>98.464199999999991</v>
      </c>
      <c r="F72" s="757"/>
      <c r="G72" s="743">
        <v>158982.57999999999</v>
      </c>
      <c r="H72" s="757"/>
      <c r="I72" s="743">
        <v>121271.41999999998</v>
      </c>
      <c r="J72" s="757"/>
      <c r="K72" s="743">
        <f t="shared" si="19"/>
        <v>280254</v>
      </c>
      <c r="L72" s="757"/>
      <c r="M72" s="775">
        <f t="shared" si="24"/>
        <v>235.4227441512509</v>
      </c>
      <c r="N72" s="757"/>
      <c r="O72" s="759">
        <f t="shared" si="25"/>
        <v>246.32591337765399</v>
      </c>
      <c r="P72" s="757"/>
      <c r="Q72" s="759">
        <f t="shared" si="26"/>
        <v>240.87432876445246</v>
      </c>
      <c r="R72" s="757"/>
      <c r="S72" s="840">
        <f t="shared" si="20"/>
        <v>8.7186588777543328</v>
      </c>
      <c r="T72" s="840"/>
      <c r="U72" s="840"/>
      <c r="V72" s="841"/>
      <c r="W72" s="987">
        <f t="shared" si="21"/>
        <v>25201.213258863711</v>
      </c>
      <c r="X72" s="841"/>
      <c r="Y72" s="858">
        <f t="shared" si="22"/>
        <v>107.18285887775433</v>
      </c>
      <c r="Z72" s="858">
        <f t="shared" si="23"/>
        <v>305455.21325886372</v>
      </c>
    </row>
    <row r="73" spans="1:26" s="740" customFormat="1" ht="12" customHeight="1">
      <c r="A73" s="756" t="s">
        <v>1849</v>
      </c>
      <c r="B73" s="756" t="s">
        <v>1850</v>
      </c>
      <c r="C73" s="757">
        <f>C72*2</f>
        <v>192.94480000000001</v>
      </c>
      <c r="D73" s="757"/>
      <c r="E73" s="757">
        <f>+'Proposed Rates'!B201*2*References!B11</f>
        <v>196.92839999999998</v>
      </c>
      <c r="F73" s="757"/>
      <c r="G73" s="743">
        <v>202177.03000000003</v>
      </c>
      <c r="H73" s="757"/>
      <c r="I73" s="743">
        <v>143424.35999999999</v>
      </c>
      <c r="J73" s="757"/>
      <c r="K73" s="743">
        <f t="shared" si="19"/>
        <v>345601.39</v>
      </c>
      <c r="L73" s="757"/>
      <c r="M73" s="775">
        <f t="shared" si="24"/>
        <v>149.69272484743232</v>
      </c>
      <c r="N73" s="757"/>
      <c r="O73" s="759">
        <f t="shared" si="25"/>
        <v>145.66142821451857</v>
      </c>
      <c r="P73" s="757"/>
      <c r="Q73" s="759">
        <f t="shared" si="26"/>
        <v>147.67707653097546</v>
      </c>
      <c r="R73" s="757"/>
      <c r="S73" s="840">
        <f t="shared" si="20"/>
        <v>17.437317755508666</v>
      </c>
      <c r="T73" s="840"/>
      <c r="U73" s="840"/>
      <c r="V73" s="841"/>
      <c r="W73" s="987">
        <f t="shared" si="21"/>
        <v>30901.105304102286</v>
      </c>
      <c r="X73" s="841"/>
      <c r="Y73" s="858">
        <f t="shared" si="22"/>
        <v>214.36571775550865</v>
      </c>
      <c r="Z73" s="858">
        <f t="shared" si="23"/>
        <v>376502.49530410231</v>
      </c>
    </row>
    <row r="74" spans="1:26" s="740" customFormat="1" ht="12" customHeight="1">
      <c r="A74" s="756" t="s">
        <v>1851</v>
      </c>
      <c r="B74" s="756" t="s">
        <v>1852</v>
      </c>
      <c r="C74" s="757">
        <f>C72*3</f>
        <v>289.41720000000004</v>
      </c>
      <c r="D74" s="757"/>
      <c r="E74" s="757">
        <f>+'Proposed Rates'!B201*3*References!B11</f>
        <v>295.39260000000002</v>
      </c>
      <c r="F74" s="757"/>
      <c r="G74" s="743">
        <v>73956.680000000008</v>
      </c>
      <c r="H74" s="757"/>
      <c r="I74" s="743">
        <v>54486.929999999993</v>
      </c>
      <c r="J74" s="757"/>
      <c r="K74" s="743">
        <f t="shared" si="19"/>
        <v>128443.61</v>
      </c>
      <c r="L74" s="757"/>
      <c r="M74" s="775">
        <f t="shared" si="24"/>
        <v>36.505224983173079</v>
      </c>
      <c r="N74" s="757"/>
      <c r="O74" s="759">
        <f t="shared" si="25"/>
        <v>36.891194972385897</v>
      </c>
      <c r="P74" s="757"/>
      <c r="Q74" s="759">
        <f t="shared" si="26"/>
        <v>36.698209977779484</v>
      </c>
      <c r="R74" s="757"/>
      <c r="S74" s="840">
        <f t="shared" si="20"/>
        <v>26.155976633263002</v>
      </c>
      <c r="T74" s="840"/>
      <c r="U74" s="840"/>
      <c r="V74" s="841"/>
      <c r="W74" s="987">
        <f t="shared" si="21"/>
        <v>11518.530271936552</v>
      </c>
      <c r="X74" s="841"/>
      <c r="Y74" s="858">
        <f t="shared" si="22"/>
        <v>321.548576633263</v>
      </c>
      <c r="Z74" s="858">
        <f t="shared" si="23"/>
        <v>139962.14027193654</v>
      </c>
    </row>
    <row r="75" spans="1:26" s="740" customFormat="1" ht="12" customHeight="1">
      <c r="A75" s="756" t="s">
        <v>1853</v>
      </c>
      <c r="B75" s="756" t="s">
        <v>1854</v>
      </c>
      <c r="C75" s="757">
        <f>C72*4</f>
        <v>385.88960000000003</v>
      </c>
      <c r="D75" s="757"/>
      <c r="E75" s="757">
        <f>+'Proposed Rates'!B201*4*References!B11</f>
        <v>393.85679999999996</v>
      </c>
      <c r="F75" s="757"/>
      <c r="G75" s="743">
        <v>15700.900000000001</v>
      </c>
      <c r="H75" s="757"/>
      <c r="I75" s="743">
        <v>11815.2</v>
      </c>
      <c r="J75" s="757"/>
      <c r="K75" s="743">
        <f t="shared" si="19"/>
        <v>27516.100000000002</v>
      </c>
      <c r="L75" s="757"/>
      <c r="M75" s="775">
        <f t="shared" si="24"/>
        <v>5.8125062564156025</v>
      </c>
      <c r="N75" s="757"/>
      <c r="O75" s="759">
        <f t="shared" si="25"/>
        <v>5.9997440694181243</v>
      </c>
      <c r="P75" s="757"/>
      <c r="Q75" s="759">
        <f t="shared" si="26"/>
        <v>5.9061251629168634</v>
      </c>
      <c r="R75" s="757"/>
      <c r="S75" s="840">
        <f t="shared" si="20"/>
        <v>34.874635511017331</v>
      </c>
      <c r="T75" s="840"/>
      <c r="U75" s="840"/>
      <c r="V75" s="841"/>
      <c r="W75" s="987">
        <f t="shared" si="21"/>
        <v>2471.6875480700814</v>
      </c>
      <c r="X75" s="841"/>
      <c r="Y75" s="858">
        <f t="shared" si="22"/>
        <v>428.73143551101731</v>
      </c>
      <c r="Z75" s="858">
        <f t="shared" si="23"/>
        <v>29987.787548070082</v>
      </c>
    </row>
    <row r="76" spans="1:26" s="740" customFormat="1" ht="12" customHeight="1">
      <c r="A76" s="756" t="s">
        <v>1855</v>
      </c>
      <c r="B76" s="756" t="s">
        <v>1856</v>
      </c>
      <c r="C76" s="757">
        <f>C72*5</f>
        <v>482.36200000000002</v>
      </c>
      <c r="D76" s="757"/>
      <c r="E76" s="757">
        <f>+'Proposed Rates'!B201*5*References!B11</f>
        <v>492.32099999999997</v>
      </c>
      <c r="F76" s="757"/>
      <c r="G76" s="743">
        <v>92256.19</v>
      </c>
      <c r="H76" s="757"/>
      <c r="I76" s="743">
        <v>64762.07</v>
      </c>
      <c r="J76" s="757"/>
      <c r="K76" s="743">
        <f t="shared" si="19"/>
        <v>157018.26</v>
      </c>
      <c r="L76" s="757"/>
      <c r="M76" s="775">
        <f t="shared" si="24"/>
        <v>27.32274871214091</v>
      </c>
      <c r="N76" s="757"/>
      <c r="O76" s="759">
        <f t="shared" si="25"/>
        <v>26.308879775593567</v>
      </c>
      <c r="P76" s="757"/>
      <c r="Q76" s="759">
        <f t="shared" si="26"/>
        <v>26.815814243867237</v>
      </c>
      <c r="R76" s="757"/>
      <c r="S76" s="840">
        <f t="shared" si="20"/>
        <v>43.59329438877166</v>
      </c>
      <c r="T76" s="840"/>
      <c r="U76" s="840"/>
      <c r="V76" s="841"/>
      <c r="W76" s="987">
        <f t="shared" si="21"/>
        <v>14027.876215290249</v>
      </c>
      <c r="X76" s="841"/>
      <c r="Y76" s="858">
        <f t="shared" si="22"/>
        <v>535.91429438877162</v>
      </c>
      <c r="Z76" s="858">
        <f t="shared" si="23"/>
        <v>171046.13621529026</v>
      </c>
    </row>
    <row r="77" spans="1:26" s="740" customFormat="1" ht="12" customHeight="1">
      <c r="A77" s="756" t="s">
        <v>1857</v>
      </c>
      <c r="B77" s="756" t="s">
        <v>1858</v>
      </c>
      <c r="C77" s="757">
        <f>30.17*References!B11</f>
        <v>130.6361</v>
      </c>
      <c r="D77" s="757"/>
      <c r="E77" s="757">
        <f>+'Proposed Rates'!B202*References!B11</f>
        <v>132.93100000000001</v>
      </c>
      <c r="F77" s="757"/>
      <c r="G77" s="743">
        <v>27198.739999999998</v>
      </c>
      <c r="H77" s="757"/>
      <c r="I77" s="743">
        <v>17319.080000000002</v>
      </c>
      <c r="J77" s="757"/>
      <c r="K77" s="743">
        <f t="shared" si="19"/>
        <v>44517.82</v>
      </c>
      <c r="L77" s="757"/>
      <c r="M77" s="775">
        <f t="shared" si="24"/>
        <v>29.743189560269219</v>
      </c>
      <c r="N77" s="757"/>
      <c r="O77" s="759">
        <f t="shared" si="25"/>
        <v>26.05724774507075</v>
      </c>
      <c r="P77" s="757"/>
      <c r="Q77" s="759">
        <f t="shared" si="26"/>
        <v>27.900218652669984</v>
      </c>
      <c r="R77" s="757"/>
      <c r="S77" s="840">
        <f t="shared" si="20"/>
        <v>11.770572891251453</v>
      </c>
      <c r="T77" s="840"/>
      <c r="U77" s="840"/>
      <c r="V77" s="841"/>
      <c r="W77" s="987">
        <f t="shared" si="21"/>
        <v>3940.8186879972654</v>
      </c>
      <c r="X77" s="841"/>
      <c r="Y77" s="858">
        <f t="shared" si="22"/>
        <v>144.70157289125146</v>
      </c>
      <c r="Z77" s="858">
        <f t="shared" si="23"/>
        <v>48458.638687997263</v>
      </c>
    </row>
    <row r="78" spans="1:26" s="740" customFormat="1" ht="12" customHeight="1">
      <c r="A78" s="756" t="s">
        <v>1859</v>
      </c>
      <c r="B78" s="756" t="s">
        <v>1860</v>
      </c>
      <c r="C78" s="757">
        <f>C77*2</f>
        <v>261.2722</v>
      </c>
      <c r="D78" s="757"/>
      <c r="E78" s="757">
        <f>+'Proposed Rates'!B202*2*References!B11</f>
        <v>265.86200000000002</v>
      </c>
      <c r="F78" s="757"/>
      <c r="G78" s="743">
        <v>1828.8899999999999</v>
      </c>
      <c r="H78" s="757"/>
      <c r="I78" s="743">
        <v>1324.71</v>
      </c>
      <c r="J78" s="757"/>
      <c r="K78" s="743">
        <f t="shared" si="19"/>
        <v>3153.6</v>
      </c>
      <c r="L78" s="757"/>
      <c r="M78" s="775">
        <f t="shared" si="24"/>
        <v>0.99999157966289554</v>
      </c>
      <c r="N78" s="757"/>
      <c r="O78" s="759">
        <f t="shared" si="25"/>
        <v>0.99653955811661687</v>
      </c>
      <c r="P78" s="757"/>
      <c r="Q78" s="759">
        <f t="shared" si="26"/>
        <v>0.99826556888975615</v>
      </c>
      <c r="R78" s="757"/>
      <c r="S78" s="840">
        <f t="shared" si="20"/>
        <v>23.541145782502905</v>
      </c>
      <c r="T78" s="840"/>
      <c r="U78" s="840"/>
      <c r="V78" s="841"/>
      <c r="W78" s="987">
        <f t="shared" si="21"/>
        <v>282.00378344264334</v>
      </c>
      <c r="X78" s="841"/>
      <c r="Y78" s="858">
        <f t="shared" si="22"/>
        <v>289.40314578250292</v>
      </c>
      <c r="Z78" s="858">
        <f t="shared" si="23"/>
        <v>3435.6037834426434</v>
      </c>
    </row>
    <row r="79" spans="1:26" s="740" customFormat="1" ht="12" customHeight="1">
      <c r="A79" s="756" t="s">
        <v>1861</v>
      </c>
      <c r="B79" s="756" t="s">
        <v>1862</v>
      </c>
      <c r="C79" s="757">
        <f>C77*3</f>
        <v>391.9083</v>
      </c>
      <c r="D79" s="757"/>
      <c r="E79" s="757">
        <f>+'Proposed Rates'!B202*3*References!B11</f>
        <v>398.79300000000001</v>
      </c>
      <c r="F79" s="757"/>
      <c r="G79" s="743">
        <v>5486.74</v>
      </c>
      <c r="H79" s="757"/>
      <c r="I79" s="743">
        <v>3919.1000000000004</v>
      </c>
      <c r="J79" s="757"/>
      <c r="K79" s="743">
        <f t="shared" si="19"/>
        <v>9405.84</v>
      </c>
      <c r="L79" s="757"/>
      <c r="M79" s="775">
        <f t="shared" si="24"/>
        <v>2.0000086754988349</v>
      </c>
      <c r="N79" s="757"/>
      <c r="O79" s="759">
        <f t="shared" si="25"/>
        <v>1.9654808384299625</v>
      </c>
      <c r="P79" s="757"/>
      <c r="Q79" s="759">
        <f t="shared" si="26"/>
        <v>1.9827447569643986</v>
      </c>
      <c r="R79" s="757"/>
      <c r="S79" s="840">
        <f t="shared" si="20"/>
        <v>35.311718673754356</v>
      </c>
      <c r="T79" s="840"/>
      <c r="U79" s="840"/>
      <c r="V79" s="841"/>
      <c r="W79" s="987">
        <f t="shared" si="21"/>
        <v>840.16950071745964</v>
      </c>
      <c r="X79" s="841"/>
      <c r="Y79" s="858">
        <f t="shared" si="22"/>
        <v>434.10471867375435</v>
      </c>
      <c r="Z79" s="858">
        <f t="shared" si="23"/>
        <v>10246.00950071746</v>
      </c>
    </row>
    <row r="80" spans="1:26" s="740" customFormat="1" ht="12" customHeight="1">
      <c r="A80" s="756" t="s">
        <v>1863</v>
      </c>
      <c r="B80" s="756" t="s">
        <v>1864</v>
      </c>
      <c r="C80" s="757">
        <f>42.6*References!B11</f>
        <v>184.458</v>
      </c>
      <c r="D80" s="757"/>
      <c r="E80" s="757">
        <f>+'Proposed Rates'!B279*References!B11</f>
        <v>188.44160000000002</v>
      </c>
      <c r="F80" s="757"/>
      <c r="G80" s="743">
        <v>1938.3000000000002</v>
      </c>
      <c r="H80" s="757"/>
      <c r="I80" s="743">
        <v>2986.75</v>
      </c>
      <c r="J80" s="757"/>
      <c r="K80" s="743">
        <f t="shared" si="19"/>
        <v>4925.05</v>
      </c>
      <c r="L80" s="757"/>
      <c r="M80" s="775">
        <f t="shared" si="24"/>
        <v>1.5011547344110856</v>
      </c>
      <c r="N80" s="757"/>
      <c r="O80" s="759">
        <f t="shared" si="25"/>
        <v>3.1699476124167911</v>
      </c>
      <c r="P80" s="757"/>
      <c r="Q80" s="759">
        <f t="shared" si="26"/>
        <v>2.3355511734139385</v>
      </c>
      <c r="R80" s="757"/>
      <c r="S80" s="840">
        <f t="shared" si="20"/>
        <v>16.685841440627467</v>
      </c>
      <c r="T80" s="840"/>
      <c r="U80" s="840"/>
      <c r="V80" s="841"/>
      <c r="W80" s="987">
        <f t="shared" si="21"/>
        <v>467.64763867267686</v>
      </c>
      <c r="X80" s="841"/>
      <c r="Y80" s="858">
        <f t="shared" si="22"/>
        <v>205.12744144062748</v>
      </c>
      <c r="Z80" s="858">
        <f t="shared" si="23"/>
        <v>5392.6976386726774</v>
      </c>
    </row>
    <row r="81" spans="1:26" s="740" customFormat="1" ht="12" customHeight="1">
      <c r="A81" s="756" t="s">
        <v>1865</v>
      </c>
      <c r="B81" s="756" t="s">
        <v>1866</v>
      </c>
      <c r="C81" s="757">
        <v>9.77</v>
      </c>
      <c r="D81" s="757"/>
      <c r="E81" s="757">
        <f>+'Proposed Rates'!B222</f>
        <v>9.91</v>
      </c>
      <c r="F81" s="757"/>
      <c r="G81" s="743">
        <v>68.39</v>
      </c>
      <c r="H81" s="757"/>
      <c r="I81" s="743">
        <v>19.82</v>
      </c>
      <c r="J81" s="757"/>
      <c r="K81" s="743">
        <f t="shared" si="19"/>
        <v>88.210000000000008</v>
      </c>
      <c r="L81" s="757"/>
      <c r="M81" s="775">
        <f t="shared" si="24"/>
        <v>1</v>
      </c>
      <c r="N81" s="757"/>
      <c r="O81" s="759">
        <f t="shared" si="25"/>
        <v>0.39999999999999997</v>
      </c>
      <c r="P81" s="757"/>
      <c r="Q81" s="759">
        <f t="shared" si="26"/>
        <v>0.7</v>
      </c>
      <c r="R81" s="757"/>
      <c r="S81" s="840">
        <f t="shared" si="20"/>
        <v>0.87749567333655731</v>
      </c>
      <c r="T81" s="840"/>
      <c r="U81" s="840"/>
      <c r="V81" s="841"/>
      <c r="W81" s="987">
        <f t="shared" si="21"/>
        <v>7.3709636560270804</v>
      </c>
      <c r="X81" s="841"/>
      <c r="Y81" s="858">
        <f t="shared" si="22"/>
        <v>10.787495673336558</v>
      </c>
      <c r="Z81" s="858">
        <f t="shared" si="23"/>
        <v>95.580963656027095</v>
      </c>
    </row>
    <row r="82" spans="1:26" s="740" customFormat="1" ht="12" customHeight="1">
      <c r="A82" s="756" t="s">
        <v>1867</v>
      </c>
      <c r="B82" s="756" t="s">
        <v>1868</v>
      </c>
      <c r="C82" s="757">
        <v>9.77</v>
      </c>
      <c r="D82" s="757"/>
      <c r="E82" s="757">
        <f>+'Proposed Rates'!B222</f>
        <v>9.91</v>
      </c>
      <c r="F82" s="757"/>
      <c r="G82" s="743">
        <v>3898.23</v>
      </c>
      <c r="H82" s="757"/>
      <c r="I82" s="743">
        <v>2606.1899999999996</v>
      </c>
      <c r="J82" s="757"/>
      <c r="K82" s="743">
        <f t="shared" si="19"/>
        <v>6504.42</v>
      </c>
      <c r="L82" s="757"/>
      <c r="M82" s="775">
        <f t="shared" si="24"/>
        <v>57</v>
      </c>
      <c r="N82" s="757"/>
      <c r="O82" s="759">
        <f t="shared" si="25"/>
        <v>52.597174571140258</v>
      </c>
      <c r="P82" s="757"/>
      <c r="Q82" s="759">
        <f t="shared" si="26"/>
        <v>54.798587285570129</v>
      </c>
      <c r="R82" s="757"/>
      <c r="S82" s="840">
        <f t="shared" si="20"/>
        <v>0.87749567333655731</v>
      </c>
      <c r="T82" s="840"/>
      <c r="U82" s="840"/>
      <c r="V82" s="841"/>
      <c r="W82" s="987">
        <f t="shared" si="21"/>
        <v>577.02627897652167</v>
      </c>
      <c r="X82" s="841"/>
      <c r="Y82" s="858">
        <f t="shared" si="22"/>
        <v>10.787495673336558</v>
      </c>
      <c r="Z82" s="858">
        <f t="shared" si="23"/>
        <v>7081.4462789765221</v>
      </c>
    </row>
    <row r="83" spans="1:26" s="740" customFormat="1" ht="12" customHeight="1">
      <c r="A83" s="756" t="s">
        <v>1869</v>
      </c>
      <c r="B83" s="756" t="s">
        <v>1870</v>
      </c>
      <c r="C83" s="757">
        <v>17.96</v>
      </c>
      <c r="D83" s="757"/>
      <c r="E83" s="757">
        <f>+'Proposed Rates'!B223</f>
        <v>18.22</v>
      </c>
      <c r="F83" s="757"/>
      <c r="G83" s="743">
        <v>855.67</v>
      </c>
      <c r="H83" s="757"/>
      <c r="I83" s="743">
        <v>291.26</v>
      </c>
      <c r="J83" s="757"/>
      <c r="K83" s="743">
        <f t="shared" si="19"/>
        <v>1146.9299999999998</v>
      </c>
      <c r="L83" s="757"/>
      <c r="M83" s="775">
        <f t="shared" si="24"/>
        <v>6.8061565383391658</v>
      </c>
      <c r="N83" s="757"/>
      <c r="O83" s="759">
        <f t="shared" si="25"/>
        <v>3.1971459934138311</v>
      </c>
      <c r="P83" s="757"/>
      <c r="Q83" s="759">
        <f t="shared" si="26"/>
        <v>5.0016512658764984</v>
      </c>
      <c r="R83" s="757"/>
      <c r="S83" s="840">
        <f t="shared" si="20"/>
        <v>1.6133169695451133</v>
      </c>
      <c r="T83" s="840"/>
      <c r="U83" s="840"/>
      <c r="V83" s="841"/>
      <c r="W83" s="987">
        <f t="shared" si="21"/>
        <v>96.830986355824223</v>
      </c>
      <c r="X83" s="841"/>
      <c r="Y83" s="858">
        <f t="shared" si="22"/>
        <v>19.833316969545113</v>
      </c>
      <c r="Z83" s="858">
        <f t="shared" si="23"/>
        <v>1243.7609863558241</v>
      </c>
    </row>
    <row r="84" spans="1:26" s="740" customFormat="1" ht="12" customHeight="1">
      <c r="A84" s="756" t="s">
        <v>1871</v>
      </c>
      <c r="B84" s="756" t="s">
        <v>1872</v>
      </c>
      <c r="C84" s="757">
        <v>23.34</v>
      </c>
      <c r="D84" s="757"/>
      <c r="E84" s="757">
        <f>+'Proposed Rates'!B224</f>
        <v>23.67</v>
      </c>
      <c r="F84" s="757"/>
      <c r="G84" s="743">
        <v>0</v>
      </c>
      <c r="H84" s="757"/>
      <c r="I84" s="743">
        <v>165.69</v>
      </c>
      <c r="J84" s="757"/>
      <c r="K84" s="743">
        <f t="shared" si="19"/>
        <v>165.69</v>
      </c>
      <c r="L84" s="757"/>
      <c r="M84" s="775">
        <f t="shared" si="24"/>
        <v>0</v>
      </c>
      <c r="N84" s="757"/>
      <c r="O84" s="759">
        <f t="shared" si="25"/>
        <v>1.4</v>
      </c>
      <c r="P84" s="757"/>
      <c r="Q84" s="759">
        <f t="shared" si="26"/>
        <v>0.7</v>
      </c>
      <c r="R84" s="757"/>
      <c r="S84" s="840">
        <f t="shared" si="20"/>
        <v>2.0958953166373675</v>
      </c>
      <c r="T84" s="840"/>
      <c r="U84" s="840"/>
      <c r="V84" s="841"/>
      <c r="W84" s="987">
        <f t="shared" si="21"/>
        <v>17.605520659753886</v>
      </c>
      <c r="X84" s="841"/>
      <c r="Y84" s="858">
        <f t="shared" si="22"/>
        <v>25.765895316637369</v>
      </c>
      <c r="Z84" s="858">
        <f t="shared" si="23"/>
        <v>183.29552065975389</v>
      </c>
    </row>
    <row r="85" spans="1:26" s="740" customFormat="1" ht="12" customHeight="1">
      <c r="A85" s="756" t="s">
        <v>1873</v>
      </c>
      <c r="B85" s="756" t="s">
        <v>1874</v>
      </c>
      <c r="C85" s="757">
        <v>27.79</v>
      </c>
      <c r="D85" s="757"/>
      <c r="E85" s="757">
        <f>+'Proposed Rates'!B225</f>
        <v>28.25</v>
      </c>
      <c r="F85" s="757"/>
      <c r="G85" s="743">
        <v>9137.4000000000015</v>
      </c>
      <c r="H85" s="757"/>
      <c r="I85" s="743">
        <v>4146.7299999999996</v>
      </c>
      <c r="J85" s="757"/>
      <c r="K85" s="743">
        <f t="shared" si="19"/>
        <v>13284.130000000001</v>
      </c>
      <c r="L85" s="757"/>
      <c r="M85" s="775">
        <f t="shared" si="24"/>
        <v>46.971675320002063</v>
      </c>
      <c r="N85" s="757"/>
      <c r="O85" s="759">
        <f t="shared" si="25"/>
        <v>29.357380530973447</v>
      </c>
      <c r="P85" s="757"/>
      <c r="Q85" s="759">
        <f t="shared" si="26"/>
        <v>38.164527925487754</v>
      </c>
      <c r="R85" s="757"/>
      <c r="S85" s="840">
        <f t="shared" si="20"/>
        <v>2.5014382211662709</v>
      </c>
      <c r="T85" s="840"/>
      <c r="U85" s="840"/>
      <c r="V85" s="841"/>
      <c r="W85" s="987">
        <f t="shared" si="21"/>
        <v>1145.5945061469906</v>
      </c>
      <c r="X85" s="841"/>
      <c r="Y85" s="858">
        <f t="shared" si="22"/>
        <v>30.751438221166271</v>
      </c>
      <c r="Z85" s="858">
        <f t="shared" si="23"/>
        <v>14429.724506146991</v>
      </c>
    </row>
    <row r="86" spans="1:26" s="740" customFormat="1" ht="12" customHeight="1">
      <c r="A86" s="756" t="s">
        <v>1875</v>
      </c>
      <c r="B86" s="756" t="s">
        <v>1876</v>
      </c>
      <c r="C86" s="757">
        <v>6.0186999999999999</v>
      </c>
      <c r="D86" s="757"/>
      <c r="E86" s="757">
        <f>+'Proposed Rates'!B254*References!B11</f>
        <v>6.1052999999999997</v>
      </c>
      <c r="F86" s="757"/>
      <c r="G86" s="743">
        <v>75955.850000000006</v>
      </c>
      <c r="H86" s="757"/>
      <c r="I86" s="743">
        <v>55011.68</v>
      </c>
      <c r="J86" s="757"/>
      <c r="K86" s="743">
        <f t="shared" si="19"/>
        <v>130967.53</v>
      </c>
      <c r="L86" s="757"/>
      <c r="M86" s="775">
        <f t="shared" si="24"/>
        <v>1802.8537249382284</v>
      </c>
      <c r="N86" s="757"/>
      <c r="O86" s="759">
        <f t="shared" si="25"/>
        <v>1802.0958839041489</v>
      </c>
      <c r="P86" s="757"/>
      <c r="Q86" s="759">
        <f t="shared" si="26"/>
        <v>1802.4748044211888</v>
      </c>
      <c r="R86" s="757"/>
      <c r="S86" s="840">
        <f t="shared" si="20"/>
        <v>0.54060285917474094</v>
      </c>
      <c r="T86" s="840"/>
      <c r="U86" s="840"/>
      <c r="V86" s="841"/>
      <c r="W86" s="987">
        <f t="shared" si="21"/>
        <v>11693.076394326319</v>
      </c>
      <c r="X86" s="841"/>
      <c r="Y86" s="858">
        <f t="shared" si="22"/>
        <v>6.6459028591747407</v>
      </c>
      <c r="Z86" s="858">
        <f t="shared" si="23"/>
        <v>142660.60639432631</v>
      </c>
    </row>
    <row r="87" spans="1:26" s="740" customFormat="1" ht="12" customHeight="1">
      <c r="A87" s="756" t="s">
        <v>1877</v>
      </c>
      <c r="B87" s="756" t="s">
        <v>1878</v>
      </c>
      <c r="C87" s="757">
        <f>1.39*References!B10</f>
        <v>12.0374</v>
      </c>
      <c r="D87" s="757"/>
      <c r="E87" s="757">
        <f>+'Proposed Rates'!B254*2*References!B11</f>
        <v>12.210599999999999</v>
      </c>
      <c r="F87" s="757"/>
      <c r="G87" s="743">
        <v>4951.45</v>
      </c>
      <c r="H87" s="757"/>
      <c r="I87" s="743">
        <v>3458.2600000000007</v>
      </c>
      <c r="J87" s="757"/>
      <c r="K87" s="743">
        <f t="shared" si="19"/>
        <v>8409.7100000000009</v>
      </c>
      <c r="L87" s="757"/>
      <c r="M87" s="775">
        <f t="shared" si="24"/>
        <v>58.762689617359236</v>
      </c>
      <c r="N87" s="757"/>
      <c r="O87" s="759">
        <f t="shared" si="25"/>
        <v>56.643571978444974</v>
      </c>
      <c r="P87" s="757"/>
      <c r="Q87" s="759">
        <f t="shared" si="26"/>
        <v>57.703130797902105</v>
      </c>
      <c r="R87" s="757"/>
      <c r="S87" s="840">
        <f t="shared" si="20"/>
        <v>1.0812057183494819</v>
      </c>
      <c r="T87" s="840"/>
      <c r="U87" s="840"/>
      <c r="V87" s="841"/>
      <c r="W87" s="987">
        <f t="shared" si="21"/>
        <v>748.66745982431826</v>
      </c>
      <c r="X87" s="841"/>
      <c r="Y87" s="858">
        <f t="shared" si="22"/>
        <v>13.291805718349481</v>
      </c>
      <c r="Z87" s="858">
        <f t="shared" si="23"/>
        <v>9158.3774598243199</v>
      </c>
    </row>
    <row r="88" spans="1:26" s="740" customFormat="1" ht="12" customHeight="1">
      <c r="A88" s="756" t="s">
        <v>1879</v>
      </c>
      <c r="B88" s="756" t="s">
        <v>1880</v>
      </c>
      <c r="C88" s="757">
        <f>1.39*References!B9</f>
        <v>18.056100000000001</v>
      </c>
      <c r="D88" s="757"/>
      <c r="E88" s="757">
        <f>+'Proposed Rates'!B254*3*References!B11</f>
        <v>18.315899999999999</v>
      </c>
      <c r="F88" s="757"/>
      <c r="G88" s="743">
        <v>632.09999999999991</v>
      </c>
      <c r="H88" s="757"/>
      <c r="I88" s="743">
        <v>458.25</v>
      </c>
      <c r="J88" s="757"/>
      <c r="K88" s="743">
        <f t="shared" si="19"/>
        <v>1090.3499999999999</v>
      </c>
      <c r="L88" s="757"/>
      <c r="M88" s="775">
        <f t="shared" si="24"/>
        <v>5.0010799674348272</v>
      </c>
      <c r="N88" s="757"/>
      <c r="O88" s="759">
        <f t="shared" si="25"/>
        <v>5.0038491147036188</v>
      </c>
      <c r="P88" s="757"/>
      <c r="Q88" s="759">
        <f t="shared" si="26"/>
        <v>5.002464541069223</v>
      </c>
      <c r="R88" s="757"/>
      <c r="S88" s="840">
        <f t="shared" si="20"/>
        <v>1.6218085775242228</v>
      </c>
      <c r="T88" s="840"/>
      <c r="U88" s="840"/>
      <c r="V88" s="841"/>
      <c r="W88" s="987">
        <f t="shared" si="21"/>
        <v>97.356478817602095</v>
      </c>
      <c r="X88" s="841"/>
      <c r="Y88" s="858">
        <f t="shared" si="22"/>
        <v>19.937708577524223</v>
      </c>
      <c r="Z88" s="858">
        <f t="shared" si="23"/>
        <v>1187.7064788176019</v>
      </c>
    </row>
    <row r="89" spans="1:26" s="740" customFormat="1" ht="12" customHeight="1">
      <c r="A89" s="756" t="s">
        <v>1881</v>
      </c>
      <c r="B89" s="756" t="s">
        <v>1882</v>
      </c>
      <c r="C89" s="757">
        <f>1.39*References!B8</f>
        <v>24.0748</v>
      </c>
      <c r="D89" s="757"/>
      <c r="E89" s="757">
        <f>+'Proposed Rates'!B254*4*References!B11</f>
        <v>24.421199999999999</v>
      </c>
      <c r="F89" s="757"/>
      <c r="G89" s="743">
        <v>168.48999999999998</v>
      </c>
      <c r="H89" s="757"/>
      <c r="I89" s="743">
        <v>122.2</v>
      </c>
      <c r="J89" s="757"/>
      <c r="K89" s="743">
        <f t="shared" si="19"/>
        <v>290.69</v>
      </c>
      <c r="L89" s="757"/>
      <c r="M89" s="775">
        <f t="shared" si="24"/>
        <v>0.99980062139664694</v>
      </c>
      <c r="N89" s="757"/>
      <c r="O89" s="759">
        <f t="shared" si="25"/>
        <v>1.0007698229407238</v>
      </c>
      <c r="P89" s="757"/>
      <c r="Q89" s="759">
        <f t="shared" si="26"/>
        <v>1.0002852221686853</v>
      </c>
      <c r="R89" s="757"/>
      <c r="S89" s="840">
        <f t="shared" si="20"/>
        <v>2.1624114366989637</v>
      </c>
      <c r="T89" s="840"/>
      <c r="U89" s="840"/>
      <c r="V89" s="841"/>
      <c r="W89" s="987">
        <f t="shared" si="21"/>
        <v>25.956338452542347</v>
      </c>
      <c r="X89" s="841"/>
      <c r="Y89" s="858">
        <f t="shared" si="22"/>
        <v>26.583611436698963</v>
      </c>
      <c r="Z89" s="858">
        <f t="shared" si="23"/>
        <v>316.64633845254235</v>
      </c>
    </row>
    <row r="90" spans="1:26" s="740" customFormat="1" ht="12" customHeight="1">
      <c r="A90" s="756" t="s">
        <v>1883</v>
      </c>
      <c r="B90" s="756" t="s">
        <v>1884</v>
      </c>
      <c r="C90" s="757">
        <v>30.093499999999999</v>
      </c>
      <c r="D90" s="757"/>
      <c r="E90" s="757">
        <f>+'Proposed Rates'!B254*5*References!B11</f>
        <v>30.526499999999999</v>
      </c>
      <c r="F90" s="757"/>
      <c r="G90" s="743">
        <v>210.63</v>
      </c>
      <c r="H90" s="757"/>
      <c r="I90" s="743">
        <v>152.75</v>
      </c>
      <c r="J90" s="757"/>
      <c r="K90" s="743">
        <f t="shared" si="19"/>
        <v>363.38</v>
      </c>
      <c r="L90" s="757"/>
      <c r="M90" s="775">
        <f t="shared" si="24"/>
        <v>0.99988369581471082</v>
      </c>
      <c r="N90" s="757"/>
      <c r="O90" s="759">
        <f t="shared" si="25"/>
        <v>1.0007698229407238</v>
      </c>
      <c r="P90" s="757"/>
      <c r="Q90" s="759">
        <f t="shared" si="26"/>
        <v>1.0003267593777174</v>
      </c>
      <c r="R90" s="757"/>
      <c r="S90" s="840">
        <f t="shared" si="20"/>
        <v>2.7030142958737047</v>
      </c>
      <c r="T90" s="840"/>
      <c r="U90" s="840"/>
      <c r="V90" s="841"/>
      <c r="W90" s="987">
        <f t="shared" si="21"/>
        <v>32.446770373715829</v>
      </c>
      <c r="X90" s="841"/>
      <c r="Y90" s="858">
        <f t="shared" si="22"/>
        <v>33.229514295873706</v>
      </c>
      <c r="Z90" s="858">
        <f t="shared" si="23"/>
        <v>395.82677037371582</v>
      </c>
    </row>
    <row r="91" spans="1:26" s="740" customFormat="1" ht="12" customHeight="1">
      <c r="A91" s="756" t="s">
        <v>1885</v>
      </c>
      <c r="B91" s="756" t="s">
        <v>1886</v>
      </c>
      <c r="C91" s="757">
        <f>2.42*References!$B$11</f>
        <v>10.4786</v>
      </c>
      <c r="D91" s="757"/>
      <c r="E91" s="757">
        <f>+'Proposed Rates'!B242*References!B11</f>
        <v>10.608500000000001</v>
      </c>
      <c r="F91" s="757"/>
      <c r="G91" s="743">
        <v>2528.3000000000002</v>
      </c>
      <c r="H91" s="757"/>
      <c r="I91" s="743">
        <v>1758.61</v>
      </c>
      <c r="J91" s="757"/>
      <c r="K91" s="743">
        <f t="shared" si="19"/>
        <v>4286.91</v>
      </c>
      <c r="L91" s="757"/>
      <c r="M91" s="775">
        <f t="shared" si="24"/>
        <v>34.468890337040662</v>
      </c>
      <c r="N91" s="757"/>
      <c r="O91" s="759">
        <f t="shared" si="25"/>
        <v>33.154734411085443</v>
      </c>
      <c r="P91" s="757"/>
      <c r="Q91" s="759">
        <f t="shared" si="26"/>
        <v>33.811812374063052</v>
      </c>
      <c r="R91" s="757"/>
      <c r="S91" s="840">
        <f t="shared" si="20"/>
        <v>0.93934539360150038</v>
      </c>
      <c r="T91" s="840"/>
      <c r="U91" s="840"/>
      <c r="V91" s="841"/>
      <c r="W91" s="987">
        <f t="shared" si="21"/>
        <v>381.13164243473204</v>
      </c>
      <c r="X91" s="841"/>
      <c r="Y91" s="858">
        <f t="shared" si="22"/>
        <v>11.547845393601502</v>
      </c>
      <c r="Z91" s="858">
        <f t="shared" si="23"/>
        <v>4668.0416424347322</v>
      </c>
    </row>
    <row r="92" spans="1:26" s="740" customFormat="1" ht="12" customHeight="1">
      <c r="A92" s="756" t="s">
        <v>1887</v>
      </c>
      <c r="B92" s="756" t="s">
        <v>1888</v>
      </c>
      <c r="C92" s="757">
        <f>2.57*References!$B$11</f>
        <v>11.1281</v>
      </c>
      <c r="D92" s="757"/>
      <c r="E92" s="757">
        <f>+'Proposed Rates'!B243*References!B11</f>
        <v>11.258000000000001</v>
      </c>
      <c r="F92" s="757"/>
      <c r="G92" s="743">
        <v>4159.8399999999992</v>
      </c>
      <c r="H92" s="757"/>
      <c r="I92" s="743">
        <v>3208.93</v>
      </c>
      <c r="J92" s="757"/>
      <c r="K92" s="743">
        <f t="shared" si="19"/>
        <v>7368.7699999999986</v>
      </c>
      <c r="L92" s="757"/>
      <c r="M92" s="775">
        <f t="shared" si="24"/>
        <v>53.402005476483588</v>
      </c>
      <c r="N92" s="757"/>
      <c r="O92" s="759">
        <f t="shared" si="25"/>
        <v>57.007106057914363</v>
      </c>
      <c r="P92" s="757"/>
      <c r="Q92" s="759">
        <f t="shared" si="26"/>
        <v>55.204555767198976</v>
      </c>
      <c r="R92" s="757"/>
      <c r="S92" s="840">
        <f t="shared" si="20"/>
        <v>0.99685633606689827</v>
      </c>
      <c r="T92" s="840"/>
      <c r="U92" s="840"/>
      <c r="V92" s="841"/>
      <c r="W92" s="987">
        <f t="shared" si="21"/>
        <v>660.3721343554887</v>
      </c>
      <c r="X92" s="841"/>
      <c r="Y92" s="858">
        <f t="shared" si="22"/>
        <v>12.254856336066899</v>
      </c>
      <c r="Z92" s="858">
        <f t="shared" si="23"/>
        <v>8029.1421343554875</v>
      </c>
    </row>
    <row r="93" spans="1:26" s="740" customFormat="1" ht="12" customHeight="1">
      <c r="A93" s="756" t="s">
        <v>1889</v>
      </c>
      <c r="B93" s="756" t="s">
        <v>1890</v>
      </c>
      <c r="C93" s="757">
        <f>3.12*References!$B$11</f>
        <v>13.509600000000001</v>
      </c>
      <c r="D93" s="757"/>
      <c r="E93" s="757">
        <f>+'Proposed Rates'!B244*References!B11</f>
        <v>13.6828</v>
      </c>
      <c r="F93" s="757"/>
      <c r="G93" s="743">
        <v>8670.09</v>
      </c>
      <c r="H93" s="757"/>
      <c r="I93" s="743">
        <v>6417.92</v>
      </c>
      <c r="J93" s="757"/>
      <c r="K93" s="743">
        <f t="shared" si="19"/>
        <v>15088.01</v>
      </c>
      <c r="L93" s="757"/>
      <c r="M93" s="775">
        <f t="shared" si="24"/>
        <v>91.681788188716581</v>
      </c>
      <c r="N93" s="757"/>
      <c r="O93" s="759">
        <f t="shared" si="25"/>
        <v>93.810038880930804</v>
      </c>
      <c r="P93" s="757"/>
      <c r="Q93" s="759">
        <f t="shared" si="26"/>
        <v>92.7459135348237</v>
      </c>
      <c r="R93" s="757"/>
      <c r="S93" s="840">
        <f t="shared" si="20"/>
        <v>1.2115638546043841</v>
      </c>
      <c r="T93" s="840"/>
      <c r="U93" s="840"/>
      <c r="V93" s="841"/>
      <c r="W93" s="987">
        <f t="shared" si="21"/>
        <v>1348.411158012671</v>
      </c>
      <c r="X93" s="841"/>
      <c r="Y93" s="858">
        <f t="shared" si="22"/>
        <v>14.894363854604384</v>
      </c>
      <c r="Z93" s="858">
        <f t="shared" si="23"/>
        <v>16436.421158012672</v>
      </c>
    </row>
    <row r="94" spans="1:26" s="740" customFormat="1" ht="12" customHeight="1">
      <c r="A94" s="756" t="s">
        <v>1891</v>
      </c>
      <c r="B94" s="756" t="s">
        <v>1892</v>
      </c>
      <c r="C94" s="757">
        <v>10.3</v>
      </c>
      <c r="D94" s="757"/>
      <c r="E94" s="757">
        <f>+'Proposed Rates'!B206</f>
        <v>10.44</v>
      </c>
      <c r="F94" s="757"/>
      <c r="G94" s="743">
        <v>1308.0999999999997</v>
      </c>
      <c r="H94" s="757"/>
      <c r="I94" s="743">
        <v>814.46</v>
      </c>
      <c r="J94" s="757"/>
      <c r="K94" s="743">
        <f t="shared" si="19"/>
        <v>2122.5599999999995</v>
      </c>
      <c r="L94" s="757"/>
      <c r="M94" s="775">
        <f t="shared" ref="M94:M138" si="28">(G94/7)/C94</f>
        <v>18.142857142857139</v>
      </c>
      <c r="N94" s="757"/>
      <c r="O94" s="759">
        <f t="shared" ref="O94:O138" si="29">(I94/5)/E94</f>
        <v>15.602681992337166</v>
      </c>
      <c r="P94" s="757"/>
      <c r="Q94" s="759">
        <f t="shared" ref="Q94:Q138" si="30">(M94+O94)/2</f>
        <v>16.872769567597153</v>
      </c>
      <c r="R94" s="757"/>
      <c r="S94" s="840">
        <f t="shared" si="20"/>
        <v>0.92442531076020762</v>
      </c>
      <c r="T94" s="840"/>
      <c r="U94" s="840"/>
      <c r="V94" s="841"/>
      <c r="W94" s="987">
        <f t="shared" si="21"/>
        <v>187.17138301093647</v>
      </c>
      <c r="X94" s="841"/>
      <c r="Y94" s="858">
        <f t="shared" si="22"/>
        <v>11.364425310760208</v>
      </c>
      <c r="Z94" s="858">
        <f t="shared" si="23"/>
        <v>2309.731383010936</v>
      </c>
    </row>
    <row r="95" spans="1:26" s="740" customFormat="1" ht="12" customHeight="1">
      <c r="A95" s="756" t="s">
        <v>1893</v>
      </c>
      <c r="B95" s="756" t="s">
        <v>1894</v>
      </c>
      <c r="C95" s="757">
        <v>16.62</v>
      </c>
      <c r="D95" s="757"/>
      <c r="E95" s="757">
        <f>+'Proposed Rates'!B207</f>
        <v>16.88</v>
      </c>
      <c r="F95" s="757"/>
      <c r="G95" s="743">
        <v>515.22</v>
      </c>
      <c r="H95" s="757"/>
      <c r="I95" s="743">
        <v>556.78</v>
      </c>
      <c r="J95" s="757"/>
      <c r="K95" s="743">
        <f t="shared" si="19"/>
        <v>1072</v>
      </c>
      <c r="L95" s="757"/>
      <c r="M95" s="775">
        <f t="shared" si="28"/>
        <v>4.4285714285714288</v>
      </c>
      <c r="N95" s="757"/>
      <c r="O95" s="759">
        <f t="shared" si="29"/>
        <v>6.5969194312796207</v>
      </c>
      <c r="P95" s="757"/>
      <c r="Q95" s="759">
        <f t="shared" si="30"/>
        <v>5.5127454299255252</v>
      </c>
      <c r="R95" s="757"/>
      <c r="S95" s="840">
        <f t="shared" si="20"/>
        <v>1.4946646787004123</v>
      </c>
      <c r="T95" s="840"/>
      <c r="U95" s="840"/>
      <c r="V95" s="841"/>
      <c r="W95" s="987">
        <f t="shared" si="21"/>
        <v>98.876470521321608</v>
      </c>
      <c r="X95" s="841"/>
      <c r="Y95" s="858">
        <f t="shared" si="22"/>
        <v>18.374664678700412</v>
      </c>
      <c r="Z95" s="858">
        <f t="shared" si="23"/>
        <v>1170.8764705213216</v>
      </c>
    </row>
    <row r="96" spans="1:26" s="740" customFormat="1" ht="12" customHeight="1">
      <c r="A96" s="756" t="s">
        <v>1895</v>
      </c>
      <c r="B96" s="756" t="s">
        <v>1896</v>
      </c>
      <c r="C96" s="757">
        <v>20.010000000000002</v>
      </c>
      <c r="D96" s="757"/>
      <c r="E96" s="757">
        <f>+'Proposed Rates'!B208</f>
        <v>20.34</v>
      </c>
      <c r="F96" s="757"/>
      <c r="G96" s="743">
        <v>780.38999999999987</v>
      </c>
      <c r="H96" s="757"/>
      <c r="I96" s="743">
        <v>447.47999999999996</v>
      </c>
      <c r="J96" s="757"/>
      <c r="K96" s="743">
        <f t="shared" si="19"/>
        <v>1227.8699999999999</v>
      </c>
      <c r="L96" s="757"/>
      <c r="M96" s="775">
        <f t="shared" si="28"/>
        <v>5.5714285714285694</v>
      </c>
      <c r="N96" s="757"/>
      <c r="O96" s="759">
        <f t="shared" si="29"/>
        <v>4.3999999999999995</v>
      </c>
      <c r="P96" s="757"/>
      <c r="Q96" s="759">
        <f t="shared" si="30"/>
        <v>4.985714285714284</v>
      </c>
      <c r="R96" s="757"/>
      <c r="S96" s="840">
        <f t="shared" si="20"/>
        <v>1.8010355192397149</v>
      </c>
      <c r="T96" s="840"/>
      <c r="U96" s="840"/>
      <c r="V96" s="841"/>
      <c r="W96" s="987">
        <f t="shared" si="21"/>
        <v>107.75338220822749</v>
      </c>
      <c r="X96" s="841"/>
      <c r="Y96" s="858">
        <f t="shared" si="22"/>
        <v>22.141035519239715</v>
      </c>
      <c r="Z96" s="858">
        <f t="shared" si="23"/>
        <v>1335.6233822082274</v>
      </c>
    </row>
    <row r="97" spans="1:16384" s="740" customFormat="1" ht="12" customHeight="1">
      <c r="A97" s="756" t="s">
        <v>1897</v>
      </c>
      <c r="B97" s="756" t="s">
        <v>1898</v>
      </c>
      <c r="C97" s="757">
        <v>27.29</v>
      </c>
      <c r="D97" s="757"/>
      <c r="E97" s="757">
        <f>+'Proposed Rates'!B209</f>
        <v>27.75</v>
      </c>
      <c r="F97" s="757"/>
      <c r="G97" s="743">
        <v>1309.9199999999998</v>
      </c>
      <c r="H97" s="757"/>
      <c r="I97" s="743">
        <v>1387.5</v>
      </c>
      <c r="J97" s="757"/>
      <c r="K97" s="743">
        <f t="shared" si="19"/>
        <v>2697.42</v>
      </c>
      <c r="L97" s="757"/>
      <c r="M97" s="775">
        <f t="shared" si="28"/>
        <v>6.8571428571428568</v>
      </c>
      <c r="N97" s="757"/>
      <c r="O97" s="759">
        <f t="shared" si="29"/>
        <v>10</v>
      </c>
      <c r="P97" s="757"/>
      <c r="Q97" s="759">
        <f t="shared" si="30"/>
        <v>8.4285714285714288</v>
      </c>
      <c r="R97" s="757"/>
      <c r="S97" s="840">
        <f t="shared" si="20"/>
        <v>2.4571649783137701</v>
      </c>
      <c r="T97" s="840"/>
      <c r="U97" s="840"/>
      <c r="V97" s="841"/>
      <c r="W97" s="987">
        <f t="shared" si="21"/>
        <v>248.52468637802133</v>
      </c>
      <c r="X97" s="841"/>
      <c r="Y97" s="858">
        <f t="shared" si="22"/>
        <v>30.20716497831377</v>
      </c>
      <c r="Z97" s="858">
        <f t="shared" si="23"/>
        <v>2945.9446863780213</v>
      </c>
    </row>
    <row r="98" spans="1:16384" s="740" customFormat="1" ht="12" customHeight="1">
      <c r="A98" s="756" t="s">
        <v>1899</v>
      </c>
      <c r="B98" s="756" t="s">
        <v>1900</v>
      </c>
      <c r="C98" s="757">
        <v>7.1</v>
      </c>
      <c r="D98" s="757"/>
      <c r="E98" s="757">
        <f>+'Proposed Rates'!B117</f>
        <v>7.17</v>
      </c>
      <c r="F98" s="757"/>
      <c r="G98" s="743">
        <v>27832.299999999996</v>
      </c>
      <c r="H98" s="757"/>
      <c r="I98" s="743">
        <v>45498.86</v>
      </c>
      <c r="J98" s="757"/>
      <c r="K98" s="743">
        <f t="shared" si="19"/>
        <v>73331.16</v>
      </c>
      <c r="L98" s="757"/>
      <c r="M98" s="775">
        <f t="shared" si="28"/>
        <v>560.00603621730374</v>
      </c>
      <c r="N98" s="757"/>
      <c r="O98" s="759">
        <f t="shared" si="29"/>
        <v>1269.1453277545329</v>
      </c>
      <c r="P98" s="757"/>
      <c r="Q98" s="759">
        <f t="shared" si="30"/>
        <v>914.57568198591832</v>
      </c>
      <c r="R98" s="757"/>
      <c r="S98" s="840">
        <f t="shared" si="20"/>
        <v>0.63487830250485522</v>
      </c>
      <c r="T98" s="840"/>
      <c r="U98" s="840"/>
      <c r="V98" s="841"/>
      <c r="W98" s="987">
        <f t="shared" si="21"/>
        <v>6967.7310778972824</v>
      </c>
      <c r="X98" s="841"/>
      <c r="Y98" s="858">
        <f t="shared" si="22"/>
        <v>7.8048783025048554</v>
      </c>
      <c r="Z98" s="858">
        <f t="shared" si="23"/>
        <v>80298.891077897279</v>
      </c>
    </row>
    <row r="99" spans="1:16384" s="740" customFormat="1" ht="12" customHeight="1">
      <c r="A99" s="756" t="s">
        <v>1901</v>
      </c>
      <c r="B99" s="756" t="s">
        <v>1902</v>
      </c>
      <c r="C99" s="757">
        <v>6.38</v>
      </c>
      <c r="D99" s="757"/>
      <c r="E99" s="757">
        <f>+'Proposed Rates'!B118</f>
        <v>6.45</v>
      </c>
      <c r="F99" s="757"/>
      <c r="G99" s="743">
        <v>1716.22</v>
      </c>
      <c r="H99" s="757"/>
      <c r="I99" s="743">
        <v>1712.5</v>
      </c>
      <c r="J99" s="757"/>
      <c r="K99" s="743">
        <f t="shared" si="19"/>
        <v>3428.7200000000003</v>
      </c>
      <c r="L99" s="757"/>
      <c r="M99" s="775">
        <f t="shared" si="28"/>
        <v>38.428571428571431</v>
      </c>
      <c r="N99" s="757"/>
      <c r="O99" s="759">
        <f t="shared" si="29"/>
        <v>53.100775193798448</v>
      </c>
      <c r="P99" s="757"/>
      <c r="Q99" s="759">
        <f t="shared" si="30"/>
        <v>45.764673311184936</v>
      </c>
      <c r="R99" s="757"/>
      <c r="S99" s="840">
        <f t="shared" si="20"/>
        <v>0.57112483279725479</v>
      </c>
      <c r="T99" s="840"/>
      <c r="U99" s="840"/>
      <c r="V99" s="841"/>
      <c r="W99" s="987">
        <f t="shared" si="21"/>
        <v>313.64809671445778</v>
      </c>
      <c r="X99" s="841"/>
      <c r="Y99" s="858">
        <f t="shared" si="22"/>
        <v>7.0211248327972546</v>
      </c>
      <c r="Z99" s="858">
        <f t="shared" si="23"/>
        <v>3742.3680967144583</v>
      </c>
    </row>
    <row r="100" spans="1:16384" s="740" customFormat="1" ht="12" customHeight="1">
      <c r="A100" s="756" t="s">
        <v>1903</v>
      </c>
      <c r="B100" s="756" t="s">
        <v>1904</v>
      </c>
      <c r="C100" s="757">
        <v>2.2000000000000002</v>
      </c>
      <c r="D100" s="757"/>
      <c r="E100" s="995">
        <f>+'Proposed Rates'!B272</f>
        <v>2.15</v>
      </c>
      <c r="F100" s="757"/>
      <c r="G100" s="743">
        <v>2469.9</v>
      </c>
      <c r="H100" s="757"/>
      <c r="I100" s="743">
        <v>3895.18</v>
      </c>
      <c r="J100" s="757"/>
      <c r="K100" s="743">
        <f t="shared" si="19"/>
        <v>6365.08</v>
      </c>
      <c r="L100" s="757"/>
      <c r="M100" s="775">
        <f t="shared" si="28"/>
        <v>160.38311688311688</v>
      </c>
      <c r="N100" s="757"/>
      <c r="O100" s="759">
        <f t="shared" si="29"/>
        <v>362.34232558139536</v>
      </c>
      <c r="P100" s="757"/>
      <c r="Q100" s="759">
        <f t="shared" si="30"/>
        <v>261.36272123225615</v>
      </c>
      <c r="R100" s="757"/>
      <c r="S100" s="840">
        <f t="shared" si="20"/>
        <v>0.19037494426575158</v>
      </c>
      <c r="T100" s="840"/>
      <c r="U100" s="840"/>
      <c r="V100" s="841"/>
      <c r="W100" s="987">
        <f t="shared" si="21"/>
        <v>597.0829618528312</v>
      </c>
      <c r="X100" s="841"/>
      <c r="Y100" s="858">
        <f t="shared" si="22"/>
        <v>2.3403749442657515</v>
      </c>
      <c r="Z100" s="858">
        <f t="shared" si="23"/>
        <v>6962.1629618528314</v>
      </c>
    </row>
    <row r="101" spans="1:16384" s="740" customFormat="1" ht="12" customHeight="1">
      <c r="A101" s="756" t="s">
        <v>1905</v>
      </c>
      <c r="B101" s="756" t="s">
        <v>1906</v>
      </c>
      <c r="C101" s="757">
        <v>1.76</v>
      </c>
      <c r="D101" s="757"/>
      <c r="E101" s="757">
        <f>+'Proposed Rates'!B20</f>
        <v>1.78</v>
      </c>
      <c r="F101" s="757"/>
      <c r="G101" s="743">
        <v>667.04</v>
      </c>
      <c r="H101" s="757"/>
      <c r="I101" s="743">
        <v>927.38</v>
      </c>
      <c r="J101" s="757"/>
      <c r="K101" s="743">
        <f t="shared" si="19"/>
        <v>1594.42</v>
      </c>
      <c r="L101" s="757"/>
      <c r="M101" s="775">
        <f t="shared" si="28"/>
        <v>54.142857142857139</v>
      </c>
      <c r="N101" s="757"/>
      <c r="O101" s="759">
        <f t="shared" si="29"/>
        <v>104.2</v>
      </c>
      <c r="P101" s="757"/>
      <c r="Q101" s="759">
        <f t="shared" si="30"/>
        <v>79.171428571428578</v>
      </c>
      <c r="R101" s="757"/>
      <c r="S101" s="840">
        <f t="shared" si="20"/>
        <v>0.15761274455490132</v>
      </c>
      <c r="T101" s="840"/>
      <c r="U101" s="840"/>
      <c r="V101" s="841"/>
      <c r="W101" s="987">
        <f t="shared" si="21"/>
        <v>149.74111376970225</v>
      </c>
      <c r="X101" s="841"/>
      <c r="Y101" s="858">
        <f t="shared" si="22"/>
        <v>1.9376127445549014</v>
      </c>
      <c r="Z101" s="858">
        <f t="shared" si="23"/>
        <v>1744.1611137697023</v>
      </c>
    </row>
    <row r="102" spans="1:16384" s="740" customFormat="1" ht="12" customHeight="1">
      <c r="A102" s="756" t="s">
        <v>1907</v>
      </c>
      <c r="B102" s="756" t="s">
        <v>1908</v>
      </c>
      <c r="C102" s="757">
        <v>30.89</v>
      </c>
      <c r="D102" s="757"/>
      <c r="E102" s="757">
        <f>+'Proposed Rates'!B183</f>
        <v>32.82</v>
      </c>
      <c r="F102" s="757"/>
      <c r="G102" s="743">
        <v>38.44</v>
      </c>
      <c r="H102" s="757"/>
      <c r="I102" s="743">
        <v>89.35</v>
      </c>
      <c r="J102" s="757"/>
      <c r="K102" s="743">
        <f t="shared" si="19"/>
        <v>127.78999999999999</v>
      </c>
      <c r="L102" s="757"/>
      <c r="M102" s="775">
        <f t="shared" si="28"/>
        <v>0.17777366692873328</v>
      </c>
      <c r="N102" s="757"/>
      <c r="O102" s="759">
        <f t="shared" si="29"/>
        <v>0.54448507007921987</v>
      </c>
      <c r="P102" s="757"/>
      <c r="Q102" s="759">
        <f t="shared" si="30"/>
        <v>0.36112936850397659</v>
      </c>
      <c r="R102" s="757"/>
      <c r="S102" s="840">
        <f t="shared" si="20"/>
        <v>2.9060956608381239</v>
      </c>
      <c r="T102" s="840"/>
      <c r="U102" s="840"/>
      <c r="V102" s="841"/>
      <c r="W102" s="987">
        <f t="shared" si="21"/>
        <v>12.593717889727419</v>
      </c>
      <c r="X102" s="841"/>
      <c r="Y102" s="858">
        <f t="shared" si="22"/>
        <v>35.726095660838126</v>
      </c>
      <c r="Z102" s="858">
        <f t="shared" si="23"/>
        <v>140.38371788972742</v>
      </c>
    </row>
    <row r="103" spans="1:16384" s="740" customFormat="1" ht="12" customHeight="1">
      <c r="A103" s="756" t="s">
        <v>1909</v>
      </c>
      <c r="B103" s="756" t="s">
        <v>1910</v>
      </c>
      <c r="C103" s="757">
        <v>9.9700000000000006</v>
      </c>
      <c r="D103" s="757"/>
      <c r="E103" s="757">
        <f>+'Proposed Rates'!B190</f>
        <v>10.18</v>
      </c>
      <c r="F103" s="757"/>
      <c r="G103" s="743">
        <v>336808.46499999997</v>
      </c>
      <c r="H103" s="757"/>
      <c r="I103" s="743">
        <v>243209.21499999997</v>
      </c>
      <c r="J103" s="757"/>
      <c r="K103" s="743">
        <f t="shared" si="19"/>
        <v>580017.67999999993</v>
      </c>
      <c r="L103" s="757"/>
      <c r="M103" s="775">
        <f t="shared" si="28"/>
        <v>4826.0275827482437</v>
      </c>
      <c r="N103" s="757"/>
      <c r="O103" s="759">
        <f t="shared" si="29"/>
        <v>4778.1771119842824</v>
      </c>
      <c r="P103" s="757"/>
      <c r="Q103" s="759">
        <f t="shared" si="30"/>
        <v>4802.1023473662626</v>
      </c>
      <c r="R103" s="757"/>
      <c r="S103" s="840">
        <f t="shared" si="20"/>
        <v>0.90140322447690746</v>
      </c>
      <c r="T103" s="840"/>
      <c r="U103" s="840"/>
      <c r="V103" s="841"/>
      <c r="W103" s="987">
        <f t="shared" si="21"/>
        <v>51943.566482208902</v>
      </c>
      <c r="X103" s="841"/>
      <c r="Y103" s="858">
        <f t="shared" si="22"/>
        <v>11.081403224476908</v>
      </c>
      <c r="Z103" s="858">
        <f t="shared" si="23"/>
        <v>631961.24648220884</v>
      </c>
    </row>
    <row r="104" spans="1:16384" s="740" customFormat="1" ht="12" customHeight="1">
      <c r="A104" s="756" t="s">
        <v>1911</v>
      </c>
      <c r="B104" s="756" t="s">
        <v>1912</v>
      </c>
      <c r="C104" s="757">
        <v>12.07</v>
      </c>
      <c r="D104" s="757"/>
      <c r="E104" s="757">
        <f>+'Proposed Rates'!B191</f>
        <v>12.32</v>
      </c>
      <c r="F104" s="757"/>
      <c r="G104" s="743">
        <v>48459.3</v>
      </c>
      <c r="H104" s="757"/>
      <c r="I104" s="743">
        <v>35446.699999999997</v>
      </c>
      <c r="J104" s="757"/>
      <c r="K104" s="743">
        <f t="shared" si="19"/>
        <v>83906</v>
      </c>
      <c r="L104" s="757"/>
      <c r="M104" s="775">
        <f t="shared" si="28"/>
        <v>573.55071606107242</v>
      </c>
      <c r="N104" s="757"/>
      <c r="O104" s="759">
        <f t="shared" si="29"/>
        <v>575.43344155844147</v>
      </c>
      <c r="P104" s="757"/>
      <c r="Q104" s="759">
        <f t="shared" si="30"/>
        <v>574.492078809757</v>
      </c>
      <c r="R104" s="757"/>
      <c r="S104" s="840">
        <f t="shared" si="20"/>
        <v>1.0908927038856091</v>
      </c>
      <c r="T104" s="840"/>
      <c r="U104" s="840"/>
      <c r="V104" s="841"/>
      <c r="W104" s="987">
        <f t="shared" si="21"/>
        <v>7520.5106065636828</v>
      </c>
      <c r="X104" s="841"/>
      <c r="Y104" s="858">
        <f t="shared" si="22"/>
        <v>13.41089270388561</v>
      </c>
      <c r="Z104" s="858">
        <f t="shared" si="23"/>
        <v>91426.510606563679</v>
      </c>
    </row>
    <row r="105" spans="1:16384" s="740" customFormat="1" ht="12" customHeight="1">
      <c r="A105" s="756" t="s">
        <v>1913</v>
      </c>
      <c r="B105" s="756" t="s">
        <v>1914</v>
      </c>
      <c r="C105" s="757">
        <v>14.68</v>
      </c>
      <c r="D105" s="757"/>
      <c r="E105" s="757">
        <f>+'Proposed Rates'!B192</f>
        <v>14.99</v>
      </c>
      <c r="F105" s="757"/>
      <c r="G105" s="743">
        <v>35031.82</v>
      </c>
      <c r="H105" s="757"/>
      <c r="I105" s="743">
        <v>25296.809999999998</v>
      </c>
      <c r="J105" s="757"/>
      <c r="K105" s="743">
        <f t="shared" si="19"/>
        <v>60328.63</v>
      </c>
      <c r="L105" s="757"/>
      <c r="M105" s="775">
        <f t="shared" si="28"/>
        <v>340.90910860256906</v>
      </c>
      <c r="N105" s="757"/>
      <c r="O105" s="759">
        <f t="shared" si="29"/>
        <v>337.51581054036018</v>
      </c>
      <c r="P105" s="757"/>
      <c r="Q105" s="759">
        <f t="shared" si="30"/>
        <v>339.21245957146459</v>
      </c>
      <c r="R105" s="757"/>
      <c r="S105" s="840">
        <f t="shared" si="20"/>
        <v>1.3273118207179611</v>
      </c>
      <c r="T105" s="840"/>
      <c r="U105" s="840"/>
      <c r="V105" s="841"/>
      <c r="W105" s="987">
        <f t="shared" si="21"/>
        <v>5402.8884878882218</v>
      </c>
      <c r="X105" s="841"/>
      <c r="Y105" s="858">
        <f t="shared" si="22"/>
        <v>16.317311820717961</v>
      </c>
      <c r="Z105" s="858">
        <f t="shared" si="23"/>
        <v>65731.518487888214</v>
      </c>
    </row>
    <row r="106" spans="1:16384" s="740" customFormat="1" ht="12" customHeight="1">
      <c r="A106" s="756" t="s">
        <v>1915</v>
      </c>
      <c r="B106" s="756" t="s">
        <v>1916</v>
      </c>
      <c r="C106" s="757">
        <v>17.010000000000002</v>
      </c>
      <c r="D106" s="757"/>
      <c r="E106" s="757">
        <f>+'Proposed Rates'!B193</f>
        <v>17.37</v>
      </c>
      <c r="F106" s="757"/>
      <c r="G106" s="743">
        <v>53877.37</v>
      </c>
      <c r="H106" s="757"/>
      <c r="I106" s="743">
        <v>40062.339999999997</v>
      </c>
      <c r="J106" s="757"/>
      <c r="K106" s="743">
        <f t="shared" si="19"/>
        <v>93939.709999999992</v>
      </c>
      <c r="L106" s="757"/>
      <c r="M106" s="775">
        <f t="shared" si="28"/>
        <v>452.4848408499202</v>
      </c>
      <c r="N106" s="757"/>
      <c r="O106" s="759">
        <f t="shared" si="29"/>
        <v>461.28198042602179</v>
      </c>
      <c r="P106" s="757"/>
      <c r="Q106" s="759">
        <f t="shared" si="30"/>
        <v>456.883410637971</v>
      </c>
      <c r="R106" s="757"/>
      <c r="S106" s="840">
        <f t="shared" si="20"/>
        <v>1.5380524566958629</v>
      </c>
      <c r="T106" s="840"/>
      <c r="U106" s="840"/>
      <c r="V106" s="841"/>
      <c r="W106" s="987">
        <f t="shared" si="21"/>
        <v>8432.5278258637918</v>
      </c>
      <c r="X106" s="841"/>
      <c r="Y106" s="858">
        <f t="shared" si="22"/>
        <v>18.908052456695863</v>
      </c>
      <c r="Z106" s="858">
        <f t="shared" si="23"/>
        <v>102372.23782586379</v>
      </c>
    </row>
    <row r="107" spans="1:16384" s="740" customFormat="1" ht="12" customHeight="1">
      <c r="A107" s="756" t="s">
        <v>1917</v>
      </c>
      <c r="B107" s="756" t="s">
        <v>1918</v>
      </c>
      <c r="C107" s="757">
        <v>22.69</v>
      </c>
      <c r="D107" s="757"/>
      <c r="E107" s="757">
        <f>+'Proposed Rates'!B194</f>
        <v>23.17</v>
      </c>
      <c r="F107" s="757"/>
      <c r="G107" s="743">
        <v>2858.94</v>
      </c>
      <c r="H107" s="757"/>
      <c r="I107" s="743">
        <v>2143.29</v>
      </c>
      <c r="J107" s="757"/>
      <c r="K107" s="743">
        <f t="shared" si="19"/>
        <v>5002.2299999999996</v>
      </c>
      <c r="L107" s="757"/>
      <c r="M107" s="775">
        <f t="shared" si="28"/>
        <v>18</v>
      </c>
      <c r="N107" s="757"/>
      <c r="O107" s="759">
        <f t="shared" si="29"/>
        <v>18.50056107034959</v>
      </c>
      <c r="P107" s="757"/>
      <c r="Q107" s="759">
        <f t="shared" si="30"/>
        <v>18.250280535174795</v>
      </c>
      <c r="R107" s="757"/>
      <c r="S107" s="840">
        <f t="shared" si="20"/>
        <v>2.0516220737848672</v>
      </c>
      <c r="T107" s="840"/>
      <c r="U107" s="840"/>
      <c r="V107" s="841"/>
      <c r="W107" s="987">
        <f t="shared" si="21"/>
        <v>449.31214078477086</v>
      </c>
      <c r="X107" s="841"/>
      <c r="Y107" s="858">
        <f t="shared" si="22"/>
        <v>25.221622073784868</v>
      </c>
      <c r="Z107" s="858">
        <f t="shared" si="23"/>
        <v>5451.5421407847707</v>
      </c>
    </row>
    <row r="108" spans="1:16384" s="740" customFormat="1" ht="12" customHeight="1">
      <c r="A108" s="756" t="s">
        <v>1919</v>
      </c>
      <c r="B108" s="756" t="s">
        <v>1920</v>
      </c>
      <c r="C108" s="757">
        <v>0.37</v>
      </c>
      <c r="D108" s="757"/>
      <c r="E108" s="757">
        <f>+'Proposed Rates'!B229</f>
        <v>0.38</v>
      </c>
      <c r="F108" s="757"/>
      <c r="G108" s="743">
        <v>3048.33</v>
      </c>
      <c r="H108" s="757"/>
      <c r="I108" s="743">
        <v>1916.83</v>
      </c>
      <c r="J108" s="757"/>
      <c r="K108" s="743">
        <f t="shared" si="19"/>
        <v>4965.16</v>
      </c>
      <c r="L108" s="757"/>
      <c r="M108" s="775">
        <f t="shared" si="28"/>
        <v>1176.9613899613898</v>
      </c>
      <c r="N108" s="757"/>
      <c r="O108" s="759">
        <f t="shared" si="29"/>
        <v>1008.857894736842</v>
      </c>
      <c r="P108" s="757"/>
      <c r="Q108" s="759">
        <f t="shared" si="30"/>
        <v>1092.909642349116</v>
      </c>
      <c r="R108" s="757"/>
      <c r="S108" s="840">
        <f t="shared" si="20"/>
        <v>3.3647664567900276E-2</v>
      </c>
      <c r="T108" s="840"/>
      <c r="U108" s="840"/>
      <c r="V108" s="841"/>
      <c r="W108" s="987">
        <f t="shared" si="21"/>
        <v>441.28628458544301</v>
      </c>
      <c r="X108" s="841"/>
      <c r="Y108" s="858">
        <f t="shared" si="22"/>
        <v>0.41364766456790025</v>
      </c>
      <c r="Z108" s="858">
        <f t="shared" si="23"/>
        <v>5406.4462845854432</v>
      </c>
    </row>
    <row r="109" spans="1:16384" s="740" customFormat="1" ht="12" customHeight="1">
      <c r="A109" s="756" t="s">
        <v>1921</v>
      </c>
      <c r="B109" s="756" t="s">
        <v>1922</v>
      </c>
      <c r="C109" s="757">
        <v>0.55000000000000004</v>
      </c>
      <c r="D109" s="757"/>
      <c r="E109" s="757">
        <f>+'Proposed Rates'!B230</f>
        <v>0.56999999999999995</v>
      </c>
      <c r="F109" s="757"/>
      <c r="G109" s="743">
        <v>58.85</v>
      </c>
      <c r="H109" s="757"/>
      <c r="I109" s="743">
        <v>91.77000000000001</v>
      </c>
      <c r="J109" s="757"/>
      <c r="K109" s="743">
        <f t="shared" si="19"/>
        <v>150.62</v>
      </c>
      <c r="L109" s="757"/>
      <c r="M109" s="775">
        <f t="shared" si="28"/>
        <v>15.285714285714283</v>
      </c>
      <c r="N109" s="757"/>
      <c r="O109" s="759">
        <f t="shared" si="29"/>
        <v>32.20000000000001</v>
      </c>
      <c r="P109" s="757"/>
      <c r="Q109" s="759">
        <f t="shared" si="30"/>
        <v>23.742857142857147</v>
      </c>
      <c r="R109" s="757"/>
      <c r="S109" s="840">
        <f t="shared" si="20"/>
        <v>5.0471496851850414E-2</v>
      </c>
      <c r="T109" s="840"/>
      <c r="U109" s="840"/>
      <c r="V109" s="841"/>
      <c r="W109" s="987">
        <f t="shared" si="21"/>
        <v>14.380050474475784</v>
      </c>
      <c r="X109" s="841"/>
      <c r="Y109" s="858">
        <f t="shared" si="22"/>
        <v>0.62047149685185032</v>
      </c>
      <c r="Z109" s="858">
        <f t="shared" si="23"/>
        <v>165.00005047447578</v>
      </c>
    </row>
    <row r="110" spans="1:16384" s="740" customFormat="1" ht="12" customHeight="1">
      <c r="A110" s="756" t="s">
        <v>1923</v>
      </c>
      <c r="B110" s="756" t="s">
        <v>1924</v>
      </c>
      <c r="C110" s="757">
        <v>0.63</v>
      </c>
      <c r="D110" s="757"/>
      <c r="E110" s="757">
        <f>+'Proposed Rates'!B231</f>
        <v>0.64</v>
      </c>
      <c r="F110" s="757"/>
      <c r="G110" s="743">
        <v>0</v>
      </c>
      <c r="H110" s="757"/>
      <c r="I110" s="743">
        <v>16</v>
      </c>
      <c r="J110" s="757"/>
      <c r="K110" s="743">
        <f t="shared" si="19"/>
        <v>16</v>
      </c>
      <c r="L110" s="757"/>
      <c r="M110" s="775">
        <f t="shared" si="28"/>
        <v>0</v>
      </c>
      <c r="N110" s="757"/>
      <c r="O110" s="759">
        <f t="shared" si="29"/>
        <v>5</v>
      </c>
      <c r="P110" s="757"/>
      <c r="Q110" s="759">
        <f t="shared" si="30"/>
        <v>2.5</v>
      </c>
      <c r="R110" s="757"/>
      <c r="S110" s="840">
        <f t="shared" si="20"/>
        <v>5.6669750851200469E-2</v>
      </c>
      <c r="T110" s="840"/>
      <c r="U110" s="840"/>
      <c r="V110" s="841"/>
      <c r="W110" s="987">
        <f t="shared" si="21"/>
        <v>1.7000925255360142</v>
      </c>
      <c r="X110" s="841"/>
      <c r="Y110" s="858">
        <f t="shared" si="22"/>
        <v>0.69666975085120053</v>
      </c>
      <c r="Z110" s="858">
        <f t="shared" si="23"/>
        <v>17.700092525536014</v>
      </c>
    </row>
    <row r="111" spans="1:16384" s="740" customFormat="1" ht="12" customHeight="1">
      <c r="A111" s="756" t="s">
        <v>1925</v>
      </c>
      <c r="B111" s="756" t="s">
        <v>1926</v>
      </c>
      <c r="C111" s="757">
        <v>0.92</v>
      </c>
      <c r="D111" s="757"/>
      <c r="E111" s="757">
        <f>+'Proposed Rates'!B232</f>
        <v>0.94</v>
      </c>
      <c r="F111" s="757"/>
      <c r="G111" s="743">
        <v>824.31999999999994</v>
      </c>
      <c r="H111" s="757"/>
      <c r="I111" s="743">
        <v>229.35999999999999</v>
      </c>
      <c r="J111" s="757"/>
      <c r="K111" s="743">
        <f t="shared" si="19"/>
        <v>1053.6799999999998</v>
      </c>
      <c r="L111" s="757"/>
      <c r="M111" s="775">
        <f t="shared" si="28"/>
        <v>127.99999999999999</v>
      </c>
      <c r="N111" s="757"/>
      <c r="O111" s="759">
        <f t="shared" si="29"/>
        <v>48.800000000000004</v>
      </c>
      <c r="P111" s="757"/>
      <c r="Q111" s="759">
        <f t="shared" si="30"/>
        <v>88.399999999999991</v>
      </c>
      <c r="R111" s="757"/>
      <c r="S111" s="840">
        <f t="shared" si="20"/>
        <v>8.3233696562700688E-2</v>
      </c>
      <c r="T111" s="840"/>
      <c r="U111" s="840"/>
      <c r="V111" s="841"/>
      <c r="W111" s="987">
        <f t="shared" si="21"/>
        <v>88.294305313712869</v>
      </c>
      <c r="X111" s="841"/>
      <c r="Y111" s="858">
        <f t="shared" si="22"/>
        <v>1.0232336965627007</v>
      </c>
      <c r="Z111" s="858">
        <f t="shared" si="23"/>
        <v>1141.9743053137126</v>
      </c>
    </row>
    <row r="112" spans="1:16384" s="740" customFormat="1" ht="12" customHeight="1">
      <c r="A112" s="756" t="s">
        <v>1927</v>
      </c>
      <c r="B112" s="756" t="s">
        <v>1928</v>
      </c>
      <c r="C112" s="757">
        <f>0.81*References!$B$11</f>
        <v>3.5073000000000003</v>
      </c>
      <c r="D112" s="757"/>
      <c r="E112" s="757">
        <f>'Proposed Rates'!B49*References!B11</f>
        <v>3.5073000000000003</v>
      </c>
      <c r="F112" s="776"/>
      <c r="G112" s="743">
        <v>428.22</v>
      </c>
      <c r="H112" s="776"/>
      <c r="I112" s="743">
        <v>311.51</v>
      </c>
      <c r="J112" s="776"/>
      <c r="K112" s="743">
        <f t="shared" si="19"/>
        <v>739.73</v>
      </c>
      <c r="L112" s="776"/>
      <c r="M112" s="775">
        <f t="shared" si="28"/>
        <v>17.441988342681181</v>
      </c>
      <c r="N112" s="757"/>
      <c r="O112" s="759">
        <f t="shared" si="29"/>
        <v>17.763521797394006</v>
      </c>
      <c r="P112" s="757"/>
      <c r="Q112" s="759">
        <f t="shared" si="30"/>
        <v>17.602755070037595</v>
      </c>
      <c r="R112" s="776"/>
      <c r="S112" s="840">
        <f t="shared" si="20"/>
        <v>0.31055908931314907</v>
      </c>
      <c r="T112" s="845"/>
      <c r="U112" s="845"/>
      <c r="V112" s="846"/>
      <c r="W112" s="987">
        <f t="shared" si="21"/>
        <v>65.600347007439524</v>
      </c>
      <c r="X112" s="1244"/>
      <c r="Y112" s="858">
        <f t="shared" si="22"/>
        <v>3.8178590893131492</v>
      </c>
      <c r="Z112" s="858">
        <f t="shared" si="23"/>
        <v>805.33034700743951</v>
      </c>
      <c r="AA112" s="774"/>
      <c r="AB112" s="774"/>
      <c r="AC112" s="774"/>
      <c r="AD112" s="774"/>
      <c r="AE112" s="774"/>
      <c r="AF112" s="774"/>
      <c r="AG112" s="774"/>
      <c r="AH112" s="774"/>
      <c r="AI112" s="774"/>
      <c r="AJ112" s="774"/>
      <c r="AK112" s="774"/>
      <c r="AL112" s="774"/>
      <c r="AM112" s="774"/>
      <c r="AN112" s="774"/>
      <c r="AO112" s="774"/>
      <c r="AP112" s="774"/>
      <c r="AQ112" s="774"/>
      <c r="AR112" s="774"/>
      <c r="AS112" s="774"/>
      <c r="AT112" s="774"/>
      <c r="AU112" s="774"/>
      <c r="AV112" s="774"/>
      <c r="AW112" s="774"/>
      <c r="AX112" s="774"/>
      <c r="AY112" s="774"/>
      <c r="AZ112" s="774"/>
      <c r="BA112" s="774"/>
      <c r="BB112" s="774"/>
      <c r="BC112" s="774"/>
      <c r="BD112" s="774"/>
      <c r="BE112" s="774"/>
      <c r="BF112" s="774"/>
      <c r="BG112" s="774"/>
      <c r="BH112" s="774"/>
      <c r="BI112" s="774"/>
      <c r="BJ112" s="774"/>
      <c r="BK112" s="774"/>
      <c r="BL112" s="774"/>
      <c r="BM112" s="774"/>
      <c r="BN112" s="774"/>
      <c r="BO112" s="774"/>
      <c r="BP112" s="774"/>
      <c r="BQ112" s="774"/>
      <c r="BR112" s="774"/>
      <c r="BS112" s="774"/>
      <c r="BT112" s="774"/>
      <c r="BU112" s="774"/>
      <c r="BV112" s="774"/>
      <c r="BW112" s="774"/>
      <c r="BX112" s="774"/>
      <c r="BY112" s="774"/>
      <c r="BZ112" s="774"/>
      <c r="CA112" s="774"/>
      <c r="CB112" s="774"/>
      <c r="CC112" s="774"/>
      <c r="CD112" s="774"/>
      <c r="CE112" s="774"/>
      <c r="CF112" s="774"/>
      <c r="CG112" s="774"/>
      <c r="CH112" s="774"/>
      <c r="CI112" s="774"/>
      <c r="CJ112" s="774"/>
      <c r="CK112" s="774"/>
      <c r="CL112" s="774"/>
      <c r="CM112" s="774"/>
      <c r="CN112" s="774"/>
      <c r="CO112" s="774"/>
      <c r="CP112" s="774"/>
      <c r="CQ112" s="774"/>
      <c r="CR112" s="774"/>
      <c r="CS112" s="774"/>
      <c r="CT112" s="774"/>
      <c r="CU112" s="774"/>
      <c r="CV112" s="774"/>
      <c r="CW112" s="774"/>
      <c r="CX112" s="774"/>
      <c r="CY112" s="774"/>
      <c r="CZ112" s="774"/>
      <c r="DA112" s="774"/>
      <c r="DB112" s="774"/>
      <c r="DC112" s="774"/>
      <c r="DD112" s="774"/>
      <c r="DE112" s="774"/>
      <c r="DF112" s="774"/>
      <c r="DG112" s="774"/>
      <c r="DH112" s="774"/>
      <c r="DI112" s="774"/>
      <c r="DJ112" s="774"/>
      <c r="DK112" s="774"/>
      <c r="DL112" s="774"/>
      <c r="DM112" s="774"/>
      <c r="DN112" s="774"/>
      <c r="DO112" s="774"/>
      <c r="DP112" s="774"/>
      <c r="DQ112" s="774"/>
      <c r="DR112" s="774"/>
      <c r="DS112" s="774"/>
      <c r="DT112" s="774"/>
      <c r="DU112" s="774"/>
      <c r="DV112" s="774"/>
      <c r="DW112" s="774"/>
      <c r="DX112" s="774"/>
      <c r="DY112" s="774"/>
      <c r="DZ112" s="774"/>
      <c r="EA112" s="774"/>
      <c r="EB112" s="774"/>
      <c r="EC112" s="774"/>
      <c r="ED112" s="774"/>
      <c r="EE112" s="774"/>
      <c r="EF112" s="774"/>
      <c r="EG112" s="774"/>
      <c r="EH112" s="774"/>
      <c r="EI112" s="774"/>
      <c r="EJ112" s="774"/>
      <c r="EK112" s="774"/>
      <c r="EL112" s="774"/>
      <c r="EM112" s="774"/>
      <c r="EN112" s="774"/>
      <c r="EO112" s="774"/>
      <c r="EP112" s="774"/>
      <c r="EQ112" s="774"/>
      <c r="ER112" s="774"/>
      <c r="ES112" s="774"/>
      <c r="ET112" s="774"/>
      <c r="EU112" s="774"/>
      <c r="EV112" s="774"/>
      <c r="EW112" s="774"/>
      <c r="EX112" s="774"/>
      <c r="EY112" s="774"/>
      <c r="EZ112" s="774"/>
      <c r="FA112" s="774"/>
      <c r="FB112" s="774"/>
      <c r="FC112" s="774"/>
      <c r="FD112" s="774"/>
      <c r="FE112" s="774"/>
      <c r="FF112" s="774"/>
      <c r="FG112" s="774"/>
      <c r="FH112" s="774"/>
      <c r="FI112" s="774"/>
      <c r="FJ112" s="774"/>
      <c r="FK112" s="774"/>
      <c r="FL112" s="774"/>
      <c r="FM112" s="774"/>
      <c r="FN112" s="774"/>
      <c r="FO112" s="774"/>
      <c r="FP112" s="774"/>
      <c r="FQ112" s="774"/>
      <c r="FR112" s="774"/>
      <c r="FS112" s="774"/>
      <c r="FT112" s="774"/>
      <c r="FU112" s="774"/>
      <c r="FV112" s="774"/>
      <c r="FW112" s="774"/>
      <c r="FX112" s="774"/>
      <c r="FY112" s="774"/>
      <c r="FZ112" s="774"/>
      <c r="GA112" s="774"/>
      <c r="GB112" s="774"/>
      <c r="GC112" s="774"/>
      <c r="GD112" s="774"/>
      <c r="GE112" s="774"/>
      <c r="GF112" s="774"/>
      <c r="GG112" s="774"/>
      <c r="GH112" s="774"/>
      <c r="GI112" s="774"/>
      <c r="GJ112" s="774"/>
      <c r="GK112" s="774"/>
      <c r="GL112" s="774"/>
      <c r="GM112" s="774"/>
      <c r="GN112" s="774"/>
      <c r="GO112" s="774"/>
      <c r="GP112" s="774"/>
      <c r="GQ112" s="774"/>
      <c r="GR112" s="774"/>
      <c r="GS112" s="774"/>
      <c r="GT112" s="774"/>
      <c r="GU112" s="774"/>
      <c r="GV112" s="774"/>
      <c r="GW112" s="774"/>
      <c r="GX112" s="774"/>
      <c r="GY112" s="774"/>
      <c r="GZ112" s="774"/>
      <c r="HA112" s="774"/>
      <c r="HB112" s="774"/>
      <c r="HC112" s="774"/>
      <c r="HD112" s="774"/>
      <c r="HE112" s="774"/>
      <c r="HF112" s="774"/>
      <c r="HG112" s="774"/>
      <c r="HH112" s="774"/>
      <c r="HI112" s="774"/>
      <c r="HJ112" s="774"/>
      <c r="HK112" s="774"/>
      <c r="HL112" s="774"/>
      <c r="HM112" s="774"/>
      <c r="HN112" s="774"/>
      <c r="HO112" s="774"/>
      <c r="HP112" s="774"/>
      <c r="HQ112" s="774"/>
      <c r="HR112" s="774"/>
      <c r="HS112" s="774"/>
      <c r="HT112" s="774"/>
      <c r="HU112" s="774"/>
      <c r="HV112" s="774"/>
      <c r="HW112" s="774"/>
      <c r="HX112" s="774"/>
      <c r="HY112" s="774"/>
      <c r="HZ112" s="774"/>
      <c r="IA112" s="774"/>
      <c r="IB112" s="774"/>
      <c r="IC112" s="774"/>
      <c r="ID112" s="774"/>
      <c r="IE112" s="774"/>
      <c r="IF112" s="774"/>
      <c r="IG112" s="774"/>
      <c r="IH112" s="774"/>
      <c r="II112" s="774"/>
      <c r="IJ112" s="774"/>
      <c r="IK112" s="774"/>
      <c r="IL112" s="774"/>
      <c r="IM112" s="774"/>
      <c r="IN112" s="774"/>
      <c r="IO112" s="774"/>
      <c r="IP112" s="774"/>
      <c r="IQ112" s="774"/>
      <c r="IR112" s="774"/>
      <c r="IS112" s="774"/>
      <c r="IT112" s="774"/>
      <c r="IU112" s="774"/>
      <c r="IV112" s="774"/>
      <c r="IW112" s="774"/>
      <c r="IX112" s="774"/>
      <c r="IY112" s="774"/>
      <c r="IZ112" s="774"/>
      <c r="JA112" s="774"/>
      <c r="JB112" s="774"/>
      <c r="JC112" s="774"/>
      <c r="JD112" s="774"/>
      <c r="JE112" s="774"/>
      <c r="JF112" s="774"/>
      <c r="JG112" s="774"/>
      <c r="JH112" s="774"/>
      <c r="JI112" s="774"/>
      <c r="JJ112" s="774"/>
      <c r="JK112" s="774"/>
      <c r="JL112" s="774"/>
      <c r="JM112" s="774"/>
      <c r="JN112" s="774"/>
      <c r="JO112" s="774"/>
      <c r="JP112" s="774"/>
      <c r="JQ112" s="774"/>
      <c r="JR112" s="774"/>
      <c r="JS112" s="774"/>
      <c r="JT112" s="774"/>
      <c r="JU112" s="774"/>
      <c r="JV112" s="774"/>
      <c r="JW112" s="774"/>
      <c r="JX112" s="774"/>
      <c r="JY112" s="774"/>
      <c r="JZ112" s="774"/>
      <c r="KA112" s="774"/>
      <c r="KB112" s="774"/>
      <c r="KC112" s="774"/>
      <c r="KD112" s="774"/>
      <c r="KE112" s="774"/>
      <c r="KF112" s="774"/>
      <c r="KG112" s="774"/>
      <c r="KH112" s="774"/>
      <c r="KI112" s="774"/>
      <c r="KJ112" s="774"/>
      <c r="KK112" s="774"/>
      <c r="KL112" s="774"/>
      <c r="KM112" s="774"/>
      <c r="KN112" s="774"/>
      <c r="KO112" s="774"/>
      <c r="KP112" s="774"/>
      <c r="KQ112" s="774"/>
      <c r="KR112" s="774"/>
      <c r="KS112" s="774"/>
      <c r="KT112" s="774"/>
      <c r="KU112" s="774"/>
      <c r="KV112" s="774"/>
      <c r="KW112" s="774"/>
      <c r="KX112" s="774"/>
      <c r="KY112" s="774"/>
      <c r="KZ112" s="774"/>
      <c r="LA112" s="774"/>
      <c r="LB112" s="774"/>
      <c r="LC112" s="774"/>
      <c r="LD112" s="774"/>
      <c r="LE112" s="774"/>
      <c r="LF112" s="774"/>
      <c r="LG112" s="774"/>
      <c r="LH112" s="774"/>
      <c r="LI112" s="774"/>
      <c r="LJ112" s="774"/>
      <c r="LK112" s="774"/>
      <c r="LL112" s="774"/>
      <c r="LM112" s="774"/>
      <c r="LN112" s="774"/>
      <c r="LO112" s="774"/>
      <c r="LP112" s="774"/>
      <c r="LQ112" s="774"/>
      <c r="LR112" s="774"/>
      <c r="LS112" s="774"/>
      <c r="LT112" s="774"/>
      <c r="LU112" s="774"/>
      <c r="LV112" s="774"/>
      <c r="LW112" s="774"/>
      <c r="LX112" s="774"/>
      <c r="LY112" s="774"/>
      <c r="LZ112" s="774"/>
      <c r="MA112" s="774"/>
      <c r="MB112" s="774"/>
      <c r="MC112" s="774"/>
      <c r="MD112" s="774"/>
      <c r="ME112" s="774"/>
      <c r="MF112" s="774"/>
      <c r="MG112" s="774"/>
      <c r="MH112" s="774"/>
      <c r="MI112" s="774"/>
      <c r="MJ112" s="774"/>
      <c r="MK112" s="774"/>
      <c r="ML112" s="774"/>
      <c r="MM112" s="774"/>
      <c r="MN112" s="774"/>
      <c r="MO112" s="774"/>
      <c r="MP112" s="774"/>
      <c r="MQ112" s="774"/>
      <c r="MR112" s="774"/>
      <c r="MS112" s="774"/>
      <c r="MT112" s="774"/>
      <c r="MU112" s="774"/>
      <c r="MV112" s="774"/>
      <c r="MW112" s="774"/>
      <c r="MX112" s="774"/>
      <c r="MY112" s="774"/>
      <c r="MZ112" s="774"/>
      <c r="NA112" s="774"/>
      <c r="NB112" s="774"/>
      <c r="NC112" s="774"/>
      <c r="ND112" s="774"/>
      <c r="NE112" s="774"/>
      <c r="NF112" s="774"/>
      <c r="NG112" s="774"/>
      <c r="NH112" s="774"/>
      <c r="NI112" s="774"/>
      <c r="NJ112" s="774"/>
      <c r="NK112" s="774"/>
      <c r="NL112" s="774"/>
      <c r="NM112" s="774"/>
      <c r="NN112" s="774"/>
      <c r="NO112" s="774"/>
      <c r="NP112" s="774"/>
      <c r="NQ112" s="774"/>
      <c r="NR112" s="774"/>
      <c r="NS112" s="774"/>
      <c r="NT112" s="774"/>
      <c r="NU112" s="774"/>
      <c r="NV112" s="774"/>
      <c r="NW112" s="774"/>
      <c r="NX112" s="774"/>
      <c r="NY112" s="774"/>
      <c r="NZ112" s="774"/>
      <c r="OA112" s="774"/>
      <c r="OB112" s="774"/>
      <c r="OC112" s="774"/>
      <c r="OD112" s="774"/>
      <c r="OE112" s="774"/>
      <c r="OF112" s="774"/>
      <c r="OG112" s="774"/>
      <c r="OH112" s="774"/>
      <c r="OI112" s="774"/>
      <c r="OJ112" s="774"/>
      <c r="OK112" s="774"/>
      <c r="OL112" s="774"/>
      <c r="OM112" s="774"/>
      <c r="ON112" s="774"/>
      <c r="OO112" s="774"/>
      <c r="OP112" s="774"/>
      <c r="OQ112" s="774"/>
      <c r="OR112" s="774"/>
      <c r="OS112" s="774"/>
      <c r="OT112" s="774"/>
      <c r="OU112" s="774"/>
      <c r="OV112" s="774"/>
      <c r="OW112" s="774"/>
      <c r="OX112" s="774"/>
      <c r="OY112" s="774"/>
      <c r="OZ112" s="774"/>
      <c r="PA112" s="774"/>
      <c r="PB112" s="774"/>
      <c r="PC112" s="774"/>
      <c r="PD112" s="774"/>
      <c r="PE112" s="774"/>
      <c r="PF112" s="774"/>
      <c r="PG112" s="774"/>
      <c r="PH112" s="774"/>
      <c r="PI112" s="774"/>
      <c r="PJ112" s="774"/>
      <c r="PK112" s="774"/>
      <c r="PL112" s="774"/>
      <c r="PM112" s="774"/>
      <c r="PN112" s="774"/>
      <c r="PO112" s="774"/>
      <c r="PP112" s="774"/>
      <c r="PQ112" s="774"/>
      <c r="PR112" s="774"/>
      <c r="PS112" s="774"/>
      <c r="PT112" s="774"/>
      <c r="PU112" s="774"/>
      <c r="PV112" s="774"/>
      <c r="PW112" s="774"/>
      <c r="PX112" s="774"/>
      <c r="PY112" s="774"/>
      <c r="PZ112" s="774"/>
      <c r="QA112" s="774"/>
      <c r="QB112" s="774"/>
      <c r="QC112" s="774"/>
      <c r="QD112" s="774"/>
      <c r="QE112" s="774"/>
      <c r="QF112" s="774"/>
      <c r="QG112" s="774"/>
      <c r="QH112" s="774"/>
      <c r="QI112" s="774"/>
      <c r="QJ112" s="774"/>
      <c r="QK112" s="774"/>
      <c r="QL112" s="774"/>
      <c r="QM112" s="774"/>
      <c r="QN112" s="774"/>
      <c r="QO112" s="774"/>
      <c r="QP112" s="774"/>
      <c r="QQ112" s="774"/>
      <c r="QR112" s="774"/>
      <c r="QS112" s="774"/>
      <c r="QT112" s="774"/>
      <c r="QU112" s="774"/>
      <c r="QV112" s="774"/>
      <c r="QW112" s="774"/>
      <c r="QX112" s="774"/>
      <c r="QY112" s="774"/>
      <c r="QZ112" s="774"/>
      <c r="RA112" s="774"/>
      <c r="RB112" s="774"/>
      <c r="RC112" s="774"/>
      <c r="RD112" s="774"/>
      <c r="RE112" s="774"/>
      <c r="RF112" s="774"/>
      <c r="RG112" s="774"/>
      <c r="RH112" s="774"/>
      <c r="RI112" s="774"/>
      <c r="RJ112" s="774"/>
      <c r="RK112" s="774"/>
      <c r="RL112" s="774"/>
      <c r="RM112" s="774"/>
      <c r="RN112" s="774"/>
      <c r="RO112" s="774"/>
      <c r="RP112" s="774"/>
      <c r="RQ112" s="774"/>
      <c r="RR112" s="774"/>
      <c r="RS112" s="774"/>
      <c r="RT112" s="774"/>
      <c r="RU112" s="774"/>
      <c r="RV112" s="774"/>
      <c r="RW112" s="774"/>
      <c r="RX112" s="774"/>
      <c r="RY112" s="774"/>
      <c r="RZ112" s="774"/>
      <c r="SA112" s="774"/>
      <c r="SB112" s="774"/>
      <c r="SC112" s="774"/>
      <c r="SD112" s="774"/>
      <c r="SE112" s="774"/>
      <c r="SF112" s="774"/>
      <c r="SG112" s="774"/>
      <c r="SH112" s="774"/>
      <c r="SI112" s="774"/>
      <c r="SJ112" s="774"/>
      <c r="SK112" s="774"/>
      <c r="SL112" s="774"/>
      <c r="SM112" s="774"/>
      <c r="SN112" s="774"/>
      <c r="SO112" s="774"/>
      <c r="SP112" s="774"/>
      <c r="SQ112" s="774"/>
      <c r="SR112" s="774"/>
      <c r="SS112" s="774"/>
      <c r="ST112" s="774"/>
      <c r="SU112" s="774"/>
      <c r="SV112" s="774"/>
      <c r="SW112" s="774"/>
      <c r="SX112" s="774"/>
      <c r="SY112" s="774"/>
      <c r="SZ112" s="774"/>
      <c r="TA112" s="774"/>
      <c r="TB112" s="774"/>
      <c r="TC112" s="774"/>
      <c r="TD112" s="774"/>
      <c r="TE112" s="774"/>
      <c r="TF112" s="774"/>
      <c r="TG112" s="774"/>
      <c r="TH112" s="774"/>
      <c r="TI112" s="774"/>
      <c r="TJ112" s="774"/>
      <c r="TK112" s="774"/>
      <c r="TL112" s="774"/>
      <c r="TM112" s="774"/>
      <c r="TN112" s="774"/>
      <c r="TO112" s="774"/>
      <c r="TP112" s="774"/>
      <c r="TQ112" s="774"/>
      <c r="TR112" s="774"/>
      <c r="TS112" s="774"/>
      <c r="TT112" s="774"/>
      <c r="TU112" s="774"/>
      <c r="TV112" s="774"/>
      <c r="TW112" s="774"/>
      <c r="TX112" s="774"/>
      <c r="TY112" s="774"/>
      <c r="TZ112" s="774"/>
      <c r="UA112" s="774"/>
      <c r="UB112" s="774"/>
      <c r="UC112" s="774"/>
      <c r="UD112" s="774"/>
      <c r="UE112" s="774"/>
      <c r="UF112" s="774"/>
      <c r="UG112" s="774"/>
      <c r="UH112" s="774"/>
      <c r="UI112" s="774"/>
      <c r="UJ112" s="774"/>
      <c r="UK112" s="774"/>
      <c r="UL112" s="774"/>
      <c r="UM112" s="774"/>
      <c r="UN112" s="774"/>
      <c r="UO112" s="774"/>
      <c r="UP112" s="774"/>
      <c r="UQ112" s="774"/>
      <c r="UR112" s="774"/>
      <c r="US112" s="774"/>
      <c r="UT112" s="774"/>
      <c r="UU112" s="774"/>
      <c r="UV112" s="774"/>
      <c r="UW112" s="774"/>
      <c r="UX112" s="774"/>
      <c r="UY112" s="774"/>
      <c r="UZ112" s="774"/>
      <c r="VA112" s="774"/>
      <c r="VB112" s="774"/>
      <c r="VC112" s="774"/>
      <c r="VD112" s="774"/>
      <c r="VE112" s="774"/>
      <c r="VF112" s="774"/>
      <c r="VG112" s="774"/>
      <c r="VH112" s="774"/>
      <c r="VI112" s="774"/>
      <c r="VJ112" s="774"/>
      <c r="VK112" s="774"/>
      <c r="VL112" s="774"/>
      <c r="VM112" s="774"/>
      <c r="VN112" s="774"/>
      <c r="VO112" s="774"/>
      <c r="VP112" s="774"/>
      <c r="VQ112" s="774"/>
      <c r="VR112" s="774"/>
      <c r="VS112" s="774"/>
      <c r="VT112" s="774"/>
      <c r="VU112" s="774"/>
      <c r="VV112" s="774"/>
      <c r="VW112" s="774"/>
      <c r="VX112" s="774"/>
      <c r="VY112" s="774"/>
      <c r="VZ112" s="774"/>
      <c r="WA112" s="774"/>
      <c r="WB112" s="774"/>
      <c r="WC112" s="774"/>
      <c r="WD112" s="774"/>
      <c r="WE112" s="774"/>
      <c r="WF112" s="774"/>
      <c r="WG112" s="774"/>
      <c r="WH112" s="774"/>
      <c r="WI112" s="774"/>
      <c r="WJ112" s="774"/>
      <c r="WK112" s="774"/>
      <c r="WL112" s="774"/>
      <c r="WM112" s="774"/>
      <c r="WN112" s="774"/>
      <c r="WO112" s="774"/>
      <c r="WP112" s="774"/>
      <c r="WQ112" s="774"/>
      <c r="WR112" s="774"/>
      <c r="WS112" s="774"/>
      <c r="WT112" s="774"/>
      <c r="WU112" s="774"/>
      <c r="WV112" s="774"/>
      <c r="WW112" s="774"/>
      <c r="WX112" s="774"/>
      <c r="WY112" s="774"/>
      <c r="WZ112" s="774"/>
      <c r="XA112" s="774"/>
      <c r="XB112" s="774"/>
      <c r="XC112" s="774"/>
      <c r="XD112" s="774"/>
      <c r="XE112" s="774"/>
      <c r="XF112" s="774"/>
      <c r="XG112" s="774"/>
      <c r="XH112" s="774"/>
      <c r="XI112" s="774"/>
      <c r="XJ112" s="774"/>
      <c r="XK112" s="774"/>
      <c r="XL112" s="774"/>
      <c r="XM112" s="774"/>
      <c r="XN112" s="774"/>
      <c r="XO112" s="774"/>
      <c r="XP112" s="774"/>
      <c r="XQ112" s="774"/>
      <c r="XR112" s="774"/>
      <c r="XS112" s="774"/>
      <c r="XT112" s="774"/>
      <c r="XU112" s="774"/>
      <c r="XV112" s="774"/>
      <c r="XW112" s="774"/>
      <c r="XX112" s="774"/>
      <c r="XY112" s="774"/>
      <c r="XZ112" s="774"/>
      <c r="YA112" s="774"/>
      <c r="YB112" s="774"/>
      <c r="YC112" s="774"/>
      <c r="YD112" s="774"/>
      <c r="YE112" s="774"/>
      <c r="YF112" s="774"/>
      <c r="YG112" s="774"/>
      <c r="YH112" s="774"/>
      <c r="YI112" s="774"/>
      <c r="YJ112" s="774"/>
      <c r="YK112" s="774"/>
      <c r="YL112" s="774"/>
      <c r="YM112" s="774"/>
      <c r="YN112" s="774"/>
      <c r="YO112" s="774"/>
      <c r="YP112" s="774"/>
      <c r="YQ112" s="774"/>
      <c r="YR112" s="774"/>
      <c r="YS112" s="774"/>
      <c r="YT112" s="774"/>
      <c r="YU112" s="774"/>
      <c r="YV112" s="774"/>
      <c r="YW112" s="774"/>
      <c r="YX112" s="774"/>
      <c r="YY112" s="774"/>
      <c r="YZ112" s="774"/>
      <c r="ZA112" s="774"/>
      <c r="ZB112" s="774"/>
      <c r="ZC112" s="774"/>
      <c r="ZD112" s="774"/>
      <c r="ZE112" s="774"/>
      <c r="ZF112" s="774"/>
      <c r="ZG112" s="774"/>
      <c r="ZH112" s="774"/>
      <c r="ZI112" s="774"/>
      <c r="ZJ112" s="774"/>
      <c r="ZK112" s="774"/>
      <c r="ZL112" s="774"/>
      <c r="ZM112" s="774"/>
      <c r="ZN112" s="774"/>
      <c r="ZO112" s="774"/>
      <c r="ZP112" s="774"/>
      <c r="ZQ112" s="774"/>
      <c r="ZR112" s="774"/>
      <c r="ZS112" s="774"/>
      <c r="ZT112" s="774"/>
      <c r="ZU112" s="774"/>
      <c r="ZV112" s="774"/>
      <c r="ZW112" s="774"/>
      <c r="ZX112" s="774"/>
      <c r="ZY112" s="774"/>
      <c r="ZZ112" s="774"/>
      <c r="AAA112" s="774"/>
      <c r="AAB112" s="774"/>
      <c r="AAC112" s="774"/>
      <c r="AAD112" s="774"/>
      <c r="AAE112" s="774"/>
      <c r="AAF112" s="774"/>
      <c r="AAG112" s="774"/>
      <c r="AAH112" s="774"/>
      <c r="AAI112" s="774"/>
      <c r="AAJ112" s="774"/>
      <c r="AAK112" s="774"/>
      <c r="AAL112" s="774"/>
      <c r="AAM112" s="774"/>
      <c r="AAN112" s="774"/>
      <c r="AAO112" s="774"/>
      <c r="AAP112" s="774"/>
      <c r="AAQ112" s="774"/>
      <c r="AAR112" s="774"/>
      <c r="AAS112" s="774"/>
      <c r="AAT112" s="774"/>
      <c r="AAU112" s="774"/>
      <c r="AAV112" s="774"/>
      <c r="AAW112" s="774"/>
      <c r="AAX112" s="774"/>
      <c r="AAY112" s="774"/>
      <c r="AAZ112" s="774"/>
      <c r="ABA112" s="774"/>
      <c r="ABB112" s="774"/>
      <c r="ABC112" s="774"/>
      <c r="ABD112" s="774"/>
      <c r="ABE112" s="774"/>
      <c r="ABF112" s="774"/>
      <c r="ABG112" s="774"/>
      <c r="ABH112" s="774"/>
      <c r="ABI112" s="774"/>
      <c r="ABJ112" s="774"/>
      <c r="ABK112" s="774"/>
      <c r="ABL112" s="774"/>
      <c r="ABM112" s="774"/>
      <c r="ABN112" s="774"/>
      <c r="ABO112" s="774"/>
      <c r="ABP112" s="774"/>
      <c r="ABQ112" s="774"/>
      <c r="ABR112" s="774"/>
      <c r="ABS112" s="774"/>
      <c r="ABT112" s="774"/>
      <c r="ABU112" s="774"/>
      <c r="ABV112" s="774"/>
      <c r="ABW112" s="774"/>
      <c r="ABX112" s="774"/>
      <c r="ABY112" s="774"/>
      <c r="ABZ112" s="774"/>
      <c r="ACA112" s="774"/>
      <c r="ACB112" s="774"/>
      <c r="ACC112" s="774"/>
      <c r="ACD112" s="774"/>
      <c r="ACE112" s="774"/>
      <c r="ACF112" s="774"/>
      <c r="ACG112" s="774"/>
      <c r="ACH112" s="774"/>
      <c r="ACI112" s="774"/>
      <c r="ACJ112" s="774"/>
      <c r="ACK112" s="774"/>
      <c r="ACL112" s="774"/>
      <c r="ACM112" s="774"/>
      <c r="ACN112" s="774"/>
      <c r="ACO112" s="774"/>
      <c r="ACP112" s="774"/>
      <c r="ACQ112" s="774"/>
      <c r="ACR112" s="774"/>
      <c r="ACS112" s="774"/>
      <c r="ACT112" s="774"/>
      <c r="ACU112" s="774"/>
      <c r="ACV112" s="774"/>
      <c r="ACW112" s="774"/>
      <c r="ACX112" s="774"/>
      <c r="ACY112" s="774"/>
      <c r="ACZ112" s="774"/>
      <c r="ADA112" s="774"/>
      <c r="ADB112" s="774"/>
      <c r="ADC112" s="774"/>
      <c r="ADD112" s="774"/>
      <c r="ADE112" s="774"/>
      <c r="ADF112" s="774"/>
      <c r="ADG112" s="774"/>
      <c r="ADH112" s="774"/>
      <c r="ADI112" s="774"/>
      <c r="ADJ112" s="774"/>
      <c r="ADK112" s="774"/>
      <c r="ADL112" s="774"/>
      <c r="ADM112" s="774"/>
      <c r="ADN112" s="774"/>
      <c r="ADO112" s="774"/>
      <c r="ADP112" s="774"/>
      <c r="ADQ112" s="774"/>
      <c r="ADR112" s="774"/>
      <c r="ADS112" s="774"/>
      <c r="ADT112" s="774"/>
      <c r="ADU112" s="774"/>
      <c r="ADV112" s="774"/>
      <c r="ADW112" s="774"/>
      <c r="ADX112" s="774"/>
      <c r="ADY112" s="774"/>
      <c r="ADZ112" s="774"/>
      <c r="AEA112" s="774"/>
      <c r="AEB112" s="774"/>
      <c r="AEC112" s="774"/>
      <c r="AED112" s="774"/>
      <c r="AEE112" s="774"/>
      <c r="AEF112" s="774"/>
      <c r="AEG112" s="774"/>
      <c r="AEH112" s="774"/>
      <c r="AEI112" s="774"/>
      <c r="AEJ112" s="774"/>
      <c r="AEK112" s="774"/>
      <c r="AEL112" s="774"/>
      <c r="AEM112" s="774"/>
      <c r="AEN112" s="774"/>
      <c r="AEO112" s="774"/>
      <c r="AEP112" s="774"/>
      <c r="AEQ112" s="774"/>
      <c r="AER112" s="774"/>
      <c r="AES112" s="774"/>
      <c r="AET112" s="774"/>
      <c r="AEU112" s="774"/>
      <c r="AEV112" s="774"/>
      <c r="AEW112" s="774"/>
      <c r="AEX112" s="774"/>
      <c r="AEY112" s="774"/>
      <c r="AEZ112" s="774"/>
      <c r="AFA112" s="774"/>
      <c r="AFB112" s="774"/>
      <c r="AFC112" s="774"/>
      <c r="AFD112" s="774"/>
      <c r="AFE112" s="774"/>
      <c r="AFF112" s="774"/>
      <c r="AFG112" s="774"/>
      <c r="AFH112" s="774"/>
      <c r="AFI112" s="774"/>
      <c r="AFJ112" s="774"/>
      <c r="AFK112" s="774"/>
      <c r="AFL112" s="774"/>
      <c r="AFM112" s="774"/>
      <c r="AFN112" s="774"/>
      <c r="AFO112" s="774"/>
      <c r="AFP112" s="774"/>
      <c r="AFQ112" s="774"/>
      <c r="AFR112" s="774"/>
      <c r="AFS112" s="774"/>
      <c r="AFT112" s="774"/>
      <c r="AFU112" s="774"/>
      <c r="AFV112" s="774"/>
      <c r="AFW112" s="774"/>
      <c r="AFX112" s="774"/>
      <c r="AFY112" s="774"/>
      <c r="AFZ112" s="774"/>
      <c r="AGA112" s="774"/>
      <c r="AGB112" s="774"/>
      <c r="AGC112" s="774"/>
      <c r="AGD112" s="774"/>
      <c r="AGE112" s="774"/>
      <c r="AGF112" s="774"/>
      <c r="AGG112" s="774"/>
      <c r="AGH112" s="774"/>
      <c r="AGI112" s="774"/>
      <c r="AGJ112" s="774"/>
      <c r="AGK112" s="774"/>
      <c r="AGL112" s="774"/>
      <c r="AGM112" s="774"/>
      <c r="AGN112" s="774"/>
      <c r="AGO112" s="774"/>
      <c r="AGP112" s="774"/>
      <c r="AGQ112" s="774"/>
      <c r="AGR112" s="774"/>
      <c r="AGS112" s="774"/>
      <c r="AGT112" s="774"/>
      <c r="AGU112" s="774"/>
      <c r="AGV112" s="774"/>
      <c r="AGW112" s="774"/>
      <c r="AGX112" s="774"/>
      <c r="AGY112" s="774"/>
      <c r="AGZ112" s="774"/>
      <c r="AHA112" s="774"/>
      <c r="AHB112" s="774"/>
      <c r="AHC112" s="774"/>
      <c r="AHD112" s="774"/>
      <c r="AHE112" s="774"/>
      <c r="AHF112" s="774"/>
      <c r="AHG112" s="774"/>
      <c r="AHH112" s="774"/>
      <c r="AHI112" s="774"/>
      <c r="AHJ112" s="774"/>
      <c r="AHK112" s="774"/>
      <c r="AHL112" s="774"/>
      <c r="AHM112" s="774"/>
      <c r="AHN112" s="774"/>
      <c r="AHO112" s="774"/>
      <c r="AHP112" s="774"/>
      <c r="AHQ112" s="774"/>
      <c r="AHR112" s="774"/>
      <c r="AHS112" s="774"/>
      <c r="AHT112" s="774"/>
      <c r="AHU112" s="774"/>
      <c r="AHV112" s="774"/>
      <c r="AHW112" s="774"/>
      <c r="AHX112" s="774"/>
      <c r="AHY112" s="774"/>
      <c r="AHZ112" s="774"/>
      <c r="AIA112" s="774"/>
      <c r="AIB112" s="774"/>
      <c r="AIC112" s="774"/>
      <c r="AID112" s="774"/>
      <c r="AIE112" s="774"/>
      <c r="AIF112" s="774"/>
      <c r="AIG112" s="774"/>
      <c r="AIH112" s="774"/>
      <c r="AII112" s="774"/>
      <c r="AIJ112" s="774"/>
      <c r="AIK112" s="774"/>
      <c r="AIL112" s="774"/>
      <c r="AIM112" s="774"/>
      <c r="AIN112" s="774"/>
      <c r="AIO112" s="774"/>
      <c r="AIP112" s="774"/>
      <c r="AIQ112" s="774"/>
      <c r="AIR112" s="774"/>
      <c r="AIS112" s="774"/>
      <c r="AIT112" s="774"/>
      <c r="AIU112" s="774"/>
      <c r="AIV112" s="774"/>
      <c r="AIW112" s="774"/>
      <c r="AIX112" s="774"/>
      <c r="AIY112" s="774"/>
      <c r="AIZ112" s="774"/>
      <c r="AJA112" s="774"/>
      <c r="AJB112" s="774"/>
      <c r="AJC112" s="774"/>
      <c r="AJD112" s="774"/>
      <c r="AJE112" s="774"/>
      <c r="AJF112" s="774"/>
      <c r="AJG112" s="774"/>
      <c r="AJH112" s="774"/>
      <c r="AJI112" s="774"/>
      <c r="AJJ112" s="774"/>
      <c r="AJK112" s="774"/>
      <c r="AJL112" s="774"/>
      <c r="AJM112" s="774"/>
      <c r="AJN112" s="774"/>
      <c r="AJO112" s="774"/>
      <c r="AJP112" s="774"/>
      <c r="AJQ112" s="774"/>
      <c r="AJR112" s="774"/>
      <c r="AJS112" s="774"/>
      <c r="AJT112" s="774"/>
      <c r="AJU112" s="774"/>
      <c r="AJV112" s="774"/>
      <c r="AJW112" s="774"/>
      <c r="AJX112" s="774"/>
      <c r="AJY112" s="774"/>
      <c r="AJZ112" s="774"/>
      <c r="AKA112" s="774"/>
      <c r="AKB112" s="774"/>
      <c r="AKC112" s="774"/>
      <c r="AKD112" s="774"/>
      <c r="AKE112" s="774"/>
      <c r="AKF112" s="774"/>
      <c r="AKG112" s="774"/>
      <c r="AKH112" s="774"/>
      <c r="AKI112" s="774"/>
      <c r="AKJ112" s="774"/>
      <c r="AKK112" s="774"/>
      <c r="AKL112" s="774"/>
      <c r="AKM112" s="774"/>
      <c r="AKN112" s="774"/>
      <c r="AKO112" s="774"/>
      <c r="AKP112" s="774"/>
      <c r="AKQ112" s="774"/>
      <c r="AKR112" s="774"/>
      <c r="AKS112" s="774"/>
      <c r="AKT112" s="774"/>
      <c r="AKU112" s="774"/>
      <c r="AKV112" s="774"/>
      <c r="AKW112" s="774"/>
      <c r="AKX112" s="774"/>
      <c r="AKY112" s="774"/>
      <c r="AKZ112" s="774"/>
      <c r="ALA112" s="774"/>
      <c r="ALB112" s="774"/>
      <c r="ALC112" s="774"/>
      <c r="ALD112" s="774"/>
      <c r="ALE112" s="774"/>
      <c r="ALF112" s="774"/>
      <c r="ALG112" s="774"/>
      <c r="ALH112" s="774"/>
      <c r="ALI112" s="774"/>
      <c r="ALJ112" s="774"/>
      <c r="ALK112" s="774"/>
      <c r="ALL112" s="774"/>
      <c r="ALM112" s="774"/>
      <c r="ALN112" s="774"/>
      <c r="ALO112" s="774"/>
      <c r="ALP112" s="774"/>
      <c r="ALQ112" s="774"/>
      <c r="ALR112" s="774"/>
      <c r="ALS112" s="774"/>
      <c r="ALT112" s="774"/>
      <c r="ALU112" s="774"/>
      <c r="ALV112" s="774"/>
      <c r="ALW112" s="774"/>
      <c r="ALX112" s="774"/>
      <c r="ALY112" s="774"/>
      <c r="ALZ112" s="774"/>
      <c r="AMA112" s="774"/>
      <c r="AMB112" s="774"/>
      <c r="AMC112" s="774"/>
      <c r="AMD112" s="774"/>
      <c r="AME112" s="774"/>
      <c r="AMF112" s="774"/>
      <c r="AMG112" s="774"/>
      <c r="AMH112" s="774"/>
      <c r="AMI112" s="774"/>
      <c r="AMJ112" s="774"/>
      <c r="AMK112" s="774"/>
      <c r="AML112" s="774"/>
      <c r="AMM112" s="774"/>
      <c r="AMN112" s="774"/>
      <c r="AMO112" s="774"/>
      <c r="AMP112" s="774"/>
      <c r="AMQ112" s="774"/>
      <c r="AMR112" s="774"/>
      <c r="AMS112" s="774"/>
      <c r="AMT112" s="774"/>
      <c r="AMU112" s="774"/>
      <c r="AMV112" s="774"/>
      <c r="AMW112" s="774"/>
      <c r="AMX112" s="774"/>
      <c r="AMY112" s="774"/>
      <c r="AMZ112" s="774"/>
      <c r="ANA112" s="774"/>
      <c r="ANB112" s="774"/>
      <c r="ANC112" s="774"/>
      <c r="AND112" s="774"/>
      <c r="ANE112" s="774"/>
      <c r="ANF112" s="774"/>
      <c r="ANG112" s="774"/>
      <c r="ANH112" s="774"/>
      <c r="ANI112" s="774"/>
      <c r="ANJ112" s="774"/>
      <c r="ANK112" s="774"/>
      <c r="ANL112" s="774"/>
      <c r="ANM112" s="774"/>
      <c r="ANN112" s="774"/>
      <c r="ANO112" s="774"/>
      <c r="ANP112" s="774"/>
      <c r="ANQ112" s="774"/>
      <c r="ANR112" s="774"/>
      <c r="ANS112" s="774"/>
      <c r="ANT112" s="774"/>
      <c r="ANU112" s="774"/>
      <c r="ANV112" s="774"/>
      <c r="ANW112" s="774"/>
      <c r="ANX112" s="774"/>
      <c r="ANY112" s="774"/>
      <c r="ANZ112" s="774"/>
      <c r="AOA112" s="774"/>
      <c r="AOB112" s="774"/>
      <c r="AOC112" s="774"/>
      <c r="AOD112" s="774"/>
      <c r="AOE112" s="774"/>
      <c r="AOF112" s="774"/>
      <c r="AOG112" s="774"/>
      <c r="AOH112" s="774"/>
      <c r="AOI112" s="774"/>
      <c r="AOJ112" s="774"/>
      <c r="AOK112" s="774"/>
      <c r="AOL112" s="774"/>
      <c r="AOM112" s="774"/>
      <c r="AON112" s="774"/>
      <c r="AOO112" s="774"/>
      <c r="AOP112" s="774"/>
      <c r="AOQ112" s="774"/>
      <c r="AOR112" s="774"/>
      <c r="AOS112" s="774"/>
      <c r="AOT112" s="774"/>
      <c r="AOU112" s="774"/>
      <c r="AOV112" s="774"/>
      <c r="AOW112" s="774"/>
      <c r="AOX112" s="774"/>
      <c r="AOY112" s="774"/>
      <c r="AOZ112" s="774"/>
      <c r="APA112" s="774"/>
      <c r="APB112" s="774"/>
      <c r="APC112" s="774"/>
      <c r="APD112" s="774"/>
      <c r="APE112" s="774"/>
      <c r="APF112" s="774"/>
      <c r="APG112" s="774"/>
      <c r="APH112" s="774"/>
      <c r="API112" s="774"/>
      <c r="APJ112" s="774"/>
      <c r="APK112" s="774"/>
      <c r="APL112" s="774"/>
      <c r="APM112" s="774"/>
      <c r="APN112" s="774"/>
      <c r="APO112" s="774"/>
      <c r="APP112" s="774"/>
      <c r="APQ112" s="774"/>
      <c r="APR112" s="774"/>
      <c r="APS112" s="774"/>
      <c r="APT112" s="774"/>
      <c r="APU112" s="774"/>
      <c r="APV112" s="774"/>
      <c r="APW112" s="774"/>
      <c r="APX112" s="774"/>
      <c r="APY112" s="774"/>
      <c r="APZ112" s="774"/>
      <c r="AQA112" s="774"/>
      <c r="AQB112" s="774"/>
      <c r="AQC112" s="774"/>
      <c r="AQD112" s="774"/>
      <c r="AQE112" s="774"/>
      <c r="AQF112" s="774"/>
      <c r="AQG112" s="774"/>
      <c r="AQH112" s="774"/>
      <c r="AQI112" s="774"/>
      <c r="AQJ112" s="774"/>
      <c r="AQK112" s="774"/>
      <c r="AQL112" s="774"/>
      <c r="AQM112" s="774"/>
      <c r="AQN112" s="774"/>
      <c r="AQO112" s="774"/>
      <c r="AQP112" s="774"/>
      <c r="AQQ112" s="774"/>
      <c r="AQR112" s="774"/>
      <c r="AQS112" s="774"/>
      <c r="AQT112" s="774"/>
      <c r="AQU112" s="774"/>
      <c r="AQV112" s="774"/>
      <c r="AQW112" s="774"/>
      <c r="AQX112" s="774"/>
      <c r="AQY112" s="774"/>
      <c r="AQZ112" s="774"/>
      <c r="ARA112" s="774"/>
      <c r="ARB112" s="774"/>
      <c r="ARC112" s="774"/>
      <c r="ARD112" s="774"/>
      <c r="ARE112" s="774"/>
      <c r="ARF112" s="774"/>
      <c r="ARG112" s="774"/>
      <c r="ARH112" s="774"/>
      <c r="ARI112" s="774"/>
      <c r="ARJ112" s="774"/>
      <c r="ARK112" s="774"/>
      <c r="ARL112" s="774"/>
      <c r="ARM112" s="774"/>
      <c r="ARN112" s="774"/>
      <c r="ARO112" s="774"/>
      <c r="ARP112" s="774"/>
      <c r="ARQ112" s="774"/>
      <c r="ARR112" s="774"/>
      <c r="ARS112" s="774"/>
      <c r="ART112" s="774"/>
      <c r="ARU112" s="774"/>
      <c r="ARV112" s="774"/>
      <c r="ARW112" s="774"/>
      <c r="ARX112" s="774"/>
      <c r="ARY112" s="774"/>
      <c r="ARZ112" s="774"/>
      <c r="ASA112" s="774"/>
      <c r="ASB112" s="774"/>
      <c r="ASC112" s="774"/>
      <c r="ASD112" s="774"/>
      <c r="ASE112" s="774"/>
      <c r="ASF112" s="774"/>
      <c r="ASG112" s="774"/>
      <c r="ASH112" s="774"/>
      <c r="ASI112" s="774"/>
      <c r="ASJ112" s="774"/>
      <c r="ASK112" s="774"/>
      <c r="ASL112" s="774"/>
      <c r="ASM112" s="774"/>
      <c r="ASN112" s="774"/>
      <c r="ASO112" s="774"/>
      <c r="ASP112" s="774"/>
      <c r="ASQ112" s="774"/>
      <c r="ASR112" s="774"/>
      <c r="ASS112" s="774"/>
      <c r="AST112" s="774"/>
      <c r="ASU112" s="774"/>
      <c r="ASV112" s="774"/>
      <c r="ASW112" s="774"/>
      <c r="ASX112" s="774"/>
      <c r="ASY112" s="774"/>
      <c r="ASZ112" s="774"/>
      <c r="ATA112" s="774"/>
      <c r="ATB112" s="774"/>
      <c r="ATC112" s="774"/>
      <c r="ATD112" s="774"/>
      <c r="ATE112" s="774"/>
      <c r="ATF112" s="774"/>
      <c r="ATG112" s="774"/>
      <c r="ATH112" s="774"/>
      <c r="ATI112" s="774"/>
      <c r="ATJ112" s="774"/>
      <c r="ATK112" s="774"/>
      <c r="ATL112" s="774"/>
      <c r="ATM112" s="774"/>
      <c r="ATN112" s="774"/>
      <c r="ATO112" s="774"/>
      <c r="ATP112" s="774"/>
      <c r="ATQ112" s="774"/>
      <c r="ATR112" s="774"/>
      <c r="ATS112" s="774"/>
      <c r="ATT112" s="774"/>
      <c r="ATU112" s="774"/>
      <c r="ATV112" s="774"/>
      <c r="ATW112" s="774"/>
      <c r="ATX112" s="774"/>
      <c r="ATY112" s="774"/>
      <c r="ATZ112" s="774"/>
      <c r="AUA112" s="774"/>
      <c r="AUB112" s="774"/>
      <c r="AUC112" s="774"/>
      <c r="AUD112" s="774"/>
      <c r="AUE112" s="774"/>
      <c r="AUF112" s="774"/>
      <c r="AUG112" s="774"/>
      <c r="AUH112" s="774"/>
      <c r="AUI112" s="774"/>
      <c r="AUJ112" s="774"/>
      <c r="AUK112" s="774"/>
      <c r="AUL112" s="774"/>
      <c r="AUM112" s="774"/>
      <c r="AUN112" s="774"/>
      <c r="AUO112" s="774"/>
      <c r="AUP112" s="774"/>
      <c r="AUQ112" s="774"/>
      <c r="AUR112" s="774"/>
      <c r="AUS112" s="774"/>
      <c r="AUT112" s="774"/>
      <c r="AUU112" s="774"/>
      <c r="AUV112" s="774"/>
      <c r="AUW112" s="774"/>
      <c r="AUX112" s="774"/>
      <c r="AUY112" s="774"/>
      <c r="AUZ112" s="774"/>
      <c r="AVA112" s="774"/>
      <c r="AVB112" s="774"/>
      <c r="AVC112" s="774"/>
      <c r="AVD112" s="774"/>
      <c r="AVE112" s="774"/>
      <c r="AVF112" s="774"/>
      <c r="AVG112" s="774"/>
      <c r="AVH112" s="774"/>
      <c r="AVI112" s="774"/>
      <c r="AVJ112" s="774"/>
      <c r="AVK112" s="774"/>
      <c r="AVL112" s="774"/>
      <c r="AVM112" s="774"/>
      <c r="AVN112" s="774"/>
      <c r="AVO112" s="774"/>
      <c r="AVP112" s="774"/>
      <c r="AVQ112" s="774"/>
      <c r="AVR112" s="774"/>
      <c r="AVS112" s="774"/>
      <c r="AVT112" s="774"/>
      <c r="AVU112" s="774"/>
      <c r="AVV112" s="774"/>
      <c r="AVW112" s="774"/>
      <c r="AVX112" s="774"/>
      <c r="AVY112" s="774"/>
      <c r="AVZ112" s="774"/>
      <c r="AWA112" s="774"/>
      <c r="AWB112" s="774"/>
      <c r="AWC112" s="774"/>
      <c r="AWD112" s="774"/>
      <c r="AWE112" s="774"/>
      <c r="AWF112" s="774"/>
      <c r="AWG112" s="774"/>
      <c r="AWH112" s="774"/>
      <c r="AWI112" s="774"/>
      <c r="AWJ112" s="774"/>
      <c r="AWK112" s="774"/>
      <c r="AWL112" s="774"/>
      <c r="AWM112" s="774"/>
      <c r="AWN112" s="774"/>
      <c r="AWO112" s="774"/>
      <c r="AWP112" s="774"/>
      <c r="AWQ112" s="774"/>
      <c r="AWR112" s="774"/>
      <c r="AWS112" s="774"/>
      <c r="AWT112" s="774"/>
      <c r="AWU112" s="774"/>
      <c r="AWV112" s="774"/>
      <c r="AWW112" s="774"/>
      <c r="AWX112" s="774"/>
      <c r="AWY112" s="774"/>
      <c r="AWZ112" s="774"/>
      <c r="AXA112" s="774"/>
      <c r="AXB112" s="774"/>
      <c r="AXC112" s="774"/>
      <c r="AXD112" s="774"/>
      <c r="AXE112" s="774"/>
      <c r="AXF112" s="774"/>
      <c r="AXG112" s="774"/>
      <c r="AXH112" s="774"/>
      <c r="AXI112" s="774"/>
      <c r="AXJ112" s="774"/>
      <c r="AXK112" s="774"/>
      <c r="AXL112" s="774"/>
      <c r="AXM112" s="774"/>
      <c r="AXN112" s="774"/>
      <c r="AXO112" s="774"/>
      <c r="AXP112" s="774"/>
      <c r="AXQ112" s="774"/>
      <c r="AXR112" s="774"/>
      <c r="AXS112" s="774"/>
      <c r="AXT112" s="774"/>
      <c r="AXU112" s="774"/>
      <c r="AXV112" s="774"/>
      <c r="AXW112" s="774"/>
      <c r="AXX112" s="774"/>
      <c r="AXY112" s="774"/>
      <c r="AXZ112" s="774"/>
      <c r="AYA112" s="774"/>
      <c r="AYB112" s="774"/>
      <c r="AYC112" s="774"/>
      <c r="AYD112" s="774"/>
      <c r="AYE112" s="774"/>
      <c r="AYF112" s="774"/>
      <c r="AYG112" s="774"/>
      <c r="AYH112" s="774"/>
      <c r="AYI112" s="774"/>
      <c r="AYJ112" s="774"/>
      <c r="AYK112" s="774"/>
      <c r="AYL112" s="774"/>
      <c r="AYM112" s="774"/>
      <c r="AYN112" s="774"/>
      <c r="AYO112" s="774"/>
      <c r="AYP112" s="774"/>
      <c r="AYQ112" s="774"/>
      <c r="AYR112" s="774"/>
      <c r="AYS112" s="774"/>
      <c r="AYT112" s="774"/>
      <c r="AYU112" s="774"/>
      <c r="AYV112" s="774"/>
      <c r="AYW112" s="774"/>
      <c r="AYX112" s="774"/>
      <c r="AYY112" s="774"/>
      <c r="AYZ112" s="774"/>
      <c r="AZA112" s="774"/>
      <c r="AZB112" s="774"/>
      <c r="AZC112" s="774"/>
      <c r="AZD112" s="774"/>
      <c r="AZE112" s="774"/>
      <c r="AZF112" s="774"/>
      <c r="AZG112" s="774"/>
      <c r="AZH112" s="774"/>
      <c r="AZI112" s="774"/>
      <c r="AZJ112" s="774"/>
      <c r="AZK112" s="774"/>
      <c r="AZL112" s="774"/>
      <c r="AZM112" s="774"/>
      <c r="AZN112" s="774"/>
      <c r="AZO112" s="774"/>
      <c r="AZP112" s="774"/>
      <c r="AZQ112" s="774"/>
      <c r="AZR112" s="774"/>
      <c r="AZS112" s="774"/>
      <c r="AZT112" s="774"/>
      <c r="AZU112" s="774"/>
      <c r="AZV112" s="774"/>
      <c r="AZW112" s="774"/>
      <c r="AZX112" s="774"/>
      <c r="AZY112" s="774"/>
      <c r="AZZ112" s="774"/>
      <c r="BAA112" s="774"/>
      <c r="BAB112" s="774"/>
      <c r="BAC112" s="774"/>
      <c r="BAD112" s="774"/>
      <c r="BAE112" s="774"/>
      <c r="BAF112" s="774"/>
      <c r="BAG112" s="774"/>
      <c r="BAH112" s="774"/>
      <c r="BAI112" s="774"/>
      <c r="BAJ112" s="774"/>
      <c r="BAK112" s="774"/>
      <c r="BAL112" s="774"/>
      <c r="BAM112" s="774"/>
      <c r="BAN112" s="774"/>
      <c r="BAO112" s="774"/>
      <c r="BAP112" s="774"/>
      <c r="BAQ112" s="774"/>
      <c r="BAR112" s="774"/>
      <c r="BAS112" s="774"/>
      <c r="BAT112" s="774"/>
      <c r="BAU112" s="774"/>
      <c r="BAV112" s="774"/>
      <c r="BAW112" s="774"/>
      <c r="BAX112" s="774"/>
      <c r="BAY112" s="774"/>
      <c r="BAZ112" s="774"/>
      <c r="BBA112" s="774"/>
      <c r="BBB112" s="774"/>
      <c r="BBC112" s="774"/>
      <c r="BBD112" s="774"/>
      <c r="BBE112" s="774"/>
      <c r="BBF112" s="774"/>
      <c r="BBG112" s="774"/>
      <c r="BBH112" s="774"/>
      <c r="BBI112" s="774"/>
      <c r="BBJ112" s="774"/>
      <c r="BBK112" s="774"/>
      <c r="BBL112" s="774"/>
      <c r="BBM112" s="774"/>
      <c r="BBN112" s="774"/>
      <c r="BBO112" s="774"/>
      <c r="BBP112" s="774"/>
      <c r="BBQ112" s="774"/>
      <c r="BBR112" s="774"/>
      <c r="BBS112" s="774"/>
      <c r="BBT112" s="774"/>
      <c r="BBU112" s="774"/>
      <c r="BBV112" s="774"/>
      <c r="BBW112" s="774"/>
      <c r="BBX112" s="774"/>
      <c r="BBY112" s="774"/>
      <c r="BBZ112" s="774"/>
      <c r="BCA112" s="774"/>
      <c r="BCB112" s="774"/>
      <c r="BCC112" s="774"/>
      <c r="BCD112" s="774"/>
      <c r="BCE112" s="774"/>
      <c r="BCF112" s="774"/>
      <c r="BCG112" s="774"/>
      <c r="BCH112" s="774"/>
      <c r="BCI112" s="774"/>
      <c r="BCJ112" s="774"/>
      <c r="BCK112" s="774"/>
      <c r="BCL112" s="774"/>
      <c r="BCM112" s="774"/>
      <c r="BCN112" s="774"/>
      <c r="BCO112" s="774"/>
      <c r="BCP112" s="774"/>
      <c r="BCQ112" s="774"/>
      <c r="BCR112" s="774"/>
      <c r="BCS112" s="774"/>
      <c r="BCT112" s="774"/>
      <c r="BCU112" s="774"/>
      <c r="BCV112" s="774"/>
      <c r="BCW112" s="774"/>
      <c r="BCX112" s="774"/>
      <c r="BCY112" s="774"/>
      <c r="BCZ112" s="774"/>
      <c r="BDA112" s="774"/>
      <c r="BDB112" s="774"/>
      <c r="BDC112" s="774"/>
      <c r="BDD112" s="774"/>
      <c r="BDE112" s="774"/>
      <c r="BDF112" s="774"/>
      <c r="BDG112" s="774"/>
      <c r="BDH112" s="774"/>
      <c r="BDI112" s="774"/>
      <c r="BDJ112" s="774"/>
      <c r="BDK112" s="774"/>
      <c r="BDL112" s="774"/>
      <c r="BDM112" s="774"/>
      <c r="BDN112" s="774"/>
      <c r="BDO112" s="774"/>
      <c r="BDP112" s="774"/>
      <c r="BDQ112" s="774"/>
      <c r="BDR112" s="774"/>
      <c r="BDS112" s="774"/>
      <c r="BDT112" s="774"/>
      <c r="BDU112" s="774"/>
      <c r="BDV112" s="774"/>
      <c r="BDW112" s="774"/>
      <c r="BDX112" s="774"/>
      <c r="BDY112" s="774"/>
      <c r="BDZ112" s="774"/>
      <c r="BEA112" s="774"/>
      <c r="BEB112" s="774"/>
      <c r="BEC112" s="774"/>
      <c r="BED112" s="774"/>
      <c r="BEE112" s="774"/>
      <c r="BEF112" s="774"/>
      <c r="BEG112" s="774"/>
      <c r="BEH112" s="774"/>
      <c r="BEI112" s="774"/>
      <c r="BEJ112" s="774"/>
      <c r="BEK112" s="774"/>
      <c r="BEL112" s="774"/>
      <c r="BEM112" s="774"/>
      <c r="BEN112" s="774"/>
      <c r="BEO112" s="774"/>
      <c r="BEP112" s="774"/>
      <c r="BEQ112" s="774"/>
      <c r="BER112" s="774"/>
      <c r="BES112" s="774"/>
      <c r="BET112" s="774"/>
      <c r="BEU112" s="774"/>
      <c r="BEV112" s="774"/>
      <c r="BEW112" s="774"/>
      <c r="BEX112" s="774"/>
      <c r="BEY112" s="774"/>
      <c r="BEZ112" s="774"/>
      <c r="BFA112" s="774"/>
      <c r="BFB112" s="774"/>
      <c r="BFC112" s="774"/>
      <c r="BFD112" s="774"/>
      <c r="BFE112" s="774"/>
      <c r="BFF112" s="774"/>
      <c r="BFG112" s="774"/>
      <c r="BFH112" s="774"/>
      <c r="BFI112" s="774"/>
      <c r="BFJ112" s="774"/>
      <c r="BFK112" s="774"/>
      <c r="BFL112" s="774"/>
      <c r="BFM112" s="774"/>
      <c r="BFN112" s="774"/>
      <c r="BFO112" s="774"/>
      <c r="BFP112" s="774"/>
      <c r="BFQ112" s="774"/>
      <c r="BFR112" s="774"/>
      <c r="BFS112" s="774"/>
      <c r="BFT112" s="774"/>
      <c r="BFU112" s="774"/>
      <c r="BFV112" s="774"/>
      <c r="BFW112" s="774"/>
      <c r="BFX112" s="774"/>
      <c r="BFY112" s="774"/>
      <c r="BFZ112" s="774"/>
      <c r="BGA112" s="774"/>
      <c r="BGB112" s="774"/>
      <c r="BGC112" s="774"/>
      <c r="BGD112" s="774"/>
      <c r="BGE112" s="774"/>
      <c r="BGF112" s="774"/>
      <c r="BGG112" s="774"/>
      <c r="BGH112" s="774"/>
      <c r="BGI112" s="774"/>
      <c r="BGJ112" s="774"/>
      <c r="BGK112" s="774"/>
      <c r="BGL112" s="774"/>
      <c r="BGM112" s="774"/>
      <c r="BGN112" s="774"/>
      <c r="BGO112" s="774"/>
      <c r="BGP112" s="774"/>
      <c r="BGQ112" s="774"/>
      <c r="BGR112" s="774"/>
      <c r="BGS112" s="774"/>
      <c r="BGT112" s="774"/>
      <c r="BGU112" s="774"/>
      <c r="BGV112" s="774"/>
      <c r="BGW112" s="774"/>
      <c r="BGX112" s="774"/>
      <c r="BGY112" s="774"/>
      <c r="BGZ112" s="774"/>
      <c r="BHA112" s="774"/>
      <c r="BHB112" s="774"/>
      <c r="BHC112" s="774"/>
      <c r="BHD112" s="774"/>
      <c r="BHE112" s="774"/>
      <c r="BHF112" s="774"/>
      <c r="BHG112" s="774"/>
      <c r="BHH112" s="774"/>
      <c r="BHI112" s="774"/>
      <c r="BHJ112" s="774"/>
      <c r="BHK112" s="774"/>
      <c r="BHL112" s="774"/>
      <c r="BHM112" s="774"/>
      <c r="BHN112" s="774"/>
      <c r="BHO112" s="774"/>
      <c r="BHP112" s="774"/>
      <c r="BHQ112" s="774"/>
      <c r="BHR112" s="774"/>
      <c r="BHS112" s="774"/>
      <c r="BHT112" s="774"/>
      <c r="BHU112" s="774"/>
      <c r="BHV112" s="774"/>
      <c r="BHW112" s="774"/>
      <c r="BHX112" s="774"/>
      <c r="BHY112" s="774"/>
      <c r="BHZ112" s="774"/>
      <c r="BIA112" s="774"/>
      <c r="BIB112" s="774"/>
      <c r="BIC112" s="774"/>
      <c r="BID112" s="774"/>
      <c r="BIE112" s="774"/>
      <c r="BIF112" s="774"/>
      <c r="BIG112" s="774"/>
      <c r="BIH112" s="774"/>
      <c r="BII112" s="774"/>
      <c r="BIJ112" s="774"/>
      <c r="BIK112" s="774"/>
      <c r="BIL112" s="774"/>
      <c r="BIM112" s="774"/>
      <c r="BIN112" s="774"/>
      <c r="BIO112" s="774"/>
      <c r="BIP112" s="774"/>
      <c r="BIQ112" s="774"/>
      <c r="BIR112" s="774"/>
      <c r="BIS112" s="774"/>
      <c r="BIT112" s="774"/>
      <c r="BIU112" s="774"/>
      <c r="BIV112" s="774"/>
      <c r="BIW112" s="774"/>
      <c r="BIX112" s="774"/>
      <c r="BIY112" s="774"/>
      <c r="BIZ112" s="774"/>
      <c r="BJA112" s="774"/>
      <c r="BJB112" s="774"/>
      <c r="BJC112" s="774"/>
      <c r="BJD112" s="774"/>
      <c r="BJE112" s="774"/>
      <c r="BJF112" s="774"/>
      <c r="BJG112" s="774"/>
      <c r="BJH112" s="774"/>
      <c r="BJI112" s="774"/>
      <c r="BJJ112" s="774"/>
      <c r="BJK112" s="774"/>
      <c r="BJL112" s="774"/>
      <c r="BJM112" s="774"/>
      <c r="BJN112" s="774"/>
      <c r="BJO112" s="774"/>
      <c r="BJP112" s="774"/>
      <c r="BJQ112" s="774"/>
      <c r="BJR112" s="774"/>
      <c r="BJS112" s="774"/>
      <c r="BJT112" s="774"/>
      <c r="BJU112" s="774"/>
      <c r="BJV112" s="774"/>
      <c r="BJW112" s="774"/>
      <c r="BJX112" s="774"/>
      <c r="BJY112" s="774"/>
      <c r="BJZ112" s="774"/>
      <c r="BKA112" s="774"/>
      <c r="BKB112" s="774"/>
      <c r="BKC112" s="774"/>
      <c r="BKD112" s="774"/>
      <c r="BKE112" s="774"/>
      <c r="BKF112" s="774"/>
      <c r="BKG112" s="774"/>
      <c r="BKH112" s="774"/>
      <c r="BKI112" s="774"/>
      <c r="BKJ112" s="774"/>
      <c r="BKK112" s="774"/>
      <c r="BKL112" s="774"/>
      <c r="BKM112" s="774"/>
      <c r="BKN112" s="774"/>
      <c r="BKO112" s="774"/>
      <c r="BKP112" s="774"/>
      <c r="BKQ112" s="774"/>
      <c r="BKR112" s="774"/>
      <c r="BKS112" s="774"/>
      <c r="BKT112" s="774"/>
      <c r="BKU112" s="774"/>
      <c r="BKV112" s="774"/>
      <c r="BKW112" s="774"/>
      <c r="BKX112" s="774"/>
      <c r="BKY112" s="774"/>
      <c r="BKZ112" s="774"/>
      <c r="BLA112" s="774"/>
      <c r="BLB112" s="774"/>
      <c r="BLC112" s="774"/>
      <c r="BLD112" s="774"/>
      <c r="BLE112" s="774"/>
      <c r="BLF112" s="774"/>
      <c r="BLG112" s="774"/>
      <c r="BLH112" s="774"/>
      <c r="BLI112" s="774"/>
      <c r="BLJ112" s="774"/>
      <c r="BLK112" s="774"/>
      <c r="BLL112" s="774"/>
      <c r="BLM112" s="774"/>
      <c r="BLN112" s="774"/>
      <c r="BLO112" s="774"/>
      <c r="BLP112" s="774"/>
      <c r="BLQ112" s="774"/>
      <c r="BLR112" s="774"/>
      <c r="BLS112" s="774"/>
      <c r="BLT112" s="774"/>
      <c r="BLU112" s="774"/>
      <c r="BLV112" s="774"/>
      <c r="BLW112" s="774"/>
      <c r="BLX112" s="774"/>
      <c r="BLY112" s="774"/>
      <c r="BLZ112" s="774"/>
      <c r="BMA112" s="774"/>
      <c r="BMB112" s="774"/>
      <c r="BMC112" s="774"/>
      <c r="BMD112" s="774"/>
      <c r="BME112" s="774"/>
      <c r="BMF112" s="774"/>
      <c r="BMG112" s="774"/>
      <c r="BMH112" s="774"/>
      <c r="BMI112" s="774"/>
      <c r="BMJ112" s="774"/>
      <c r="BMK112" s="774"/>
      <c r="BML112" s="774"/>
      <c r="BMM112" s="774"/>
      <c r="BMN112" s="774"/>
      <c r="BMO112" s="774"/>
      <c r="BMP112" s="774"/>
      <c r="BMQ112" s="774"/>
      <c r="BMR112" s="774"/>
      <c r="BMS112" s="774"/>
      <c r="BMT112" s="774"/>
      <c r="BMU112" s="774"/>
      <c r="BMV112" s="774"/>
      <c r="BMW112" s="774"/>
      <c r="BMX112" s="774"/>
      <c r="BMY112" s="774"/>
      <c r="BMZ112" s="774"/>
      <c r="BNA112" s="774"/>
      <c r="BNB112" s="774"/>
      <c r="BNC112" s="774"/>
      <c r="BND112" s="774"/>
      <c r="BNE112" s="774"/>
      <c r="BNF112" s="774"/>
      <c r="BNG112" s="774"/>
      <c r="BNH112" s="774"/>
      <c r="BNI112" s="774"/>
      <c r="BNJ112" s="774"/>
      <c r="BNK112" s="774"/>
      <c r="BNL112" s="774"/>
      <c r="BNM112" s="774"/>
      <c r="BNN112" s="774"/>
      <c r="BNO112" s="774"/>
      <c r="BNP112" s="774"/>
      <c r="BNQ112" s="774"/>
      <c r="BNR112" s="774"/>
      <c r="BNS112" s="774"/>
      <c r="BNT112" s="774"/>
      <c r="BNU112" s="774"/>
      <c r="BNV112" s="774"/>
      <c r="BNW112" s="774"/>
      <c r="BNX112" s="774"/>
      <c r="BNY112" s="774"/>
      <c r="BNZ112" s="774"/>
      <c r="BOA112" s="774"/>
      <c r="BOB112" s="774"/>
      <c r="BOC112" s="774"/>
      <c r="BOD112" s="774"/>
      <c r="BOE112" s="774"/>
      <c r="BOF112" s="774"/>
      <c r="BOG112" s="774"/>
      <c r="BOH112" s="774"/>
      <c r="BOI112" s="774"/>
      <c r="BOJ112" s="774"/>
      <c r="BOK112" s="774"/>
      <c r="BOL112" s="774"/>
      <c r="BOM112" s="774"/>
      <c r="BON112" s="774"/>
      <c r="BOO112" s="774"/>
      <c r="BOP112" s="774"/>
      <c r="BOQ112" s="774"/>
      <c r="BOR112" s="774"/>
      <c r="BOS112" s="774"/>
      <c r="BOT112" s="774"/>
      <c r="BOU112" s="774"/>
      <c r="BOV112" s="774"/>
      <c r="BOW112" s="774"/>
      <c r="BOX112" s="774"/>
      <c r="BOY112" s="774"/>
      <c r="BOZ112" s="774"/>
      <c r="BPA112" s="774"/>
      <c r="BPB112" s="774"/>
      <c r="BPC112" s="774"/>
      <c r="BPD112" s="774"/>
      <c r="BPE112" s="774"/>
      <c r="BPF112" s="774"/>
      <c r="BPG112" s="774"/>
      <c r="BPH112" s="774"/>
      <c r="BPI112" s="774"/>
      <c r="BPJ112" s="774"/>
      <c r="BPK112" s="774"/>
      <c r="BPL112" s="774"/>
      <c r="BPM112" s="774"/>
      <c r="BPN112" s="774"/>
      <c r="BPO112" s="774"/>
      <c r="BPP112" s="774"/>
      <c r="BPQ112" s="774"/>
      <c r="BPR112" s="774"/>
      <c r="BPS112" s="774"/>
      <c r="BPT112" s="774"/>
      <c r="BPU112" s="774"/>
      <c r="BPV112" s="774"/>
      <c r="BPW112" s="774"/>
      <c r="BPX112" s="774"/>
      <c r="BPY112" s="774"/>
      <c r="BPZ112" s="774"/>
      <c r="BQA112" s="774"/>
      <c r="BQB112" s="774"/>
      <c r="BQC112" s="774"/>
      <c r="BQD112" s="774"/>
      <c r="BQE112" s="774"/>
      <c r="BQF112" s="774"/>
      <c r="BQG112" s="774"/>
      <c r="BQH112" s="774"/>
      <c r="BQI112" s="774"/>
      <c r="BQJ112" s="774"/>
      <c r="BQK112" s="774"/>
      <c r="BQL112" s="774"/>
      <c r="BQM112" s="774"/>
      <c r="BQN112" s="774"/>
      <c r="BQO112" s="774"/>
      <c r="BQP112" s="774"/>
      <c r="BQQ112" s="774"/>
      <c r="BQR112" s="774"/>
      <c r="BQS112" s="774"/>
      <c r="BQT112" s="774"/>
      <c r="BQU112" s="774"/>
      <c r="BQV112" s="774"/>
      <c r="BQW112" s="774"/>
      <c r="BQX112" s="774"/>
      <c r="BQY112" s="774"/>
      <c r="BQZ112" s="774"/>
      <c r="BRA112" s="774"/>
      <c r="BRB112" s="774"/>
      <c r="BRC112" s="774"/>
      <c r="BRD112" s="774"/>
      <c r="BRE112" s="774"/>
      <c r="BRF112" s="774"/>
      <c r="BRG112" s="774"/>
      <c r="BRH112" s="774"/>
      <c r="BRI112" s="774"/>
      <c r="BRJ112" s="774"/>
      <c r="BRK112" s="774"/>
      <c r="BRL112" s="774"/>
      <c r="BRM112" s="774"/>
      <c r="BRN112" s="774"/>
      <c r="BRO112" s="774"/>
      <c r="BRP112" s="774"/>
      <c r="BRQ112" s="774"/>
      <c r="BRR112" s="774"/>
      <c r="BRS112" s="774"/>
      <c r="BRT112" s="774"/>
      <c r="BRU112" s="774"/>
      <c r="BRV112" s="774"/>
      <c r="BRW112" s="774"/>
      <c r="BRX112" s="774"/>
      <c r="BRY112" s="774"/>
      <c r="BRZ112" s="774"/>
      <c r="BSA112" s="774"/>
      <c r="BSB112" s="774"/>
      <c r="BSC112" s="774"/>
      <c r="BSD112" s="774"/>
      <c r="BSE112" s="774"/>
      <c r="BSF112" s="774"/>
      <c r="BSG112" s="774"/>
      <c r="BSH112" s="774"/>
      <c r="BSI112" s="774"/>
      <c r="BSJ112" s="774"/>
      <c r="BSK112" s="774"/>
      <c r="BSL112" s="774"/>
      <c r="BSM112" s="774"/>
      <c r="BSN112" s="774"/>
      <c r="BSO112" s="774"/>
      <c r="BSP112" s="774"/>
      <c r="BSQ112" s="774"/>
      <c r="BSR112" s="774"/>
      <c r="BSS112" s="774"/>
      <c r="BST112" s="774"/>
      <c r="BSU112" s="774"/>
      <c r="BSV112" s="774"/>
      <c r="BSW112" s="774"/>
      <c r="BSX112" s="774"/>
      <c r="BSY112" s="774"/>
      <c r="BSZ112" s="774"/>
      <c r="BTA112" s="774"/>
      <c r="BTB112" s="774"/>
      <c r="BTC112" s="774"/>
      <c r="BTD112" s="774"/>
      <c r="BTE112" s="774"/>
      <c r="BTF112" s="774"/>
      <c r="BTG112" s="774"/>
      <c r="BTH112" s="774"/>
      <c r="BTI112" s="774"/>
      <c r="BTJ112" s="774"/>
      <c r="BTK112" s="774"/>
      <c r="BTL112" s="774"/>
      <c r="BTM112" s="774"/>
      <c r="BTN112" s="774"/>
      <c r="BTO112" s="774"/>
      <c r="BTP112" s="774"/>
      <c r="BTQ112" s="774"/>
      <c r="BTR112" s="774"/>
      <c r="BTS112" s="774"/>
      <c r="BTT112" s="774"/>
      <c r="BTU112" s="774"/>
      <c r="BTV112" s="774"/>
      <c r="BTW112" s="774"/>
      <c r="BTX112" s="774"/>
      <c r="BTY112" s="774"/>
      <c r="BTZ112" s="774"/>
      <c r="BUA112" s="774"/>
      <c r="BUB112" s="774"/>
      <c r="BUC112" s="774"/>
      <c r="BUD112" s="774"/>
      <c r="BUE112" s="774"/>
      <c r="BUF112" s="774"/>
      <c r="BUG112" s="774"/>
      <c r="BUH112" s="774"/>
      <c r="BUI112" s="774"/>
      <c r="BUJ112" s="774"/>
      <c r="BUK112" s="774"/>
      <c r="BUL112" s="774"/>
      <c r="BUM112" s="774"/>
      <c r="BUN112" s="774"/>
      <c r="BUO112" s="774"/>
      <c r="BUP112" s="774"/>
      <c r="BUQ112" s="774"/>
      <c r="BUR112" s="774"/>
      <c r="BUS112" s="774"/>
      <c r="BUT112" s="774"/>
      <c r="BUU112" s="774"/>
      <c r="BUV112" s="774"/>
      <c r="BUW112" s="774"/>
      <c r="BUX112" s="774"/>
      <c r="BUY112" s="774"/>
      <c r="BUZ112" s="774"/>
      <c r="BVA112" s="774"/>
      <c r="BVB112" s="774"/>
      <c r="BVC112" s="774"/>
      <c r="BVD112" s="774"/>
      <c r="BVE112" s="774"/>
      <c r="BVF112" s="774"/>
      <c r="BVG112" s="774"/>
      <c r="BVH112" s="774"/>
      <c r="BVI112" s="774"/>
      <c r="BVJ112" s="774"/>
      <c r="BVK112" s="774"/>
      <c r="BVL112" s="774"/>
      <c r="BVM112" s="774"/>
      <c r="BVN112" s="774"/>
      <c r="BVO112" s="774"/>
      <c r="BVP112" s="774"/>
      <c r="BVQ112" s="774"/>
      <c r="BVR112" s="774"/>
      <c r="BVS112" s="774"/>
      <c r="BVT112" s="774"/>
      <c r="BVU112" s="774"/>
      <c r="BVV112" s="774"/>
      <c r="BVW112" s="774"/>
      <c r="BVX112" s="774"/>
      <c r="BVY112" s="774"/>
      <c r="BVZ112" s="774"/>
      <c r="BWA112" s="774"/>
      <c r="BWB112" s="774"/>
      <c r="BWC112" s="774"/>
      <c r="BWD112" s="774"/>
      <c r="BWE112" s="774"/>
      <c r="BWF112" s="774"/>
      <c r="BWG112" s="774"/>
      <c r="BWH112" s="774"/>
      <c r="BWI112" s="774"/>
      <c r="BWJ112" s="774"/>
      <c r="BWK112" s="774"/>
      <c r="BWL112" s="774"/>
      <c r="BWM112" s="774"/>
      <c r="BWN112" s="774"/>
      <c r="BWO112" s="774"/>
      <c r="BWP112" s="774"/>
      <c r="BWQ112" s="774"/>
      <c r="BWR112" s="774"/>
      <c r="BWS112" s="774"/>
      <c r="BWT112" s="774"/>
      <c r="BWU112" s="774"/>
      <c r="BWV112" s="774"/>
      <c r="BWW112" s="774"/>
      <c r="BWX112" s="774"/>
      <c r="BWY112" s="774"/>
      <c r="BWZ112" s="774"/>
      <c r="BXA112" s="774"/>
      <c r="BXB112" s="774"/>
      <c r="BXC112" s="774"/>
      <c r="BXD112" s="774"/>
      <c r="BXE112" s="774"/>
      <c r="BXF112" s="774"/>
      <c r="BXG112" s="774"/>
      <c r="BXH112" s="774"/>
      <c r="BXI112" s="774"/>
      <c r="BXJ112" s="774"/>
      <c r="BXK112" s="774"/>
      <c r="BXL112" s="774"/>
      <c r="BXM112" s="774"/>
      <c r="BXN112" s="774"/>
      <c r="BXO112" s="774"/>
      <c r="BXP112" s="774"/>
      <c r="BXQ112" s="774"/>
      <c r="BXR112" s="774"/>
      <c r="BXS112" s="774"/>
      <c r="BXT112" s="774"/>
      <c r="BXU112" s="774"/>
      <c r="BXV112" s="774"/>
      <c r="BXW112" s="774"/>
      <c r="BXX112" s="774"/>
      <c r="BXY112" s="774"/>
      <c r="BXZ112" s="774"/>
      <c r="BYA112" s="774"/>
      <c r="BYB112" s="774"/>
      <c r="BYC112" s="774"/>
      <c r="BYD112" s="774"/>
      <c r="BYE112" s="774"/>
      <c r="BYF112" s="774"/>
      <c r="BYG112" s="774"/>
      <c r="BYH112" s="774"/>
      <c r="BYI112" s="774"/>
      <c r="BYJ112" s="774"/>
      <c r="BYK112" s="774"/>
      <c r="BYL112" s="774"/>
      <c r="BYM112" s="774"/>
      <c r="BYN112" s="774"/>
      <c r="BYO112" s="774"/>
      <c r="BYP112" s="774"/>
      <c r="BYQ112" s="774"/>
      <c r="BYR112" s="774"/>
      <c r="BYS112" s="774"/>
      <c r="BYT112" s="774"/>
      <c r="BYU112" s="774"/>
      <c r="BYV112" s="774"/>
      <c r="BYW112" s="774"/>
      <c r="BYX112" s="774"/>
      <c r="BYY112" s="774"/>
      <c r="BYZ112" s="774"/>
      <c r="BZA112" s="774"/>
      <c r="BZB112" s="774"/>
      <c r="BZC112" s="774"/>
      <c r="BZD112" s="774"/>
      <c r="BZE112" s="774"/>
      <c r="BZF112" s="774"/>
      <c r="BZG112" s="774"/>
      <c r="BZH112" s="774"/>
      <c r="BZI112" s="774"/>
      <c r="BZJ112" s="774"/>
      <c r="BZK112" s="774"/>
      <c r="BZL112" s="774"/>
      <c r="BZM112" s="774"/>
      <c r="BZN112" s="774"/>
      <c r="BZO112" s="774"/>
      <c r="BZP112" s="774"/>
      <c r="BZQ112" s="774"/>
      <c r="BZR112" s="774"/>
      <c r="BZS112" s="774"/>
      <c r="BZT112" s="774"/>
      <c r="BZU112" s="774"/>
      <c r="BZV112" s="774"/>
      <c r="BZW112" s="774"/>
      <c r="BZX112" s="774"/>
      <c r="BZY112" s="774"/>
      <c r="BZZ112" s="774"/>
      <c r="CAA112" s="774"/>
      <c r="CAB112" s="774"/>
      <c r="CAC112" s="774"/>
      <c r="CAD112" s="774"/>
      <c r="CAE112" s="774"/>
      <c r="CAF112" s="774"/>
      <c r="CAG112" s="774"/>
      <c r="CAH112" s="774"/>
      <c r="CAI112" s="774"/>
      <c r="CAJ112" s="774"/>
      <c r="CAK112" s="774"/>
      <c r="CAL112" s="774"/>
      <c r="CAM112" s="774"/>
      <c r="CAN112" s="774"/>
      <c r="CAO112" s="774"/>
      <c r="CAP112" s="774"/>
      <c r="CAQ112" s="774"/>
      <c r="CAR112" s="774"/>
      <c r="CAS112" s="774"/>
      <c r="CAT112" s="774"/>
      <c r="CAU112" s="774"/>
      <c r="CAV112" s="774"/>
      <c r="CAW112" s="774"/>
      <c r="CAX112" s="774"/>
      <c r="CAY112" s="774"/>
      <c r="CAZ112" s="774"/>
      <c r="CBA112" s="774"/>
      <c r="CBB112" s="774"/>
      <c r="CBC112" s="774"/>
      <c r="CBD112" s="774"/>
      <c r="CBE112" s="774"/>
      <c r="CBF112" s="774"/>
      <c r="CBG112" s="774"/>
      <c r="CBH112" s="774"/>
      <c r="CBI112" s="774"/>
      <c r="CBJ112" s="774"/>
      <c r="CBK112" s="774"/>
      <c r="CBL112" s="774"/>
      <c r="CBM112" s="774"/>
      <c r="CBN112" s="774"/>
      <c r="CBO112" s="774"/>
      <c r="CBP112" s="774"/>
      <c r="CBQ112" s="774"/>
      <c r="CBR112" s="774"/>
      <c r="CBS112" s="774"/>
      <c r="CBT112" s="774"/>
      <c r="CBU112" s="774"/>
      <c r="CBV112" s="774"/>
      <c r="CBW112" s="774"/>
      <c r="CBX112" s="774"/>
      <c r="CBY112" s="774"/>
      <c r="CBZ112" s="774"/>
      <c r="CCA112" s="774"/>
      <c r="CCB112" s="774"/>
      <c r="CCC112" s="774"/>
      <c r="CCD112" s="774"/>
      <c r="CCE112" s="774"/>
      <c r="CCF112" s="774"/>
      <c r="CCG112" s="774"/>
      <c r="CCH112" s="774"/>
      <c r="CCI112" s="774"/>
      <c r="CCJ112" s="774"/>
      <c r="CCK112" s="774"/>
      <c r="CCL112" s="774"/>
      <c r="CCM112" s="774"/>
      <c r="CCN112" s="774"/>
      <c r="CCO112" s="774"/>
      <c r="CCP112" s="774"/>
      <c r="CCQ112" s="774"/>
      <c r="CCR112" s="774"/>
      <c r="CCS112" s="774"/>
      <c r="CCT112" s="774"/>
      <c r="CCU112" s="774"/>
      <c r="CCV112" s="774"/>
      <c r="CCW112" s="774"/>
      <c r="CCX112" s="774"/>
      <c r="CCY112" s="774"/>
      <c r="CCZ112" s="774"/>
      <c r="CDA112" s="774"/>
      <c r="CDB112" s="774"/>
      <c r="CDC112" s="774"/>
      <c r="CDD112" s="774"/>
      <c r="CDE112" s="774"/>
      <c r="CDF112" s="774"/>
      <c r="CDG112" s="774"/>
      <c r="CDH112" s="774"/>
      <c r="CDI112" s="774"/>
      <c r="CDJ112" s="774"/>
      <c r="CDK112" s="774"/>
      <c r="CDL112" s="774"/>
      <c r="CDM112" s="774"/>
      <c r="CDN112" s="774"/>
      <c r="CDO112" s="774"/>
      <c r="CDP112" s="774"/>
      <c r="CDQ112" s="774"/>
      <c r="CDR112" s="774"/>
      <c r="CDS112" s="774"/>
      <c r="CDT112" s="774"/>
      <c r="CDU112" s="774"/>
      <c r="CDV112" s="774"/>
      <c r="CDW112" s="774"/>
      <c r="CDX112" s="774"/>
      <c r="CDY112" s="774"/>
      <c r="CDZ112" s="774"/>
      <c r="CEA112" s="774"/>
      <c r="CEB112" s="774"/>
      <c r="CEC112" s="774"/>
      <c r="CED112" s="774"/>
      <c r="CEE112" s="774"/>
      <c r="CEF112" s="774"/>
      <c r="CEG112" s="774"/>
      <c r="CEH112" s="774"/>
      <c r="CEI112" s="774"/>
      <c r="CEJ112" s="774"/>
      <c r="CEK112" s="774"/>
      <c r="CEL112" s="774"/>
      <c r="CEM112" s="774"/>
      <c r="CEN112" s="774"/>
      <c r="CEO112" s="774"/>
      <c r="CEP112" s="774"/>
      <c r="CEQ112" s="774"/>
      <c r="CER112" s="774"/>
      <c r="CES112" s="774"/>
      <c r="CET112" s="774"/>
      <c r="CEU112" s="774"/>
      <c r="CEV112" s="774"/>
      <c r="CEW112" s="774"/>
      <c r="CEX112" s="774"/>
      <c r="CEY112" s="774"/>
      <c r="CEZ112" s="774"/>
      <c r="CFA112" s="774"/>
      <c r="CFB112" s="774"/>
      <c r="CFC112" s="774"/>
      <c r="CFD112" s="774"/>
      <c r="CFE112" s="774"/>
      <c r="CFF112" s="774"/>
      <c r="CFG112" s="774"/>
      <c r="CFH112" s="774"/>
      <c r="CFI112" s="774"/>
      <c r="CFJ112" s="774"/>
      <c r="CFK112" s="774"/>
      <c r="CFL112" s="774"/>
      <c r="CFM112" s="774"/>
      <c r="CFN112" s="774"/>
      <c r="CFO112" s="774"/>
      <c r="CFP112" s="774"/>
      <c r="CFQ112" s="774"/>
      <c r="CFR112" s="774"/>
      <c r="CFS112" s="774"/>
      <c r="CFT112" s="774"/>
      <c r="CFU112" s="774"/>
      <c r="CFV112" s="774"/>
      <c r="CFW112" s="774"/>
      <c r="CFX112" s="774"/>
      <c r="CFY112" s="774"/>
      <c r="CFZ112" s="774"/>
      <c r="CGA112" s="774"/>
      <c r="CGB112" s="774"/>
      <c r="CGC112" s="774"/>
      <c r="CGD112" s="774"/>
      <c r="CGE112" s="774"/>
      <c r="CGF112" s="774"/>
      <c r="CGG112" s="774"/>
      <c r="CGH112" s="774"/>
      <c r="CGI112" s="774"/>
      <c r="CGJ112" s="774"/>
      <c r="CGK112" s="774"/>
      <c r="CGL112" s="774"/>
      <c r="CGM112" s="774"/>
      <c r="CGN112" s="774"/>
      <c r="CGO112" s="774"/>
      <c r="CGP112" s="774"/>
      <c r="CGQ112" s="774"/>
      <c r="CGR112" s="774"/>
      <c r="CGS112" s="774"/>
      <c r="CGT112" s="774"/>
      <c r="CGU112" s="774"/>
      <c r="CGV112" s="774"/>
      <c r="CGW112" s="774"/>
      <c r="CGX112" s="774"/>
      <c r="CGY112" s="774"/>
      <c r="CGZ112" s="774"/>
      <c r="CHA112" s="774"/>
      <c r="CHB112" s="774"/>
      <c r="CHC112" s="774"/>
      <c r="CHD112" s="774"/>
      <c r="CHE112" s="774"/>
      <c r="CHF112" s="774"/>
      <c r="CHG112" s="774"/>
      <c r="CHH112" s="774"/>
      <c r="CHI112" s="774"/>
      <c r="CHJ112" s="774"/>
      <c r="CHK112" s="774"/>
      <c r="CHL112" s="774"/>
      <c r="CHM112" s="774"/>
      <c r="CHN112" s="774"/>
      <c r="CHO112" s="774"/>
      <c r="CHP112" s="774"/>
      <c r="CHQ112" s="774"/>
      <c r="CHR112" s="774"/>
      <c r="CHS112" s="774"/>
      <c r="CHT112" s="774"/>
      <c r="CHU112" s="774"/>
      <c r="CHV112" s="774"/>
      <c r="CHW112" s="774"/>
      <c r="CHX112" s="774"/>
      <c r="CHY112" s="774"/>
      <c r="CHZ112" s="774"/>
      <c r="CIA112" s="774"/>
      <c r="CIB112" s="774"/>
      <c r="CIC112" s="774"/>
      <c r="CID112" s="774"/>
      <c r="CIE112" s="774"/>
      <c r="CIF112" s="774"/>
      <c r="CIG112" s="774"/>
      <c r="CIH112" s="774"/>
      <c r="CII112" s="774"/>
      <c r="CIJ112" s="774"/>
      <c r="CIK112" s="774"/>
      <c r="CIL112" s="774"/>
      <c r="CIM112" s="774"/>
      <c r="CIN112" s="774"/>
      <c r="CIO112" s="774"/>
      <c r="CIP112" s="774"/>
      <c r="CIQ112" s="774"/>
      <c r="CIR112" s="774"/>
      <c r="CIS112" s="774"/>
      <c r="CIT112" s="774"/>
      <c r="CIU112" s="774"/>
      <c r="CIV112" s="774"/>
      <c r="CIW112" s="774"/>
      <c r="CIX112" s="774"/>
      <c r="CIY112" s="774"/>
      <c r="CIZ112" s="774"/>
      <c r="CJA112" s="774"/>
      <c r="CJB112" s="774"/>
      <c r="CJC112" s="774"/>
      <c r="CJD112" s="774"/>
      <c r="CJE112" s="774"/>
      <c r="CJF112" s="774"/>
      <c r="CJG112" s="774"/>
      <c r="CJH112" s="774"/>
      <c r="CJI112" s="774"/>
      <c r="CJJ112" s="774"/>
      <c r="CJK112" s="774"/>
      <c r="CJL112" s="774"/>
      <c r="CJM112" s="774"/>
      <c r="CJN112" s="774"/>
      <c r="CJO112" s="774"/>
      <c r="CJP112" s="774"/>
      <c r="CJQ112" s="774"/>
      <c r="CJR112" s="774"/>
      <c r="CJS112" s="774"/>
      <c r="CJT112" s="774"/>
      <c r="CJU112" s="774"/>
      <c r="CJV112" s="774"/>
      <c r="CJW112" s="774"/>
      <c r="CJX112" s="774"/>
      <c r="CJY112" s="774"/>
      <c r="CJZ112" s="774"/>
      <c r="CKA112" s="774"/>
      <c r="CKB112" s="774"/>
      <c r="CKC112" s="774"/>
      <c r="CKD112" s="774"/>
      <c r="CKE112" s="774"/>
      <c r="CKF112" s="774"/>
      <c r="CKG112" s="774"/>
      <c r="CKH112" s="774"/>
      <c r="CKI112" s="774"/>
      <c r="CKJ112" s="774"/>
      <c r="CKK112" s="774"/>
      <c r="CKL112" s="774"/>
      <c r="CKM112" s="774"/>
      <c r="CKN112" s="774"/>
      <c r="CKO112" s="774"/>
      <c r="CKP112" s="774"/>
      <c r="CKQ112" s="774"/>
      <c r="CKR112" s="774"/>
      <c r="CKS112" s="774"/>
      <c r="CKT112" s="774"/>
      <c r="CKU112" s="774"/>
      <c r="CKV112" s="774"/>
      <c r="CKW112" s="774"/>
      <c r="CKX112" s="774"/>
      <c r="CKY112" s="774"/>
      <c r="CKZ112" s="774"/>
      <c r="CLA112" s="774"/>
      <c r="CLB112" s="774"/>
      <c r="CLC112" s="774"/>
      <c r="CLD112" s="774"/>
      <c r="CLE112" s="774"/>
      <c r="CLF112" s="774"/>
      <c r="CLG112" s="774"/>
      <c r="CLH112" s="774"/>
      <c r="CLI112" s="774"/>
      <c r="CLJ112" s="774"/>
      <c r="CLK112" s="774"/>
      <c r="CLL112" s="774"/>
      <c r="CLM112" s="774"/>
      <c r="CLN112" s="774"/>
      <c r="CLO112" s="774"/>
      <c r="CLP112" s="774"/>
      <c r="CLQ112" s="774"/>
      <c r="CLR112" s="774"/>
      <c r="CLS112" s="774"/>
      <c r="CLT112" s="774"/>
      <c r="CLU112" s="774"/>
      <c r="CLV112" s="774"/>
      <c r="CLW112" s="774"/>
      <c r="CLX112" s="774"/>
      <c r="CLY112" s="774"/>
      <c r="CLZ112" s="774"/>
      <c r="CMA112" s="774"/>
      <c r="CMB112" s="774"/>
      <c r="CMC112" s="774"/>
      <c r="CMD112" s="774"/>
      <c r="CME112" s="774"/>
      <c r="CMF112" s="774"/>
      <c r="CMG112" s="774"/>
      <c r="CMH112" s="774"/>
      <c r="CMI112" s="774"/>
      <c r="CMJ112" s="774"/>
      <c r="CMK112" s="774"/>
      <c r="CML112" s="774"/>
      <c r="CMM112" s="774"/>
      <c r="CMN112" s="774"/>
      <c r="CMO112" s="774"/>
      <c r="CMP112" s="774"/>
      <c r="CMQ112" s="774"/>
      <c r="CMR112" s="774"/>
      <c r="CMS112" s="774"/>
      <c r="CMT112" s="774"/>
      <c r="CMU112" s="774"/>
      <c r="CMV112" s="774"/>
      <c r="CMW112" s="774"/>
      <c r="CMX112" s="774"/>
      <c r="CMY112" s="774"/>
      <c r="CMZ112" s="774"/>
      <c r="CNA112" s="774"/>
      <c r="CNB112" s="774"/>
      <c r="CNC112" s="774"/>
      <c r="CND112" s="774"/>
      <c r="CNE112" s="774"/>
      <c r="CNF112" s="774"/>
      <c r="CNG112" s="774"/>
      <c r="CNH112" s="774"/>
      <c r="CNI112" s="774"/>
      <c r="CNJ112" s="774"/>
      <c r="CNK112" s="774"/>
      <c r="CNL112" s="774"/>
      <c r="CNM112" s="774"/>
      <c r="CNN112" s="774"/>
      <c r="CNO112" s="774"/>
      <c r="CNP112" s="774"/>
      <c r="CNQ112" s="774"/>
      <c r="CNR112" s="774"/>
      <c r="CNS112" s="774"/>
      <c r="CNT112" s="774"/>
      <c r="CNU112" s="774"/>
      <c r="CNV112" s="774"/>
      <c r="CNW112" s="774"/>
      <c r="CNX112" s="774"/>
      <c r="CNY112" s="774"/>
      <c r="CNZ112" s="774"/>
      <c r="COA112" s="774"/>
      <c r="COB112" s="774"/>
      <c r="COC112" s="774"/>
      <c r="COD112" s="774"/>
      <c r="COE112" s="774"/>
      <c r="COF112" s="774"/>
      <c r="COG112" s="774"/>
      <c r="COH112" s="774"/>
      <c r="COI112" s="774"/>
      <c r="COJ112" s="774"/>
      <c r="COK112" s="774"/>
      <c r="COL112" s="774"/>
      <c r="COM112" s="774"/>
      <c r="CON112" s="774"/>
      <c r="COO112" s="774"/>
      <c r="COP112" s="774"/>
      <c r="COQ112" s="774"/>
      <c r="COR112" s="774"/>
      <c r="COS112" s="774"/>
      <c r="COT112" s="774"/>
      <c r="COU112" s="774"/>
      <c r="COV112" s="774"/>
      <c r="COW112" s="774"/>
      <c r="COX112" s="774"/>
      <c r="COY112" s="774"/>
      <c r="COZ112" s="774"/>
      <c r="CPA112" s="774"/>
      <c r="CPB112" s="774"/>
      <c r="CPC112" s="774"/>
      <c r="CPD112" s="774"/>
      <c r="CPE112" s="774"/>
      <c r="CPF112" s="774"/>
      <c r="CPG112" s="774"/>
      <c r="CPH112" s="774"/>
      <c r="CPI112" s="774"/>
      <c r="CPJ112" s="774"/>
      <c r="CPK112" s="774"/>
      <c r="CPL112" s="774"/>
      <c r="CPM112" s="774"/>
      <c r="CPN112" s="774"/>
      <c r="CPO112" s="774"/>
      <c r="CPP112" s="774"/>
      <c r="CPQ112" s="774"/>
      <c r="CPR112" s="774"/>
      <c r="CPS112" s="774"/>
      <c r="CPT112" s="774"/>
      <c r="CPU112" s="774"/>
      <c r="CPV112" s="774"/>
      <c r="CPW112" s="774"/>
      <c r="CPX112" s="774"/>
      <c r="CPY112" s="774"/>
      <c r="CPZ112" s="774"/>
      <c r="CQA112" s="774"/>
      <c r="CQB112" s="774"/>
      <c r="CQC112" s="774"/>
      <c r="CQD112" s="774"/>
      <c r="CQE112" s="774"/>
      <c r="CQF112" s="774"/>
      <c r="CQG112" s="774"/>
      <c r="CQH112" s="774"/>
      <c r="CQI112" s="774"/>
      <c r="CQJ112" s="774"/>
      <c r="CQK112" s="774"/>
      <c r="CQL112" s="774"/>
      <c r="CQM112" s="774"/>
      <c r="CQN112" s="774"/>
      <c r="CQO112" s="774"/>
      <c r="CQP112" s="774"/>
      <c r="CQQ112" s="774"/>
      <c r="CQR112" s="774"/>
      <c r="CQS112" s="774"/>
      <c r="CQT112" s="774"/>
      <c r="CQU112" s="774"/>
      <c r="CQV112" s="774"/>
      <c r="CQW112" s="774"/>
      <c r="CQX112" s="774"/>
      <c r="CQY112" s="774"/>
      <c r="CQZ112" s="774"/>
      <c r="CRA112" s="774"/>
      <c r="CRB112" s="774"/>
      <c r="CRC112" s="774"/>
      <c r="CRD112" s="774"/>
      <c r="CRE112" s="774"/>
      <c r="CRF112" s="774"/>
      <c r="CRG112" s="774"/>
      <c r="CRH112" s="774"/>
      <c r="CRI112" s="774"/>
      <c r="CRJ112" s="774"/>
      <c r="CRK112" s="774"/>
      <c r="CRL112" s="774"/>
      <c r="CRM112" s="774"/>
      <c r="CRN112" s="774"/>
      <c r="CRO112" s="774"/>
      <c r="CRP112" s="774"/>
      <c r="CRQ112" s="774"/>
      <c r="CRR112" s="774"/>
      <c r="CRS112" s="774"/>
      <c r="CRT112" s="774"/>
      <c r="CRU112" s="774"/>
      <c r="CRV112" s="774"/>
      <c r="CRW112" s="774"/>
      <c r="CRX112" s="774"/>
      <c r="CRY112" s="774"/>
      <c r="CRZ112" s="774"/>
      <c r="CSA112" s="774"/>
      <c r="CSB112" s="774"/>
      <c r="CSC112" s="774"/>
      <c r="CSD112" s="774"/>
      <c r="CSE112" s="774"/>
      <c r="CSF112" s="774"/>
      <c r="CSG112" s="774"/>
      <c r="CSH112" s="774"/>
      <c r="CSI112" s="774"/>
      <c r="CSJ112" s="774"/>
      <c r="CSK112" s="774"/>
      <c r="CSL112" s="774"/>
      <c r="CSM112" s="774"/>
      <c r="CSN112" s="774"/>
      <c r="CSO112" s="774"/>
      <c r="CSP112" s="774"/>
      <c r="CSQ112" s="774"/>
      <c r="CSR112" s="774"/>
      <c r="CSS112" s="774"/>
      <c r="CST112" s="774"/>
      <c r="CSU112" s="774"/>
      <c r="CSV112" s="774"/>
      <c r="CSW112" s="774"/>
      <c r="CSX112" s="774"/>
      <c r="CSY112" s="774"/>
      <c r="CSZ112" s="774"/>
      <c r="CTA112" s="774"/>
      <c r="CTB112" s="774"/>
      <c r="CTC112" s="774"/>
      <c r="CTD112" s="774"/>
      <c r="CTE112" s="774"/>
      <c r="CTF112" s="774"/>
      <c r="CTG112" s="774"/>
      <c r="CTH112" s="774"/>
      <c r="CTI112" s="774"/>
      <c r="CTJ112" s="774"/>
      <c r="CTK112" s="774"/>
      <c r="CTL112" s="774"/>
      <c r="CTM112" s="774"/>
      <c r="CTN112" s="774"/>
      <c r="CTO112" s="774"/>
      <c r="CTP112" s="774"/>
      <c r="CTQ112" s="774"/>
      <c r="CTR112" s="774"/>
      <c r="CTS112" s="774"/>
      <c r="CTT112" s="774"/>
      <c r="CTU112" s="774"/>
      <c r="CTV112" s="774"/>
      <c r="CTW112" s="774"/>
      <c r="CTX112" s="774"/>
      <c r="CTY112" s="774"/>
      <c r="CTZ112" s="774"/>
      <c r="CUA112" s="774"/>
      <c r="CUB112" s="774"/>
      <c r="CUC112" s="774"/>
      <c r="CUD112" s="774"/>
      <c r="CUE112" s="774"/>
      <c r="CUF112" s="774"/>
      <c r="CUG112" s="774"/>
      <c r="CUH112" s="774"/>
      <c r="CUI112" s="774"/>
      <c r="CUJ112" s="774"/>
      <c r="CUK112" s="774"/>
      <c r="CUL112" s="774"/>
      <c r="CUM112" s="774"/>
      <c r="CUN112" s="774"/>
      <c r="CUO112" s="774"/>
      <c r="CUP112" s="774"/>
      <c r="CUQ112" s="774"/>
      <c r="CUR112" s="774"/>
      <c r="CUS112" s="774"/>
      <c r="CUT112" s="774"/>
      <c r="CUU112" s="774"/>
      <c r="CUV112" s="774"/>
      <c r="CUW112" s="774"/>
      <c r="CUX112" s="774"/>
      <c r="CUY112" s="774"/>
      <c r="CUZ112" s="774"/>
      <c r="CVA112" s="774"/>
      <c r="CVB112" s="774"/>
      <c r="CVC112" s="774"/>
      <c r="CVD112" s="774"/>
      <c r="CVE112" s="774"/>
      <c r="CVF112" s="774"/>
      <c r="CVG112" s="774"/>
      <c r="CVH112" s="774"/>
      <c r="CVI112" s="774"/>
      <c r="CVJ112" s="774"/>
      <c r="CVK112" s="774"/>
      <c r="CVL112" s="774"/>
      <c r="CVM112" s="774"/>
      <c r="CVN112" s="774"/>
      <c r="CVO112" s="774"/>
      <c r="CVP112" s="774"/>
      <c r="CVQ112" s="774"/>
      <c r="CVR112" s="774"/>
      <c r="CVS112" s="774"/>
      <c r="CVT112" s="774"/>
      <c r="CVU112" s="774"/>
      <c r="CVV112" s="774"/>
      <c r="CVW112" s="774"/>
      <c r="CVX112" s="774"/>
      <c r="CVY112" s="774"/>
      <c r="CVZ112" s="774"/>
      <c r="CWA112" s="774"/>
      <c r="CWB112" s="774"/>
      <c r="CWC112" s="774"/>
      <c r="CWD112" s="774"/>
      <c r="CWE112" s="774"/>
      <c r="CWF112" s="774"/>
      <c r="CWG112" s="774"/>
      <c r="CWH112" s="774"/>
      <c r="CWI112" s="774"/>
      <c r="CWJ112" s="774"/>
      <c r="CWK112" s="774"/>
      <c r="CWL112" s="774"/>
      <c r="CWM112" s="774"/>
      <c r="CWN112" s="774"/>
      <c r="CWO112" s="774"/>
      <c r="CWP112" s="774"/>
      <c r="CWQ112" s="774"/>
      <c r="CWR112" s="774"/>
      <c r="CWS112" s="774"/>
      <c r="CWT112" s="774"/>
      <c r="CWU112" s="774"/>
      <c r="CWV112" s="774"/>
      <c r="CWW112" s="774"/>
      <c r="CWX112" s="774"/>
      <c r="CWY112" s="774"/>
      <c r="CWZ112" s="774"/>
      <c r="CXA112" s="774"/>
      <c r="CXB112" s="774"/>
      <c r="CXC112" s="774"/>
      <c r="CXD112" s="774"/>
      <c r="CXE112" s="774"/>
      <c r="CXF112" s="774"/>
      <c r="CXG112" s="774"/>
      <c r="CXH112" s="774"/>
      <c r="CXI112" s="774"/>
      <c r="CXJ112" s="774"/>
      <c r="CXK112" s="774"/>
      <c r="CXL112" s="774"/>
      <c r="CXM112" s="774"/>
      <c r="CXN112" s="774"/>
      <c r="CXO112" s="774"/>
      <c r="CXP112" s="774"/>
      <c r="CXQ112" s="774"/>
      <c r="CXR112" s="774"/>
      <c r="CXS112" s="774"/>
      <c r="CXT112" s="774"/>
      <c r="CXU112" s="774"/>
      <c r="CXV112" s="774"/>
      <c r="CXW112" s="774"/>
      <c r="CXX112" s="774"/>
      <c r="CXY112" s="774"/>
      <c r="CXZ112" s="774"/>
      <c r="CYA112" s="774"/>
      <c r="CYB112" s="774"/>
      <c r="CYC112" s="774"/>
      <c r="CYD112" s="774"/>
      <c r="CYE112" s="774"/>
      <c r="CYF112" s="774"/>
      <c r="CYG112" s="774"/>
      <c r="CYH112" s="774"/>
      <c r="CYI112" s="774"/>
      <c r="CYJ112" s="774"/>
      <c r="CYK112" s="774"/>
      <c r="CYL112" s="774"/>
      <c r="CYM112" s="774"/>
      <c r="CYN112" s="774"/>
      <c r="CYO112" s="774"/>
      <c r="CYP112" s="774"/>
      <c r="CYQ112" s="774"/>
      <c r="CYR112" s="774"/>
      <c r="CYS112" s="774"/>
      <c r="CYT112" s="774"/>
      <c r="CYU112" s="774"/>
      <c r="CYV112" s="774"/>
      <c r="CYW112" s="774"/>
      <c r="CYX112" s="774"/>
      <c r="CYY112" s="774"/>
      <c r="CYZ112" s="774"/>
      <c r="CZA112" s="774"/>
      <c r="CZB112" s="774"/>
      <c r="CZC112" s="774"/>
      <c r="CZD112" s="774"/>
      <c r="CZE112" s="774"/>
      <c r="CZF112" s="774"/>
      <c r="CZG112" s="774"/>
      <c r="CZH112" s="774"/>
      <c r="CZI112" s="774"/>
      <c r="CZJ112" s="774"/>
      <c r="CZK112" s="774"/>
      <c r="CZL112" s="774"/>
      <c r="CZM112" s="774"/>
      <c r="CZN112" s="774"/>
      <c r="CZO112" s="774"/>
      <c r="CZP112" s="774"/>
      <c r="CZQ112" s="774"/>
      <c r="CZR112" s="774"/>
      <c r="CZS112" s="774"/>
      <c r="CZT112" s="774"/>
      <c r="CZU112" s="774"/>
      <c r="CZV112" s="774"/>
      <c r="CZW112" s="774"/>
      <c r="CZX112" s="774"/>
      <c r="CZY112" s="774"/>
      <c r="CZZ112" s="774"/>
      <c r="DAA112" s="774"/>
      <c r="DAB112" s="774"/>
      <c r="DAC112" s="774"/>
      <c r="DAD112" s="774"/>
      <c r="DAE112" s="774"/>
      <c r="DAF112" s="774"/>
      <c r="DAG112" s="774"/>
      <c r="DAH112" s="774"/>
      <c r="DAI112" s="774"/>
      <c r="DAJ112" s="774"/>
      <c r="DAK112" s="774"/>
      <c r="DAL112" s="774"/>
      <c r="DAM112" s="774"/>
      <c r="DAN112" s="774"/>
      <c r="DAO112" s="774"/>
      <c r="DAP112" s="774"/>
      <c r="DAQ112" s="774"/>
      <c r="DAR112" s="774"/>
      <c r="DAS112" s="774"/>
      <c r="DAT112" s="774"/>
      <c r="DAU112" s="774"/>
      <c r="DAV112" s="774"/>
      <c r="DAW112" s="774"/>
      <c r="DAX112" s="774"/>
      <c r="DAY112" s="774"/>
      <c r="DAZ112" s="774"/>
      <c r="DBA112" s="774"/>
      <c r="DBB112" s="774"/>
      <c r="DBC112" s="774"/>
      <c r="DBD112" s="774"/>
      <c r="DBE112" s="774"/>
      <c r="DBF112" s="774"/>
      <c r="DBG112" s="774"/>
      <c r="DBH112" s="774"/>
      <c r="DBI112" s="774"/>
      <c r="DBJ112" s="774"/>
      <c r="DBK112" s="774"/>
      <c r="DBL112" s="774"/>
      <c r="DBM112" s="774"/>
      <c r="DBN112" s="774"/>
      <c r="DBO112" s="774"/>
      <c r="DBP112" s="774"/>
      <c r="DBQ112" s="774"/>
      <c r="DBR112" s="774"/>
      <c r="DBS112" s="774"/>
      <c r="DBT112" s="774"/>
      <c r="DBU112" s="774"/>
      <c r="DBV112" s="774"/>
      <c r="DBW112" s="774"/>
      <c r="DBX112" s="774"/>
      <c r="DBY112" s="774"/>
      <c r="DBZ112" s="774"/>
      <c r="DCA112" s="774"/>
      <c r="DCB112" s="774"/>
      <c r="DCC112" s="774"/>
      <c r="DCD112" s="774"/>
      <c r="DCE112" s="774"/>
      <c r="DCF112" s="774"/>
      <c r="DCG112" s="774"/>
      <c r="DCH112" s="774"/>
      <c r="DCI112" s="774"/>
      <c r="DCJ112" s="774"/>
      <c r="DCK112" s="774"/>
      <c r="DCL112" s="774"/>
      <c r="DCM112" s="774"/>
      <c r="DCN112" s="774"/>
      <c r="DCO112" s="774"/>
      <c r="DCP112" s="774"/>
      <c r="DCQ112" s="774"/>
      <c r="DCR112" s="774"/>
      <c r="DCS112" s="774"/>
      <c r="DCT112" s="774"/>
      <c r="DCU112" s="774"/>
      <c r="DCV112" s="774"/>
      <c r="DCW112" s="774"/>
      <c r="DCX112" s="774"/>
      <c r="DCY112" s="774"/>
      <c r="DCZ112" s="774"/>
      <c r="DDA112" s="774"/>
      <c r="DDB112" s="774"/>
      <c r="DDC112" s="774"/>
      <c r="DDD112" s="774"/>
      <c r="DDE112" s="774"/>
      <c r="DDF112" s="774"/>
      <c r="DDG112" s="774"/>
      <c r="DDH112" s="774"/>
      <c r="DDI112" s="774"/>
      <c r="DDJ112" s="774"/>
      <c r="DDK112" s="774"/>
      <c r="DDL112" s="774"/>
      <c r="DDM112" s="774"/>
      <c r="DDN112" s="774"/>
      <c r="DDO112" s="774"/>
      <c r="DDP112" s="774"/>
      <c r="DDQ112" s="774"/>
      <c r="DDR112" s="774"/>
      <c r="DDS112" s="774"/>
      <c r="DDT112" s="774"/>
      <c r="DDU112" s="774"/>
      <c r="DDV112" s="774"/>
      <c r="DDW112" s="774"/>
      <c r="DDX112" s="774"/>
      <c r="DDY112" s="774"/>
      <c r="DDZ112" s="774"/>
      <c r="DEA112" s="774"/>
      <c r="DEB112" s="774"/>
      <c r="DEC112" s="774"/>
      <c r="DED112" s="774"/>
      <c r="DEE112" s="774"/>
      <c r="DEF112" s="774"/>
      <c r="DEG112" s="774"/>
      <c r="DEH112" s="774"/>
      <c r="DEI112" s="774"/>
      <c r="DEJ112" s="774"/>
      <c r="DEK112" s="774"/>
      <c r="DEL112" s="774"/>
      <c r="DEM112" s="774"/>
      <c r="DEN112" s="774"/>
      <c r="DEO112" s="774"/>
      <c r="DEP112" s="774"/>
      <c r="DEQ112" s="774"/>
      <c r="DER112" s="774"/>
      <c r="DES112" s="774"/>
      <c r="DET112" s="774"/>
      <c r="DEU112" s="774"/>
      <c r="DEV112" s="774"/>
      <c r="DEW112" s="774"/>
      <c r="DEX112" s="774"/>
      <c r="DEY112" s="774"/>
      <c r="DEZ112" s="774"/>
      <c r="DFA112" s="774"/>
      <c r="DFB112" s="774"/>
      <c r="DFC112" s="774"/>
      <c r="DFD112" s="774"/>
      <c r="DFE112" s="774"/>
      <c r="DFF112" s="774"/>
      <c r="DFG112" s="774"/>
      <c r="DFH112" s="774"/>
      <c r="DFI112" s="774"/>
      <c r="DFJ112" s="774"/>
      <c r="DFK112" s="774"/>
      <c r="DFL112" s="774"/>
      <c r="DFM112" s="774"/>
      <c r="DFN112" s="774"/>
      <c r="DFO112" s="774"/>
      <c r="DFP112" s="774"/>
      <c r="DFQ112" s="774"/>
      <c r="DFR112" s="774"/>
      <c r="DFS112" s="774"/>
      <c r="DFT112" s="774"/>
      <c r="DFU112" s="774"/>
      <c r="DFV112" s="774"/>
      <c r="DFW112" s="774"/>
      <c r="DFX112" s="774"/>
      <c r="DFY112" s="774"/>
      <c r="DFZ112" s="774"/>
      <c r="DGA112" s="774"/>
      <c r="DGB112" s="774"/>
      <c r="DGC112" s="774"/>
      <c r="DGD112" s="774"/>
      <c r="DGE112" s="774"/>
      <c r="DGF112" s="774"/>
      <c r="DGG112" s="774"/>
      <c r="DGH112" s="774"/>
      <c r="DGI112" s="774"/>
      <c r="DGJ112" s="774"/>
      <c r="DGK112" s="774"/>
      <c r="DGL112" s="774"/>
      <c r="DGM112" s="774"/>
      <c r="DGN112" s="774"/>
      <c r="DGO112" s="774"/>
      <c r="DGP112" s="774"/>
      <c r="DGQ112" s="774"/>
      <c r="DGR112" s="774"/>
      <c r="DGS112" s="774"/>
      <c r="DGT112" s="774"/>
      <c r="DGU112" s="774"/>
      <c r="DGV112" s="774"/>
      <c r="DGW112" s="774"/>
      <c r="DGX112" s="774"/>
      <c r="DGY112" s="774"/>
      <c r="DGZ112" s="774"/>
      <c r="DHA112" s="774"/>
      <c r="DHB112" s="774"/>
      <c r="DHC112" s="774"/>
      <c r="DHD112" s="774"/>
      <c r="DHE112" s="774"/>
      <c r="DHF112" s="774"/>
      <c r="DHG112" s="774"/>
      <c r="DHH112" s="774"/>
      <c r="DHI112" s="774"/>
      <c r="DHJ112" s="774"/>
      <c r="DHK112" s="774"/>
      <c r="DHL112" s="774"/>
      <c r="DHM112" s="774"/>
      <c r="DHN112" s="774"/>
      <c r="DHO112" s="774"/>
      <c r="DHP112" s="774"/>
      <c r="DHQ112" s="774"/>
      <c r="DHR112" s="774"/>
      <c r="DHS112" s="774"/>
      <c r="DHT112" s="774"/>
      <c r="DHU112" s="774"/>
      <c r="DHV112" s="774"/>
      <c r="DHW112" s="774"/>
      <c r="DHX112" s="774"/>
      <c r="DHY112" s="774"/>
      <c r="DHZ112" s="774"/>
      <c r="DIA112" s="774"/>
      <c r="DIB112" s="774"/>
      <c r="DIC112" s="774"/>
      <c r="DID112" s="774"/>
      <c r="DIE112" s="774"/>
      <c r="DIF112" s="774"/>
      <c r="DIG112" s="774"/>
      <c r="DIH112" s="774"/>
      <c r="DII112" s="774"/>
      <c r="DIJ112" s="774"/>
      <c r="DIK112" s="774"/>
      <c r="DIL112" s="774"/>
      <c r="DIM112" s="774"/>
      <c r="DIN112" s="774"/>
      <c r="DIO112" s="774"/>
      <c r="DIP112" s="774"/>
      <c r="DIQ112" s="774"/>
      <c r="DIR112" s="774"/>
      <c r="DIS112" s="774"/>
      <c r="DIT112" s="774"/>
      <c r="DIU112" s="774"/>
      <c r="DIV112" s="774"/>
      <c r="DIW112" s="774"/>
      <c r="DIX112" s="774"/>
      <c r="DIY112" s="774"/>
      <c r="DIZ112" s="774"/>
      <c r="DJA112" s="774"/>
      <c r="DJB112" s="774"/>
      <c r="DJC112" s="774"/>
      <c r="DJD112" s="774"/>
      <c r="DJE112" s="774"/>
      <c r="DJF112" s="774"/>
      <c r="DJG112" s="774"/>
      <c r="DJH112" s="774"/>
      <c r="DJI112" s="774"/>
      <c r="DJJ112" s="774"/>
      <c r="DJK112" s="774"/>
      <c r="DJL112" s="774"/>
      <c r="DJM112" s="774"/>
      <c r="DJN112" s="774"/>
      <c r="DJO112" s="774"/>
      <c r="DJP112" s="774"/>
      <c r="DJQ112" s="774"/>
      <c r="DJR112" s="774"/>
      <c r="DJS112" s="774"/>
      <c r="DJT112" s="774"/>
      <c r="DJU112" s="774"/>
      <c r="DJV112" s="774"/>
      <c r="DJW112" s="774"/>
      <c r="DJX112" s="774"/>
      <c r="DJY112" s="774"/>
      <c r="DJZ112" s="774"/>
      <c r="DKA112" s="774"/>
      <c r="DKB112" s="774"/>
      <c r="DKC112" s="774"/>
      <c r="DKD112" s="774"/>
      <c r="DKE112" s="774"/>
      <c r="DKF112" s="774"/>
      <c r="DKG112" s="774"/>
      <c r="DKH112" s="774"/>
      <c r="DKI112" s="774"/>
      <c r="DKJ112" s="774"/>
      <c r="DKK112" s="774"/>
      <c r="DKL112" s="774"/>
      <c r="DKM112" s="774"/>
      <c r="DKN112" s="774"/>
      <c r="DKO112" s="774"/>
      <c r="DKP112" s="774"/>
      <c r="DKQ112" s="774"/>
      <c r="DKR112" s="774"/>
      <c r="DKS112" s="774"/>
      <c r="DKT112" s="774"/>
      <c r="DKU112" s="774"/>
      <c r="DKV112" s="774"/>
      <c r="DKW112" s="774"/>
      <c r="DKX112" s="774"/>
      <c r="DKY112" s="774"/>
      <c r="DKZ112" s="774"/>
      <c r="DLA112" s="774"/>
      <c r="DLB112" s="774"/>
      <c r="DLC112" s="774"/>
      <c r="DLD112" s="774"/>
      <c r="DLE112" s="774"/>
      <c r="DLF112" s="774"/>
      <c r="DLG112" s="774"/>
      <c r="DLH112" s="774"/>
      <c r="DLI112" s="774"/>
      <c r="DLJ112" s="774"/>
      <c r="DLK112" s="774"/>
      <c r="DLL112" s="774"/>
      <c r="DLM112" s="774"/>
      <c r="DLN112" s="774"/>
      <c r="DLO112" s="774"/>
      <c r="DLP112" s="774"/>
      <c r="DLQ112" s="774"/>
      <c r="DLR112" s="774"/>
      <c r="DLS112" s="774"/>
      <c r="DLT112" s="774"/>
      <c r="DLU112" s="774"/>
      <c r="DLV112" s="774"/>
      <c r="DLW112" s="774"/>
      <c r="DLX112" s="774"/>
      <c r="DLY112" s="774"/>
      <c r="DLZ112" s="774"/>
      <c r="DMA112" s="774"/>
      <c r="DMB112" s="774"/>
      <c r="DMC112" s="774"/>
      <c r="DMD112" s="774"/>
      <c r="DME112" s="774"/>
      <c r="DMF112" s="774"/>
      <c r="DMG112" s="774"/>
      <c r="DMH112" s="774"/>
      <c r="DMI112" s="774"/>
      <c r="DMJ112" s="774"/>
      <c r="DMK112" s="774"/>
      <c r="DML112" s="774"/>
      <c r="DMM112" s="774"/>
      <c r="DMN112" s="774"/>
      <c r="DMO112" s="774"/>
      <c r="DMP112" s="774"/>
      <c r="DMQ112" s="774"/>
      <c r="DMR112" s="774"/>
      <c r="DMS112" s="774"/>
      <c r="DMT112" s="774"/>
      <c r="DMU112" s="774"/>
      <c r="DMV112" s="774"/>
      <c r="DMW112" s="774"/>
      <c r="DMX112" s="774"/>
      <c r="DMY112" s="774"/>
      <c r="DMZ112" s="774"/>
      <c r="DNA112" s="774"/>
      <c r="DNB112" s="774"/>
      <c r="DNC112" s="774"/>
      <c r="DND112" s="774"/>
      <c r="DNE112" s="774"/>
      <c r="DNF112" s="774"/>
      <c r="DNG112" s="774"/>
      <c r="DNH112" s="774"/>
      <c r="DNI112" s="774"/>
      <c r="DNJ112" s="774"/>
      <c r="DNK112" s="774"/>
      <c r="DNL112" s="774"/>
      <c r="DNM112" s="774"/>
      <c r="DNN112" s="774"/>
      <c r="DNO112" s="774"/>
      <c r="DNP112" s="774"/>
      <c r="DNQ112" s="774"/>
      <c r="DNR112" s="774"/>
      <c r="DNS112" s="774"/>
      <c r="DNT112" s="774"/>
      <c r="DNU112" s="774"/>
      <c r="DNV112" s="774"/>
      <c r="DNW112" s="774"/>
      <c r="DNX112" s="774"/>
      <c r="DNY112" s="774"/>
      <c r="DNZ112" s="774"/>
      <c r="DOA112" s="774"/>
      <c r="DOB112" s="774"/>
      <c r="DOC112" s="774"/>
      <c r="DOD112" s="774"/>
      <c r="DOE112" s="774"/>
      <c r="DOF112" s="774"/>
      <c r="DOG112" s="774"/>
      <c r="DOH112" s="774"/>
      <c r="DOI112" s="774"/>
      <c r="DOJ112" s="774"/>
      <c r="DOK112" s="774"/>
      <c r="DOL112" s="774"/>
      <c r="DOM112" s="774"/>
      <c r="DON112" s="774"/>
      <c r="DOO112" s="774"/>
      <c r="DOP112" s="774"/>
      <c r="DOQ112" s="774"/>
      <c r="DOR112" s="774"/>
      <c r="DOS112" s="774"/>
      <c r="DOT112" s="774"/>
      <c r="DOU112" s="774"/>
      <c r="DOV112" s="774"/>
      <c r="DOW112" s="774"/>
      <c r="DOX112" s="774"/>
      <c r="DOY112" s="774"/>
      <c r="DOZ112" s="774"/>
      <c r="DPA112" s="774"/>
      <c r="DPB112" s="774"/>
      <c r="DPC112" s="774"/>
      <c r="DPD112" s="774"/>
      <c r="DPE112" s="774"/>
      <c r="DPF112" s="774"/>
      <c r="DPG112" s="774"/>
      <c r="DPH112" s="774"/>
      <c r="DPI112" s="774"/>
      <c r="DPJ112" s="774"/>
      <c r="DPK112" s="774"/>
      <c r="DPL112" s="774"/>
      <c r="DPM112" s="774"/>
      <c r="DPN112" s="774"/>
      <c r="DPO112" s="774"/>
      <c r="DPP112" s="774"/>
      <c r="DPQ112" s="774"/>
      <c r="DPR112" s="774"/>
      <c r="DPS112" s="774"/>
      <c r="DPT112" s="774"/>
      <c r="DPU112" s="774"/>
      <c r="DPV112" s="774"/>
      <c r="DPW112" s="774"/>
      <c r="DPX112" s="774"/>
      <c r="DPY112" s="774"/>
      <c r="DPZ112" s="774"/>
      <c r="DQA112" s="774"/>
      <c r="DQB112" s="774"/>
      <c r="DQC112" s="774"/>
      <c r="DQD112" s="774"/>
      <c r="DQE112" s="774"/>
      <c r="DQF112" s="774"/>
      <c r="DQG112" s="774"/>
      <c r="DQH112" s="774"/>
      <c r="DQI112" s="774"/>
      <c r="DQJ112" s="774"/>
      <c r="DQK112" s="774"/>
      <c r="DQL112" s="774"/>
      <c r="DQM112" s="774"/>
      <c r="DQN112" s="774"/>
      <c r="DQO112" s="774"/>
      <c r="DQP112" s="774"/>
      <c r="DQQ112" s="774"/>
      <c r="DQR112" s="774"/>
      <c r="DQS112" s="774"/>
      <c r="DQT112" s="774"/>
      <c r="DQU112" s="774"/>
      <c r="DQV112" s="774"/>
      <c r="DQW112" s="774"/>
      <c r="DQX112" s="774"/>
      <c r="DQY112" s="774"/>
      <c r="DQZ112" s="774"/>
      <c r="DRA112" s="774"/>
      <c r="DRB112" s="774"/>
      <c r="DRC112" s="774"/>
      <c r="DRD112" s="774"/>
      <c r="DRE112" s="774"/>
      <c r="DRF112" s="774"/>
      <c r="DRG112" s="774"/>
      <c r="DRH112" s="774"/>
      <c r="DRI112" s="774"/>
      <c r="DRJ112" s="774"/>
      <c r="DRK112" s="774"/>
      <c r="DRL112" s="774"/>
      <c r="DRM112" s="774"/>
      <c r="DRN112" s="774"/>
      <c r="DRO112" s="774"/>
      <c r="DRP112" s="774"/>
      <c r="DRQ112" s="774"/>
      <c r="DRR112" s="774"/>
      <c r="DRS112" s="774"/>
      <c r="DRT112" s="774"/>
      <c r="DRU112" s="774"/>
      <c r="DRV112" s="774"/>
      <c r="DRW112" s="774"/>
      <c r="DRX112" s="774"/>
      <c r="DRY112" s="774"/>
      <c r="DRZ112" s="774"/>
      <c r="DSA112" s="774"/>
      <c r="DSB112" s="774"/>
      <c r="DSC112" s="774"/>
      <c r="DSD112" s="774"/>
      <c r="DSE112" s="774"/>
      <c r="DSF112" s="774"/>
      <c r="DSG112" s="774"/>
      <c r="DSH112" s="774"/>
      <c r="DSI112" s="774"/>
      <c r="DSJ112" s="774"/>
      <c r="DSK112" s="774"/>
      <c r="DSL112" s="774"/>
      <c r="DSM112" s="774"/>
      <c r="DSN112" s="774"/>
      <c r="DSO112" s="774"/>
      <c r="DSP112" s="774"/>
      <c r="DSQ112" s="774"/>
      <c r="DSR112" s="774"/>
      <c r="DSS112" s="774"/>
      <c r="DST112" s="774"/>
      <c r="DSU112" s="774"/>
      <c r="DSV112" s="774"/>
      <c r="DSW112" s="774"/>
      <c r="DSX112" s="774"/>
      <c r="DSY112" s="774"/>
      <c r="DSZ112" s="774"/>
      <c r="DTA112" s="774"/>
      <c r="DTB112" s="774"/>
      <c r="DTC112" s="774"/>
      <c r="DTD112" s="774"/>
      <c r="DTE112" s="774"/>
      <c r="DTF112" s="774"/>
      <c r="DTG112" s="774"/>
      <c r="DTH112" s="774"/>
      <c r="DTI112" s="774"/>
      <c r="DTJ112" s="774"/>
      <c r="DTK112" s="774"/>
      <c r="DTL112" s="774"/>
      <c r="DTM112" s="774"/>
      <c r="DTN112" s="774"/>
      <c r="DTO112" s="774"/>
      <c r="DTP112" s="774"/>
      <c r="DTQ112" s="774"/>
      <c r="DTR112" s="774"/>
      <c r="DTS112" s="774"/>
      <c r="DTT112" s="774"/>
      <c r="DTU112" s="774"/>
      <c r="DTV112" s="774"/>
      <c r="DTW112" s="774"/>
      <c r="DTX112" s="774"/>
      <c r="DTY112" s="774"/>
      <c r="DTZ112" s="774"/>
      <c r="DUA112" s="774"/>
      <c r="DUB112" s="774"/>
      <c r="DUC112" s="774"/>
      <c r="DUD112" s="774"/>
      <c r="DUE112" s="774"/>
      <c r="DUF112" s="774"/>
      <c r="DUG112" s="774"/>
      <c r="DUH112" s="774"/>
      <c r="DUI112" s="774"/>
      <c r="DUJ112" s="774"/>
      <c r="DUK112" s="774"/>
      <c r="DUL112" s="774"/>
      <c r="DUM112" s="774"/>
      <c r="DUN112" s="774"/>
      <c r="DUO112" s="774"/>
      <c r="DUP112" s="774"/>
      <c r="DUQ112" s="774"/>
      <c r="DUR112" s="774"/>
      <c r="DUS112" s="774"/>
      <c r="DUT112" s="774"/>
      <c r="DUU112" s="774"/>
      <c r="DUV112" s="774"/>
      <c r="DUW112" s="774"/>
      <c r="DUX112" s="774"/>
      <c r="DUY112" s="774"/>
      <c r="DUZ112" s="774"/>
      <c r="DVA112" s="774"/>
      <c r="DVB112" s="774"/>
      <c r="DVC112" s="774"/>
      <c r="DVD112" s="774"/>
      <c r="DVE112" s="774"/>
      <c r="DVF112" s="774"/>
      <c r="DVG112" s="774"/>
      <c r="DVH112" s="774"/>
      <c r="DVI112" s="774"/>
      <c r="DVJ112" s="774"/>
      <c r="DVK112" s="774"/>
      <c r="DVL112" s="774"/>
      <c r="DVM112" s="774"/>
      <c r="DVN112" s="774"/>
      <c r="DVO112" s="774"/>
      <c r="DVP112" s="774"/>
      <c r="DVQ112" s="774"/>
      <c r="DVR112" s="774"/>
      <c r="DVS112" s="774"/>
      <c r="DVT112" s="774"/>
      <c r="DVU112" s="774"/>
      <c r="DVV112" s="774"/>
      <c r="DVW112" s="774"/>
      <c r="DVX112" s="774"/>
      <c r="DVY112" s="774"/>
      <c r="DVZ112" s="774"/>
      <c r="DWA112" s="774"/>
      <c r="DWB112" s="774"/>
      <c r="DWC112" s="774"/>
      <c r="DWD112" s="774"/>
      <c r="DWE112" s="774"/>
      <c r="DWF112" s="774"/>
      <c r="DWG112" s="774"/>
      <c r="DWH112" s="774"/>
      <c r="DWI112" s="774"/>
      <c r="DWJ112" s="774"/>
      <c r="DWK112" s="774"/>
      <c r="DWL112" s="774"/>
      <c r="DWM112" s="774"/>
      <c r="DWN112" s="774"/>
      <c r="DWO112" s="774"/>
      <c r="DWP112" s="774"/>
      <c r="DWQ112" s="774"/>
      <c r="DWR112" s="774"/>
      <c r="DWS112" s="774"/>
      <c r="DWT112" s="774"/>
      <c r="DWU112" s="774"/>
      <c r="DWV112" s="774"/>
      <c r="DWW112" s="774"/>
      <c r="DWX112" s="774"/>
      <c r="DWY112" s="774"/>
      <c r="DWZ112" s="774"/>
      <c r="DXA112" s="774"/>
      <c r="DXB112" s="774"/>
      <c r="DXC112" s="774"/>
      <c r="DXD112" s="774"/>
      <c r="DXE112" s="774"/>
      <c r="DXF112" s="774"/>
      <c r="DXG112" s="774"/>
      <c r="DXH112" s="774"/>
      <c r="DXI112" s="774"/>
      <c r="DXJ112" s="774"/>
      <c r="DXK112" s="774"/>
      <c r="DXL112" s="774"/>
      <c r="DXM112" s="774"/>
      <c r="DXN112" s="774"/>
      <c r="DXO112" s="774"/>
      <c r="DXP112" s="774"/>
      <c r="DXQ112" s="774"/>
      <c r="DXR112" s="774"/>
      <c r="DXS112" s="774"/>
      <c r="DXT112" s="774"/>
      <c r="DXU112" s="774"/>
      <c r="DXV112" s="774"/>
      <c r="DXW112" s="774"/>
      <c r="DXX112" s="774"/>
      <c r="DXY112" s="774"/>
      <c r="DXZ112" s="774"/>
      <c r="DYA112" s="774"/>
      <c r="DYB112" s="774"/>
      <c r="DYC112" s="774"/>
      <c r="DYD112" s="774"/>
      <c r="DYE112" s="774"/>
      <c r="DYF112" s="774"/>
      <c r="DYG112" s="774"/>
      <c r="DYH112" s="774"/>
      <c r="DYI112" s="774"/>
      <c r="DYJ112" s="774"/>
      <c r="DYK112" s="774"/>
      <c r="DYL112" s="774"/>
      <c r="DYM112" s="774"/>
      <c r="DYN112" s="774"/>
      <c r="DYO112" s="774"/>
      <c r="DYP112" s="774"/>
      <c r="DYQ112" s="774"/>
      <c r="DYR112" s="774"/>
      <c r="DYS112" s="774"/>
      <c r="DYT112" s="774"/>
      <c r="DYU112" s="774"/>
      <c r="DYV112" s="774"/>
      <c r="DYW112" s="774"/>
      <c r="DYX112" s="774"/>
      <c r="DYY112" s="774"/>
      <c r="DYZ112" s="774"/>
      <c r="DZA112" s="774"/>
      <c r="DZB112" s="774"/>
      <c r="DZC112" s="774"/>
      <c r="DZD112" s="774"/>
      <c r="DZE112" s="774"/>
      <c r="DZF112" s="774"/>
      <c r="DZG112" s="774"/>
      <c r="DZH112" s="774"/>
      <c r="DZI112" s="774"/>
      <c r="DZJ112" s="774"/>
      <c r="DZK112" s="774"/>
      <c r="DZL112" s="774"/>
      <c r="DZM112" s="774"/>
      <c r="DZN112" s="774"/>
      <c r="DZO112" s="774"/>
      <c r="DZP112" s="774"/>
      <c r="DZQ112" s="774"/>
      <c r="DZR112" s="774"/>
      <c r="DZS112" s="774"/>
      <c r="DZT112" s="774"/>
      <c r="DZU112" s="774"/>
      <c r="DZV112" s="774"/>
      <c r="DZW112" s="774"/>
      <c r="DZX112" s="774"/>
      <c r="DZY112" s="774"/>
      <c r="DZZ112" s="774"/>
      <c r="EAA112" s="774"/>
      <c r="EAB112" s="774"/>
      <c r="EAC112" s="774"/>
      <c r="EAD112" s="774"/>
      <c r="EAE112" s="774"/>
      <c r="EAF112" s="774"/>
      <c r="EAG112" s="774"/>
      <c r="EAH112" s="774"/>
      <c r="EAI112" s="774"/>
      <c r="EAJ112" s="774"/>
      <c r="EAK112" s="774"/>
      <c r="EAL112" s="774"/>
      <c r="EAM112" s="774"/>
      <c r="EAN112" s="774"/>
      <c r="EAO112" s="774"/>
      <c r="EAP112" s="774"/>
      <c r="EAQ112" s="774"/>
      <c r="EAR112" s="774"/>
      <c r="EAS112" s="774"/>
      <c r="EAT112" s="774"/>
      <c r="EAU112" s="774"/>
      <c r="EAV112" s="774"/>
      <c r="EAW112" s="774"/>
      <c r="EAX112" s="774"/>
      <c r="EAY112" s="774"/>
      <c r="EAZ112" s="774"/>
      <c r="EBA112" s="774"/>
      <c r="EBB112" s="774"/>
      <c r="EBC112" s="774"/>
      <c r="EBD112" s="774"/>
      <c r="EBE112" s="774"/>
      <c r="EBF112" s="774"/>
      <c r="EBG112" s="774"/>
      <c r="EBH112" s="774"/>
      <c r="EBI112" s="774"/>
      <c r="EBJ112" s="774"/>
      <c r="EBK112" s="774"/>
      <c r="EBL112" s="774"/>
      <c r="EBM112" s="774"/>
      <c r="EBN112" s="774"/>
      <c r="EBO112" s="774"/>
      <c r="EBP112" s="774"/>
      <c r="EBQ112" s="774"/>
      <c r="EBR112" s="774"/>
      <c r="EBS112" s="774"/>
      <c r="EBT112" s="774"/>
      <c r="EBU112" s="774"/>
      <c r="EBV112" s="774"/>
      <c r="EBW112" s="774"/>
      <c r="EBX112" s="774"/>
      <c r="EBY112" s="774"/>
      <c r="EBZ112" s="774"/>
      <c r="ECA112" s="774"/>
      <c r="ECB112" s="774"/>
      <c r="ECC112" s="774"/>
      <c r="ECD112" s="774"/>
      <c r="ECE112" s="774"/>
      <c r="ECF112" s="774"/>
      <c r="ECG112" s="774"/>
      <c r="ECH112" s="774"/>
      <c r="ECI112" s="774"/>
      <c r="ECJ112" s="774"/>
      <c r="ECK112" s="774"/>
      <c r="ECL112" s="774"/>
      <c r="ECM112" s="774"/>
      <c r="ECN112" s="774"/>
      <c r="ECO112" s="774"/>
      <c r="ECP112" s="774"/>
      <c r="ECQ112" s="774"/>
      <c r="ECR112" s="774"/>
      <c r="ECS112" s="774"/>
      <c r="ECT112" s="774"/>
      <c r="ECU112" s="774"/>
      <c r="ECV112" s="774"/>
      <c r="ECW112" s="774"/>
      <c r="ECX112" s="774"/>
      <c r="ECY112" s="774"/>
      <c r="ECZ112" s="774"/>
      <c r="EDA112" s="774"/>
      <c r="EDB112" s="774"/>
      <c r="EDC112" s="774"/>
      <c r="EDD112" s="774"/>
      <c r="EDE112" s="774"/>
      <c r="EDF112" s="774"/>
      <c r="EDG112" s="774"/>
      <c r="EDH112" s="774"/>
      <c r="EDI112" s="774"/>
      <c r="EDJ112" s="774"/>
      <c r="EDK112" s="774"/>
      <c r="EDL112" s="774"/>
      <c r="EDM112" s="774"/>
      <c r="EDN112" s="774"/>
      <c r="EDO112" s="774"/>
      <c r="EDP112" s="774"/>
      <c r="EDQ112" s="774"/>
      <c r="EDR112" s="774"/>
      <c r="EDS112" s="774"/>
      <c r="EDT112" s="774"/>
      <c r="EDU112" s="774"/>
      <c r="EDV112" s="774"/>
      <c r="EDW112" s="774"/>
      <c r="EDX112" s="774"/>
      <c r="EDY112" s="774"/>
      <c r="EDZ112" s="774"/>
      <c r="EEA112" s="774"/>
      <c r="EEB112" s="774"/>
      <c r="EEC112" s="774"/>
      <c r="EED112" s="774"/>
      <c r="EEE112" s="774"/>
      <c r="EEF112" s="774"/>
      <c r="EEG112" s="774"/>
      <c r="EEH112" s="774"/>
      <c r="EEI112" s="774"/>
      <c r="EEJ112" s="774"/>
      <c r="EEK112" s="774"/>
      <c r="EEL112" s="774"/>
      <c r="EEM112" s="774"/>
      <c r="EEN112" s="774"/>
      <c r="EEO112" s="774"/>
      <c r="EEP112" s="774"/>
      <c r="EEQ112" s="774"/>
      <c r="EER112" s="774"/>
      <c r="EES112" s="774"/>
      <c r="EET112" s="774"/>
      <c r="EEU112" s="774"/>
      <c r="EEV112" s="774"/>
      <c r="EEW112" s="774"/>
      <c r="EEX112" s="774"/>
      <c r="EEY112" s="774"/>
      <c r="EEZ112" s="774"/>
      <c r="EFA112" s="774"/>
      <c r="EFB112" s="774"/>
      <c r="EFC112" s="774"/>
      <c r="EFD112" s="774"/>
      <c r="EFE112" s="774"/>
      <c r="EFF112" s="774"/>
      <c r="EFG112" s="774"/>
      <c r="EFH112" s="774"/>
      <c r="EFI112" s="774"/>
      <c r="EFJ112" s="774"/>
      <c r="EFK112" s="774"/>
      <c r="EFL112" s="774"/>
      <c r="EFM112" s="774"/>
      <c r="EFN112" s="774"/>
      <c r="EFO112" s="774"/>
      <c r="EFP112" s="774"/>
      <c r="EFQ112" s="774"/>
      <c r="EFR112" s="774"/>
      <c r="EFS112" s="774"/>
      <c r="EFT112" s="774"/>
      <c r="EFU112" s="774"/>
      <c r="EFV112" s="774"/>
      <c r="EFW112" s="774"/>
      <c r="EFX112" s="774"/>
      <c r="EFY112" s="774"/>
      <c r="EFZ112" s="774"/>
      <c r="EGA112" s="774"/>
      <c r="EGB112" s="774"/>
      <c r="EGC112" s="774"/>
      <c r="EGD112" s="774"/>
      <c r="EGE112" s="774"/>
      <c r="EGF112" s="774"/>
      <c r="EGG112" s="774"/>
      <c r="EGH112" s="774"/>
      <c r="EGI112" s="774"/>
      <c r="EGJ112" s="774"/>
      <c r="EGK112" s="774"/>
      <c r="EGL112" s="774"/>
      <c r="EGM112" s="774"/>
      <c r="EGN112" s="774"/>
      <c r="EGO112" s="774"/>
      <c r="EGP112" s="774"/>
      <c r="EGQ112" s="774"/>
      <c r="EGR112" s="774"/>
      <c r="EGS112" s="774"/>
      <c r="EGT112" s="774"/>
      <c r="EGU112" s="774"/>
      <c r="EGV112" s="774"/>
      <c r="EGW112" s="774"/>
      <c r="EGX112" s="774"/>
      <c r="EGY112" s="774"/>
      <c r="EGZ112" s="774"/>
      <c r="EHA112" s="774"/>
      <c r="EHB112" s="774"/>
      <c r="EHC112" s="774"/>
      <c r="EHD112" s="774"/>
      <c r="EHE112" s="774"/>
      <c r="EHF112" s="774"/>
      <c r="EHG112" s="774"/>
      <c r="EHH112" s="774"/>
      <c r="EHI112" s="774"/>
      <c r="EHJ112" s="774"/>
      <c r="EHK112" s="774"/>
      <c r="EHL112" s="774"/>
      <c r="EHM112" s="774"/>
      <c r="EHN112" s="774"/>
      <c r="EHO112" s="774"/>
      <c r="EHP112" s="774"/>
      <c r="EHQ112" s="774"/>
      <c r="EHR112" s="774"/>
      <c r="EHS112" s="774"/>
      <c r="EHT112" s="774"/>
      <c r="EHU112" s="774"/>
      <c r="EHV112" s="774"/>
      <c r="EHW112" s="774"/>
      <c r="EHX112" s="774"/>
      <c r="EHY112" s="774"/>
      <c r="EHZ112" s="774"/>
      <c r="EIA112" s="774"/>
      <c r="EIB112" s="774"/>
      <c r="EIC112" s="774"/>
      <c r="EID112" s="774"/>
      <c r="EIE112" s="774"/>
      <c r="EIF112" s="774"/>
      <c r="EIG112" s="774"/>
      <c r="EIH112" s="774"/>
      <c r="EII112" s="774"/>
      <c r="EIJ112" s="774"/>
      <c r="EIK112" s="774"/>
      <c r="EIL112" s="774"/>
      <c r="EIM112" s="774"/>
      <c r="EIN112" s="774"/>
      <c r="EIO112" s="774"/>
      <c r="EIP112" s="774"/>
      <c r="EIQ112" s="774"/>
      <c r="EIR112" s="774"/>
      <c r="EIS112" s="774"/>
      <c r="EIT112" s="774"/>
      <c r="EIU112" s="774"/>
      <c r="EIV112" s="774"/>
      <c r="EIW112" s="774"/>
      <c r="EIX112" s="774"/>
      <c r="EIY112" s="774"/>
      <c r="EIZ112" s="774"/>
      <c r="EJA112" s="774"/>
      <c r="EJB112" s="774"/>
      <c r="EJC112" s="774"/>
      <c r="EJD112" s="774"/>
      <c r="EJE112" s="774"/>
      <c r="EJF112" s="774"/>
      <c r="EJG112" s="774"/>
      <c r="EJH112" s="774"/>
      <c r="EJI112" s="774"/>
      <c r="EJJ112" s="774"/>
      <c r="EJK112" s="774"/>
      <c r="EJL112" s="774"/>
      <c r="EJM112" s="774"/>
      <c r="EJN112" s="774"/>
      <c r="EJO112" s="774"/>
      <c r="EJP112" s="774"/>
      <c r="EJQ112" s="774"/>
      <c r="EJR112" s="774"/>
      <c r="EJS112" s="774"/>
      <c r="EJT112" s="774"/>
      <c r="EJU112" s="774"/>
      <c r="EJV112" s="774"/>
      <c r="EJW112" s="774"/>
      <c r="EJX112" s="774"/>
      <c r="EJY112" s="774"/>
      <c r="EJZ112" s="774"/>
      <c r="EKA112" s="774"/>
      <c r="EKB112" s="774"/>
      <c r="EKC112" s="774"/>
      <c r="EKD112" s="774"/>
      <c r="EKE112" s="774"/>
      <c r="EKF112" s="774"/>
      <c r="EKG112" s="774"/>
      <c r="EKH112" s="774"/>
      <c r="EKI112" s="774"/>
      <c r="EKJ112" s="774"/>
      <c r="EKK112" s="774"/>
      <c r="EKL112" s="774"/>
      <c r="EKM112" s="774"/>
      <c r="EKN112" s="774"/>
      <c r="EKO112" s="774"/>
      <c r="EKP112" s="774"/>
      <c r="EKQ112" s="774"/>
      <c r="EKR112" s="774"/>
      <c r="EKS112" s="774"/>
      <c r="EKT112" s="774"/>
      <c r="EKU112" s="774"/>
      <c r="EKV112" s="774"/>
      <c r="EKW112" s="774"/>
      <c r="EKX112" s="774"/>
      <c r="EKY112" s="774"/>
      <c r="EKZ112" s="774"/>
      <c r="ELA112" s="774"/>
      <c r="ELB112" s="774"/>
      <c r="ELC112" s="774"/>
      <c r="ELD112" s="774"/>
      <c r="ELE112" s="774"/>
      <c r="ELF112" s="774"/>
      <c r="ELG112" s="774"/>
      <c r="ELH112" s="774"/>
      <c r="ELI112" s="774"/>
      <c r="ELJ112" s="774"/>
      <c r="ELK112" s="774"/>
      <c r="ELL112" s="774"/>
      <c r="ELM112" s="774"/>
      <c r="ELN112" s="774"/>
      <c r="ELO112" s="774"/>
      <c r="ELP112" s="774"/>
      <c r="ELQ112" s="774"/>
      <c r="ELR112" s="774"/>
      <c r="ELS112" s="774"/>
      <c r="ELT112" s="774"/>
      <c r="ELU112" s="774"/>
      <c r="ELV112" s="774"/>
      <c r="ELW112" s="774"/>
      <c r="ELX112" s="774"/>
      <c r="ELY112" s="774"/>
      <c r="ELZ112" s="774"/>
      <c r="EMA112" s="774"/>
      <c r="EMB112" s="774"/>
      <c r="EMC112" s="774"/>
      <c r="EMD112" s="774"/>
      <c r="EME112" s="774"/>
      <c r="EMF112" s="774"/>
      <c r="EMG112" s="774"/>
      <c r="EMH112" s="774"/>
      <c r="EMI112" s="774"/>
      <c r="EMJ112" s="774"/>
      <c r="EMK112" s="774"/>
      <c r="EML112" s="774"/>
      <c r="EMM112" s="774"/>
      <c r="EMN112" s="774"/>
      <c r="EMO112" s="774"/>
      <c r="EMP112" s="774"/>
      <c r="EMQ112" s="774"/>
      <c r="EMR112" s="774"/>
      <c r="EMS112" s="774"/>
      <c r="EMT112" s="774"/>
      <c r="EMU112" s="774"/>
      <c r="EMV112" s="774"/>
      <c r="EMW112" s="774"/>
      <c r="EMX112" s="774"/>
      <c r="EMY112" s="774"/>
      <c r="EMZ112" s="774"/>
      <c r="ENA112" s="774"/>
      <c r="ENB112" s="774"/>
      <c r="ENC112" s="774"/>
      <c r="END112" s="774"/>
      <c r="ENE112" s="774"/>
      <c r="ENF112" s="774"/>
      <c r="ENG112" s="774"/>
      <c r="ENH112" s="774"/>
      <c r="ENI112" s="774"/>
      <c r="ENJ112" s="774"/>
      <c r="ENK112" s="774"/>
      <c r="ENL112" s="774"/>
      <c r="ENM112" s="774"/>
      <c r="ENN112" s="774"/>
      <c r="ENO112" s="774"/>
      <c r="ENP112" s="774"/>
      <c r="ENQ112" s="774"/>
      <c r="ENR112" s="774"/>
      <c r="ENS112" s="774"/>
      <c r="ENT112" s="774"/>
      <c r="ENU112" s="774"/>
      <c r="ENV112" s="774"/>
      <c r="ENW112" s="774"/>
      <c r="ENX112" s="774"/>
      <c r="ENY112" s="774"/>
      <c r="ENZ112" s="774"/>
      <c r="EOA112" s="774"/>
      <c r="EOB112" s="774"/>
      <c r="EOC112" s="774"/>
      <c r="EOD112" s="774"/>
      <c r="EOE112" s="774"/>
      <c r="EOF112" s="774"/>
      <c r="EOG112" s="774"/>
      <c r="EOH112" s="774"/>
      <c r="EOI112" s="774"/>
      <c r="EOJ112" s="774"/>
      <c r="EOK112" s="774"/>
      <c r="EOL112" s="774"/>
      <c r="EOM112" s="774"/>
      <c r="EON112" s="774"/>
      <c r="EOO112" s="774"/>
      <c r="EOP112" s="774"/>
      <c r="EOQ112" s="774"/>
      <c r="EOR112" s="774"/>
      <c r="EOS112" s="774"/>
      <c r="EOT112" s="774"/>
      <c r="EOU112" s="774"/>
      <c r="EOV112" s="774"/>
      <c r="EOW112" s="774"/>
      <c r="EOX112" s="774"/>
      <c r="EOY112" s="774"/>
      <c r="EOZ112" s="774"/>
      <c r="EPA112" s="774"/>
      <c r="EPB112" s="774"/>
      <c r="EPC112" s="774"/>
      <c r="EPD112" s="774"/>
      <c r="EPE112" s="774"/>
      <c r="EPF112" s="774"/>
      <c r="EPG112" s="774"/>
      <c r="EPH112" s="774"/>
      <c r="EPI112" s="774"/>
      <c r="EPJ112" s="774"/>
      <c r="EPK112" s="774"/>
      <c r="EPL112" s="774"/>
      <c r="EPM112" s="774"/>
      <c r="EPN112" s="774"/>
      <c r="EPO112" s="774"/>
      <c r="EPP112" s="774"/>
      <c r="EPQ112" s="774"/>
      <c r="EPR112" s="774"/>
      <c r="EPS112" s="774"/>
      <c r="EPT112" s="774"/>
      <c r="EPU112" s="774"/>
      <c r="EPV112" s="774"/>
      <c r="EPW112" s="774"/>
      <c r="EPX112" s="774"/>
      <c r="EPY112" s="774"/>
      <c r="EPZ112" s="774"/>
      <c r="EQA112" s="774"/>
      <c r="EQB112" s="774"/>
      <c r="EQC112" s="774"/>
      <c r="EQD112" s="774"/>
      <c r="EQE112" s="774"/>
      <c r="EQF112" s="774"/>
      <c r="EQG112" s="774"/>
      <c r="EQH112" s="774"/>
      <c r="EQI112" s="774"/>
      <c r="EQJ112" s="774"/>
      <c r="EQK112" s="774"/>
      <c r="EQL112" s="774"/>
      <c r="EQM112" s="774"/>
      <c r="EQN112" s="774"/>
      <c r="EQO112" s="774"/>
      <c r="EQP112" s="774"/>
      <c r="EQQ112" s="774"/>
      <c r="EQR112" s="774"/>
      <c r="EQS112" s="774"/>
      <c r="EQT112" s="774"/>
      <c r="EQU112" s="774"/>
      <c r="EQV112" s="774"/>
      <c r="EQW112" s="774"/>
      <c r="EQX112" s="774"/>
      <c r="EQY112" s="774"/>
      <c r="EQZ112" s="774"/>
      <c r="ERA112" s="774"/>
      <c r="ERB112" s="774"/>
      <c r="ERC112" s="774"/>
      <c r="ERD112" s="774"/>
      <c r="ERE112" s="774"/>
      <c r="ERF112" s="774"/>
      <c r="ERG112" s="774"/>
      <c r="ERH112" s="774"/>
      <c r="ERI112" s="774"/>
      <c r="ERJ112" s="774"/>
      <c r="ERK112" s="774"/>
      <c r="ERL112" s="774"/>
      <c r="ERM112" s="774"/>
      <c r="ERN112" s="774"/>
      <c r="ERO112" s="774"/>
      <c r="ERP112" s="774"/>
      <c r="ERQ112" s="774"/>
      <c r="ERR112" s="774"/>
      <c r="ERS112" s="774"/>
      <c r="ERT112" s="774"/>
      <c r="ERU112" s="774"/>
      <c r="ERV112" s="774"/>
      <c r="ERW112" s="774"/>
      <c r="ERX112" s="774"/>
      <c r="ERY112" s="774"/>
      <c r="ERZ112" s="774"/>
      <c r="ESA112" s="774"/>
      <c r="ESB112" s="774"/>
      <c r="ESC112" s="774"/>
      <c r="ESD112" s="774"/>
      <c r="ESE112" s="774"/>
      <c r="ESF112" s="774"/>
      <c r="ESG112" s="774"/>
      <c r="ESH112" s="774"/>
      <c r="ESI112" s="774"/>
      <c r="ESJ112" s="774"/>
      <c r="ESK112" s="774"/>
      <c r="ESL112" s="774"/>
      <c r="ESM112" s="774"/>
      <c r="ESN112" s="774"/>
      <c r="ESO112" s="774"/>
      <c r="ESP112" s="774"/>
      <c r="ESQ112" s="774"/>
      <c r="ESR112" s="774"/>
      <c r="ESS112" s="774"/>
      <c r="EST112" s="774"/>
      <c r="ESU112" s="774"/>
      <c r="ESV112" s="774"/>
      <c r="ESW112" s="774"/>
      <c r="ESX112" s="774"/>
      <c r="ESY112" s="774"/>
      <c r="ESZ112" s="774"/>
      <c r="ETA112" s="774"/>
      <c r="ETB112" s="774"/>
      <c r="ETC112" s="774"/>
      <c r="ETD112" s="774"/>
      <c r="ETE112" s="774"/>
      <c r="ETF112" s="774"/>
      <c r="ETG112" s="774"/>
      <c r="ETH112" s="774"/>
      <c r="ETI112" s="774"/>
      <c r="ETJ112" s="774"/>
      <c r="ETK112" s="774"/>
      <c r="ETL112" s="774"/>
      <c r="ETM112" s="774"/>
      <c r="ETN112" s="774"/>
      <c r="ETO112" s="774"/>
      <c r="ETP112" s="774"/>
      <c r="ETQ112" s="774"/>
      <c r="ETR112" s="774"/>
      <c r="ETS112" s="774"/>
      <c r="ETT112" s="774"/>
      <c r="ETU112" s="774"/>
      <c r="ETV112" s="774"/>
      <c r="ETW112" s="774"/>
      <c r="ETX112" s="774"/>
      <c r="ETY112" s="774"/>
      <c r="ETZ112" s="774"/>
      <c r="EUA112" s="774"/>
      <c r="EUB112" s="774"/>
      <c r="EUC112" s="774"/>
      <c r="EUD112" s="774"/>
      <c r="EUE112" s="774"/>
      <c r="EUF112" s="774"/>
      <c r="EUG112" s="774"/>
      <c r="EUH112" s="774"/>
      <c r="EUI112" s="774"/>
      <c r="EUJ112" s="774"/>
      <c r="EUK112" s="774"/>
      <c r="EUL112" s="774"/>
      <c r="EUM112" s="774"/>
      <c r="EUN112" s="774"/>
      <c r="EUO112" s="774"/>
      <c r="EUP112" s="774"/>
      <c r="EUQ112" s="774"/>
      <c r="EUR112" s="774"/>
      <c r="EUS112" s="774"/>
      <c r="EUT112" s="774"/>
      <c r="EUU112" s="774"/>
      <c r="EUV112" s="774"/>
      <c r="EUW112" s="774"/>
      <c r="EUX112" s="774"/>
      <c r="EUY112" s="774"/>
      <c r="EUZ112" s="774"/>
      <c r="EVA112" s="774"/>
      <c r="EVB112" s="774"/>
      <c r="EVC112" s="774"/>
      <c r="EVD112" s="774"/>
      <c r="EVE112" s="774"/>
      <c r="EVF112" s="774"/>
      <c r="EVG112" s="774"/>
      <c r="EVH112" s="774"/>
      <c r="EVI112" s="774"/>
      <c r="EVJ112" s="774"/>
      <c r="EVK112" s="774"/>
      <c r="EVL112" s="774"/>
      <c r="EVM112" s="774"/>
      <c r="EVN112" s="774"/>
      <c r="EVO112" s="774"/>
      <c r="EVP112" s="774"/>
      <c r="EVQ112" s="774"/>
      <c r="EVR112" s="774"/>
      <c r="EVS112" s="774"/>
      <c r="EVT112" s="774"/>
      <c r="EVU112" s="774"/>
      <c r="EVV112" s="774"/>
      <c r="EVW112" s="774"/>
      <c r="EVX112" s="774"/>
      <c r="EVY112" s="774"/>
      <c r="EVZ112" s="774"/>
      <c r="EWA112" s="774"/>
      <c r="EWB112" s="774"/>
      <c r="EWC112" s="774"/>
      <c r="EWD112" s="774"/>
      <c r="EWE112" s="774"/>
      <c r="EWF112" s="774"/>
      <c r="EWG112" s="774"/>
      <c r="EWH112" s="774"/>
      <c r="EWI112" s="774"/>
      <c r="EWJ112" s="774"/>
      <c r="EWK112" s="774"/>
      <c r="EWL112" s="774"/>
      <c r="EWM112" s="774"/>
      <c r="EWN112" s="774"/>
      <c r="EWO112" s="774"/>
      <c r="EWP112" s="774"/>
      <c r="EWQ112" s="774"/>
      <c r="EWR112" s="774"/>
      <c r="EWS112" s="774"/>
      <c r="EWT112" s="774"/>
      <c r="EWU112" s="774"/>
      <c r="EWV112" s="774"/>
      <c r="EWW112" s="774"/>
      <c r="EWX112" s="774"/>
      <c r="EWY112" s="774"/>
      <c r="EWZ112" s="774"/>
      <c r="EXA112" s="774"/>
      <c r="EXB112" s="774"/>
      <c r="EXC112" s="774"/>
      <c r="EXD112" s="774"/>
      <c r="EXE112" s="774"/>
      <c r="EXF112" s="774"/>
      <c r="EXG112" s="774"/>
      <c r="EXH112" s="774"/>
      <c r="EXI112" s="774"/>
      <c r="EXJ112" s="774"/>
      <c r="EXK112" s="774"/>
      <c r="EXL112" s="774"/>
      <c r="EXM112" s="774"/>
      <c r="EXN112" s="774"/>
      <c r="EXO112" s="774"/>
      <c r="EXP112" s="774"/>
      <c r="EXQ112" s="774"/>
      <c r="EXR112" s="774"/>
      <c r="EXS112" s="774"/>
      <c r="EXT112" s="774"/>
      <c r="EXU112" s="774"/>
      <c r="EXV112" s="774"/>
      <c r="EXW112" s="774"/>
      <c r="EXX112" s="774"/>
      <c r="EXY112" s="774"/>
      <c r="EXZ112" s="774"/>
      <c r="EYA112" s="774"/>
      <c r="EYB112" s="774"/>
      <c r="EYC112" s="774"/>
      <c r="EYD112" s="774"/>
      <c r="EYE112" s="774"/>
      <c r="EYF112" s="774"/>
      <c r="EYG112" s="774"/>
      <c r="EYH112" s="774"/>
      <c r="EYI112" s="774"/>
      <c r="EYJ112" s="774"/>
      <c r="EYK112" s="774"/>
      <c r="EYL112" s="774"/>
      <c r="EYM112" s="774"/>
      <c r="EYN112" s="774"/>
      <c r="EYO112" s="774"/>
      <c r="EYP112" s="774"/>
      <c r="EYQ112" s="774"/>
      <c r="EYR112" s="774"/>
      <c r="EYS112" s="774"/>
      <c r="EYT112" s="774"/>
      <c r="EYU112" s="774"/>
      <c r="EYV112" s="774"/>
      <c r="EYW112" s="774"/>
      <c r="EYX112" s="774"/>
      <c r="EYY112" s="774"/>
      <c r="EYZ112" s="774"/>
      <c r="EZA112" s="774"/>
      <c r="EZB112" s="774"/>
      <c r="EZC112" s="774"/>
      <c r="EZD112" s="774"/>
      <c r="EZE112" s="774"/>
      <c r="EZF112" s="774"/>
      <c r="EZG112" s="774"/>
      <c r="EZH112" s="774"/>
      <c r="EZI112" s="774"/>
      <c r="EZJ112" s="774"/>
      <c r="EZK112" s="774"/>
      <c r="EZL112" s="774"/>
      <c r="EZM112" s="774"/>
      <c r="EZN112" s="774"/>
      <c r="EZO112" s="774"/>
      <c r="EZP112" s="774"/>
      <c r="EZQ112" s="774"/>
      <c r="EZR112" s="774"/>
      <c r="EZS112" s="774"/>
      <c r="EZT112" s="774"/>
      <c r="EZU112" s="774"/>
      <c r="EZV112" s="774"/>
      <c r="EZW112" s="774"/>
      <c r="EZX112" s="774"/>
      <c r="EZY112" s="774"/>
      <c r="EZZ112" s="774"/>
      <c r="FAA112" s="774"/>
      <c r="FAB112" s="774"/>
      <c r="FAC112" s="774"/>
      <c r="FAD112" s="774"/>
      <c r="FAE112" s="774"/>
      <c r="FAF112" s="774"/>
      <c r="FAG112" s="774"/>
      <c r="FAH112" s="774"/>
      <c r="FAI112" s="774"/>
      <c r="FAJ112" s="774"/>
      <c r="FAK112" s="774"/>
      <c r="FAL112" s="774"/>
      <c r="FAM112" s="774"/>
      <c r="FAN112" s="774"/>
      <c r="FAO112" s="774"/>
      <c r="FAP112" s="774"/>
      <c r="FAQ112" s="774"/>
      <c r="FAR112" s="774"/>
      <c r="FAS112" s="774"/>
      <c r="FAT112" s="774"/>
      <c r="FAU112" s="774"/>
      <c r="FAV112" s="774"/>
      <c r="FAW112" s="774"/>
      <c r="FAX112" s="774"/>
      <c r="FAY112" s="774"/>
      <c r="FAZ112" s="774"/>
      <c r="FBA112" s="774"/>
      <c r="FBB112" s="774"/>
      <c r="FBC112" s="774"/>
      <c r="FBD112" s="774"/>
      <c r="FBE112" s="774"/>
      <c r="FBF112" s="774"/>
      <c r="FBG112" s="774"/>
      <c r="FBH112" s="774"/>
      <c r="FBI112" s="774"/>
      <c r="FBJ112" s="774"/>
      <c r="FBK112" s="774"/>
      <c r="FBL112" s="774"/>
      <c r="FBM112" s="774"/>
      <c r="FBN112" s="774"/>
      <c r="FBO112" s="774"/>
      <c r="FBP112" s="774"/>
      <c r="FBQ112" s="774"/>
      <c r="FBR112" s="774"/>
      <c r="FBS112" s="774"/>
      <c r="FBT112" s="774"/>
      <c r="FBU112" s="774"/>
      <c r="FBV112" s="774"/>
      <c r="FBW112" s="774"/>
      <c r="FBX112" s="774"/>
      <c r="FBY112" s="774"/>
      <c r="FBZ112" s="774"/>
      <c r="FCA112" s="774"/>
      <c r="FCB112" s="774"/>
      <c r="FCC112" s="774"/>
      <c r="FCD112" s="774"/>
      <c r="FCE112" s="774"/>
      <c r="FCF112" s="774"/>
      <c r="FCG112" s="774"/>
      <c r="FCH112" s="774"/>
      <c r="FCI112" s="774"/>
      <c r="FCJ112" s="774"/>
      <c r="FCK112" s="774"/>
      <c r="FCL112" s="774"/>
      <c r="FCM112" s="774"/>
      <c r="FCN112" s="774"/>
      <c r="FCO112" s="774"/>
      <c r="FCP112" s="774"/>
      <c r="FCQ112" s="774"/>
      <c r="FCR112" s="774"/>
      <c r="FCS112" s="774"/>
      <c r="FCT112" s="774"/>
      <c r="FCU112" s="774"/>
      <c r="FCV112" s="774"/>
      <c r="FCW112" s="774"/>
      <c r="FCX112" s="774"/>
      <c r="FCY112" s="774"/>
      <c r="FCZ112" s="774"/>
      <c r="FDA112" s="774"/>
      <c r="FDB112" s="774"/>
      <c r="FDC112" s="774"/>
      <c r="FDD112" s="774"/>
      <c r="FDE112" s="774"/>
      <c r="FDF112" s="774"/>
      <c r="FDG112" s="774"/>
      <c r="FDH112" s="774"/>
      <c r="FDI112" s="774"/>
      <c r="FDJ112" s="774"/>
      <c r="FDK112" s="774"/>
      <c r="FDL112" s="774"/>
      <c r="FDM112" s="774"/>
      <c r="FDN112" s="774"/>
      <c r="FDO112" s="774"/>
      <c r="FDP112" s="774"/>
      <c r="FDQ112" s="774"/>
      <c r="FDR112" s="774"/>
      <c r="FDS112" s="774"/>
      <c r="FDT112" s="774"/>
      <c r="FDU112" s="774"/>
      <c r="FDV112" s="774"/>
      <c r="FDW112" s="774"/>
      <c r="FDX112" s="774"/>
      <c r="FDY112" s="774"/>
      <c r="FDZ112" s="774"/>
      <c r="FEA112" s="774"/>
      <c r="FEB112" s="774"/>
      <c r="FEC112" s="774"/>
      <c r="FED112" s="774"/>
      <c r="FEE112" s="774"/>
      <c r="FEF112" s="774"/>
      <c r="FEG112" s="774"/>
      <c r="FEH112" s="774"/>
      <c r="FEI112" s="774"/>
      <c r="FEJ112" s="774"/>
      <c r="FEK112" s="774"/>
      <c r="FEL112" s="774"/>
      <c r="FEM112" s="774"/>
      <c r="FEN112" s="774"/>
      <c r="FEO112" s="774"/>
      <c r="FEP112" s="774"/>
      <c r="FEQ112" s="774"/>
      <c r="FER112" s="774"/>
      <c r="FES112" s="774"/>
      <c r="FET112" s="774"/>
      <c r="FEU112" s="774"/>
      <c r="FEV112" s="774"/>
      <c r="FEW112" s="774"/>
      <c r="FEX112" s="774"/>
      <c r="FEY112" s="774"/>
      <c r="FEZ112" s="774"/>
      <c r="FFA112" s="774"/>
      <c r="FFB112" s="774"/>
      <c r="FFC112" s="774"/>
      <c r="FFD112" s="774"/>
      <c r="FFE112" s="774"/>
      <c r="FFF112" s="774"/>
      <c r="FFG112" s="774"/>
      <c r="FFH112" s="774"/>
      <c r="FFI112" s="774"/>
      <c r="FFJ112" s="774"/>
      <c r="FFK112" s="774"/>
      <c r="FFL112" s="774"/>
      <c r="FFM112" s="774"/>
      <c r="FFN112" s="774"/>
      <c r="FFO112" s="774"/>
      <c r="FFP112" s="774"/>
      <c r="FFQ112" s="774"/>
      <c r="FFR112" s="774"/>
      <c r="FFS112" s="774"/>
      <c r="FFT112" s="774"/>
      <c r="FFU112" s="774"/>
      <c r="FFV112" s="774"/>
      <c r="FFW112" s="774"/>
      <c r="FFX112" s="774"/>
      <c r="FFY112" s="774"/>
      <c r="FFZ112" s="774"/>
      <c r="FGA112" s="774"/>
      <c r="FGB112" s="774"/>
      <c r="FGC112" s="774"/>
      <c r="FGD112" s="774"/>
      <c r="FGE112" s="774"/>
      <c r="FGF112" s="774"/>
      <c r="FGG112" s="774"/>
      <c r="FGH112" s="774"/>
      <c r="FGI112" s="774"/>
      <c r="FGJ112" s="774"/>
      <c r="FGK112" s="774"/>
      <c r="FGL112" s="774"/>
      <c r="FGM112" s="774"/>
      <c r="FGN112" s="774"/>
      <c r="FGO112" s="774"/>
      <c r="FGP112" s="774"/>
      <c r="FGQ112" s="774"/>
      <c r="FGR112" s="774"/>
      <c r="FGS112" s="774"/>
      <c r="FGT112" s="774"/>
      <c r="FGU112" s="774"/>
      <c r="FGV112" s="774"/>
      <c r="FGW112" s="774"/>
      <c r="FGX112" s="774"/>
      <c r="FGY112" s="774"/>
      <c r="FGZ112" s="774"/>
      <c r="FHA112" s="774"/>
      <c r="FHB112" s="774"/>
      <c r="FHC112" s="774"/>
      <c r="FHD112" s="774"/>
      <c r="FHE112" s="774"/>
      <c r="FHF112" s="774"/>
      <c r="FHG112" s="774"/>
      <c r="FHH112" s="774"/>
      <c r="FHI112" s="774"/>
      <c r="FHJ112" s="774"/>
      <c r="FHK112" s="774"/>
      <c r="FHL112" s="774"/>
      <c r="FHM112" s="774"/>
      <c r="FHN112" s="774"/>
      <c r="FHO112" s="774"/>
      <c r="FHP112" s="774"/>
      <c r="FHQ112" s="774"/>
      <c r="FHR112" s="774"/>
      <c r="FHS112" s="774"/>
      <c r="FHT112" s="774"/>
      <c r="FHU112" s="774"/>
      <c r="FHV112" s="774"/>
      <c r="FHW112" s="774"/>
      <c r="FHX112" s="774"/>
      <c r="FHY112" s="774"/>
      <c r="FHZ112" s="774"/>
      <c r="FIA112" s="774"/>
      <c r="FIB112" s="774"/>
      <c r="FIC112" s="774"/>
      <c r="FID112" s="774"/>
      <c r="FIE112" s="774"/>
      <c r="FIF112" s="774"/>
      <c r="FIG112" s="774"/>
      <c r="FIH112" s="774"/>
      <c r="FII112" s="774"/>
      <c r="FIJ112" s="774"/>
      <c r="FIK112" s="774"/>
      <c r="FIL112" s="774"/>
      <c r="FIM112" s="774"/>
      <c r="FIN112" s="774"/>
      <c r="FIO112" s="774"/>
      <c r="FIP112" s="774"/>
      <c r="FIQ112" s="774"/>
      <c r="FIR112" s="774"/>
      <c r="FIS112" s="774"/>
      <c r="FIT112" s="774"/>
      <c r="FIU112" s="774"/>
      <c r="FIV112" s="774"/>
      <c r="FIW112" s="774"/>
      <c r="FIX112" s="774"/>
      <c r="FIY112" s="774"/>
      <c r="FIZ112" s="774"/>
      <c r="FJA112" s="774"/>
      <c r="FJB112" s="774"/>
      <c r="FJC112" s="774"/>
      <c r="FJD112" s="774"/>
      <c r="FJE112" s="774"/>
      <c r="FJF112" s="774"/>
      <c r="FJG112" s="774"/>
      <c r="FJH112" s="774"/>
      <c r="FJI112" s="774"/>
      <c r="FJJ112" s="774"/>
      <c r="FJK112" s="774"/>
      <c r="FJL112" s="774"/>
      <c r="FJM112" s="774"/>
      <c r="FJN112" s="774"/>
      <c r="FJO112" s="774"/>
      <c r="FJP112" s="774"/>
      <c r="FJQ112" s="774"/>
      <c r="FJR112" s="774"/>
      <c r="FJS112" s="774"/>
      <c r="FJT112" s="774"/>
      <c r="FJU112" s="774"/>
      <c r="FJV112" s="774"/>
      <c r="FJW112" s="774"/>
      <c r="FJX112" s="774"/>
      <c r="FJY112" s="774"/>
      <c r="FJZ112" s="774"/>
      <c r="FKA112" s="774"/>
      <c r="FKB112" s="774"/>
      <c r="FKC112" s="774"/>
      <c r="FKD112" s="774"/>
      <c r="FKE112" s="774"/>
      <c r="FKF112" s="774"/>
      <c r="FKG112" s="774"/>
      <c r="FKH112" s="774"/>
      <c r="FKI112" s="774"/>
      <c r="FKJ112" s="774"/>
      <c r="FKK112" s="774"/>
      <c r="FKL112" s="774"/>
      <c r="FKM112" s="774"/>
      <c r="FKN112" s="774"/>
      <c r="FKO112" s="774"/>
      <c r="FKP112" s="774"/>
      <c r="FKQ112" s="774"/>
      <c r="FKR112" s="774"/>
      <c r="FKS112" s="774"/>
      <c r="FKT112" s="774"/>
      <c r="FKU112" s="774"/>
      <c r="FKV112" s="774"/>
      <c r="FKW112" s="774"/>
      <c r="FKX112" s="774"/>
      <c r="FKY112" s="774"/>
      <c r="FKZ112" s="774"/>
      <c r="FLA112" s="774"/>
      <c r="FLB112" s="774"/>
      <c r="FLC112" s="774"/>
      <c r="FLD112" s="774"/>
      <c r="FLE112" s="774"/>
      <c r="FLF112" s="774"/>
      <c r="FLG112" s="774"/>
      <c r="FLH112" s="774"/>
      <c r="FLI112" s="774"/>
      <c r="FLJ112" s="774"/>
      <c r="FLK112" s="774"/>
      <c r="FLL112" s="774"/>
      <c r="FLM112" s="774"/>
      <c r="FLN112" s="774"/>
      <c r="FLO112" s="774"/>
      <c r="FLP112" s="774"/>
      <c r="FLQ112" s="774"/>
      <c r="FLR112" s="774"/>
      <c r="FLS112" s="774"/>
      <c r="FLT112" s="774"/>
      <c r="FLU112" s="774"/>
      <c r="FLV112" s="774"/>
      <c r="FLW112" s="774"/>
      <c r="FLX112" s="774"/>
      <c r="FLY112" s="774"/>
      <c r="FLZ112" s="774"/>
      <c r="FMA112" s="774"/>
      <c r="FMB112" s="774"/>
      <c r="FMC112" s="774"/>
      <c r="FMD112" s="774"/>
      <c r="FME112" s="774"/>
      <c r="FMF112" s="774"/>
      <c r="FMG112" s="774"/>
      <c r="FMH112" s="774"/>
      <c r="FMI112" s="774"/>
      <c r="FMJ112" s="774"/>
      <c r="FMK112" s="774"/>
      <c r="FML112" s="774"/>
      <c r="FMM112" s="774"/>
      <c r="FMN112" s="774"/>
      <c r="FMO112" s="774"/>
      <c r="FMP112" s="774"/>
      <c r="FMQ112" s="774"/>
      <c r="FMR112" s="774"/>
      <c r="FMS112" s="774"/>
      <c r="FMT112" s="774"/>
      <c r="FMU112" s="774"/>
      <c r="FMV112" s="774"/>
      <c r="FMW112" s="774"/>
      <c r="FMX112" s="774"/>
      <c r="FMY112" s="774"/>
      <c r="FMZ112" s="774"/>
      <c r="FNA112" s="774"/>
      <c r="FNB112" s="774"/>
      <c r="FNC112" s="774"/>
      <c r="FND112" s="774"/>
      <c r="FNE112" s="774"/>
      <c r="FNF112" s="774"/>
      <c r="FNG112" s="774"/>
      <c r="FNH112" s="774"/>
      <c r="FNI112" s="774"/>
      <c r="FNJ112" s="774"/>
      <c r="FNK112" s="774"/>
      <c r="FNL112" s="774"/>
      <c r="FNM112" s="774"/>
      <c r="FNN112" s="774"/>
      <c r="FNO112" s="774"/>
      <c r="FNP112" s="774"/>
      <c r="FNQ112" s="774"/>
      <c r="FNR112" s="774"/>
      <c r="FNS112" s="774"/>
      <c r="FNT112" s="774"/>
      <c r="FNU112" s="774"/>
      <c r="FNV112" s="774"/>
      <c r="FNW112" s="774"/>
      <c r="FNX112" s="774"/>
      <c r="FNY112" s="774"/>
      <c r="FNZ112" s="774"/>
      <c r="FOA112" s="774"/>
      <c r="FOB112" s="774"/>
      <c r="FOC112" s="774"/>
      <c r="FOD112" s="774"/>
      <c r="FOE112" s="774"/>
      <c r="FOF112" s="774"/>
      <c r="FOG112" s="774"/>
      <c r="FOH112" s="774"/>
      <c r="FOI112" s="774"/>
      <c r="FOJ112" s="774"/>
      <c r="FOK112" s="774"/>
      <c r="FOL112" s="774"/>
      <c r="FOM112" s="774"/>
      <c r="FON112" s="774"/>
      <c r="FOO112" s="774"/>
      <c r="FOP112" s="774"/>
      <c r="FOQ112" s="774"/>
      <c r="FOR112" s="774"/>
      <c r="FOS112" s="774"/>
      <c r="FOT112" s="774"/>
      <c r="FOU112" s="774"/>
      <c r="FOV112" s="774"/>
      <c r="FOW112" s="774"/>
      <c r="FOX112" s="774"/>
      <c r="FOY112" s="774"/>
      <c r="FOZ112" s="774"/>
      <c r="FPA112" s="774"/>
      <c r="FPB112" s="774"/>
      <c r="FPC112" s="774"/>
      <c r="FPD112" s="774"/>
      <c r="FPE112" s="774"/>
      <c r="FPF112" s="774"/>
      <c r="FPG112" s="774"/>
      <c r="FPH112" s="774"/>
      <c r="FPI112" s="774"/>
      <c r="FPJ112" s="774"/>
      <c r="FPK112" s="774"/>
      <c r="FPL112" s="774"/>
      <c r="FPM112" s="774"/>
      <c r="FPN112" s="774"/>
      <c r="FPO112" s="774"/>
      <c r="FPP112" s="774"/>
      <c r="FPQ112" s="774"/>
      <c r="FPR112" s="774"/>
      <c r="FPS112" s="774"/>
      <c r="FPT112" s="774"/>
      <c r="FPU112" s="774"/>
      <c r="FPV112" s="774"/>
      <c r="FPW112" s="774"/>
      <c r="FPX112" s="774"/>
      <c r="FPY112" s="774"/>
      <c r="FPZ112" s="774"/>
      <c r="FQA112" s="774"/>
      <c r="FQB112" s="774"/>
      <c r="FQC112" s="774"/>
      <c r="FQD112" s="774"/>
      <c r="FQE112" s="774"/>
      <c r="FQF112" s="774"/>
      <c r="FQG112" s="774"/>
      <c r="FQH112" s="774"/>
      <c r="FQI112" s="774"/>
      <c r="FQJ112" s="774"/>
      <c r="FQK112" s="774"/>
      <c r="FQL112" s="774"/>
      <c r="FQM112" s="774"/>
      <c r="FQN112" s="774"/>
      <c r="FQO112" s="774"/>
      <c r="FQP112" s="774"/>
      <c r="FQQ112" s="774"/>
      <c r="FQR112" s="774"/>
      <c r="FQS112" s="774"/>
      <c r="FQT112" s="774"/>
      <c r="FQU112" s="774"/>
      <c r="FQV112" s="774"/>
      <c r="FQW112" s="774"/>
      <c r="FQX112" s="774"/>
      <c r="FQY112" s="774"/>
      <c r="FQZ112" s="774"/>
      <c r="FRA112" s="774"/>
      <c r="FRB112" s="774"/>
      <c r="FRC112" s="774"/>
      <c r="FRD112" s="774"/>
      <c r="FRE112" s="774"/>
      <c r="FRF112" s="774"/>
      <c r="FRG112" s="774"/>
      <c r="FRH112" s="774"/>
      <c r="FRI112" s="774"/>
      <c r="FRJ112" s="774"/>
      <c r="FRK112" s="774"/>
      <c r="FRL112" s="774"/>
      <c r="FRM112" s="774"/>
      <c r="FRN112" s="774"/>
      <c r="FRO112" s="774"/>
      <c r="FRP112" s="774"/>
      <c r="FRQ112" s="774"/>
      <c r="FRR112" s="774"/>
      <c r="FRS112" s="774"/>
      <c r="FRT112" s="774"/>
      <c r="FRU112" s="774"/>
      <c r="FRV112" s="774"/>
      <c r="FRW112" s="774"/>
      <c r="FRX112" s="774"/>
      <c r="FRY112" s="774"/>
      <c r="FRZ112" s="774"/>
      <c r="FSA112" s="774"/>
      <c r="FSB112" s="774"/>
      <c r="FSC112" s="774"/>
      <c r="FSD112" s="774"/>
      <c r="FSE112" s="774"/>
      <c r="FSF112" s="774"/>
      <c r="FSG112" s="774"/>
      <c r="FSH112" s="774"/>
      <c r="FSI112" s="774"/>
      <c r="FSJ112" s="774"/>
      <c r="FSK112" s="774"/>
      <c r="FSL112" s="774"/>
      <c r="FSM112" s="774"/>
      <c r="FSN112" s="774"/>
      <c r="FSO112" s="774"/>
      <c r="FSP112" s="774"/>
      <c r="FSQ112" s="774"/>
      <c r="FSR112" s="774"/>
      <c r="FSS112" s="774"/>
      <c r="FST112" s="774"/>
      <c r="FSU112" s="774"/>
      <c r="FSV112" s="774"/>
      <c r="FSW112" s="774"/>
      <c r="FSX112" s="774"/>
      <c r="FSY112" s="774"/>
      <c r="FSZ112" s="774"/>
      <c r="FTA112" s="774"/>
      <c r="FTB112" s="774"/>
      <c r="FTC112" s="774"/>
      <c r="FTD112" s="774"/>
      <c r="FTE112" s="774"/>
      <c r="FTF112" s="774"/>
      <c r="FTG112" s="774"/>
      <c r="FTH112" s="774"/>
      <c r="FTI112" s="774"/>
      <c r="FTJ112" s="774"/>
      <c r="FTK112" s="774"/>
      <c r="FTL112" s="774"/>
      <c r="FTM112" s="774"/>
      <c r="FTN112" s="774"/>
      <c r="FTO112" s="774"/>
      <c r="FTP112" s="774"/>
      <c r="FTQ112" s="774"/>
      <c r="FTR112" s="774"/>
      <c r="FTS112" s="774"/>
      <c r="FTT112" s="774"/>
      <c r="FTU112" s="774"/>
      <c r="FTV112" s="774"/>
      <c r="FTW112" s="774"/>
      <c r="FTX112" s="774"/>
      <c r="FTY112" s="774"/>
      <c r="FTZ112" s="774"/>
      <c r="FUA112" s="774"/>
      <c r="FUB112" s="774"/>
      <c r="FUC112" s="774"/>
      <c r="FUD112" s="774"/>
      <c r="FUE112" s="774"/>
      <c r="FUF112" s="774"/>
      <c r="FUG112" s="774"/>
      <c r="FUH112" s="774"/>
      <c r="FUI112" s="774"/>
      <c r="FUJ112" s="774"/>
      <c r="FUK112" s="774"/>
      <c r="FUL112" s="774"/>
      <c r="FUM112" s="774"/>
      <c r="FUN112" s="774"/>
      <c r="FUO112" s="774"/>
      <c r="FUP112" s="774"/>
      <c r="FUQ112" s="774"/>
      <c r="FUR112" s="774"/>
      <c r="FUS112" s="774"/>
      <c r="FUT112" s="774"/>
      <c r="FUU112" s="774"/>
      <c r="FUV112" s="774"/>
      <c r="FUW112" s="774"/>
      <c r="FUX112" s="774"/>
      <c r="FUY112" s="774"/>
      <c r="FUZ112" s="774"/>
      <c r="FVA112" s="774"/>
      <c r="FVB112" s="774"/>
      <c r="FVC112" s="774"/>
      <c r="FVD112" s="774"/>
      <c r="FVE112" s="774"/>
      <c r="FVF112" s="774"/>
      <c r="FVG112" s="774"/>
      <c r="FVH112" s="774"/>
      <c r="FVI112" s="774"/>
      <c r="FVJ112" s="774"/>
      <c r="FVK112" s="774"/>
      <c r="FVL112" s="774"/>
      <c r="FVM112" s="774"/>
      <c r="FVN112" s="774"/>
      <c r="FVO112" s="774"/>
      <c r="FVP112" s="774"/>
      <c r="FVQ112" s="774"/>
      <c r="FVR112" s="774"/>
      <c r="FVS112" s="774"/>
      <c r="FVT112" s="774"/>
      <c r="FVU112" s="774"/>
      <c r="FVV112" s="774"/>
      <c r="FVW112" s="774"/>
      <c r="FVX112" s="774"/>
      <c r="FVY112" s="774"/>
      <c r="FVZ112" s="774"/>
      <c r="FWA112" s="774"/>
      <c r="FWB112" s="774"/>
      <c r="FWC112" s="774"/>
      <c r="FWD112" s="774"/>
      <c r="FWE112" s="774"/>
      <c r="FWF112" s="774"/>
      <c r="FWG112" s="774"/>
      <c r="FWH112" s="774"/>
      <c r="FWI112" s="774"/>
      <c r="FWJ112" s="774"/>
      <c r="FWK112" s="774"/>
      <c r="FWL112" s="774"/>
      <c r="FWM112" s="774"/>
      <c r="FWN112" s="774"/>
      <c r="FWO112" s="774"/>
      <c r="FWP112" s="774"/>
      <c r="FWQ112" s="774"/>
      <c r="FWR112" s="774"/>
      <c r="FWS112" s="774"/>
      <c r="FWT112" s="774"/>
      <c r="FWU112" s="774"/>
      <c r="FWV112" s="774"/>
      <c r="FWW112" s="774"/>
      <c r="FWX112" s="774"/>
      <c r="FWY112" s="774"/>
      <c r="FWZ112" s="774"/>
      <c r="FXA112" s="774"/>
      <c r="FXB112" s="774"/>
      <c r="FXC112" s="774"/>
      <c r="FXD112" s="774"/>
      <c r="FXE112" s="774"/>
      <c r="FXF112" s="774"/>
      <c r="FXG112" s="774"/>
      <c r="FXH112" s="774"/>
      <c r="FXI112" s="774"/>
      <c r="FXJ112" s="774"/>
      <c r="FXK112" s="774"/>
      <c r="FXL112" s="774"/>
      <c r="FXM112" s="774"/>
      <c r="FXN112" s="774"/>
      <c r="FXO112" s="774"/>
      <c r="FXP112" s="774"/>
      <c r="FXQ112" s="774"/>
      <c r="FXR112" s="774"/>
      <c r="FXS112" s="774"/>
      <c r="FXT112" s="774"/>
      <c r="FXU112" s="774"/>
      <c r="FXV112" s="774"/>
      <c r="FXW112" s="774"/>
      <c r="FXX112" s="774"/>
      <c r="FXY112" s="774"/>
      <c r="FXZ112" s="774"/>
      <c r="FYA112" s="774"/>
      <c r="FYB112" s="774"/>
      <c r="FYC112" s="774"/>
      <c r="FYD112" s="774"/>
      <c r="FYE112" s="774"/>
      <c r="FYF112" s="774"/>
      <c r="FYG112" s="774"/>
      <c r="FYH112" s="774"/>
      <c r="FYI112" s="774"/>
      <c r="FYJ112" s="774"/>
      <c r="FYK112" s="774"/>
      <c r="FYL112" s="774"/>
      <c r="FYM112" s="774"/>
      <c r="FYN112" s="774"/>
      <c r="FYO112" s="774"/>
      <c r="FYP112" s="774"/>
      <c r="FYQ112" s="774"/>
      <c r="FYR112" s="774"/>
      <c r="FYS112" s="774"/>
      <c r="FYT112" s="774"/>
      <c r="FYU112" s="774"/>
      <c r="FYV112" s="774"/>
      <c r="FYW112" s="774"/>
      <c r="FYX112" s="774"/>
      <c r="FYY112" s="774"/>
      <c r="FYZ112" s="774"/>
      <c r="FZA112" s="774"/>
      <c r="FZB112" s="774"/>
      <c r="FZC112" s="774"/>
      <c r="FZD112" s="774"/>
      <c r="FZE112" s="774"/>
      <c r="FZF112" s="774"/>
      <c r="FZG112" s="774"/>
      <c r="FZH112" s="774"/>
      <c r="FZI112" s="774"/>
      <c r="FZJ112" s="774"/>
      <c r="FZK112" s="774"/>
      <c r="FZL112" s="774"/>
      <c r="FZM112" s="774"/>
      <c r="FZN112" s="774"/>
      <c r="FZO112" s="774"/>
      <c r="FZP112" s="774"/>
      <c r="FZQ112" s="774"/>
      <c r="FZR112" s="774"/>
      <c r="FZS112" s="774"/>
      <c r="FZT112" s="774"/>
      <c r="FZU112" s="774"/>
      <c r="FZV112" s="774"/>
      <c r="FZW112" s="774"/>
      <c r="FZX112" s="774"/>
      <c r="FZY112" s="774"/>
      <c r="FZZ112" s="774"/>
      <c r="GAA112" s="774"/>
      <c r="GAB112" s="774"/>
      <c r="GAC112" s="774"/>
      <c r="GAD112" s="774"/>
      <c r="GAE112" s="774"/>
      <c r="GAF112" s="774"/>
      <c r="GAG112" s="774"/>
      <c r="GAH112" s="774"/>
      <c r="GAI112" s="774"/>
      <c r="GAJ112" s="774"/>
      <c r="GAK112" s="774"/>
      <c r="GAL112" s="774"/>
      <c r="GAM112" s="774"/>
      <c r="GAN112" s="774"/>
      <c r="GAO112" s="774"/>
      <c r="GAP112" s="774"/>
      <c r="GAQ112" s="774"/>
      <c r="GAR112" s="774"/>
      <c r="GAS112" s="774"/>
      <c r="GAT112" s="774"/>
      <c r="GAU112" s="774"/>
      <c r="GAV112" s="774"/>
      <c r="GAW112" s="774"/>
      <c r="GAX112" s="774"/>
      <c r="GAY112" s="774"/>
      <c r="GAZ112" s="774"/>
      <c r="GBA112" s="774"/>
      <c r="GBB112" s="774"/>
      <c r="GBC112" s="774"/>
      <c r="GBD112" s="774"/>
      <c r="GBE112" s="774"/>
      <c r="GBF112" s="774"/>
      <c r="GBG112" s="774"/>
      <c r="GBH112" s="774"/>
      <c r="GBI112" s="774"/>
      <c r="GBJ112" s="774"/>
      <c r="GBK112" s="774"/>
      <c r="GBL112" s="774"/>
      <c r="GBM112" s="774"/>
      <c r="GBN112" s="774"/>
      <c r="GBO112" s="774"/>
      <c r="GBP112" s="774"/>
      <c r="GBQ112" s="774"/>
      <c r="GBR112" s="774"/>
      <c r="GBS112" s="774"/>
      <c r="GBT112" s="774"/>
      <c r="GBU112" s="774"/>
      <c r="GBV112" s="774"/>
      <c r="GBW112" s="774"/>
      <c r="GBX112" s="774"/>
      <c r="GBY112" s="774"/>
      <c r="GBZ112" s="774"/>
      <c r="GCA112" s="774"/>
      <c r="GCB112" s="774"/>
      <c r="GCC112" s="774"/>
      <c r="GCD112" s="774"/>
      <c r="GCE112" s="774"/>
      <c r="GCF112" s="774"/>
      <c r="GCG112" s="774"/>
      <c r="GCH112" s="774"/>
      <c r="GCI112" s="774"/>
      <c r="GCJ112" s="774"/>
      <c r="GCK112" s="774"/>
      <c r="GCL112" s="774"/>
      <c r="GCM112" s="774"/>
      <c r="GCN112" s="774"/>
      <c r="GCO112" s="774"/>
      <c r="GCP112" s="774"/>
      <c r="GCQ112" s="774"/>
      <c r="GCR112" s="774"/>
      <c r="GCS112" s="774"/>
      <c r="GCT112" s="774"/>
      <c r="GCU112" s="774"/>
      <c r="GCV112" s="774"/>
      <c r="GCW112" s="774"/>
      <c r="GCX112" s="774"/>
      <c r="GCY112" s="774"/>
      <c r="GCZ112" s="774"/>
      <c r="GDA112" s="774"/>
      <c r="GDB112" s="774"/>
      <c r="GDC112" s="774"/>
      <c r="GDD112" s="774"/>
      <c r="GDE112" s="774"/>
      <c r="GDF112" s="774"/>
      <c r="GDG112" s="774"/>
      <c r="GDH112" s="774"/>
      <c r="GDI112" s="774"/>
      <c r="GDJ112" s="774"/>
      <c r="GDK112" s="774"/>
      <c r="GDL112" s="774"/>
      <c r="GDM112" s="774"/>
      <c r="GDN112" s="774"/>
      <c r="GDO112" s="774"/>
      <c r="GDP112" s="774"/>
      <c r="GDQ112" s="774"/>
      <c r="GDR112" s="774"/>
      <c r="GDS112" s="774"/>
      <c r="GDT112" s="774"/>
      <c r="GDU112" s="774"/>
      <c r="GDV112" s="774"/>
      <c r="GDW112" s="774"/>
      <c r="GDX112" s="774"/>
      <c r="GDY112" s="774"/>
      <c r="GDZ112" s="774"/>
      <c r="GEA112" s="774"/>
      <c r="GEB112" s="774"/>
      <c r="GEC112" s="774"/>
      <c r="GED112" s="774"/>
      <c r="GEE112" s="774"/>
      <c r="GEF112" s="774"/>
      <c r="GEG112" s="774"/>
      <c r="GEH112" s="774"/>
      <c r="GEI112" s="774"/>
      <c r="GEJ112" s="774"/>
      <c r="GEK112" s="774"/>
      <c r="GEL112" s="774"/>
      <c r="GEM112" s="774"/>
      <c r="GEN112" s="774"/>
      <c r="GEO112" s="774"/>
      <c r="GEP112" s="774"/>
      <c r="GEQ112" s="774"/>
      <c r="GER112" s="774"/>
      <c r="GES112" s="774"/>
      <c r="GET112" s="774"/>
      <c r="GEU112" s="774"/>
      <c r="GEV112" s="774"/>
      <c r="GEW112" s="774"/>
      <c r="GEX112" s="774"/>
      <c r="GEY112" s="774"/>
      <c r="GEZ112" s="774"/>
      <c r="GFA112" s="774"/>
      <c r="GFB112" s="774"/>
      <c r="GFC112" s="774"/>
      <c r="GFD112" s="774"/>
      <c r="GFE112" s="774"/>
      <c r="GFF112" s="774"/>
      <c r="GFG112" s="774"/>
      <c r="GFH112" s="774"/>
      <c r="GFI112" s="774"/>
      <c r="GFJ112" s="774"/>
      <c r="GFK112" s="774"/>
      <c r="GFL112" s="774"/>
      <c r="GFM112" s="774"/>
      <c r="GFN112" s="774"/>
      <c r="GFO112" s="774"/>
      <c r="GFP112" s="774"/>
      <c r="GFQ112" s="774"/>
      <c r="GFR112" s="774"/>
      <c r="GFS112" s="774"/>
      <c r="GFT112" s="774"/>
      <c r="GFU112" s="774"/>
      <c r="GFV112" s="774"/>
      <c r="GFW112" s="774"/>
      <c r="GFX112" s="774"/>
      <c r="GFY112" s="774"/>
      <c r="GFZ112" s="774"/>
      <c r="GGA112" s="774"/>
      <c r="GGB112" s="774"/>
      <c r="GGC112" s="774"/>
      <c r="GGD112" s="774"/>
      <c r="GGE112" s="774"/>
      <c r="GGF112" s="774"/>
      <c r="GGG112" s="774"/>
      <c r="GGH112" s="774"/>
      <c r="GGI112" s="774"/>
      <c r="GGJ112" s="774"/>
      <c r="GGK112" s="774"/>
      <c r="GGL112" s="774"/>
      <c r="GGM112" s="774"/>
      <c r="GGN112" s="774"/>
      <c r="GGO112" s="774"/>
      <c r="GGP112" s="774"/>
      <c r="GGQ112" s="774"/>
      <c r="GGR112" s="774"/>
      <c r="GGS112" s="774"/>
      <c r="GGT112" s="774"/>
      <c r="GGU112" s="774"/>
      <c r="GGV112" s="774"/>
      <c r="GGW112" s="774"/>
      <c r="GGX112" s="774"/>
      <c r="GGY112" s="774"/>
      <c r="GGZ112" s="774"/>
      <c r="GHA112" s="774"/>
      <c r="GHB112" s="774"/>
      <c r="GHC112" s="774"/>
      <c r="GHD112" s="774"/>
      <c r="GHE112" s="774"/>
      <c r="GHF112" s="774"/>
      <c r="GHG112" s="774"/>
      <c r="GHH112" s="774"/>
      <c r="GHI112" s="774"/>
      <c r="GHJ112" s="774"/>
      <c r="GHK112" s="774"/>
      <c r="GHL112" s="774"/>
      <c r="GHM112" s="774"/>
      <c r="GHN112" s="774"/>
      <c r="GHO112" s="774"/>
      <c r="GHP112" s="774"/>
      <c r="GHQ112" s="774"/>
      <c r="GHR112" s="774"/>
      <c r="GHS112" s="774"/>
      <c r="GHT112" s="774"/>
      <c r="GHU112" s="774"/>
      <c r="GHV112" s="774"/>
      <c r="GHW112" s="774"/>
      <c r="GHX112" s="774"/>
      <c r="GHY112" s="774"/>
      <c r="GHZ112" s="774"/>
      <c r="GIA112" s="774"/>
      <c r="GIB112" s="774"/>
      <c r="GIC112" s="774"/>
      <c r="GID112" s="774"/>
      <c r="GIE112" s="774"/>
      <c r="GIF112" s="774"/>
      <c r="GIG112" s="774"/>
      <c r="GIH112" s="774"/>
      <c r="GII112" s="774"/>
      <c r="GIJ112" s="774"/>
      <c r="GIK112" s="774"/>
      <c r="GIL112" s="774"/>
      <c r="GIM112" s="774"/>
      <c r="GIN112" s="774"/>
      <c r="GIO112" s="774"/>
      <c r="GIP112" s="774"/>
      <c r="GIQ112" s="774"/>
      <c r="GIR112" s="774"/>
      <c r="GIS112" s="774"/>
      <c r="GIT112" s="774"/>
      <c r="GIU112" s="774"/>
      <c r="GIV112" s="774"/>
      <c r="GIW112" s="774"/>
      <c r="GIX112" s="774"/>
      <c r="GIY112" s="774"/>
      <c r="GIZ112" s="774"/>
      <c r="GJA112" s="774"/>
      <c r="GJB112" s="774"/>
      <c r="GJC112" s="774"/>
      <c r="GJD112" s="774"/>
      <c r="GJE112" s="774"/>
      <c r="GJF112" s="774"/>
      <c r="GJG112" s="774"/>
      <c r="GJH112" s="774"/>
      <c r="GJI112" s="774"/>
      <c r="GJJ112" s="774"/>
      <c r="GJK112" s="774"/>
      <c r="GJL112" s="774"/>
      <c r="GJM112" s="774"/>
      <c r="GJN112" s="774"/>
      <c r="GJO112" s="774"/>
      <c r="GJP112" s="774"/>
      <c r="GJQ112" s="774"/>
      <c r="GJR112" s="774"/>
      <c r="GJS112" s="774"/>
      <c r="GJT112" s="774"/>
      <c r="GJU112" s="774"/>
      <c r="GJV112" s="774"/>
      <c r="GJW112" s="774"/>
      <c r="GJX112" s="774"/>
      <c r="GJY112" s="774"/>
      <c r="GJZ112" s="774"/>
      <c r="GKA112" s="774"/>
      <c r="GKB112" s="774"/>
      <c r="GKC112" s="774"/>
      <c r="GKD112" s="774"/>
      <c r="GKE112" s="774"/>
      <c r="GKF112" s="774"/>
      <c r="GKG112" s="774"/>
      <c r="GKH112" s="774"/>
      <c r="GKI112" s="774"/>
      <c r="GKJ112" s="774"/>
      <c r="GKK112" s="774"/>
      <c r="GKL112" s="774"/>
      <c r="GKM112" s="774"/>
      <c r="GKN112" s="774"/>
      <c r="GKO112" s="774"/>
      <c r="GKP112" s="774"/>
      <c r="GKQ112" s="774"/>
      <c r="GKR112" s="774"/>
      <c r="GKS112" s="774"/>
      <c r="GKT112" s="774"/>
      <c r="GKU112" s="774"/>
      <c r="GKV112" s="774"/>
      <c r="GKW112" s="774"/>
      <c r="GKX112" s="774"/>
      <c r="GKY112" s="774"/>
      <c r="GKZ112" s="774"/>
      <c r="GLA112" s="774"/>
      <c r="GLB112" s="774"/>
      <c r="GLC112" s="774"/>
      <c r="GLD112" s="774"/>
      <c r="GLE112" s="774"/>
      <c r="GLF112" s="774"/>
      <c r="GLG112" s="774"/>
      <c r="GLH112" s="774"/>
      <c r="GLI112" s="774"/>
      <c r="GLJ112" s="774"/>
      <c r="GLK112" s="774"/>
      <c r="GLL112" s="774"/>
      <c r="GLM112" s="774"/>
      <c r="GLN112" s="774"/>
      <c r="GLO112" s="774"/>
      <c r="GLP112" s="774"/>
      <c r="GLQ112" s="774"/>
      <c r="GLR112" s="774"/>
      <c r="GLS112" s="774"/>
      <c r="GLT112" s="774"/>
      <c r="GLU112" s="774"/>
      <c r="GLV112" s="774"/>
      <c r="GLW112" s="774"/>
      <c r="GLX112" s="774"/>
      <c r="GLY112" s="774"/>
      <c r="GLZ112" s="774"/>
      <c r="GMA112" s="774"/>
      <c r="GMB112" s="774"/>
      <c r="GMC112" s="774"/>
      <c r="GMD112" s="774"/>
      <c r="GME112" s="774"/>
      <c r="GMF112" s="774"/>
      <c r="GMG112" s="774"/>
      <c r="GMH112" s="774"/>
      <c r="GMI112" s="774"/>
      <c r="GMJ112" s="774"/>
      <c r="GMK112" s="774"/>
      <c r="GML112" s="774"/>
      <c r="GMM112" s="774"/>
      <c r="GMN112" s="774"/>
      <c r="GMO112" s="774"/>
      <c r="GMP112" s="774"/>
      <c r="GMQ112" s="774"/>
      <c r="GMR112" s="774"/>
      <c r="GMS112" s="774"/>
      <c r="GMT112" s="774"/>
      <c r="GMU112" s="774"/>
      <c r="GMV112" s="774"/>
      <c r="GMW112" s="774"/>
      <c r="GMX112" s="774"/>
      <c r="GMY112" s="774"/>
      <c r="GMZ112" s="774"/>
      <c r="GNA112" s="774"/>
      <c r="GNB112" s="774"/>
      <c r="GNC112" s="774"/>
      <c r="GND112" s="774"/>
      <c r="GNE112" s="774"/>
      <c r="GNF112" s="774"/>
      <c r="GNG112" s="774"/>
      <c r="GNH112" s="774"/>
      <c r="GNI112" s="774"/>
      <c r="GNJ112" s="774"/>
      <c r="GNK112" s="774"/>
      <c r="GNL112" s="774"/>
      <c r="GNM112" s="774"/>
      <c r="GNN112" s="774"/>
      <c r="GNO112" s="774"/>
      <c r="GNP112" s="774"/>
      <c r="GNQ112" s="774"/>
      <c r="GNR112" s="774"/>
      <c r="GNS112" s="774"/>
      <c r="GNT112" s="774"/>
      <c r="GNU112" s="774"/>
      <c r="GNV112" s="774"/>
      <c r="GNW112" s="774"/>
      <c r="GNX112" s="774"/>
      <c r="GNY112" s="774"/>
      <c r="GNZ112" s="774"/>
      <c r="GOA112" s="774"/>
      <c r="GOB112" s="774"/>
      <c r="GOC112" s="774"/>
      <c r="GOD112" s="774"/>
      <c r="GOE112" s="774"/>
      <c r="GOF112" s="774"/>
      <c r="GOG112" s="774"/>
      <c r="GOH112" s="774"/>
      <c r="GOI112" s="774"/>
      <c r="GOJ112" s="774"/>
      <c r="GOK112" s="774"/>
      <c r="GOL112" s="774"/>
      <c r="GOM112" s="774"/>
      <c r="GON112" s="774"/>
      <c r="GOO112" s="774"/>
      <c r="GOP112" s="774"/>
      <c r="GOQ112" s="774"/>
      <c r="GOR112" s="774"/>
      <c r="GOS112" s="774"/>
      <c r="GOT112" s="774"/>
      <c r="GOU112" s="774"/>
      <c r="GOV112" s="774"/>
      <c r="GOW112" s="774"/>
      <c r="GOX112" s="774"/>
      <c r="GOY112" s="774"/>
      <c r="GOZ112" s="774"/>
      <c r="GPA112" s="774"/>
      <c r="GPB112" s="774"/>
      <c r="GPC112" s="774"/>
      <c r="GPD112" s="774"/>
      <c r="GPE112" s="774"/>
      <c r="GPF112" s="774"/>
      <c r="GPG112" s="774"/>
      <c r="GPH112" s="774"/>
      <c r="GPI112" s="774"/>
      <c r="GPJ112" s="774"/>
      <c r="GPK112" s="774"/>
      <c r="GPL112" s="774"/>
      <c r="GPM112" s="774"/>
      <c r="GPN112" s="774"/>
      <c r="GPO112" s="774"/>
      <c r="GPP112" s="774"/>
      <c r="GPQ112" s="774"/>
      <c r="GPR112" s="774"/>
      <c r="GPS112" s="774"/>
      <c r="GPT112" s="774"/>
      <c r="GPU112" s="774"/>
      <c r="GPV112" s="774"/>
      <c r="GPW112" s="774"/>
      <c r="GPX112" s="774"/>
      <c r="GPY112" s="774"/>
      <c r="GPZ112" s="774"/>
      <c r="GQA112" s="774"/>
      <c r="GQB112" s="774"/>
      <c r="GQC112" s="774"/>
      <c r="GQD112" s="774"/>
      <c r="GQE112" s="774"/>
      <c r="GQF112" s="774"/>
      <c r="GQG112" s="774"/>
      <c r="GQH112" s="774"/>
      <c r="GQI112" s="774"/>
      <c r="GQJ112" s="774"/>
      <c r="GQK112" s="774"/>
      <c r="GQL112" s="774"/>
      <c r="GQM112" s="774"/>
      <c r="GQN112" s="774"/>
      <c r="GQO112" s="774"/>
      <c r="GQP112" s="774"/>
      <c r="GQQ112" s="774"/>
      <c r="GQR112" s="774"/>
      <c r="GQS112" s="774"/>
      <c r="GQT112" s="774"/>
      <c r="GQU112" s="774"/>
      <c r="GQV112" s="774"/>
      <c r="GQW112" s="774"/>
      <c r="GQX112" s="774"/>
      <c r="GQY112" s="774"/>
      <c r="GQZ112" s="774"/>
      <c r="GRA112" s="774"/>
      <c r="GRB112" s="774"/>
      <c r="GRC112" s="774"/>
      <c r="GRD112" s="774"/>
      <c r="GRE112" s="774"/>
      <c r="GRF112" s="774"/>
      <c r="GRG112" s="774"/>
      <c r="GRH112" s="774"/>
      <c r="GRI112" s="774"/>
      <c r="GRJ112" s="774"/>
      <c r="GRK112" s="774"/>
      <c r="GRL112" s="774"/>
      <c r="GRM112" s="774"/>
      <c r="GRN112" s="774"/>
      <c r="GRO112" s="774"/>
      <c r="GRP112" s="774"/>
      <c r="GRQ112" s="774"/>
      <c r="GRR112" s="774"/>
      <c r="GRS112" s="774"/>
      <c r="GRT112" s="774"/>
      <c r="GRU112" s="774"/>
      <c r="GRV112" s="774"/>
      <c r="GRW112" s="774"/>
      <c r="GRX112" s="774"/>
      <c r="GRY112" s="774"/>
      <c r="GRZ112" s="774"/>
      <c r="GSA112" s="774"/>
      <c r="GSB112" s="774"/>
      <c r="GSC112" s="774"/>
      <c r="GSD112" s="774"/>
      <c r="GSE112" s="774"/>
      <c r="GSF112" s="774"/>
      <c r="GSG112" s="774"/>
      <c r="GSH112" s="774"/>
      <c r="GSI112" s="774"/>
      <c r="GSJ112" s="774"/>
      <c r="GSK112" s="774"/>
      <c r="GSL112" s="774"/>
      <c r="GSM112" s="774"/>
      <c r="GSN112" s="774"/>
      <c r="GSO112" s="774"/>
      <c r="GSP112" s="774"/>
      <c r="GSQ112" s="774"/>
      <c r="GSR112" s="774"/>
      <c r="GSS112" s="774"/>
      <c r="GST112" s="774"/>
      <c r="GSU112" s="774"/>
      <c r="GSV112" s="774"/>
      <c r="GSW112" s="774"/>
      <c r="GSX112" s="774"/>
      <c r="GSY112" s="774"/>
      <c r="GSZ112" s="774"/>
      <c r="GTA112" s="774"/>
      <c r="GTB112" s="774"/>
      <c r="GTC112" s="774"/>
      <c r="GTD112" s="774"/>
      <c r="GTE112" s="774"/>
      <c r="GTF112" s="774"/>
      <c r="GTG112" s="774"/>
      <c r="GTH112" s="774"/>
      <c r="GTI112" s="774"/>
      <c r="GTJ112" s="774"/>
      <c r="GTK112" s="774"/>
      <c r="GTL112" s="774"/>
      <c r="GTM112" s="774"/>
      <c r="GTN112" s="774"/>
      <c r="GTO112" s="774"/>
      <c r="GTP112" s="774"/>
      <c r="GTQ112" s="774"/>
      <c r="GTR112" s="774"/>
      <c r="GTS112" s="774"/>
      <c r="GTT112" s="774"/>
      <c r="GTU112" s="774"/>
      <c r="GTV112" s="774"/>
      <c r="GTW112" s="774"/>
      <c r="GTX112" s="774"/>
      <c r="GTY112" s="774"/>
      <c r="GTZ112" s="774"/>
      <c r="GUA112" s="774"/>
      <c r="GUB112" s="774"/>
      <c r="GUC112" s="774"/>
      <c r="GUD112" s="774"/>
      <c r="GUE112" s="774"/>
      <c r="GUF112" s="774"/>
      <c r="GUG112" s="774"/>
      <c r="GUH112" s="774"/>
      <c r="GUI112" s="774"/>
      <c r="GUJ112" s="774"/>
      <c r="GUK112" s="774"/>
      <c r="GUL112" s="774"/>
      <c r="GUM112" s="774"/>
      <c r="GUN112" s="774"/>
      <c r="GUO112" s="774"/>
      <c r="GUP112" s="774"/>
      <c r="GUQ112" s="774"/>
      <c r="GUR112" s="774"/>
      <c r="GUS112" s="774"/>
      <c r="GUT112" s="774"/>
      <c r="GUU112" s="774"/>
      <c r="GUV112" s="774"/>
      <c r="GUW112" s="774"/>
      <c r="GUX112" s="774"/>
      <c r="GUY112" s="774"/>
      <c r="GUZ112" s="774"/>
      <c r="GVA112" s="774"/>
      <c r="GVB112" s="774"/>
      <c r="GVC112" s="774"/>
      <c r="GVD112" s="774"/>
      <c r="GVE112" s="774"/>
      <c r="GVF112" s="774"/>
      <c r="GVG112" s="774"/>
      <c r="GVH112" s="774"/>
      <c r="GVI112" s="774"/>
      <c r="GVJ112" s="774"/>
      <c r="GVK112" s="774"/>
      <c r="GVL112" s="774"/>
      <c r="GVM112" s="774"/>
      <c r="GVN112" s="774"/>
      <c r="GVO112" s="774"/>
      <c r="GVP112" s="774"/>
      <c r="GVQ112" s="774"/>
      <c r="GVR112" s="774"/>
      <c r="GVS112" s="774"/>
      <c r="GVT112" s="774"/>
      <c r="GVU112" s="774"/>
      <c r="GVV112" s="774"/>
      <c r="GVW112" s="774"/>
      <c r="GVX112" s="774"/>
      <c r="GVY112" s="774"/>
      <c r="GVZ112" s="774"/>
      <c r="GWA112" s="774"/>
      <c r="GWB112" s="774"/>
      <c r="GWC112" s="774"/>
      <c r="GWD112" s="774"/>
      <c r="GWE112" s="774"/>
      <c r="GWF112" s="774"/>
      <c r="GWG112" s="774"/>
      <c r="GWH112" s="774"/>
      <c r="GWI112" s="774"/>
      <c r="GWJ112" s="774"/>
      <c r="GWK112" s="774"/>
      <c r="GWL112" s="774"/>
      <c r="GWM112" s="774"/>
      <c r="GWN112" s="774"/>
      <c r="GWO112" s="774"/>
      <c r="GWP112" s="774"/>
      <c r="GWQ112" s="774"/>
      <c r="GWR112" s="774"/>
      <c r="GWS112" s="774"/>
      <c r="GWT112" s="774"/>
      <c r="GWU112" s="774"/>
      <c r="GWV112" s="774"/>
      <c r="GWW112" s="774"/>
      <c r="GWX112" s="774"/>
      <c r="GWY112" s="774"/>
      <c r="GWZ112" s="774"/>
      <c r="GXA112" s="774"/>
      <c r="GXB112" s="774"/>
      <c r="GXC112" s="774"/>
      <c r="GXD112" s="774"/>
      <c r="GXE112" s="774"/>
      <c r="GXF112" s="774"/>
      <c r="GXG112" s="774"/>
      <c r="GXH112" s="774"/>
      <c r="GXI112" s="774"/>
      <c r="GXJ112" s="774"/>
      <c r="GXK112" s="774"/>
      <c r="GXL112" s="774"/>
      <c r="GXM112" s="774"/>
      <c r="GXN112" s="774"/>
      <c r="GXO112" s="774"/>
      <c r="GXP112" s="774"/>
      <c r="GXQ112" s="774"/>
      <c r="GXR112" s="774"/>
      <c r="GXS112" s="774"/>
      <c r="GXT112" s="774"/>
      <c r="GXU112" s="774"/>
      <c r="GXV112" s="774"/>
      <c r="GXW112" s="774"/>
      <c r="GXX112" s="774"/>
      <c r="GXY112" s="774"/>
      <c r="GXZ112" s="774"/>
      <c r="GYA112" s="774"/>
      <c r="GYB112" s="774"/>
      <c r="GYC112" s="774"/>
      <c r="GYD112" s="774"/>
      <c r="GYE112" s="774"/>
      <c r="GYF112" s="774"/>
      <c r="GYG112" s="774"/>
      <c r="GYH112" s="774"/>
      <c r="GYI112" s="774"/>
      <c r="GYJ112" s="774"/>
      <c r="GYK112" s="774"/>
      <c r="GYL112" s="774"/>
      <c r="GYM112" s="774"/>
      <c r="GYN112" s="774"/>
      <c r="GYO112" s="774"/>
      <c r="GYP112" s="774"/>
      <c r="GYQ112" s="774"/>
      <c r="GYR112" s="774"/>
      <c r="GYS112" s="774"/>
      <c r="GYT112" s="774"/>
      <c r="GYU112" s="774"/>
      <c r="GYV112" s="774"/>
      <c r="GYW112" s="774"/>
      <c r="GYX112" s="774"/>
      <c r="GYY112" s="774"/>
      <c r="GYZ112" s="774"/>
      <c r="GZA112" s="774"/>
      <c r="GZB112" s="774"/>
      <c r="GZC112" s="774"/>
      <c r="GZD112" s="774"/>
      <c r="GZE112" s="774"/>
      <c r="GZF112" s="774"/>
      <c r="GZG112" s="774"/>
      <c r="GZH112" s="774"/>
      <c r="GZI112" s="774"/>
      <c r="GZJ112" s="774"/>
      <c r="GZK112" s="774"/>
      <c r="GZL112" s="774"/>
      <c r="GZM112" s="774"/>
      <c r="GZN112" s="774"/>
      <c r="GZO112" s="774"/>
      <c r="GZP112" s="774"/>
      <c r="GZQ112" s="774"/>
      <c r="GZR112" s="774"/>
      <c r="GZS112" s="774"/>
      <c r="GZT112" s="774"/>
      <c r="GZU112" s="774"/>
      <c r="GZV112" s="774"/>
      <c r="GZW112" s="774"/>
      <c r="GZX112" s="774"/>
      <c r="GZY112" s="774"/>
      <c r="GZZ112" s="774"/>
      <c r="HAA112" s="774"/>
      <c r="HAB112" s="774"/>
      <c r="HAC112" s="774"/>
      <c r="HAD112" s="774"/>
      <c r="HAE112" s="774"/>
      <c r="HAF112" s="774"/>
      <c r="HAG112" s="774"/>
      <c r="HAH112" s="774"/>
      <c r="HAI112" s="774"/>
      <c r="HAJ112" s="774"/>
      <c r="HAK112" s="774"/>
      <c r="HAL112" s="774"/>
      <c r="HAM112" s="774"/>
      <c r="HAN112" s="774"/>
      <c r="HAO112" s="774"/>
      <c r="HAP112" s="774"/>
      <c r="HAQ112" s="774"/>
      <c r="HAR112" s="774"/>
      <c r="HAS112" s="774"/>
      <c r="HAT112" s="774"/>
      <c r="HAU112" s="774"/>
      <c r="HAV112" s="774"/>
      <c r="HAW112" s="774"/>
      <c r="HAX112" s="774"/>
      <c r="HAY112" s="774"/>
      <c r="HAZ112" s="774"/>
      <c r="HBA112" s="774"/>
      <c r="HBB112" s="774"/>
      <c r="HBC112" s="774"/>
      <c r="HBD112" s="774"/>
      <c r="HBE112" s="774"/>
      <c r="HBF112" s="774"/>
      <c r="HBG112" s="774"/>
      <c r="HBH112" s="774"/>
      <c r="HBI112" s="774"/>
      <c r="HBJ112" s="774"/>
      <c r="HBK112" s="774"/>
      <c r="HBL112" s="774"/>
      <c r="HBM112" s="774"/>
      <c r="HBN112" s="774"/>
      <c r="HBO112" s="774"/>
      <c r="HBP112" s="774"/>
      <c r="HBQ112" s="774"/>
      <c r="HBR112" s="774"/>
      <c r="HBS112" s="774"/>
      <c r="HBT112" s="774"/>
      <c r="HBU112" s="774"/>
      <c r="HBV112" s="774"/>
      <c r="HBW112" s="774"/>
      <c r="HBX112" s="774"/>
      <c r="HBY112" s="774"/>
      <c r="HBZ112" s="774"/>
      <c r="HCA112" s="774"/>
      <c r="HCB112" s="774"/>
      <c r="HCC112" s="774"/>
      <c r="HCD112" s="774"/>
      <c r="HCE112" s="774"/>
      <c r="HCF112" s="774"/>
      <c r="HCG112" s="774"/>
      <c r="HCH112" s="774"/>
      <c r="HCI112" s="774"/>
      <c r="HCJ112" s="774"/>
      <c r="HCK112" s="774"/>
      <c r="HCL112" s="774"/>
      <c r="HCM112" s="774"/>
      <c r="HCN112" s="774"/>
      <c r="HCO112" s="774"/>
      <c r="HCP112" s="774"/>
      <c r="HCQ112" s="774"/>
      <c r="HCR112" s="774"/>
      <c r="HCS112" s="774"/>
      <c r="HCT112" s="774"/>
      <c r="HCU112" s="774"/>
      <c r="HCV112" s="774"/>
      <c r="HCW112" s="774"/>
      <c r="HCX112" s="774"/>
      <c r="HCY112" s="774"/>
      <c r="HCZ112" s="774"/>
      <c r="HDA112" s="774"/>
      <c r="HDB112" s="774"/>
      <c r="HDC112" s="774"/>
      <c r="HDD112" s="774"/>
      <c r="HDE112" s="774"/>
      <c r="HDF112" s="774"/>
      <c r="HDG112" s="774"/>
      <c r="HDH112" s="774"/>
      <c r="HDI112" s="774"/>
      <c r="HDJ112" s="774"/>
      <c r="HDK112" s="774"/>
      <c r="HDL112" s="774"/>
      <c r="HDM112" s="774"/>
      <c r="HDN112" s="774"/>
      <c r="HDO112" s="774"/>
      <c r="HDP112" s="774"/>
      <c r="HDQ112" s="774"/>
      <c r="HDR112" s="774"/>
      <c r="HDS112" s="774"/>
      <c r="HDT112" s="774"/>
      <c r="HDU112" s="774"/>
      <c r="HDV112" s="774"/>
      <c r="HDW112" s="774"/>
      <c r="HDX112" s="774"/>
      <c r="HDY112" s="774"/>
      <c r="HDZ112" s="774"/>
      <c r="HEA112" s="774"/>
      <c r="HEB112" s="774"/>
      <c r="HEC112" s="774"/>
      <c r="HED112" s="774"/>
      <c r="HEE112" s="774"/>
      <c r="HEF112" s="774"/>
      <c r="HEG112" s="774"/>
      <c r="HEH112" s="774"/>
      <c r="HEI112" s="774"/>
      <c r="HEJ112" s="774"/>
      <c r="HEK112" s="774"/>
      <c r="HEL112" s="774"/>
      <c r="HEM112" s="774"/>
      <c r="HEN112" s="774"/>
      <c r="HEO112" s="774"/>
      <c r="HEP112" s="774"/>
      <c r="HEQ112" s="774"/>
      <c r="HER112" s="774"/>
      <c r="HES112" s="774"/>
      <c r="HET112" s="774"/>
      <c r="HEU112" s="774"/>
      <c r="HEV112" s="774"/>
      <c r="HEW112" s="774"/>
      <c r="HEX112" s="774"/>
      <c r="HEY112" s="774"/>
      <c r="HEZ112" s="774"/>
      <c r="HFA112" s="774"/>
      <c r="HFB112" s="774"/>
      <c r="HFC112" s="774"/>
      <c r="HFD112" s="774"/>
      <c r="HFE112" s="774"/>
      <c r="HFF112" s="774"/>
      <c r="HFG112" s="774"/>
      <c r="HFH112" s="774"/>
      <c r="HFI112" s="774"/>
      <c r="HFJ112" s="774"/>
      <c r="HFK112" s="774"/>
      <c r="HFL112" s="774"/>
      <c r="HFM112" s="774"/>
      <c r="HFN112" s="774"/>
      <c r="HFO112" s="774"/>
      <c r="HFP112" s="774"/>
      <c r="HFQ112" s="774"/>
      <c r="HFR112" s="774"/>
      <c r="HFS112" s="774"/>
      <c r="HFT112" s="774"/>
      <c r="HFU112" s="774"/>
      <c r="HFV112" s="774"/>
      <c r="HFW112" s="774"/>
      <c r="HFX112" s="774"/>
      <c r="HFY112" s="774"/>
      <c r="HFZ112" s="774"/>
      <c r="HGA112" s="774"/>
      <c r="HGB112" s="774"/>
      <c r="HGC112" s="774"/>
      <c r="HGD112" s="774"/>
      <c r="HGE112" s="774"/>
      <c r="HGF112" s="774"/>
      <c r="HGG112" s="774"/>
      <c r="HGH112" s="774"/>
      <c r="HGI112" s="774"/>
      <c r="HGJ112" s="774"/>
      <c r="HGK112" s="774"/>
      <c r="HGL112" s="774"/>
      <c r="HGM112" s="774"/>
      <c r="HGN112" s="774"/>
      <c r="HGO112" s="774"/>
      <c r="HGP112" s="774"/>
      <c r="HGQ112" s="774"/>
      <c r="HGR112" s="774"/>
      <c r="HGS112" s="774"/>
      <c r="HGT112" s="774"/>
      <c r="HGU112" s="774"/>
      <c r="HGV112" s="774"/>
      <c r="HGW112" s="774"/>
      <c r="HGX112" s="774"/>
      <c r="HGY112" s="774"/>
      <c r="HGZ112" s="774"/>
      <c r="HHA112" s="774"/>
      <c r="HHB112" s="774"/>
      <c r="HHC112" s="774"/>
      <c r="HHD112" s="774"/>
      <c r="HHE112" s="774"/>
      <c r="HHF112" s="774"/>
      <c r="HHG112" s="774"/>
      <c r="HHH112" s="774"/>
      <c r="HHI112" s="774"/>
      <c r="HHJ112" s="774"/>
      <c r="HHK112" s="774"/>
      <c r="HHL112" s="774"/>
      <c r="HHM112" s="774"/>
      <c r="HHN112" s="774"/>
      <c r="HHO112" s="774"/>
      <c r="HHP112" s="774"/>
      <c r="HHQ112" s="774"/>
      <c r="HHR112" s="774"/>
      <c r="HHS112" s="774"/>
      <c r="HHT112" s="774"/>
      <c r="HHU112" s="774"/>
      <c r="HHV112" s="774"/>
      <c r="HHW112" s="774"/>
      <c r="HHX112" s="774"/>
      <c r="HHY112" s="774"/>
      <c r="HHZ112" s="774"/>
      <c r="HIA112" s="774"/>
      <c r="HIB112" s="774"/>
      <c r="HIC112" s="774"/>
      <c r="HID112" s="774"/>
      <c r="HIE112" s="774"/>
      <c r="HIF112" s="774"/>
      <c r="HIG112" s="774"/>
      <c r="HIH112" s="774"/>
      <c r="HII112" s="774"/>
      <c r="HIJ112" s="774"/>
      <c r="HIK112" s="774"/>
      <c r="HIL112" s="774"/>
      <c r="HIM112" s="774"/>
      <c r="HIN112" s="774"/>
      <c r="HIO112" s="774"/>
      <c r="HIP112" s="774"/>
      <c r="HIQ112" s="774"/>
      <c r="HIR112" s="774"/>
      <c r="HIS112" s="774"/>
      <c r="HIT112" s="774"/>
      <c r="HIU112" s="774"/>
      <c r="HIV112" s="774"/>
      <c r="HIW112" s="774"/>
      <c r="HIX112" s="774"/>
      <c r="HIY112" s="774"/>
      <c r="HIZ112" s="774"/>
      <c r="HJA112" s="774"/>
      <c r="HJB112" s="774"/>
      <c r="HJC112" s="774"/>
      <c r="HJD112" s="774"/>
      <c r="HJE112" s="774"/>
      <c r="HJF112" s="774"/>
      <c r="HJG112" s="774"/>
      <c r="HJH112" s="774"/>
      <c r="HJI112" s="774"/>
      <c r="HJJ112" s="774"/>
      <c r="HJK112" s="774"/>
      <c r="HJL112" s="774"/>
      <c r="HJM112" s="774"/>
      <c r="HJN112" s="774"/>
      <c r="HJO112" s="774"/>
      <c r="HJP112" s="774"/>
      <c r="HJQ112" s="774"/>
      <c r="HJR112" s="774"/>
      <c r="HJS112" s="774"/>
      <c r="HJT112" s="774"/>
      <c r="HJU112" s="774"/>
      <c r="HJV112" s="774"/>
      <c r="HJW112" s="774"/>
      <c r="HJX112" s="774"/>
      <c r="HJY112" s="774"/>
      <c r="HJZ112" s="774"/>
      <c r="HKA112" s="774"/>
      <c r="HKB112" s="774"/>
      <c r="HKC112" s="774"/>
      <c r="HKD112" s="774"/>
      <c r="HKE112" s="774"/>
      <c r="HKF112" s="774"/>
      <c r="HKG112" s="774"/>
      <c r="HKH112" s="774"/>
      <c r="HKI112" s="774"/>
      <c r="HKJ112" s="774"/>
      <c r="HKK112" s="774"/>
      <c r="HKL112" s="774"/>
      <c r="HKM112" s="774"/>
      <c r="HKN112" s="774"/>
      <c r="HKO112" s="774"/>
      <c r="HKP112" s="774"/>
      <c r="HKQ112" s="774"/>
      <c r="HKR112" s="774"/>
      <c r="HKS112" s="774"/>
      <c r="HKT112" s="774"/>
      <c r="HKU112" s="774"/>
      <c r="HKV112" s="774"/>
      <c r="HKW112" s="774"/>
      <c r="HKX112" s="774"/>
      <c r="HKY112" s="774"/>
      <c r="HKZ112" s="774"/>
      <c r="HLA112" s="774"/>
      <c r="HLB112" s="774"/>
      <c r="HLC112" s="774"/>
      <c r="HLD112" s="774"/>
      <c r="HLE112" s="774"/>
      <c r="HLF112" s="774"/>
      <c r="HLG112" s="774"/>
      <c r="HLH112" s="774"/>
      <c r="HLI112" s="774"/>
      <c r="HLJ112" s="774"/>
      <c r="HLK112" s="774"/>
      <c r="HLL112" s="774"/>
      <c r="HLM112" s="774"/>
      <c r="HLN112" s="774"/>
      <c r="HLO112" s="774"/>
      <c r="HLP112" s="774"/>
      <c r="HLQ112" s="774"/>
      <c r="HLR112" s="774"/>
      <c r="HLS112" s="774"/>
      <c r="HLT112" s="774"/>
      <c r="HLU112" s="774"/>
      <c r="HLV112" s="774"/>
      <c r="HLW112" s="774"/>
      <c r="HLX112" s="774"/>
      <c r="HLY112" s="774"/>
      <c r="HLZ112" s="774"/>
      <c r="HMA112" s="774"/>
      <c r="HMB112" s="774"/>
      <c r="HMC112" s="774"/>
      <c r="HMD112" s="774"/>
      <c r="HME112" s="774"/>
      <c r="HMF112" s="774"/>
      <c r="HMG112" s="774"/>
      <c r="HMH112" s="774"/>
      <c r="HMI112" s="774"/>
      <c r="HMJ112" s="774"/>
      <c r="HMK112" s="774"/>
      <c r="HML112" s="774"/>
      <c r="HMM112" s="774"/>
      <c r="HMN112" s="774"/>
      <c r="HMO112" s="774"/>
      <c r="HMP112" s="774"/>
      <c r="HMQ112" s="774"/>
      <c r="HMR112" s="774"/>
      <c r="HMS112" s="774"/>
      <c r="HMT112" s="774"/>
      <c r="HMU112" s="774"/>
      <c r="HMV112" s="774"/>
      <c r="HMW112" s="774"/>
      <c r="HMX112" s="774"/>
      <c r="HMY112" s="774"/>
      <c r="HMZ112" s="774"/>
      <c r="HNA112" s="774"/>
      <c r="HNB112" s="774"/>
      <c r="HNC112" s="774"/>
      <c r="HND112" s="774"/>
      <c r="HNE112" s="774"/>
      <c r="HNF112" s="774"/>
      <c r="HNG112" s="774"/>
      <c r="HNH112" s="774"/>
      <c r="HNI112" s="774"/>
      <c r="HNJ112" s="774"/>
      <c r="HNK112" s="774"/>
      <c r="HNL112" s="774"/>
      <c r="HNM112" s="774"/>
      <c r="HNN112" s="774"/>
      <c r="HNO112" s="774"/>
      <c r="HNP112" s="774"/>
      <c r="HNQ112" s="774"/>
      <c r="HNR112" s="774"/>
      <c r="HNS112" s="774"/>
      <c r="HNT112" s="774"/>
      <c r="HNU112" s="774"/>
      <c r="HNV112" s="774"/>
      <c r="HNW112" s="774"/>
      <c r="HNX112" s="774"/>
      <c r="HNY112" s="774"/>
      <c r="HNZ112" s="774"/>
      <c r="HOA112" s="774"/>
      <c r="HOB112" s="774"/>
      <c r="HOC112" s="774"/>
      <c r="HOD112" s="774"/>
      <c r="HOE112" s="774"/>
      <c r="HOF112" s="774"/>
      <c r="HOG112" s="774"/>
      <c r="HOH112" s="774"/>
      <c r="HOI112" s="774"/>
      <c r="HOJ112" s="774"/>
      <c r="HOK112" s="774"/>
      <c r="HOL112" s="774"/>
      <c r="HOM112" s="774"/>
      <c r="HON112" s="774"/>
      <c r="HOO112" s="774"/>
      <c r="HOP112" s="774"/>
      <c r="HOQ112" s="774"/>
      <c r="HOR112" s="774"/>
      <c r="HOS112" s="774"/>
      <c r="HOT112" s="774"/>
      <c r="HOU112" s="774"/>
      <c r="HOV112" s="774"/>
      <c r="HOW112" s="774"/>
      <c r="HOX112" s="774"/>
      <c r="HOY112" s="774"/>
      <c r="HOZ112" s="774"/>
      <c r="HPA112" s="774"/>
      <c r="HPB112" s="774"/>
      <c r="HPC112" s="774"/>
      <c r="HPD112" s="774"/>
      <c r="HPE112" s="774"/>
      <c r="HPF112" s="774"/>
      <c r="HPG112" s="774"/>
      <c r="HPH112" s="774"/>
      <c r="HPI112" s="774"/>
      <c r="HPJ112" s="774"/>
      <c r="HPK112" s="774"/>
      <c r="HPL112" s="774"/>
      <c r="HPM112" s="774"/>
      <c r="HPN112" s="774"/>
      <c r="HPO112" s="774"/>
      <c r="HPP112" s="774"/>
      <c r="HPQ112" s="774"/>
      <c r="HPR112" s="774"/>
      <c r="HPS112" s="774"/>
      <c r="HPT112" s="774"/>
      <c r="HPU112" s="774"/>
      <c r="HPV112" s="774"/>
      <c r="HPW112" s="774"/>
      <c r="HPX112" s="774"/>
      <c r="HPY112" s="774"/>
      <c r="HPZ112" s="774"/>
      <c r="HQA112" s="774"/>
      <c r="HQB112" s="774"/>
      <c r="HQC112" s="774"/>
      <c r="HQD112" s="774"/>
      <c r="HQE112" s="774"/>
      <c r="HQF112" s="774"/>
      <c r="HQG112" s="774"/>
      <c r="HQH112" s="774"/>
      <c r="HQI112" s="774"/>
      <c r="HQJ112" s="774"/>
      <c r="HQK112" s="774"/>
      <c r="HQL112" s="774"/>
      <c r="HQM112" s="774"/>
      <c r="HQN112" s="774"/>
      <c r="HQO112" s="774"/>
      <c r="HQP112" s="774"/>
      <c r="HQQ112" s="774"/>
      <c r="HQR112" s="774"/>
      <c r="HQS112" s="774"/>
      <c r="HQT112" s="774"/>
      <c r="HQU112" s="774"/>
      <c r="HQV112" s="774"/>
      <c r="HQW112" s="774"/>
      <c r="HQX112" s="774"/>
      <c r="HQY112" s="774"/>
      <c r="HQZ112" s="774"/>
      <c r="HRA112" s="774"/>
      <c r="HRB112" s="774"/>
      <c r="HRC112" s="774"/>
      <c r="HRD112" s="774"/>
      <c r="HRE112" s="774"/>
      <c r="HRF112" s="774"/>
      <c r="HRG112" s="774"/>
      <c r="HRH112" s="774"/>
      <c r="HRI112" s="774"/>
      <c r="HRJ112" s="774"/>
      <c r="HRK112" s="774"/>
      <c r="HRL112" s="774"/>
      <c r="HRM112" s="774"/>
      <c r="HRN112" s="774"/>
      <c r="HRO112" s="774"/>
      <c r="HRP112" s="774"/>
      <c r="HRQ112" s="774"/>
      <c r="HRR112" s="774"/>
      <c r="HRS112" s="774"/>
      <c r="HRT112" s="774"/>
      <c r="HRU112" s="774"/>
      <c r="HRV112" s="774"/>
      <c r="HRW112" s="774"/>
      <c r="HRX112" s="774"/>
      <c r="HRY112" s="774"/>
      <c r="HRZ112" s="774"/>
      <c r="HSA112" s="774"/>
      <c r="HSB112" s="774"/>
      <c r="HSC112" s="774"/>
      <c r="HSD112" s="774"/>
      <c r="HSE112" s="774"/>
      <c r="HSF112" s="774"/>
      <c r="HSG112" s="774"/>
      <c r="HSH112" s="774"/>
      <c r="HSI112" s="774"/>
      <c r="HSJ112" s="774"/>
      <c r="HSK112" s="774"/>
      <c r="HSL112" s="774"/>
      <c r="HSM112" s="774"/>
      <c r="HSN112" s="774"/>
      <c r="HSO112" s="774"/>
      <c r="HSP112" s="774"/>
      <c r="HSQ112" s="774"/>
      <c r="HSR112" s="774"/>
      <c r="HSS112" s="774"/>
      <c r="HST112" s="774"/>
      <c r="HSU112" s="774"/>
      <c r="HSV112" s="774"/>
      <c r="HSW112" s="774"/>
      <c r="HSX112" s="774"/>
      <c r="HSY112" s="774"/>
      <c r="HSZ112" s="774"/>
      <c r="HTA112" s="774"/>
      <c r="HTB112" s="774"/>
      <c r="HTC112" s="774"/>
      <c r="HTD112" s="774"/>
      <c r="HTE112" s="774"/>
      <c r="HTF112" s="774"/>
      <c r="HTG112" s="774"/>
      <c r="HTH112" s="774"/>
      <c r="HTI112" s="774"/>
      <c r="HTJ112" s="774"/>
      <c r="HTK112" s="774"/>
      <c r="HTL112" s="774"/>
      <c r="HTM112" s="774"/>
      <c r="HTN112" s="774"/>
      <c r="HTO112" s="774"/>
      <c r="HTP112" s="774"/>
      <c r="HTQ112" s="774"/>
      <c r="HTR112" s="774"/>
      <c r="HTS112" s="774"/>
      <c r="HTT112" s="774"/>
      <c r="HTU112" s="774"/>
      <c r="HTV112" s="774"/>
      <c r="HTW112" s="774"/>
      <c r="HTX112" s="774"/>
      <c r="HTY112" s="774"/>
      <c r="HTZ112" s="774"/>
      <c r="HUA112" s="774"/>
      <c r="HUB112" s="774"/>
      <c r="HUC112" s="774"/>
      <c r="HUD112" s="774"/>
      <c r="HUE112" s="774"/>
      <c r="HUF112" s="774"/>
      <c r="HUG112" s="774"/>
      <c r="HUH112" s="774"/>
      <c r="HUI112" s="774"/>
      <c r="HUJ112" s="774"/>
      <c r="HUK112" s="774"/>
      <c r="HUL112" s="774"/>
      <c r="HUM112" s="774"/>
      <c r="HUN112" s="774"/>
      <c r="HUO112" s="774"/>
      <c r="HUP112" s="774"/>
      <c r="HUQ112" s="774"/>
      <c r="HUR112" s="774"/>
      <c r="HUS112" s="774"/>
      <c r="HUT112" s="774"/>
      <c r="HUU112" s="774"/>
      <c r="HUV112" s="774"/>
      <c r="HUW112" s="774"/>
      <c r="HUX112" s="774"/>
      <c r="HUY112" s="774"/>
      <c r="HUZ112" s="774"/>
      <c r="HVA112" s="774"/>
      <c r="HVB112" s="774"/>
      <c r="HVC112" s="774"/>
      <c r="HVD112" s="774"/>
      <c r="HVE112" s="774"/>
      <c r="HVF112" s="774"/>
      <c r="HVG112" s="774"/>
      <c r="HVH112" s="774"/>
      <c r="HVI112" s="774"/>
      <c r="HVJ112" s="774"/>
      <c r="HVK112" s="774"/>
      <c r="HVL112" s="774"/>
      <c r="HVM112" s="774"/>
      <c r="HVN112" s="774"/>
      <c r="HVO112" s="774"/>
      <c r="HVP112" s="774"/>
      <c r="HVQ112" s="774"/>
      <c r="HVR112" s="774"/>
      <c r="HVS112" s="774"/>
      <c r="HVT112" s="774"/>
      <c r="HVU112" s="774"/>
      <c r="HVV112" s="774"/>
      <c r="HVW112" s="774"/>
      <c r="HVX112" s="774"/>
      <c r="HVY112" s="774"/>
      <c r="HVZ112" s="774"/>
      <c r="HWA112" s="774"/>
      <c r="HWB112" s="774"/>
      <c r="HWC112" s="774"/>
      <c r="HWD112" s="774"/>
      <c r="HWE112" s="774"/>
      <c r="HWF112" s="774"/>
      <c r="HWG112" s="774"/>
      <c r="HWH112" s="774"/>
      <c r="HWI112" s="774"/>
      <c r="HWJ112" s="774"/>
      <c r="HWK112" s="774"/>
      <c r="HWL112" s="774"/>
      <c r="HWM112" s="774"/>
      <c r="HWN112" s="774"/>
      <c r="HWO112" s="774"/>
      <c r="HWP112" s="774"/>
      <c r="HWQ112" s="774"/>
      <c r="HWR112" s="774"/>
      <c r="HWS112" s="774"/>
      <c r="HWT112" s="774"/>
      <c r="HWU112" s="774"/>
      <c r="HWV112" s="774"/>
      <c r="HWW112" s="774"/>
      <c r="HWX112" s="774"/>
      <c r="HWY112" s="774"/>
      <c r="HWZ112" s="774"/>
      <c r="HXA112" s="774"/>
      <c r="HXB112" s="774"/>
      <c r="HXC112" s="774"/>
      <c r="HXD112" s="774"/>
      <c r="HXE112" s="774"/>
      <c r="HXF112" s="774"/>
      <c r="HXG112" s="774"/>
      <c r="HXH112" s="774"/>
      <c r="HXI112" s="774"/>
      <c r="HXJ112" s="774"/>
      <c r="HXK112" s="774"/>
      <c r="HXL112" s="774"/>
      <c r="HXM112" s="774"/>
      <c r="HXN112" s="774"/>
      <c r="HXO112" s="774"/>
      <c r="HXP112" s="774"/>
      <c r="HXQ112" s="774"/>
      <c r="HXR112" s="774"/>
      <c r="HXS112" s="774"/>
      <c r="HXT112" s="774"/>
      <c r="HXU112" s="774"/>
      <c r="HXV112" s="774"/>
      <c r="HXW112" s="774"/>
      <c r="HXX112" s="774"/>
      <c r="HXY112" s="774"/>
      <c r="HXZ112" s="774"/>
      <c r="HYA112" s="774"/>
      <c r="HYB112" s="774"/>
      <c r="HYC112" s="774"/>
      <c r="HYD112" s="774"/>
      <c r="HYE112" s="774"/>
      <c r="HYF112" s="774"/>
      <c r="HYG112" s="774"/>
      <c r="HYH112" s="774"/>
      <c r="HYI112" s="774"/>
      <c r="HYJ112" s="774"/>
      <c r="HYK112" s="774"/>
      <c r="HYL112" s="774"/>
      <c r="HYM112" s="774"/>
      <c r="HYN112" s="774"/>
      <c r="HYO112" s="774"/>
      <c r="HYP112" s="774"/>
      <c r="HYQ112" s="774"/>
      <c r="HYR112" s="774"/>
      <c r="HYS112" s="774"/>
      <c r="HYT112" s="774"/>
      <c r="HYU112" s="774"/>
      <c r="HYV112" s="774"/>
      <c r="HYW112" s="774"/>
      <c r="HYX112" s="774"/>
      <c r="HYY112" s="774"/>
      <c r="HYZ112" s="774"/>
      <c r="HZA112" s="774"/>
      <c r="HZB112" s="774"/>
      <c r="HZC112" s="774"/>
      <c r="HZD112" s="774"/>
      <c r="HZE112" s="774"/>
      <c r="HZF112" s="774"/>
      <c r="HZG112" s="774"/>
      <c r="HZH112" s="774"/>
      <c r="HZI112" s="774"/>
      <c r="HZJ112" s="774"/>
      <c r="HZK112" s="774"/>
      <c r="HZL112" s="774"/>
      <c r="HZM112" s="774"/>
      <c r="HZN112" s="774"/>
      <c r="HZO112" s="774"/>
      <c r="HZP112" s="774"/>
      <c r="HZQ112" s="774"/>
      <c r="HZR112" s="774"/>
      <c r="HZS112" s="774"/>
      <c r="HZT112" s="774"/>
      <c r="HZU112" s="774"/>
      <c r="HZV112" s="774"/>
      <c r="HZW112" s="774"/>
      <c r="HZX112" s="774"/>
      <c r="HZY112" s="774"/>
      <c r="HZZ112" s="774"/>
      <c r="IAA112" s="774"/>
      <c r="IAB112" s="774"/>
      <c r="IAC112" s="774"/>
      <c r="IAD112" s="774"/>
      <c r="IAE112" s="774"/>
      <c r="IAF112" s="774"/>
      <c r="IAG112" s="774"/>
      <c r="IAH112" s="774"/>
      <c r="IAI112" s="774"/>
      <c r="IAJ112" s="774"/>
      <c r="IAK112" s="774"/>
      <c r="IAL112" s="774"/>
      <c r="IAM112" s="774"/>
      <c r="IAN112" s="774"/>
      <c r="IAO112" s="774"/>
      <c r="IAP112" s="774"/>
      <c r="IAQ112" s="774"/>
      <c r="IAR112" s="774"/>
      <c r="IAS112" s="774"/>
      <c r="IAT112" s="774"/>
      <c r="IAU112" s="774"/>
      <c r="IAV112" s="774"/>
      <c r="IAW112" s="774"/>
      <c r="IAX112" s="774"/>
      <c r="IAY112" s="774"/>
      <c r="IAZ112" s="774"/>
      <c r="IBA112" s="774"/>
      <c r="IBB112" s="774"/>
      <c r="IBC112" s="774"/>
      <c r="IBD112" s="774"/>
      <c r="IBE112" s="774"/>
      <c r="IBF112" s="774"/>
      <c r="IBG112" s="774"/>
      <c r="IBH112" s="774"/>
      <c r="IBI112" s="774"/>
      <c r="IBJ112" s="774"/>
      <c r="IBK112" s="774"/>
      <c r="IBL112" s="774"/>
      <c r="IBM112" s="774"/>
      <c r="IBN112" s="774"/>
      <c r="IBO112" s="774"/>
      <c r="IBP112" s="774"/>
      <c r="IBQ112" s="774"/>
      <c r="IBR112" s="774"/>
      <c r="IBS112" s="774"/>
      <c r="IBT112" s="774"/>
      <c r="IBU112" s="774"/>
      <c r="IBV112" s="774"/>
      <c r="IBW112" s="774"/>
      <c r="IBX112" s="774"/>
      <c r="IBY112" s="774"/>
      <c r="IBZ112" s="774"/>
      <c r="ICA112" s="774"/>
      <c r="ICB112" s="774"/>
      <c r="ICC112" s="774"/>
      <c r="ICD112" s="774"/>
      <c r="ICE112" s="774"/>
      <c r="ICF112" s="774"/>
      <c r="ICG112" s="774"/>
      <c r="ICH112" s="774"/>
      <c r="ICI112" s="774"/>
      <c r="ICJ112" s="774"/>
      <c r="ICK112" s="774"/>
      <c r="ICL112" s="774"/>
      <c r="ICM112" s="774"/>
      <c r="ICN112" s="774"/>
      <c r="ICO112" s="774"/>
      <c r="ICP112" s="774"/>
      <c r="ICQ112" s="774"/>
      <c r="ICR112" s="774"/>
      <c r="ICS112" s="774"/>
      <c r="ICT112" s="774"/>
      <c r="ICU112" s="774"/>
      <c r="ICV112" s="774"/>
      <c r="ICW112" s="774"/>
      <c r="ICX112" s="774"/>
      <c r="ICY112" s="774"/>
      <c r="ICZ112" s="774"/>
      <c r="IDA112" s="774"/>
      <c r="IDB112" s="774"/>
      <c r="IDC112" s="774"/>
      <c r="IDD112" s="774"/>
      <c r="IDE112" s="774"/>
      <c r="IDF112" s="774"/>
      <c r="IDG112" s="774"/>
      <c r="IDH112" s="774"/>
      <c r="IDI112" s="774"/>
      <c r="IDJ112" s="774"/>
      <c r="IDK112" s="774"/>
      <c r="IDL112" s="774"/>
      <c r="IDM112" s="774"/>
      <c r="IDN112" s="774"/>
      <c r="IDO112" s="774"/>
      <c r="IDP112" s="774"/>
      <c r="IDQ112" s="774"/>
      <c r="IDR112" s="774"/>
      <c r="IDS112" s="774"/>
      <c r="IDT112" s="774"/>
      <c r="IDU112" s="774"/>
      <c r="IDV112" s="774"/>
      <c r="IDW112" s="774"/>
      <c r="IDX112" s="774"/>
      <c r="IDY112" s="774"/>
      <c r="IDZ112" s="774"/>
      <c r="IEA112" s="774"/>
      <c r="IEB112" s="774"/>
      <c r="IEC112" s="774"/>
      <c r="IED112" s="774"/>
      <c r="IEE112" s="774"/>
      <c r="IEF112" s="774"/>
      <c r="IEG112" s="774"/>
      <c r="IEH112" s="774"/>
      <c r="IEI112" s="774"/>
      <c r="IEJ112" s="774"/>
      <c r="IEK112" s="774"/>
      <c r="IEL112" s="774"/>
      <c r="IEM112" s="774"/>
      <c r="IEN112" s="774"/>
      <c r="IEO112" s="774"/>
      <c r="IEP112" s="774"/>
      <c r="IEQ112" s="774"/>
      <c r="IER112" s="774"/>
      <c r="IES112" s="774"/>
      <c r="IET112" s="774"/>
      <c r="IEU112" s="774"/>
      <c r="IEV112" s="774"/>
      <c r="IEW112" s="774"/>
      <c r="IEX112" s="774"/>
      <c r="IEY112" s="774"/>
      <c r="IEZ112" s="774"/>
      <c r="IFA112" s="774"/>
      <c r="IFB112" s="774"/>
      <c r="IFC112" s="774"/>
      <c r="IFD112" s="774"/>
      <c r="IFE112" s="774"/>
      <c r="IFF112" s="774"/>
      <c r="IFG112" s="774"/>
      <c r="IFH112" s="774"/>
      <c r="IFI112" s="774"/>
      <c r="IFJ112" s="774"/>
      <c r="IFK112" s="774"/>
      <c r="IFL112" s="774"/>
      <c r="IFM112" s="774"/>
      <c r="IFN112" s="774"/>
      <c r="IFO112" s="774"/>
      <c r="IFP112" s="774"/>
      <c r="IFQ112" s="774"/>
      <c r="IFR112" s="774"/>
      <c r="IFS112" s="774"/>
      <c r="IFT112" s="774"/>
      <c r="IFU112" s="774"/>
      <c r="IFV112" s="774"/>
      <c r="IFW112" s="774"/>
      <c r="IFX112" s="774"/>
      <c r="IFY112" s="774"/>
      <c r="IFZ112" s="774"/>
      <c r="IGA112" s="774"/>
      <c r="IGB112" s="774"/>
      <c r="IGC112" s="774"/>
      <c r="IGD112" s="774"/>
      <c r="IGE112" s="774"/>
      <c r="IGF112" s="774"/>
      <c r="IGG112" s="774"/>
      <c r="IGH112" s="774"/>
      <c r="IGI112" s="774"/>
      <c r="IGJ112" s="774"/>
      <c r="IGK112" s="774"/>
      <c r="IGL112" s="774"/>
      <c r="IGM112" s="774"/>
      <c r="IGN112" s="774"/>
      <c r="IGO112" s="774"/>
      <c r="IGP112" s="774"/>
      <c r="IGQ112" s="774"/>
      <c r="IGR112" s="774"/>
      <c r="IGS112" s="774"/>
      <c r="IGT112" s="774"/>
      <c r="IGU112" s="774"/>
      <c r="IGV112" s="774"/>
      <c r="IGW112" s="774"/>
      <c r="IGX112" s="774"/>
      <c r="IGY112" s="774"/>
      <c r="IGZ112" s="774"/>
      <c r="IHA112" s="774"/>
      <c r="IHB112" s="774"/>
      <c r="IHC112" s="774"/>
      <c r="IHD112" s="774"/>
      <c r="IHE112" s="774"/>
      <c r="IHF112" s="774"/>
      <c r="IHG112" s="774"/>
      <c r="IHH112" s="774"/>
      <c r="IHI112" s="774"/>
      <c r="IHJ112" s="774"/>
      <c r="IHK112" s="774"/>
      <c r="IHL112" s="774"/>
      <c r="IHM112" s="774"/>
      <c r="IHN112" s="774"/>
      <c r="IHO112" s="774"/>
      <c r="IHP112" s="774"/>
      <c r="IHQ112" s="774"/>
      <c r="IHR112" s="774"/>
      <c r="IHS112" s="774"/>
      <c r="IHT112" s="774"/>
      <c r="IHU112" s="774"/>
      <c r="IHV112" s="774"/>
      <c r="IHW112" s="774"/>
      <c r="IHX112" s="774"/>
      <c r="IHY112" s="774"/>
      <c r="IHZ112" s="774"/>
      <c r="IIA112" s="774"/>
      <c r="IIB112" s="774"/>
      <c r="IIC112" s="774"/>
      <c r="IID112" s="774"/>
      <c r="IIE112" s="774"/>
      <c r="IIF112" s="774"/>
      <c r="IIG112" s="774"/>
      <c r="IIH112" s="774"/>
      <c r="III112" s="774"/>
      <c r="IIJ112" s="774"/>
      <c r="IIK112" s="774"/>
      <c r="IIL112" s="774"/>
      <c r="IIM112" s="774"/>
      <c r="IIN112" s="774"/>
      <c r="IIO112" s="774"/>
      <c r="IIP112" s="774"/>
      <c r="IIQ112" s="774"/>
      <c r="IIR112" s="774"/>
      <c r="IIS112" s="774"/>
      <c r="IIT112" s="774"/>
      <c r="IIU112" s="774"/>
      <c r="IIV112" s="774"/>
      <c r="IIW112" s="774"/>
      <c r="IIX112" s="774"/>
      <c r="IIY112" s="774"/>
      <c r="IIZ112" s="774"/>
      <c r="IJA112" s="774"/>
      <c r="IJB112" s="774"/>
      <c r="IJC112" s="774"/>
      <c r="IJD112" s="774"/>
      <c r="IJE112" s="774"/>
      <c r="IJF112" s="774"/>
      <c r="IJG112" s="774"/>
      <c r="IJH112" s="774"/>
      <c r="IJI112" s="774"/>
      <c r="IJJ112" s="774"/>
      <c r="IJK112" s="774"/>
      <c r="IJL112" s="774"/>
      <c r="IJM112" s="774"/>
      <c r="IJN112" s="774"/>
      <c r="IJO112" s="774"/>
      <c r="IJP112" s="774"/>
      <c r="IJQ112" s="774"/>
      <c r="IJR112" s="774"/>
      <c r="IJS112" s="774"/>
      <c r="IJT112" s="774"/>
      <c r="IJU112" s="774"/>
      <c r="IJV112" s="774"/>
      <c r="IJW112" s="774"/>
      <c r="IJX112" s="774"/>
      <c r="IJY112" s="774"/>
      <c r="IJZ112" s="774"/>
      <c r="IKA112" s="774"/>
      <c r="IKB112" s="774"/>
      <c r="IKC112" s="774"/>
      <c r="IKD112" s="774"/>
      <c r="IKE112" s="774"/>
      <c r="IKF112" s="774"/>
      <c r="IKG112" s="774"/>
      <c r="IKH112" s="774"/>
      <c r="IKI112" s="774"/>
      <c r="IKJ112" s="774"/>
      <c r="IKK112" s="774"/>
      <c r="IKL112" s="774"/>
      <c r="IKM112" s="774"/>
      <c r="IKN112" s="774"/>
      <c r="IKO112" s="774"/>
      <c r="IKP112" s="774"/>
      <c r="IKQ112" s="774"/>
      <c r="IKR112" s="774"/>
      <c r="IKS112" s="774"/>
      <c r="IKT112" s="774"/>
      <c r="IKU112" s="774"/>
      <c r="IKV112" s="774"/>
      <c r="IKW112" s="774"/>
      <c r="IKX112" s="774"/>
      <c r="IKY112" s="774"/>
      <c r="IKZ112" s="774"/>
      <c r="ILA112" s="774"/>
      <c r="ILB112" s="774"/>
      <c r="ILC112" s="774"/>
      <c r="ILD112" s="774"/>
      <c r="ILE112" s="774"/>
      <c r="ILF112" s="774"/>
      <c r="ILG112" s="774"/>
      <c r="ILH112" s="774"/>
      <c r="ILI112" s="774"/>
      <c r="ILJ112" s="774"/>
      <c r="ILK112" s="774"/>
      <c r="ILL112" s="774"/>
      <c r="ILM112" s="774"/>
      <c r="ILN112" s="774"/>
      <c r="ILO112" s="774"/>
      <c r="ILP112" s="774"/>
      <c r="ILQ112" s="774"/>
      <c r="ILR112" s="774"/>
      <c r="ILS112" s="774"/>
      <c r="ILT112" s="774"/>
      <c r="ILU112" s="774"/>
      <c r="ILV112" s="774"/>
      <c r="ILW112" s="774"/>
      <c r="ILX112" s="774"/>
      <c r="ILY112" s="774"/>
      <c r="ILZ112" s="774"/>
      <c r="IMA112" s="774"/>
      <c r="IMB112" s="774"/>
      <c r="IMC112" s="774"/>
      <c r="IMD112" s="774"/>
      <c r="IME112" s="774"/>
      <c r="IMF112" s="774"/>
      <c r="IMG112" s="774"/>
      <c r="IMH112" s="774"/>
      <c r="IMI112" s="774"/>
      <c r="IMJ112" s="774"/>
      <c r="IMK112" s="774"/>
      <c r="IML112" s="774"/>
      <c r="IMM112" s="774"/>
      <c r="IMN112" s="774"/>
      <c r="IMO112" s="774"/>
      <c r="IMP112" s="774"/>
      <c r="IMQ112" s="774"/>
      <c r="IMR112" s="774"/>
      <c r="IMS112" s="774"/>
      <c r="IMT112" s="774"/>
      <c r="IMU112" s="774"/>
      <c r="IMV112" s="774"/>
      <c r="IMW112" s="774"/>
      <c r="IMX112" s="774"/>
      <c r="IMY112" s="774"/>
      <c r="IMZ112" s="774"/>
      <c r="INA112" s="774"/>
      <c r="INB112" s="774"/>
      <c r="INC112" s="774"/>
      <c r="IND112" s="774"/>
      <c r="INE112" s="774"/>
      <c r="INF112" s="774"/>
      <c r="ING112" s="774"/>
      <c r="INH112" s="774"/>
      <c r="INI112" s="774"/>
      <c r="INJ112" s="774"/>
      <c r="INK112" s="774"/>
      <c r="INL112" s="774"/>
      <c r="INM112" s="774"/>
      <c r="INN112" s="774"/>
      <c r="INO112" s="774"/>
      <c r="INP112" s="774"/>
      <c r="INQ112" s="774"/>
      <c r="INR112" s="774"/>
      <c r="INS112" s="774"/>
      <c r="INT112" s="774"/>
      <c r="INU112" s="774"/>
      <c r="INV112" s="774"/>
      <c r="INW112" s="774"/>
      <c r="INX112" s="774"/>
      <c r="INY112" s="774"/>
      <c r="INZ112" s="774"/>
      <c r="IOA112" s="774"/>
      <c r="IOB112" s="774"/>
      <c r="IOC112" s="774"/>
      <c r="IOD112" s="774"/>
      <c r="IOE112" s="774"/>
      <c r="IOF112" s="774"/>
      <c r="IOG112" s="774"/>
      <c r="IOH112" s="774"/>
      <c r="IOI112" s="774"/>
      <c r="IOJ112" s="774"/>
      <c r="IOK112" s="774"/>
      <c r="IOL112" s="774"/>
      <c r="IOM112" s="774"/>
      <c r="ION112" s="774"/>
      <c r="IOO112" s="774"/>
      <c r="IOP112" s="774"/>
      <c r="IOQ112" s="774"/>
      <c r="IOR112" s="774"/>
      <c r="IOS112" s="774"/>
      <c r="IOT112" s="774"/>
      <c r="IOU112" s="774"/>
      <c r="IOV112" s="774"/>
      <c r="IOW112" s="774"/>
      <c r="IOX112" s="774"/>
      <c r="IOY112" s="774"/>
      <c r="IOZ112" s="774"/>
      <c r="IPA112" s="774"/>
      <c r="IPB112" s="774"/>
      <c r="IPC112" s="774"/>
      <c r="IPD112" s="774"/>
      <c r="IPE112" s="774"/>
      <c r="IPF112" s="774"/>
      <c r="IPG112" s="774"/>
      <c r="IPH112" s="774"/>
      <c r="IPI112" s="774"/>
      <c r="IPJ112" s="774"/>
      <c r="IPK112" s="774"/>
      <c r="IPL112" s="774"/>
      <c r="IPM112" s="774"/>
      <c r="IPN112" s="774"/>
      <c r="IPO112" s="774"/>
      <c r="IPP112" s="774"/>
      <c r="IPQ112" s="774"/>
      <c r="IPR112" s="774"/>
      <c r="IPS112" s="774"/>
      <c r="IPT112" s="774"/>
      <c r="IPU112" s="774"/>
      <c r="IPV112" s="774"/>
      <c r="IPW112" s="774"/>
      <c r="IPX112" s="774"/>
      <c r="IPY112" s="774"/>
      <c r="IPZ112" s="774"/>
      <c r="IQA112" s="774"/>
      <c r="IQB112" s="774"/>
      <c r="IQC112" s="774"/>
      <c r="IQD112" s="774"/>
      <c r="IQE112" s="774"/>
      <c r="IQF112" s="774"/>
      <c r="IQG112" s="774"/>
      <c r="IQH112" s="774"/>
      <c r="IQI112" s="774"/>
      <c r="IQJ112" s="774"/>
      <c r="IQK112" s="774"/>
      <c r="IQL112" s="774"/>
      <c r="IQM112" s="774"/>
      <c r="IQN112" s="774"/>
      <c r="IQO112" s="774"/>
      <c r="IQP112" s="774"/>
      <c r="IQQ112" s="774"/>
      <c r="IQR112" s="774"/>
      <c r="IQS112" s="774"/>
      <c r="IQT112" s="774"/>
      <c r="IQU112" s="774"/>
      <c r="IQV112" s="774"/>
      <c r="IQW112" s="774"/>
      <c r="IQX112" s="774"/>
      <c r="IQY112" s="774"/>
      <c r="IQZ112" s="774"/>
      <c r="IRA112" s="774"/>
      <c r="IRB112" s="774"/>
      <c r="IRC112" s="774"/>
      <c r="IRD112" s="774"/>
      <c r="IRE112" s="774"/>
      <c r="IRF112" s="774"/>
      <c r="IRG112" s="774"/>
      <c r="IRH112" s="774"/>
      <c r="IRI112" s="774"/>
      <c r="IRJ112" s="774"/>
      <c r="IRK112" s="774"/>
      <c r="IRL112" s="774"/>
      <c r="IRM112" s="774"/>
      <c r="IRN112" s="774"/>
      <c r="IRO112" s="774"/>
      <c r="IRP112" s="774"/>
      <c r="IRQ112" s="774"/>
      <c r="IRR112" s="774"/>
      <c r="IRS112" s="774"/>
      <c r="IRT112" s="774"/>
      <c r="IRU112" s="774"/>
      <c r="IRV112" s="774"/>
      <c r="IRW112" s="774"/>
      <c r="IRX112" s="774"/>
      <c r="IRY112" s="774"/>
      <c r="IRZ112" s="774"/>
      <c r="ISA112" s="774"/>
      <c r="ISB112" s="774"/>
      <c r="ISC112" s="774"/>
      <c r="ISD112" s="774"/>
      <c r="ISE112" s="774"/>
      <c r="ISF112" s="774"/>
      <c r="ISG112" s="774"/>
      <c r="ISH112" s="774"/>
      <c r="ISI112" s="774"/>
      <c r="ISJ112" s="774"/>
      <c r="ISK112" s="774"/>
      <c r="ISL112" s="774"/>
      <c r="ISM112" s="774"/>
      <c r="ISN112" s="774"/>
      <c r="ISO112" s="774"/>
      <c r="ISP112" s="774"/>
      <c r="ISQ112" s="774"/>
      <c r="ISR112" s="774"/>
      <c r="ISS112" s="774"/>
      <c r="IST112" s="774"/>
      <c r="ISU112" s="774"/>
      <c r="ISV112" s="774"/>
      <c r="ISW112" s="774"/>
      <c r="ISX112" s="774"/>
      <c r="ISY112" s="774"/>
      <c r="ISZ112" s="774"/>
      <c r="ITA112" s="774"/>
      <c r="ITB112" s="774"/>
      <c r="ITC112" s="774"/>
      <c r="ITD112" s="774"/>
      <c r="ITE112" s="774"/>
      <c r="ITF112" s="774"/>
      <c r="ITG112" s="774"/>
      <c r="ITH112" s="774"/>
      <c r="ITI112" s="774"/>
      <c r="ITJ112" s="774"/>
      <c r="ITK112" s="774"/>
      <c r="ITL112" s="774"/>
      <c r="ITM112" s="774"/>
      <c r="ITN112" s="774"/>
      <c r="ITO112" s="774"/>
      <c r="ITP112" s="774"/>
      <c r="ITQ112" s="774"/>
      <c r="ITR112" s="774"/>
      <c r="ITS112" s="774"/>
      <c r="ITT112" s="774"/>
      <c r="ITU112" s="774"/>
      <c r="ITV112" s="774"/>
      <c r="ITW112" s="774"/>
      <c r="ITX112" s="774"/>
      <c r="ITY112" s="774"/>
      <c r="ITZ112" s="774"/>
      <c r="IUA112" s="774"/>
      <c r="IUB112" s="774"/>
      <c r="IUC112" s="774"/>
      <c r="IUD112" s="774"/>
      <c r="IUE112" s="774"/>
      <c r="IUF112" s="774"/>
      <c r="IUG112" s="774"/>
      <c r="IUH112" s="774"/>
      <c r="IUI112" s="774"/>
      <c r="IUJ112" s="774"/>
      <c r="IUK112" s="774"/>
      <c r="IUL112" s="774"/>
      <c r="IUM112" s="774"/>
      <c r="IUN112" s="774"/>
      <c r="IUO112" s="774"/>
      <c r="IUP112" s="774"/>
      <c r="IUQ112" s="774"/>
      <c r="IUR112" s="774"/>
      <c r="IUS112" s="774"/>
      <c r="IUT112" s="774"/>
      <c r="IUU112" s="774"/>
      <c r="IUV112" s="774"/>
      <c r="IUW112" s="774"/>
      <c r="IUX112" s="774"/>
      <c r="IUY112" s="774"/>
      <c r="IUZ112" s="774"/>
      <c r="IVA112" s="774"/>
      <c r="IVB112" s="774"/>
      <c r="IVC112" s="774"/>
      <c r="IVD112" s="774"/>
      <c r="IVE112" s="774"/>
      <c r="IVF112" s="774"/>
      <c r="IVG112" s="774"/>
      <c r="IVH112" s="774"/>
      <c r="IVI112" s="774"/>
      <c r="IVJ112" s="774"/>
      <c r="IVK112" s="774"/>
      <c r="IVL112" s="774"/>
      <c r="IVM112" s="774"/>
      <c r="IVN112" s="774"/>
      <c r="IVO112" s="774"/>
      <c r="IVP112" s="774"/>
      <c r="IVQ112" s="774"/>
      <c r="IVR112" s="774"/>
      <c r="IVS112" s="774"/>
      <c r="IVT112" s="774"/>
      <c r="IVU112" s="774"/>
      <c r="IVV112" s="774"/>
      <c r="IVW112" s="774"/>
      <c r="IVX112" s="774"/>
      <c r="IVY112" s="774"/>
      <c r="IVZ112" s="774"/>
      <c r="IWA112" s="774"/>
      <c r="IWB112" s="774"/>
      <c r="IWC112" s="774"/>
      <c r="IWD112" s="774"/>
      <c r="IWE112" s="774"/>
      <c r="IWF112" s="774"/>
      <c r="IWG112" s="774"/>
      <c r="IWH112" s="774"/>
      <c r="IWI112" s="774"/>
      <c r="IWJ112" s="774"/>
      <c r="IWK112" s="774"/>
      <c r="IWL112" s="774"/>
      <c r="IWM112" s="774"/>
      <c r="IWN112" s="774"/>
      <c r="IWO112" s="774"/>
      <c r="IWP112" s="774"/>
      <c r="IWQ112" s="774"/>
      <c r="IWR112" s="774"/>
      <c r="IWS112" s="774"/>
      <c r="IWT112" s="774"/>
      <c r="IWU112" s="774"/>
      <c r="IWV112" s="774"/>
      <c r="IWW112" s="774"/>
      <c r="IWX112" s="774"/>
      <c r="IWY112" s="774"/>
      <c r="IWZ112" s="774"/>
      <c r="IXA112" s="774"/>
      <c r="IXB112" s="774"/>
      <c r="IXC112" s="774"/>
      <c r="IXD112" s="774"/>
      <c r="IXE112" s="774"/>
      <c r="IXF112" s="774"/>
      <c r="IXG112" s="774"/>
      <c r="IXH112" s="774"/>
      <c r="IXI112" s="774"/>
      <c r="IXJ112" s="774"/>
      <c r="IXK112" s="774"/>
      <c r="IXL112" s="774"/>
      <c r="IXM112" s="774"/>
      <c r="IXN112" s="774"/>
      <c r="IXO112" s="774"/>
      <c r="IXP112" s="774"/>
      <c r="IXQ112" s="774"/>
      <c r="IXR112" s="774"/>
      <c r="IXS112" s="774"/>
      <c r="IXT112" s="774"/>
      <c r="IXU112" s="774"/>
      <c r="IXV112" s="774"/>
      <c r="IXW112" s="774"/>
      <c r="IXX112" s="774"/>
      <c r="IXY112" s="774"/>
      <c r="IXZ112" s="774"/>
      <c r="IYA112" s="774"/>
      <c r="IYB112" s="774"/>
      <c r="IYC112" s="774"/>
      <c r="IYD112" s="774"/>
      <c r="IYE112" s="774"/>
      <c r="IYF112" s="774"/>
      <c r="IYG112" s="774"/>
      <c r="IYH112" s="774"/>
      <c r="IYI112" s="774"/>
      <c r="IYJ112" s="774"/>
      <c r="IYK112" s="774"/>
      <c r="IYL112" s="774"/>
      <c r="IYM112" s="774"/>
      <c r="IYN112" s="774"/>
      <c r="IYO112" s="774"/>
      <c r="IYP112" s="774"/>
      <c r="IYQ112" s="774"/>
      <c r="IYR112" s="774"/>
      <c r="IYS112" s="774"/>
      <c r="IYT112" s="774"/>
      <c r="IYU112" s="774"/>
      <c r="IYV112" s="774"/>
      <c r="IYW112" s="774"/>
      <c r="IYX112" s="774"/>
      <c r="IYY112" s="774"/>
      <c r="IYZ112" s="774"/>
      <c r="IZA112" s="774"/>
      <c r="IZB112" s="774"/>
      <c r="IZC112" s="774"/>
      <c r="IZD112" s="774"/>
      <c r="IZE112" s="774"/>
      <c r="IZF112" s="774"/>
      <c r="IZG112" s="774"/>
      <c r="IZH112" s="774"/>
      <c r="IZI112" s="774"/>
      <c r="IZJ112" s="774"/>
      <c r="IZK112" s="774"/>
      <c r="IZL112" s="774"/>
      <c r="IZM112" s="774"/>
      <c r="IZN112" s="774"/>
      <c r="IZO112" s="774"/>
      <c r="IZP112" s="774"/>
      <c r="IZQ112" s="774"/>
      <c r="IZR112" s="774"/>
      <c r="IZS112" s="774"/>
      <c r="IZT112" s="774"/>
      <c r="IZU112" s="774"/>
      <c r="IZV112" s="774"/>
      <c r="IZW112" s="774"/>
      <c r="IZX112" s="774"/>
      <c r="IZY112" s="774"/>
      <c r="IZZ112" s="774"/>
      <c r="JAA112" s="774"/>
      <c r="JAB112" s="774"/>
      <c r="JAC112" s="774"/>
      <c r="JAD112" s="774"/>
      <c r="JAE112" s="774"/>
      <c r="JAF112" s="774"/>
      <c r="JAG112" s="774"/>
      <c r="JAH112" s="774"/>
      <c r="JAI112" s="774"/>
      <c r="JAJ112" s="774"/>
      <c r="JAK112" s="774"/>
      <c r="JAL112" s="774"/>
      <c r="JAM112" s="774"/>
      <c r="JAN112" s="774"/>
      <c r="JAO112" s="774"/>
      <c r="JAP112" s="774"/>
      <c r="JAQ112" s="774"/>
      <c r="JAR112" s="774"/>
      <c r="JAS112" s="774"/>
      <c r="JAT112" s="774"/>
      <c r="JAU112" s="774"/>
      <c r="JAV112" s="774"/>
      <c r="JAW112" s="774"/>
      <c r="JAX112" s="774"/>
      <c r="JAY112" s="774"/>
      <c r="JAZ112" s="774"/>
      <c r="JBA112" s="774"/>
      <c r="JBB112" s="774"/>
      <c r="JBC112" s="774"/>
      <c r="JBD112" s="774"/>
      <c r="JBE112" s="774"/>
      <c r="JBF112" s="774"/>
      <c r="JBG112" s="774"/>
      <c r="JBH112" s="774"/>
      <c r="JBI112" s="774"/>
      <c r="JBJ112" s="774"/>
      <c r="JBK112" s="774"/>
      <c r="JBL112" s="774"/>
      <c r="JBM112" s="774"/>
      <c r="JBN112" s="774"/>
      <c r="JBO112" s="774"/>
      <c r="JBP112" s="774"/>
      <c r="JBQ112" s="774"/>
      <c r="JBR112" s="774"/>
      <c r="JBS112" s="774"/>
      <c r="JBT112" s="774"/>
      <c r="JBU112" s="774"/>
      <c r="JBV112" s="774"/>
      <c r="JBW112" s="774"/>
      <c r="JBX112" s="774"/>
      <c r="JBY112" s="774"/>
      <c r="JBZ112" s="774"/>
      <c r="JCA112" s="774"/>
      <c r="JCB112" s="774"/>
      <c r="JCC112" s="774"/>
      <c r="JCD112" s="774"/>
      <c r="JCE112" s="774"/>
      <c r="JCF112" s="774"/>
      <c r="JCG112" s="774"/>
      <c r="JCH112" s="774"/>
      <c r="JCI112" s="774"/>
      <c r="JCJ112" s="774"/>
      <c r="JCK112" s="774"/>
      <c r="JCL112" s="774"/>
      <c r="JCM112" s="774"/>
      <c r="JCN112" s="774"/>
      <c r="JCO112" s="774"/>
      <c r="JCP112" s="774"/>
      <c r="JCQ112" s="774"/>
      <c r="JCR112" s="774"/>
      <c r="JCS112" s="774"/>
      <c r="JCT112" s="774"/>
      <c r="JCU112" s="774"/>
      <c r="JCV112" s="774"/>
      <c r="JCW112" s="774"/>
      <c r="JCX112" s="774"/>
      <c r="JCY112" s="774"/>
      <c r="JCZ112" s="774"/>
      <c r="JDA112" s="774"/>
      <c r="JDB112" s="774"/>
      <c r="JDC112" s="774"/>
      <c r="JDD112" s="774"/>
      <c r="JDE112" s="774"/>
      <c r="JDF112" s="774"/>
      <c r="JDG112" s="774"/>
      <c r="JDH112" s="774"/>
      <c r="JDI112" s="774"/>
      <c r="JDJ112" s="774"/>
      <c r="JDK112" s="774"/>
      <c r="JDL112" s="774"/>
      <c r="JDM112" s="774"/>
      <c r="JDN112" s="774"/>
      <c r="JDO112" s="774"/>
      <c r="JDP112" s="774"/>
      <c r="JDQ112" s="774"/>
      <c r="JDR112" s="774"/>
      <c r="JDS112" s="774"/>
      <c r="JDT112" s="774"/>
      <c r="JDU112" s="774"/>
      <c r="JDV112" s="774"/>
      <c r="JDW112" s="774"/>
      <c r="JDX112" s="774"/>
      <c r="JDY112" s="774"/>
      <c r="JDZ112" s="774"/>
      <c r="JEA112" s="774"/>
      <c r="JEB112" s="774"/>
      <c r="JEC112" s="774"/>
      <c r="JED112" s="774"/>
      <c r="JEE112" s="774"/>
      <c r="JEF112" s="774"/>
      <c r="JEG112" s="774"/>
      <c r="JEH112" s="774"/>
      <c r="JEI112" s="774"/>
      <c r="JEJ112" s="774"/>
      <c r="JEK112" s="774"/>
      <c r="JEL112" s="774"/>
      <c r="JEM112" s="774"/>
      <c r="JEN112" s="774"/>
      <c r="JEO112" s="774"/>
      <c r="JEP112" s="774"/>
      <c r="JEQ112" s="774"/>
      <c r="JER112" s="774"/>
      <c r="JES112" s="774"/>
      <c r="JET112" s="774"/>
      <c r="JEU112" s="774"/>
      <c r="JEV112" s="774"/>
      <c r="JEW112" s="774"/>
      <c r="JEX112" s="774"/>
      <c r="JEY112" s="774"/>
      <c r="JEZ112" s="774"/>
      <c r="JFA112" s="774"/>
      <c r="JFB112" s="774"/>
      <c r="JFC112" s="774"/>
      <c r="JFD112" s="774"/>
      <c r="JFE112" s="774"/>
      <c r="JFF112" s="774"/>
      <c r="JFG112" s="774"/>
      <c r="JFH112" s="774"/>
      <c r="JFI112" s="774"/>
      <c r="JFJ112" s="774"/>
      <c r="JFK112" s="774"/>
      <c r="JFL112" s="774"/>
      <c r="JFM112" s="774"/>
      <c r="JFN112" s="774"/>
      <c r="JFO112" s="774"/>
      <c r="JFP112" s="774"/>
      <c r="JFQ112" s="774"/>
      <c r="JFR112" s="774"/>
      <c r="JFS112" s="774"/>
      <c r="JFT112" s="774"/>
      <c r="JFU112" s="774"/>
      <c r="JFV112" s="774"/>
      <c r="JFW112" s="774"/>
      <c r="JFX112" s="774"/>
      <c r="JFY112" s="774"/>
      <c r="JFZ112" s="774"/>
      <c r="JGA112" s="774"/>
      <c r="JGB112" s="774"/>
      <c r="JGC112" s="774"/>
      <c r="JGD112" s="774"/>
      <c r="JGE112" s="774"/>
      <c r="JGF112" s="774"/>
      <c r="JGG112" s="774"/>
      <c r="JGH112" s="774"/>
      <c r="JGI112" s="774"/>
      <c r="JGJ112" s="774"/>
      <c r="JGK112" s="774"/>
      <c r="JGL112" s="774"/>
      <c r="JGM112" s="774"/>
      <c r="JGN112" s="774"/>
      <c r="JGO112" s="774"/>
      <c r="JGP112" s="774"/>
      <c r="JGQ112" s="774"/>
      <c r="JGR112" s="774"/>
      <c r="JGS112" s="774"/>
      <c r="JGT112" s="774"/>
      <c r="JGU112" s="774"/>
      <c r="JGV112" s="774"/>
      <c r="JGW112" s="774"/>
      <c r="JGX112" s="774"/>
      <c r="JGY112" s="774"/>
      <c r="JGZ112" s="774"/>
      <c r="JHA112" s="774"/>
      <c r="JHB112" s="774"/>
      <c r="JHC112" s="774"/>
      <c r="JHD112" s="774"/>
      <c r="JHE112" s="774"/>
      <c r="JHF112" s="774"/>
      <c r="JHG112" s="774"/>
      <c r="JHH112" s="774"/>
      <c r="JHI112" s="774"/>
      <c r="JHJ112" s="774"/>
      <c r="JHK112" s="774"/>
      <c r="JHL112" s="774"/>
      <c r="JHM112" s="774"/>
      <c r="JHN112" s="774"/>
      <c r="JHO112" s="774"/>
      <c r="JHP112" s="774"/>
      <c r="JHQ112" s="774"/>
      <c r="JHR112" s="774"/>
      <c r="JHS112" s="774"/>
      <c r="JHT112" s="774"/>
      <c r="JHU112" s="774"/>
      <c r="JHV112" s="774"/>
      <c r="JHW112" s="774"/>
      <c r="JHX112" s="774"/>
      <c r="JHY112" s="774"/>
      <c r="JHZ112" s="774"/>
      <c r="JIA112" s="774"/>
      <c r="JIB112" s="774"/>
      <c r="JIC112" s="774"/>
      <c r="JID112" s="774"/>
      <c r="JIE112" s="774"/>
      <c r="JIF112" s="774"/>
      <c r="JIG112" s="774"/>
      <c r="JIH112" s="774"/>
      <c r="JII112" s="774"/>
      <c r="JIJ112" s="774"/>
      <c r="JIK112" s="774"/>
      <c r="JIL112" s="774"/>
      <c r="JIM112" s="774"/>
      <c r="JIN112" s="774"/>
      <c r="JIO112" s="774"/>
      <c r="JIP112" s="774"/>
      <c r="JIQ112" s="774"/>
      <c r="JIR112" s="774"/>
      <c r="JIS112" s="774"/>
      <c r="JIT112" s="774"/>
      <c r="JIU112" s="774"/>
      <c r="JIV112" s="774"/>
      <c r="JIW112" s="774"/>
      <c r="JIX112" s="774"/>
      <c r="JIY112" s="774"/>
      <c r="JIZ112" s="774"/>
      <c r="JJA112" s="774"/>
      <c r="JJB112" s="774"/>
      <c r="JJC112" s="774"/>
      <c r="JJD112" s="774"/>
      <c r="JJE112" s="774"/>
      <c r="JJF112" s="774"/>
      <c r="JJG112" s="774"/>
      <c r="JJH112" s="774"/>
      <c r="JJI112" s="774"/>
      <c r="JJJ112" s="774"/>
      <c r="JJK112" s="774"/>
      <c r="JJL112" s="774"/>
      <c r="JJM112" s="774"/>
      <c r="JJN112" s="774"/>
      <c r="JJO112" s="774"/>
      <c r="JJP112" s="774"/>
      <c r="JJQ112" s="774"/>
      <c r="JJR112" s="774"/>
      <c r="JJS112" s="774"/>
      <c r="JJT112" s="774"/>
      <c r="JJU112" s="774"/>
      <c r="JJV112" s="774"/>
      <c r="JJW112" s="774"/>
      <c r="JJX112" s="774"/>
      <c r="JJY112" s="774"/>
      <c r="JJZ112" s="774"/>
      <c r="JKA112" s="774"/>
      <c r="JKB112" s="774"/>
      <c r="JKC112" s="774"/>
      <c r="JKD112" s="774"/>
      <c r="JKE112" s="774"/>
      <c r="JKF112" s="774"/>
      <c r="JKG112" s="774"/>
      <c r="JKH112" s="774"/>
      <c r="JKI112" s="774"/>
      <c r="JKJ112" s="774"/>
      <c r="JKK112" s="774"/>
      <c r="JKL112" s="774"/>
      <c r="JKM112" s="774"/>
      <c r="JKN112" s="774"/>
      <c r="JKO112" s="774"/>
      <c r="JKP112" s="774"/>
      <c r="JKQ112" s="774"/>
      <c r="JKR112" s="774"/>
      <c r="JKS112" s="774"/>
      <c r="JKT112" s="774"/>
      <c r="JKU112" s="774"/>
      <c r="JKV112" s="774"/>
      <c r="JKW112" s="774"/>
      <c r="JKX112" s="774"/>
      <c r="JKY112" s="774"/>
      <c r="JKZ112" s="774"/>
      <c r="JLA112" s="774"/>
      <c r="JLB112" s="774"/>
      <c r="JLC112" s="774"/>
      <c r="JLD112" s="774"/>
      <c r="JLE112" s="774"/>
      <c r="JLF112" s="774"/>
      <c r="JLG112" s="774"/>
      <c r="JLH112" s="774"/>
      <c r="JLI112" s="774"/>
      <c r="JLJ112" s="774"/>
      <c r="JLK112" s="774"/>
      <c r="JLL112" s="774"/>
      <c r="JLM112" s="774"/>
      <c r="JLN112" s="774"/>
      <c r="JLO112" s="774"/>
      <c r="JLP112" s="774"/>
      <c r="JLQ112" s="774"/>
      <c r="JLR112" s="774"/>
      <c r="JLS112" s="774"/>
      <c r="JLT112" s="774"/>
      <c r="JLU112" s="774"/>
      <c r="JLV112" s="774"/>
      <c r="JLW112" s="774"/>
      <c r="JLX112" s="774"/>
      <c r="JLY112" s="774"/>
      <c r="JLZ112" s="774"/>
      <c r="JMA112" s="774"/>
      <c r="JMB112" s="774"/>
      <c r="JMC112" s="774"/>
      <c r="JMD112" s="774"/>
      <c r="JME112" s="774"/>
      <c r="JMF112" s="774"/>
      <c r="JMG112" s="774"/>
      <c r="JMH112" s="774"/>
      <c r="JMI112" s="774"/>
      <c r="JMJ112" s="774"/>
      <c r="JMK112" s="774"/>
      <c r="JML112" s="774"/>
      <c r="JMM112" s="774"/>
      <c r="JMN112" s="774"/>
      <c r="JMO112" s="774"/>
      <c r="JMP112" s="774"/>
      <c r="JMQ112" s="774"/>
      <c r="JMR112" s="774"/>
      <c r="JMS112" s="774"/>
      <c r="JMT112" s="774"/>
      <c r="JMU112" s="774"/>
      <c r="JMV112" s="774"/>
      <c r="JMW112" s="774"/>
      <c r="JMX112" s="774"/>
      <c r="JMY112" s="774"/>
      <c r="JMZ112" s="774"/>
      <c r="JNA112" s="774"/>
      <c r="JNB112" s="774"/>
      <c r="JNC112" s="774"/>
      <c r="JND112" s="774"/>
      <c r="JNE112" s="774"/>
      <c r="JNF112" s="774"/>
      <c r="JNG112" s="774"/>
      <c r="JNH112" s="774"/>
      <c r="JNI112" s="774"/>
      <c r="JNJ112" s="774"/>
      <c r="JNK112" s="774"/>
      <c r="JNL112" s="774"/>
      <c r="JNM112" s="774"/>
      <c r="JNN112" s="774"/>
      <c r="JNO112" s="774"/>
      <c r="JNP112" s="774"/>
      <c r="JNQ112" s="774"/>
      <c r="JNR112" s="774"/>
      <c r="JNS112" s="774"/>
      <c r="JNT112" s="774"/>
      <c r="JNU112" s="774"/>
      <c r="JNV112" s="774"/>
      <c r="JNW112" s="774"/>
      <c r="JNX112" s="774"/>
      <c r="JNY112" s="774"/>
      <c r="JNZ112" s="774"/>
      <c r="JOA112" s="774"/>
      <c r="JOB112" s="774"/>
      <c r="JOC112" s="774"/>
      <c r="JOD112" s="774"/>
      <c r="JOE112" s="774"/>
      <c r="JOF112" s="774"/>
      <c r="JOG112" s="774"/>
      <c r="JOH112" s="774"/>
      <c r="JOI112" s="774"/>
      <c r="JOJ112" s="774"/>
      <c r="JOK112" s="774"/>
      <c r="JOL112" s="774"/>
      <c r="JOM112" s="774"/>
      <c r="JON112" s="774"/>
      <c r="JOO112" s="774"/>
      <c r="JOP112" s="774"/>
      <c r="JOQ112" s="774"/>
      <c r="JOR112" s="774"/>
      <c r="JOS112" s="774"/>
      <c r="JOT112" s="774"/>
      <c r="JOU112" s="774"/>
      <c r="JOV112" s="774"/>
      <c r="JOW112" s="774"/>
      <c r="JOX112" s="774"/>
      <c r="JOY112" s="774"/>
      <c r="JOZ112" s="774"/>
      <c r="JPA112" s="774"/>
      <c r="JPB112" s="774"/>
      <c r="JPC112" s="774"/>
      <c r="JPD112" s="774"/>
      <c r="JPE112" s="774"/>
      <c r="JPF112" s="774"/>
      <c r="JPG112" s="774"/>
      <c r="JPH112" s="774"/>
      <c r="JPI112" s="774"/>
      <c r="JPJ112" s="774"/>
      <c r="JPK112" s="774"/>
      <c r="JPL112" s="774"/>
      <c r="JPM112" s="774"/>
      <c r="JPN112" s="774"/>
      <c r="JPO112" s="774"/>
      <c r="JPP112" s="774"/>
      <c r="JPQ112" s="774"/>
      <c r="JPR112" s="774"/>
      <c r="JPS112" s="774"/>
      <c r="JPT112" s="774"/>
      <c r="JPU112" s="774"/>
      <c r="JPV112" s="774"/>
      <c r="JPW112" s="774"/>
      <c r="JPX112" s="774"/>
      <c r="JPY112" s="774"/>
      <c r="JPZ112" s="774"/>
      <c r="JQA112" s="774"/>
      <c r="JQB112" s="774"/>
      <c r="JQC112" s="774"/>
      <c r="JQD112" s="774"/>
      <c r="JQE112" s="774"/>
      <c r="JQF112" s="774"/>
      <c r="JQG112" s="774"/>
      <c r="JQH112" s="774"/>
      <c r="JQI112" s="774"/>
      <c r="JQJ112" s="774"/>
      <c r="JQK112" s="774"/>
      <c r="JQL112" s="774"/>
      <c r="JQM112" s="774"/>
      <c r="JQN112" s="774"/>
      <c r="JQO112" s="774"/>
      <c r="JQP112" s="774"/>
      <c r="JQQ112" s="774"/>
      <c r="JQR112" s="774"/>
      <c r="JQS112" s="774"/>
      <c r="JQT112" s="774"/>
      <c r="JQU112" s="774"/>
      <c r="JQV112" s="774"/>
      <c r="JQW112" s="774"/>
      <c r="JQX112" s="774"/>
      <c r="JQY112" s="774"/>
      <c r="JQZ112" s="774"/>
      <c r="JRA112" s="774"/>
      <c r="JRB112" s="774"/>
      <c r="JRC112" s="774"/>
      <c r="JRD112" s="774"/>
      <c r="JRE112" s="774"/>
      <c r="JRF112" s="774"/>
      <c r="JRG112" s="774"/>
      <c r="JRH112" s="774"/>
      <c r="JRI112" s="774"/>
      <c r="JRJ112" s="774"/>
      <c r="JRK112" s="774"/>
      <c r="JRL112" s="774"/>
      <c r="JRM112" s="774"/>
      <c r="JRN112" s="774"/>
      <c r="JRO112" s="774"/>
      <c r="JRP112" s="774"/>
      <c r="JRQ112" s="774"/>
      <c r="JRR112" s="774"/>
      <c r="JRS112" s="774"/>
      <c r="JRT112" s="774"/>
      <c r="JRU112" s="774"/>
      <c r="JRV112" s="774"/>
      <c r="JRW112" s="774"/>
      <c r="JRX112" s="774"/>
      <c r="JRY112" s="774"/>
      <c r="JRZ112" s="774"/>
      <c r="JSA112" s="774"/>
      <c r="JSB112" s="774"/>
      <c r="JSC112" s="774"/>
      <c r="JSD112" s="774"/>
      <c r="JSE112" s="774"/>
      <c r="JSF112" s="774"/>
      <c r="JSG112" s="774"/>
      <c r="JSH112" s="774"/>
      <c r="JSI112" s="774"/>
      <c r="JSJ112" s="774"/>
      <c r="JSK112" s="774"/>
      <c r="JSL112" s="774"/>
      <c r="JSM112" s="774"/>
      <c r="JSN112" s="774"/>
      <c r="JSO112" s="774"/>
      <c r="JSP112" s="774"/>
      <c r="JSQ112" s="774"/>
      <c r="JSR112" s="774"/>
      <c r="JSS112" s="774"/>
      <c r="JST112" s="774"/>
      <c r="JSU112" s="774"/>
      <c r="JSV112" s="774"/>
      <c r="JSW112" s="774"/>
      <c r="JSX112" s="774"/>
      <c r="JSY112" s="774"/>
      <c r="JSZ112" s="774"/>
      <c r="JTA112" s="774"/>
      <c r="JTB112" s="774"/>
      <c r="JTC112" s="774"/>
      <c r="JTD112" s="774"/>
      <c r="JTE112" s="774"/>
      <c r="JTF112" s="774"/>
      <c r="JTG112" s="774"/>
      <c r="JTH112" s="774"/>
      <c r="JTI112" s="774"/>
      <c r="JTJ112" s="774"/>
      <c r="JTK112" s="774"/>
      <c r="JTL112" s="774"/>
      <c r="JTM112" s="774"/>
      <c r="JTN112" s="774"/>
      <c r="JTO112" s="774"/>
      <c r="JTP112" s="774"/>
      <c r="JTQ112" s="774"/>
      <c r="JTR112" s="774"/>
      <c r="JTS112" s="774"/>
      <c r="JTT112" s="774"/>
      <c r="JTU112" s="774"/>
      <c r="JTV112" s="774"/>
      <c r="JTW112" s="774"/>
      <c r="JTX112" s="774"/>
      <c r="JTY112" s="774"/>
      <c r="JTZ112" s="774"/>
      <c r="JUA112" s="774"/>
      <c r="JUB112" s="774"/>
      <c r="JUC112" s="774"/>
      <c r="JUD112" s="774"/>
      <c r="JUE112" s="774"/>
      <c r="JUF112" s="774"/>
      <c r="JUG112" s="774"/>
      <c r="JUH112" s="774"/>
      <c r="JUI112" s="774"/>
      <c r="JUJ112" s="774"/>
      <c r="JUK112" s="774"/>
      <c r="JUL112" s="774"/>
      <c r="JUM112" s="774"/>
      <c r="JUN112" s="774"/>
      <c r="JUO112" s="774"/>
      <c r="JUP112" s="774"/>
      <c r="JUQ112" s="774"/>
      <c r="JUR112" s="774"/>
      <c r="JUS112" s="774"/>
      <c r="JUT112" s="774"/>
      <c r="JUU112" s="774"/>
      <c r="JUV112" s="774"/>
      <c r="JUW112" s="774"/>
      <c r="JUX112" s="774"/>
      <c r="JUY112" s="774"/>
      <c r="JUZ112" s="774"/>
      <c r="JVA112" s="774"/>
      <c r="JVB112" s="774"/>
      <c r="JVC112" s="774"/>
      <c r="JVD112" s="774"/>
      <c r="JVE112" s="774"/>
      <c r="JVF112" s="774"/>
      <c r="JVG112" s="774"/>
      <c r="JVH112" s="774"/>
      <c r="JVI112" s="774"/>
      <c r="JVJ112" s="774"/>
      <c r="JVK112" s="774"/>
      <c r="JVL112" s="774"/>
      <c r="JVM112" s="774"/>
      <c r="JVN112" s="774"/>
      <c r="JVO112" s="774"/>
      <c r="JVP112" s="774"/>
      <c r="JVQ112" s="774"/>
      <c r="JVR112" s="774"/>
      <c r="JVS112" s="774"/>
      <c r="JVT112" s="774"/>
      <c r="JVU112" s="774"/>
      <c r="JVV112" s="774"/>
      <c r="JVW112" s="774"/>
      <c r="JVX112" s="774"/>
      <c r="JVY112" s="774"/>
      <c r="JVZ112" s="774"/>
      <c r="JWA112" s="774"/>
      <c r="JWB112" s="774"/>
      <c r="JWC112" s="774"/>
      <c r="JWD112" s="774"/>
      <c r="JWE112" s="774"/>
      <c r="JWF112" s="774"/>
      <c r="JWG112" s="774"/>
      <c r="JWH112" s="774"/>
      <c r="JWI112" s="774"/>
      <c r="JWJ112" s="774"/>
      <c r="JWK112" s="774"/>
      <c r="JWL112" s="774"/>
      <c r="JWM112" s="774"/>
      <c r="JWN112" s="774"/>
      <c r="JWO112" s="774"/>
      <c r="JWP112" s="774"/>
      <c r="JWQ112" s="774"/>
      <c r="JWR112" s="774"/>
      <c r="JWS112" s="774"/>
      <c r="JWT112" s="774"/>
      <c r="JWU112" s="774"/>
      <c r="JWV112" s="774"/>
      <c r="JWW112" s="774"/>
      <c r="JWX112" s="774"/>
      <c r="JWY112" s="774"/>
      <c r="JWZ112" s="774"/>
      <c r="JXA112" s="774"/>
      <c r="JXB112" s="774"/>
      <c r="JXC112" s="774"/>
      <c r="JXD112" s="774"/>
      <c r="JXE112" s="774"/>
      <c r="JXF112" s="774"/>
      <c r="JXG112" s="774"/>
      <c r="JXH112" s="774"/>
      <c r="JXI112" s="774"/>
      <c r="JXJ112" s="774"/>
      <c r="JXK112" s="774"/>
      <c r="JXL112" s="774"/>
      <c r="JXM112" s="774"/>
      <c r="JXN112" s="774"/>
      <c r="JXO112" s="774"/>
      <c r="JXP112" s="774"/>
      <c r="JXQ112" s="774"/>
      <c r="JXR112" s="774"/>
      <c r="JXS112" s="774"/>
      <c r="JXT112" s="774"/>
      <c r="JXU112" s="774"/>
      <c r="JXV112" s="774"/>
      <c r="JXW112" s="774"/>
      <c r="JXX112" s="774"/>
      <c r="JXY112" s="774"/>
      <c r="JXZ112" s="774"/>
      <c r="JYA112" s="774"/>
      <c r="JYB112" s="774"/>
      <c r="JYC112" s="774"/>
      <c r="JYD112" s="774"/>
      <c r="JYE112" s="774"/>
      <c r="JYF112" s="774"/>
      <c r="JYG112" s="774"/>
      <c r="JYH112" s="774"/>
      <c r="JYI112" s="774"/>
      <c r="JYJ112" s="774"/>
      <c r="JYK112" s="774"/>
      <c r="JYL112" s="774"/>
      <c r="JYM112" s="774"/>
      <c r="JYN112" s="774"/>
      <c r="JYO112" s="774"/>
      <c r="JYP112" s="774"/>
      <c r="JYQ112" s="774"/>
      <c r="JYR112" s="774"/>
      <c r="JYS112" s="774"/>
      <c r="JYT112" s="774"/>
      <c r="JYU112" s="774"/>
      <c r="JYV112" s="774"/>
      <c r="JYW112" s="774"/>
      <c r="JYX112" s="774"/>
      <c r="JYY112" s="774"/>
      <c r="JYZ112" s="774"/>
      <c r="JZA112" s="774"/>
      <c r="JZB112" s="774"/>
      <c r="JZC112" s="774"/>
      <c r="JZD112" s="774"/>
      <c r="JZE112" s="774"/>
      <c r="JZF112" s="774"/>
      <c r="JZG112" s="774"/>
      <c r="JZH112" s="774"/>
      <c r="JZI112" s="774"/>
      <c r="JZJ112" s="774"/>
      <c r="JZK112" s="774"/>
      <c r="JZL112" s="774"/>
      <c r="JZM112" s="774"/>
      <c r="JZN112" s="774"/>
      <c r="JZO112" s="774"/>
      <c r="JZP112" s="774"/>
      <c r="JZQ112" s="774"/>
      <c r="JZR112" s="774"/>
      <c r="JZS112" s="774"/>
      <c r="JZT112" s="774"/>
      <c r="JZU112" s="774"/>
      <c r="JZV112" s="774"/>
      <c r="JZW112" s="774"/>
      <c r="JZX112" s="774"/>
      <c r="JZY112" s="774"/>
      <c r="JZZ112" s="774"/>
      <c r="KAA112" s="774"/>
      <c r="KAB112" s="774"/>
      <c r="KAC112" s="774"/>
      <c r="KAD112" s="774"/>
      <c r="KAE112" s="774"/>
      <c r="KAF112" s="774"/>
      <c r="KAG112" s="774"/>
      <c r="KAH112" s="774"/>
      <c r="KAI112" s="774"/>
      <c r="KAJ112" s="774"/>
      <c r="KAK112" s="774"/>
      <c r="KAL112" s="774"/>
      <c r="KAM112" s="774"/>
      <c r="KAN112" s="774"/>
      <c r="KAO112" s="774"/>
      <c r="KAP112" s="774"/>
      <c r="KAQ112" s="774"/>
      <c r="KAR112" s="774"/>
      <c r="KAS112" s="774"/>
      <c r="KAT112" s="774"/>
      <c r="KAU112" s="774"/>
      <c r="KAV112" s="774"/>
      <c r="KAW112" s="774"/>
      <c r="KAX112" s="774"/>
      <c r="KAY112" s="774"/>
      <c r="KAZ112" s="774"/>
      <c r="KBA112" s="774"/>
      <c r="KBB112" s="774"/>
      <c r="KBC112" s="774"/>
      <c r="KBD112" s="774"/>
      <c r="KBE112" s="774"/>
      <c r="KBF112" s="774"/>
      <c r="KBG112" s="774"/>
      <c r="KBH112" s="774"/>
      <c r="KBI112" s="774"/>
      <c r="KBJ112" s="774"/>
      <c r="KBK112" s="774"/>
      <c r="KBL112" s="774"/>
      <c r="KBM112" s="774"/>
      <c r="KBN112" s="774"/>
      <c r="KBO112" s="774"/>
      <c r="KBP112" s="774"/>
      <c r="KBQ112" s="774"/>
      <c r="KBR112" s="774"/>
      <c r="KBS112" s="774"/>
      <c r="KBT112" s="774"/>
      <c r="KBU112" s="774"/>
      <c r="KBV112" s="774"/>
      <c r="KBW112" s="774"/>
      <c r="KBX112" s="774"/>
      <c r="KBY112" s="774"/>
      <c r="KBZ112" s="774"/>
      <c r="KCA112" s="774"/>
      <c r="KCB112" s="774"/>
      <c r="KCC112" s="774"/>
      <c r="KCD112" s="774"/>
      <c r="KCE112" s="774"/>
      <c r="KCF112" s="774"/>
      <c r="KCG112" s="774"/>
      <c r="KCH112" s="774"/>
      <c r="KCI112" s="774"/>
      <c r="KCJ112" s="774"/>
      <c r="KCK112" s="774"/>
      <c r="KCL112" s="774"/>
      <c r="KCM112" s="774"/>
      <c r="KCN112" s="774"/>
      <c r="KCO112" s="774"/>
      <c r="KCP112" s="774"/>
      <c r="KCQ112" s="774"/>
      <c r="KCR112" s="774"/>
      <c r="KCS112" s="774"/>
      <c r="KCT112" s="774"/>
      <c r="KCU112" s="774"/>
      <c r="KCV112" s="774"/>
      <c r="KCW112" s="774"/>
      <c r="KCX112" s="774"/>
      <c r="KCY112" s="774"/>
      <c r="KCZ112" s="774"/>
      <c r="KDA112" s="774"/>
      <c r="KDB112" s="774"/>
      <c r="KDC112" s="774"/>
      <c r="KDD112" s="774"/>
      <c r="KDE112" s="774"/>
      <c r="KDF112" s="774"/>
      <c r="KDG112" s="774"/>
      <c r="KDH112" s="774"/>
      <c r="KDI112" s="774"/>
      <c r="KDJ112" s="774"/>
      <c r="KDK112" s="774"/>
      <c r="KDL112" s="774"/>
      <c r="KDM112" s="774"/>
      <c r="KDN112" s="774"/>
      <c r="KDO112" s="774"/>
      <c r="KDP112" s="774"/>
      <c r="KDQ112" s="774"/>
      <c r="KDR112" s="774"/>
      <c r="KDS112" s="774"/>
      <c r="KDT112" s="774"/>
      <c r="KDU112" s="774"/>
      <c r="KDV112" s="774"/>
      <c r="KDW112" s="774"/>
      <c r="KDX112" s="774"/>
      <c r="KDY112" s="774"/>
      <c r="KDZ112" s="774"/>
      <c r="KEA112" s="774"/>
      <c r="KEB112" s="774"/>
      <c r="KEC112" s="774"/>
      <c r="KED112" s="774"/>
      <c r="KEE112" s="774"/>
      <c r="KEF112" s="774"/>
      <c r="KEG112" s="774"/>
      <c r="KEH112" s="774"/>
      <c r="KEI112" s="774"/>
      <c r="KEJ112" s="774"/>
      <c r="KEK112" s="774"/>
      <c r="KEL112" s="774"/>
      <c r="KEM112" s="774"/>
      <c r="KEN112" s="774"/>
      <c r="KEO112" s="774"/>
      <c r="KEP112" s="774"/>
      <c r="KEQ112" s="774"/>
      <c r="KER112" s="774"/>
      <c r="KES112" s="774"/>
      <c r="KET112" s="774"/>
      <c r="KEU112" s="774"/>
      <c r="KEV112" s="774"/>
      <c r="KEW112" s="774"/>
      <c r="KEX112" s="774"/>
      <c r="KEY112" s="774"/>
      <c r="KEZ112" s="774"/>
      <c r="KFA112" s="774"/>
      <c r="KFB112" s="774"/>
      <c r="KFC112" s="774"/>
      <c r="KFD112" s="774"/>
      <c r="KFE112" s="774"/>
      <c r="KFF112" s="774"/>
      <c r="KFG112" s="774"/>
      <c r="KFH112" s="774"/>
      <c r="KFI112" s="774"/>
      <c r="KFJ112" s="774"/>
      <c r="KFK112" s="774"/>
      <c r="KFL112" s="774"/>
      <c r="KFM112" s="774"/>
      <c r="KFN112" s="774"/>
      <c r="KFO112" s="774"/>
      <c r="KFP112" s="774"/>
      <c r="KFQ112" s="774"/>
      <c r="KFR112" s="774"/>
      <c r="KFS112" s="774"/>
      <c r="KFT112" s="774"/>
      <c r="KFU112" s="774"/>
      <c r="KFV112" s="774"/>
      <c r="KFW112" s="774"/>
      <c r="KFX112" s="774"/>
      <c r="KFY112" s="774"/>
      <c r="KFZ112" s="774"/>
      <c r="KGA112" s="774"/>
      <c r="KGB112" s="774"/>
      <c r="KGC112" s="774"/>
      <c r="KGD112" s="774"/>
      <c r="KGE112" s="774"/>
      <c r="KGF112" s="774"/>
      <c r="KGG112" s="774"/>
      <c r="KGH112" s="774"/>
      <c r="KGI112" s="774"/>
      <c r="KGJ112" s="774"/>
      <c r="KGK112" s="774"/>
      <c r="KGL112" s="774"/>
      <c r="KGM112" s="774"/>
      <c r="KGN112" s="774"/>
      <c r="KGO112" s="774"/>
      <c r="KGP112" s="774"/>
      <c r="KGQ112" s="774"/>
      <c r="KGR112" s="774"/>
      <c r="KGS112" s="774"/>
      <c r="KGT112" s="774"/>
      <c r="KGU112" s="774"/>
      <c r="KGV112" s="774"/>
      <c r="KGW112" s="774"/>
      <c r="KGX112" s="774"/>
      <c r="KGY112" s="774"/>
      <c r="KGZ112" s="774"/>
      <c r="KHA112" s="774"/>
      <c r="KHB112" s="774"/>
      <c r="KHC112" s="774"/>
      <c r="KHD112" s="774"/>
      <c r="KHE112" s="774"/>
      <c r="KHF112" s="774"/>
      <c r="KHG112" s="774"/>
      <c r="KHH112" s="774"/>
      <c r="KHI112" s="774"/>
      <c r="KHJ112" s="774"/>
      <c r="KHK112" s="774"/>
      <c r="KHL112" s="774"/>
      <c r="KHM112" s="774"/>
      <c r="KHN112" s="774"/>
      <c r="KHO112" s="774"/>
      <c r="KHP112" s="774"/>
      <c r="KHQ112" s="774"/>
      <c r="KHR112" s="774"/>
      <c r="KHS112" s="774"/>
      <c r="KHT112" s="774"/>
      <c r="KHU112" s="774"/>
      <c r="KHV112" s="774"/>
      <c r="KHW112" s="774"/>
      <c r="KHX112" s="774"/>
      <c r="KHY112" s="774"/>
      <c r="KHZ112" s="774"/>
      <c r="KIA112" s="774"/>
      <c r="KIB112" s="774"/>
      <c r="KIC112" s="774"/>
      <c r="KID112" s="774"/>
      <c r="KIE112" s="774"/>
      <c r="KIF112" s="774"/>
      <c r="KIG112" s="774"/>
      <c r="KIH112" s="774"/>
      <c r="KII112" s="774"/>
      <c r="KIJ112" s="774"/>
      <c r="KIK112" s="774"/>
      <c r="KIL112" s="774"/>
      <c r="KIM112" s="774"/>
      <c r="KIN112" s="774"/>
      <c r="KIO112" s="774"/>
      <c r="KIP112" s="774"/>
      <c r="KIQ112" s="774"/>
      <c r="KIR112" s="774"/>
      <c r="KIS112" s="774"/>
      <c r="KIT112" s="774"/>
      <c r="KIU112" s="774"/>
      <c r="KIV112" s="774"/>
      <c r="KIW112" s="774"/>
      <c r="KIX112" s="774"/>
      <c r="KIY112" s="774"/>
      <c r="KIZ112" s="774"/>
      <c r="KJA112" s="774"/>
      <c r="KJB112" s="774"/>
      <c r="KJC112" s="774"/>
      <c r="KJD112" s="774"/>
      <c r="KJE112" s="774"/>
      <c r="KJF112" s="774"/>
      <c r="KJG112" s="774"/>
      <c r="KJH112" s="774"/>
      <c r="KJI112" s="774"/>
      <c r="KJJ112" s="774"/>
      <c r="KJK112" s="774"/>
      <c r="KJL112" s="774"/>
      <c r="KJM112" s="774"/>
      <c r="KJN112" s="774"/>
      <c r="KJO112" s="774"/>
      <c r="KJP112" s="774"/>
      <c r="KJQ112" s="774"/>
      <c r="KJR112" s="774"/>
      <c r="KJS112" s="774"/>
      <c r="KJT112" s="774"/>
      <c r="KJU112" s="774"/>
      <c r="KJV112" s="774"/>
      <c r="KJW112" s="774"/>
      <c r="KJX112" s="774"/>
      <c r="KJY112" s="774"/>
      <c r="KJZ112" s="774"/>
      <c r="KKA112" s="774"/>
      <c r="KKB112" s="774"/>
      <c r="KKC112" s="774"/>
      <c r="KKD112" s="774"/>
      <c r="KKE112" s="774"/>
      <c r="KKF112" s="774"/>
      <c r="KKG112" s="774"/>
      <c r="KKH112" s="774"/>
      <c r="KKI112" s="774"/>
      <c r="KKJ112" s="774"/>
      <c r="KKK112" s="774"/>
      <c r="KKL112" s="774"/>
      <c r="KKM112" s="774"/>
      <c r="KKN112" s="774"/>
      <c r="KKO112" s="774"/>
      <c r="KKP112" s="774"/>
      <c r="KKQ112" s="774"/>
      <c r="KKR112" s="774"/>
      <c r="KKS112" s="774"/>
      <c r="KKT112" s="774"/>
      <c r="KKU112" s="774"/>
      <c r="KKV112" s="774"/>
      <c r="KKW112" s="774"/>
      <c r="KKX112" s="774"/>
      <c r="KKY112" s="774"/>
      <c r="KKZ112" s="774"/>
      <c r="KLA112" s="774"/>
      <c r="KLB112" s="774"/>
      <c r="KLC112" s="774"/>
      <c r="KLD112" s="774"/>
      <c r="KLE112" s="774"/>
      <c r="KLF112" s="774"/>
      <c r="KLG112" s="774"/>
      <c r="KLH112" s="774"/>
      <c r="KLI112" s="774"/>
      <c r="KLJ112" s="774"/>
      <c r="KLK112" s="774"/>
      <c r="KLL112" s="774"/>
      <c r="KLM112" s="774"/>
      <c r="KLN112" s="774"/>
      <c r="KLO112" s="774"/>
      <c r="KLP112" s="774"/>
      <c r="KLQ112" s="774"/>
      <c r="KLR112" s="774"/>
      <c r="KLS112" s="774"/>
      <c r="KLT112" s="774"/>
      <c r="KLU112" s="774"/>
      <c r="KLV112" s="774"/>
      <c r="KLW112" s="774"/>
      <c r="KLX112" s="774"/>
      <c r="KLY112" s="774"/>
      <c r="KLZ112" s="774"/>
      <c r="KMA112" s="774"/>
      <c r="KMB112" s="774"/>
      <c r="KMC112" s="774"/>
      <c r="KMD112" s="774"/>
      <c r="KME112" s="774"/>
      <c r="KMF112" s="774"/>
      <c r="KMG112" s="774"/>
      <c r="KMH112" s="774"/>
      <c r="KMI112" s="774"/>
      <c r="KMJ112" s="774"/>
      <c r="KMK112" s="774"/>
      <c r="KML112" s="774"/>
      <c r="KMM112" s="774"/>
      <c r="KMN112" s="774"/>
      <c r="KMO112" s="774"/>
      <c r="KMP112" s="774"/>
      <c r="KMQ112" s="774"/>
      <c r="KMR112" s="774"/>
      <c r="KMS112" s="774"/>
      <c r="KMT112" s="774"/>
      <c r="KMU112" s="774"/>
      <c r="KMV112" s="774"/>
      <c r="KMW112" s="774"/>
      <c r="KMX112" s="774"/>
      <c r="KMY112" s="774"/>
      <c r="KMZ112" s="774"/>
      <c r="KNA112" s="774"/>
      <c r="KNB112" s="774"/>
      <c r="KNC112" s="774"/>
      <c r="KND112" s="774"/>
      <c r="KNE112" s="774"/>
      <c r="KNF112" s="774"/>
      <c r="KNG112" s="774"/>
      <c r="KNH112" s="774"/>
      <c r="KNI112" s="774"/>
      <c r="KNJ112" s="774"/>
      <c r="KNK112" s="774"/>
      <c r="KNL112" s="774"/>
      <c r="KNM112" s="774"/>
      <c r="KNN112" s="774"/>
      <c r="KNO112" s="774"/>
      <c r="KNP112" s="774"/>
      <c r="KNQ112" s="774"/>
      <c r="KNR112" s="774"/>
      <c r="KNS112" s="774"/>
      <c r="KNT112" s="774"/>
      <c r="KNU112" s="774"/>
      <c r="KNV112" s="774"/>
      <c r="KNW112" s="774"/>
      <c r="KNX112" s="774"/>
      <c r="KNY112" s="774"/>
      <c r="KNZ112" s="774"/>
      <c r="KOA112" s="774"/>
      <c r="KOB112" s="774"/>
      <c r="KOC112" s="774"/>
      <c r="KOD112" s="774"/>
      <c r="KOE112" s="774"/>
      <c r="KOF112" s="774"/>
      <c r="KOG112" s="774"/>
      <c r="KOH112" s="774"/>
      <c r="KOI112" s="774"/>
      <c r="KOJ112" s="774"/>
      <c r="KOK112" s="774"/>
      <c r="KOL112" s="774"/>
      <c r="KOM112" s="774"/>
      <c r="KON112" s="774"/>
      <c r="KOO112" s="774"/>
      <c r="KOP112" s="774"/>
      <c r="KOQ112" s="774"/>
      <c r="KOR112" s="774"/>
      <c r="KOS112" s="774"/>
      <c r="KOT112" s="774"/>
      <c r="KOU112" s="774"/>
      <c r="KOV112" s="774"/>
      <c r="KOW112" s="774"/>
      <c r="KOX112" s="774"/>
      <c r="KOY112" s="774"/>
      <c r="KOZ112" s="774"/>
      <c r="KPA112" s="774"/>
      <c r="KPB112" s="774"/>
      <c r="KPC112" s="774"/>
      <c r="KPD112" s="774"/>
      <c r="KPE112" s="774"/>
      <c r="KPF112" s="774"/>
      <c r="KPG112" s="774"/>
      <c r="KPH112" s="774"/>
      <c r="KPI112" s="774"/>
      <c r="KPJ112" s="774"/>
      <c r="KPK112" s="774"/>
      <c r="KPL112" s="774"/>
      <c r="KPM112" s="774"/>
      <c r="KPN112" s="774"/>
      <c r="KPO112" s="774"/>
      <c r="KPP112" s="774"/>
      <c r="KPQ112" s="774"/>
      <c r="KPR112" s="774"/>
      <c r="KPS112" s="774"/>
      <c r="KPT112" s="774"/>
      <c r="KPU112" s="774"/>
      <c r="KPV112" s="774"/>
      <c r="KPW112" s="774"/>
      <c r="KPX112" s="774"/>
      <c r="KPY112" s="774"/>
      <c r="KPZ112" s="774"/>
      <c r="KQA112" s="774"/>
      <c r="KQB112" s="774"/>
      <c r="KQC112" s="774"/>
      <c r="KQD112" s="774"/>
      <c r="KQE112" s="774"/>
      <c r="KQF112" s="774"/>
      <c r="KQG112" s="774"/>
      <c r="KQH112" s="774"/>
      <c r="KQI112" s="774"/>
      <c r="KQJ112" s="774"/>
      <c r="KQK112" s="774"/>
      <c r="KQL112" s="774"/>
      <c r="KQM112" s="774"/>
      <c r="KQN112" s="774"/>
      <c r="KQO112" s="774"/>
      <c r="KQP112" s="774"/>
      <c r="KQQ112" s="774"/>
      <c r="KQR112" s="774"/>
      <c r="KQS112" s="774"/>
      <c r="KQT112" s="774"/>
      <c r="KQU112" s="774"/>
      <c r="KQV112" s="774"/>
      <c r="KQW112" s="774"/>
      <c r="KQX112" s="774"/>
      <c r="KQY112" s="774"/>
      <c r="KQZ112" s="774"/>
      <c r="KRA112" s="774"/>
      <c r="KRB112" s="774"/>
      <c r="KRC112" s="774"/>
      <c r="KRD112" s="774"/>
      <c r="KRE112" s="774"/>
      <c r="KRF112" s="774"/>
      <c r="KRG112" s="774"/>
      <c r="KRH112" s="774"/>
      <c r="KRI112" s="774"/>
      <c r="KRJ112" s="774"/>
      <c r="KRK112" s="774"/>
      <c r="KRL112" s="774"/>
      <c r="KRM112" s="774"/>
      <c r="KRN112" s="774"/>
      <c r="KRO112" s="774"/>
      <c r="KRP112" s="774"/>
      <c r="KRQ112" s="774"/>
      <c r="KRR112" s="774"/>
      <c r="KRS112" s="774"/>
      <c r="KRT112" s="774"/>
      <c r="KRU112" s="774"/>
      <c r="KRV112" s="774"/>
      <c r="KRW112" s="774"/>
      <c r="KRX112" s="774"/>
      <c r="KRY112" s="774"/>
      <c r="KRZ112" s="774"/>
      <c r="KSA112" s="774"/>
      <c r="KSB112" s="774"/>
      <c r="KSC112" s="774"/>
      <c r="KSD112" s="774"/>
      <c r="KSE112" s="774"/>
      <c r="KSF112" s="774"/>
      <c r="KSG112" s="774"/>
      <c r="KSH112" s="774"/>
      <c r="KSI112" s="774"/>
      <c r="KSJ112" s="774"/>
      <c r="KSK112" s="774"/>
      <c r="KSL112" s="774"/>
      <c r="KSM112" s="774"/>
      <c r="KSN112" s="774"/>
      <c r="KSO112" s="774"/>
      <c r="KSP112" s="774"/>
      <c r="KSQ112" s="774"/>
      <c r="KSR112" s="774"/>
      <c r="KSS112" s="774"/>
      <c r="KST112" s="774"/>
      <c r="KSU112" s="774"/>
      <c r="KSV112" s="774"/>
      <c r="KSW112" s="774"/>
      <c r="KSX112" s="774"/>
      <c r="KSY112" s="774"/>
      <c r="KSZ112" s="774"/>
      <c r="KTA112" s="774"/>
      <c r="KTB112" s="774"/>
      <c r="KTC112" s="774"/>
      <c r="KTD112" s="774"/>
      <c r="KTE112" s="774"/>
      <c r="KTF112" s="774"/>
      <c r="KTG112" s="774"/>
      <c r="KTH112" s="774"/>
      <c r="KTI112" s="774"/>
      <c r="KTJ112" s="774"/>
      <c r="KTK112" s="774"/>
      <c r="KTL112" s="774"/>
      <c r="KTM112" s="774"/>
      <c r="KTN112" s="774"/>
      <c r="KTO112" s="774"/>
      <c r="KTP112" s="774"/>
      <c r="KTQ112" s="774"/>
      <c r="KTR112" s="774"/>
      <c r="KTS112" s="774"/>
      <c r="KTT112" s="774"/>
      <c r="KTU112" s="774"/>
      <c r="KTV112" s="774"/>
      <c r="KTW112" s="774"/>
      <c r="KTX112" s="774"/>
      <c r="KTY112" s="774"/>
      <c r="KTZ112" s="774"/>
      <c r="KUA112" s="774"/>
      <c r="KUB112" s="774"/>
      <c r="KUC112" s="774"/>
      <c r="KUD112" s="774"/>
      <c r="KUE112" s="774"/>
      <c r="KUF112" s="774"/>
      <c r="KUG112" s="774"/>
      <c r="KUH112" s="774"/>
      <c r="KUI112" s="774"/>
      <c r="KUJ112" s="774"/>
      <c r="KUK112" s="774"/>
      <c r="KUL112" s="774"/>
      <c r="KUM112" s="774"/>
      <c r="KUN112" s="774"/>
      <c r="KUO112" s="774"/>
      <c r="KUP112" s="774"/>
      <c r="KUQ112" s="774"/>
      <c r="KUR112" s="774"/>
      <c r="KUS112" s="774"/>
      <c r="KUT112" s="774"/>
      <c r="KUU112" s="774"/>
      <c r="KUV112" s="774"/>
      <c r="KUW112" s="774"/>
      <c r="KUX112" s="774"/>
      <c r="KUY112" s="774"/>
      <c r="KUZ112" s="774"/>
      <c r="KVA112" s="774"/>
      <c r="KVB112" s="774"/>
      <c r="KVC112" s="774"/>
      <c r="KVD112" s="774"/>
      <c r="KVE112" s="774"/>
      <c r="KVF112" s="774"/>
      <c r="KVG112" s="774"/>
      <c r="KVH112" s="774"/>
      <c r="KVI112" s="774"/>
      <c r="KVJ112" s="774"/>
      <c r="KVK112" s="774"/>
      <c r="KVL112" s="774"/>
      <c r="KVM112" s="774"/>
      <c r="KVN112" s="774"/>
      <c r="KVO112" s="774"/>
      <c r="KVP112" s="774"/>
      <c r="KVQ112" s="774"/>
      <c r="KVR112" s="774"/>
      <c r="KVS112" s="774"/>
      <c r="KVT112" s="774"/>
      <c r="KVU112" s="774"/>
      <c r="KVV112" s="774"/>
      <c r="KVW112" s="774"/>
      <c r="KVX112" s="774"/>
      <c r="KVY112" s="774"/>
      <c r="KVZ112" s="774"/>
      <c r="KWA112" s="774"/>
      <c r="KWB112" s="774"/>
      <c r="KWC112" s="774"/>
      <c r="KWD112" s="774"/>
      <c r="KWE112" s="774"/>
      <c r="KWF112" s="774"/>
      <c r="KWG112" s="774"/>
      <c r="KWH112" s="774"/>
      <c r="KWI112" s="774"/>
      <c r="KWJ112" s="774"/>
      <c r="KWK112" s="774"/>
      <c r="KWL112" s="774"/>
      <c r="KWM112" s="774"/>
      <c r="KWN112" s="774"/>
      <c r="KWO112" s="774"/>
      <c r="KWP112" s="774"/>
      <c r="KWQ112" s="774"/>
      <c r="KWR112" s="774"/>
      <c r="KWS112" s="774"/>
      <c r="KWT112" s="774"/>
      <c r="KWU112" s="774"/>
      <c r="KWV112" s="774"/>
      <c r="KWW112" s="774"/>
      <c r="KWX112" s="774"/>
      <c r="KWY112" s="774"/>
      <c r="KWZ112" s="774"/>
      <c r="KXA112" s="774"/>
      <c r="KXB112" s="774"/>
      <c r="KXC112" s="774"/>
      <c r="KXD112" s="774"/>
      <c r="KXE112" s="774"/>
      <c r="KXF112" s="774"/>
      <c r="KXG112" s="774"/>
      <c r="KXH112" s="774"/>
      <c r="KXI112" s="774"/>
      <c r="KXJ112" s="774"/>
      <c r="KXK112" s="774"/>
      <c r="KXL112" s="774"/>
      <c r="KXM112" s="774"/>
      <c r="KXN112" s="774"/>
      <c r="KXO112" s="774"/>
      <c r="KXP112" s="774"/>
      <c r="KXQ112" s="774"/>
      <c r="KXR112" s="774"/>
      <c r="KXS112" s="774"/>
      <c r="KXT112" s="774"/>
      <c r="KXU112" s="774"/>
      <c r="KXV112" s="774"/>
      <c r="KXW112" s="774"/>
      <c r="KXX112" s="774"/>
      <c r="KXY112" s="774"/>
      <c r="KXZ112" s="774"/>
      <c r="KYA112" s="774"/>
      <c r="KYB112" s="774"/>
      <c r="KYC112" s="774"/>
      <c r="KYD112" s="774"/>
      <c r="KYE112" s="774"/>
      <c r="KYF112" s="774"/>
      <c r="KYG112" s="774"/>
      <c r="KYH112" s="774"/>
      <c r="KYI112" s="774"/>
      <c r="KYJ112" s="774"/>
      <c r="KYK112" s="774"/>
      <c r="KYL112" s="774"/>
      <c r="KYM112" s="774"/>
      <c r="KYN112" s="774"/>
      <c r="KYO112" s="774"/>
      <c r="KYP112" s="774"/>
      <c r="KYQ112" s="774"/>
      <c r="KYR112" s="774"/>
      <c r="KYS112" s="774"/>
      <c r="KYT112" s="774"/>
      <c r="KYU112" s="774"/>
      <c r="KYV112" s="774"/>
      <c r="KYW112" s="774"/>
      <c r="KYX112" s="774"/>
      <c r="KYY112" s="774"/>
      <c r="KYZ112" s="774"/>
      <c r="KZA112" s="774"/>
      <c r="KZB112" s="774"/>
      <c r="KZC112" s="774"/>
      <c r="KZD112" s="774"/>
      <c r="KZE112" s="774"/>
      <c r="KZF112" s="774"/>
      <c r="KZG112" s="774"/>
      <c r="KZH112" s="774"/>
      <c r="KZI112" s="774"/>
      <c r="KZJ112" s="774"/>
      <c r="KZK112" s="774"/>
      <c r="KZL112" s="774"/>
      <c r="KZM112" s="774"/>
      <c r="KZN112" s="774"/>
      <c r="KZO112" s="774"/>
      <c r="KZP112" s="774"/>
      <c r="KZQ112" s="774"/>
      <c r="KZR112" s="774"/>
      <c r="KZS112" s="774"/>
      <c r="KZT112" s="774"/>
      <c r="KZU112" s="774"/>
      <c r="KZV112" s="774"/>
      <c r="KZW112" s="774"/>
      <c r="KZX112" s="774"/>
      <c r="KZY112" s="774"/>
      <c r="KZZ112" s="774"/>
      <c r="LAA112" s="774"/>
      <c r="LAB112" s="774"/>
      <c r="LAC112" s="774"/>
      <c r="LAD112" s="774"/>
      <c r="LAE112" s="774"/>
      <c r="LAF112" s="774"/>
      <c r="LAG112" s="774"/>
      <c r="LAH112" s="774"/>
      <c r="LAI112" s="774"/>
      <c r="LAJ112" s="774"/>
      <c r="LAK112" s="774"/>
      <c r="LAL112" s="774"/>
      <c r="LAM112" s="774"/>
      <c r="LAN112" s="774"/>
      <c r="LAO112" s="774"/>
      <c r="LAP112" s="774"/>
      <c r="LAQ112" s="774"/>
      <c r="LAR112" s="774"/>
      <c r="LAS112" s="774"/>
      <c r="LAT112" s="774"/>
      <c r="LAU112" s="774"/>
      <c r="LAV112" s="774"/>
      <c r="LAW112" s="774"/>
      <c r="LAX112" s="774"/>
      <c r="LAY112" s="774"/>
      <c r="LAZ112" s="774"/>
      <c r="LBA112" s="774"/>
      <c r="LBB112" s="774"/>
      <c r="LBC112" s="774"/>
      <c r="LBD112" s="774"/>
      <c r="LBE112" s="774"/>
      <c r="LBF112" s="774"/>
      <c r="LBG112" s="774"/>
      <c r="LBH112" s="774"/>
      <c r="LBI112" s="774"/>
      <c r="LBJ112" s="774"/>
      <c r="LBK112" s="774"/>
      <c r="LBL112" s="774"/>
      <c r="LBM112" s="774"/>
      <c r="LBN112" s="774"/>
      <c r="LBO112" s="774"/>
      <c r="LBP112" s="774"/>
      <c r="LBQ112" s="774"/>
      <c r="LBR112" s="774"/>
      <c r="LBS112" s="774"/>
      <c r="LBT112" s="774"/>
      <c r="LBU112" s="774"/>
      <c r="LBV112" s="774"/>
      <c r="LBW112" s="774"/>
      <c r="LBX112" s="774"/>
      <c r="LBY112" s="774"/>
      <c r="LBZ112" s="774"/>
      <c r="LCA112" s="774"/>
      <c r="LCB112" s="774"/>
      <c r="LCC112" s="774"/>
      <c r="LCD112" s="774"/>
      <c r="LCE112" s="774"/>
      <c r="LCF112" s="774"/>
      <c r="LCG112" s="774"/>
      <c r="LCH112" s="774"/>
      <c r="LCI112" s="774"/>
      <c r="LCJ112" s="774"/>
      <c r="LCK112" s="774"/>
      <c r="LCL112" s="774"/>
      <c r="LCM112" s="774"/>
      <c r="LCN112" s="774"/>
      <c r="LCO112" s="774"/>
      <c r="LCP112" s="774"/>
      <c r="LCQ112" s="774"/>
      <c r="LCR112" s="774"/>
      <c r="LCS112" s="774"/>
      <c r="LCT112" s="774"/>
      <c r="LCU112" s="774"/>
      <c r="LCV112" s="774"/>
      <c r="LCW112" s="774"/>
      <c r="LCX112" s="774"/>
      <c r="LCY112" s="774"/>
      <c r="LCZ112" s="774"/>
      <c r="LDA112" s="774"/>
      <c r="LDB112" s="774"/>
      <c r="LDC112" s="774"/>
      <c r="LDD112" s="774"/>
      <c r="LDE112" s="774"/>
      <c r="LDF112" s="774"/>
      <c r="LDG112" s="774"/>
      <c r="LDH112" s="774"/>
      <c r="LDI112" s="774"/>
      <c r="LDJ112" s="774"/>
      <c r="LDK112" s="774"/>
      <c r="LDL112" s="774"/>
      <c r="LDM112" s="774"/>
      <c r="LDN112" s="774"/>
      <c r="LDO112" s="774"/>
      <c r="LDP112" s="774"/>
      <c r="LDQ112" s="774"/>
      <c r="LDR112" s="774"/>
      <c r="LDS112" s="774"/>
      <c r="LDT112" s="774"/>
      <c r="LDU112" s="774"/>
      <c r="LDV112" s="774"/>
      <c r="LDW112" s="774"/>
      <c r="LDX112" s="774"/>
      <c r="LDY112" s="774"/>
      <c r="LDZ112" s="774"/>
      <c r="LEA112" s="774"/>
      <c r="LEB112" s="774"/>
      <c r="LEC112" s="774"/>
      <c r="LED112" s="774"/>
      <c r="LEE112" s="774"/>
      <c r="LEF112" s="774"/>
      <c r="LEG112" s="774"/>
      <c r="LEH112" s="774"/>
      <c r="LEI112" s="774"/>
      <c r="LEJ112" s="774"/>
      <c r="LEK112" s="774"/>
      <c r="LEL112" s="774"/>
      <c r="LEM112" s="774"/>
      <c r="LEN112" s="774"/>
      <c r="LEO112" s="774"/>
      <c r="LEP112" s="774"/>
      <c r="LEQ112" s="774"/>
      <c r="LER112" s="774"/>
      <c r="LES112" s="774"/>
      <c r="LET112" s="774"/>
      <c r="LEU112" s="774"/>
      <c r="LEV112" s="774"/>
      <c r="LEW112" s="774"/>
      <c r="LEX112" s="774"/>
      <c r="LEY112" s="774"/>
      <c r="LEZ112" s="774"/>
      <c r="LFA112" s="774"/>
      <c r="LFB112" s="774"/>
      <c r="LFC112" s="774"/>
      <c r="LFD112" s="774"/>
      <c r="LFE112" s="774"/>
      <c r="LFF112" s="774"/>
      <c r="LFG112" s="774"/>
      <c r="LFH112" s="774"/>
      <c r="LFI112" s="774"/>
      <c r="LFJ112" s="774"/>
      <c r="LFK112" s="774"/>
      <c r="LFL112" s="774"/>
      <c r="LFM112" s="774"/>
      <c r="LFN112" s="774"/>
      <c r="LFO112" s="774"/>
      <c r="LFP112" s="774"/>
      <c r="LFQ112" s="774"/>
      <c r="LFR112" s="774"/>
      <c r="LFS112" s="774"/>
      <c r="LFT112" s="774"/>
      <c r="LFU112" s="774"/>
      <c r="LFV112" s="774"/>
      <c r="LFW112" s="774"/>
      <c r="LFX112" s="774"/>
      <c r="LFY112" s="774"/>
      <c r="LFZ112" s="774"/>
      <c r="LGA112" s="774"/>
      <c r="LGB112" s="774"/>
      <c r="LGC112" s="774"/>
      <c r="LGD112" s="774"/>
      <c r="LGE112" s="774"/>
      <c r="LGF112" s="774"/>
      <c r="LGG112" s="774"/>
      <c r="LGH112" s="774"/>
      <c r="LGI112" s="774"/>
      <c r="LGJ112" s="774"/>
      <c r="LGK112" s="774"/>
      <c r="LGL112" s="774"/>
      <c r="LGM112" s="774"/>
      <c r="LGN112" s="774"/>
      <c r="LGO112" s="774"/>
      <c r="LGP112" s="774"/>
      <c r="LGQ112" s="774"/>
      <c r="LGR112" s="774"/>
      <c r="LGS112" s="774"/>
      <c r="LGT112" s="774"/>
      <c r="LGU112" s="774"/>
      <c r="LGV112" s="774"/>
      <c r="LGW112" s="774"/>
      <c r="LGX112" s="774"/>
      <c r="LGY112" s="774"/>
      <c r="LGZ112" s="774"/>
      <c r="LHA112" s="774"/>
      <c r="LHB112" s="774"/>
      <c r="LHC112" s="774"/>
      <c r="LHD112" s="774"/>
      <c r="LHE112" s="774"/>
      <c r="LHF112" s="774"/>
      <c r="LHG112" s="774"/>
      <c r="LHH112" s="774"/>
      <c r="LHI112" s="774"/>
      <c r="LHJ112" s="774"/>
      <c r="LHK112" s="774"/>
      <c r="LHL112" s="774"/>
      <c r="LHM112" s="774"/>
      <c r="LHN112" s="774"/>
      <c r="LHO112" s="774"/>
      <c r="LHP112" s="774"/>
      <c r="LHQ112" s="774"/>
      <c r="LHR112" s="774"/>
      <c r="LHS112" s="774"/>
      <c r="LHT112" s="774"/>
      <c r="LHU112" s="774"/>
      <c r="LHV112" s="774"/>
      <c r="LHW112" s="774"/>
      <c r="LHX112" s="774"/>
      <c r="LHY112" s="774"/>
      <c r="LHZ112" s="774"/>
      <c r="LIA112" s="774"/>
      <c r="LIB112" s="774"/>
      <c r="LIC112" s="774"/>
      <c r="LID112" s="774"/>
      <c r="LIE112" s="774"/>
      <c r="LIF112" s="774"/>
      <c r="LIG112" s="774"/>
      <c r="LIH112" s="774"/>
      <c r="LII112" s="774"/>
      <c r="LIJ112" s="774"/>
      <c r="LIK112" s="774"/>
      <c r="LIL112" s="774"/>
      <c r="LIM112" s="774"/>
      <c r="LIN112" s="774"/>
      <c r="LIO112" s="774"/>
      <c r="LIP112" s="774"/>
      <c r="LIQ112" s="774"/>
      <c r="LIR112" s="774"/>
      <c r="LIS112" s="774"/>
      <c r="LIT112" s="774"/>
      <c r="LIU112" s="774"/>
      <c r="LIV112" s="774"/>
      <c r="LIW112" s="774"/>
      <c r="LIX112" s="774"/>
      <c r="LIY112" s="774"/>
      <c r="LIZ112" s="774"/>
      <c r="LJA112" s="774"/>
      <c r="LJB112" s="774"/>
      <c r="LJC112" s="774"/>
      <c r="LJD112" s="774"/>
      <c r="LJE112" s="774"/>
      <c r="LJF112" s="774"/>
      <c r="LJG112" s="774"/>
      <c r="LJH112" s="774"/>
      <c r="LJI112" s="774"/>
      <c r="LJJ112" s="774"/>
      <c r="LJK112" s="774"/>
      <c r="LJL112" s="774"/>
      <c r="LJM112" s="774"/>
      <c r="LJN112" s="774"/>
      <c r="LJO112" s="774"/>
      <c r="LJP112" s="774"/>
      <c r="LJQ112" s="774"/>
      <c r="LJR112" s="774"/>
      <c r="LJS112" s="774"/>
      <c r="LJT112" s="774"/>
      <c r="LJU112" s="774"/>
      <c r="LJV112" s="774"/>
      <c r="LJW112" s="774"/>
      <c r="LJX112" s="774"/>
      <c r="LJY112" s="774"/>
      <c r="LJZ112" s="774"/>
      <c r="LKA112" s="774"/>
      <c r="LKB112" s="774"/>
      <c r="LKC112" s="774"/>
      <c r="LKD112" s="774"/>
      <c r="LKE112" s="774"/>
      <c r="LKF112" s="774"/>
      <c r="LKG112" s="774"/>
      <c r="LKH112" s="774"/>
      <c r="LKI112" s="774"/>
      <c r="LKJ112" s="774"/>
      <c r="LKK112" s="774"/>
      <c r="LKL112" s="774"/>
      <c r="LKM112" s="774"/>
      <c r="LKN112" s="774"/>
      <c r="LKO112" s="774"/>
      <c r="LKP112" s="774"/>
      <c r="LKQ112" s="774"/>
      <c r="LKR112" s="774"/>
      <c r="LKS112" s="774"/>
      <c r="LKT112" s="774"/>
      <c r="LKU112" s="774"/>
      <c r="LKV112" s="774"/>
      <c r="LKW112" s="774"/>
      <c r="LKX112" s="774"/>
      <c r="LKY112" s="774"/>
      <c r="LKZ112" s="774"/>
      <c r="LLA112" s="774"/>
      <c r="LLB112" s="774"/>
      <c r="LLC112" s="774"/>
      <c r="LLD112" s="774"/>
      <c r="LLE112" s="774"/>
      <c r="LLF112" s="774"/>
      <c r="LLG112" s="774"/>
      <c r="LLH112" s="774"/>
      <c r="LLI112" s="774"/>
      <c r="LLJ112" s="774"/>
      <c r="LLK112" s="774"/>
      <c r="LLL112" s="774"/>
      <c r="LLM112" s="774"/>
      <c r="LLN112" s="774"/>
      <c r="LLO112" s="774"/>
      <c r="LLP112" s="774"/>
      <c r="LLQ112" s="774"/>
      <c r="LLR112" s="774"/>
      <c r="LLS112" s="774"/>
      <c r="LLT112" s="774"/>
      <c r="LLU112" s="774"/>
      <c r="LLV112" s="774"/>
      <c r="LLW112" s="774"/>
      <c r="LLX112" s="774"/>
      <c r="LLY112" s="774"/>
      <c r="LLZ112" s="774"/>
      <c r="LMA112" s="774"/>
      <c r="LMB112" s="774"/>
      <c r="LMC112" s="774"/>
      <c r="LMD112" s="774"/>
      <c r="LME112" s="774"/>
      <c r="LMF112" s="774"/>
      <c r="LMG112" s="774"/>
      <c r="LMH112" s="774"/>
      <c r="LMI112" s="774"/>
      <c r="LMJ112" s="774"/>
      <c r="LMK112" s="774"/>
      <c r="LML112" s="774"/>
      <c r="LMM112" s="774"/>
      <c r="LMN112" s="774"/>
      <c r="LMO112" s="774"/>
      <c r="LMP112" s="774"/>
      <c r="LMQ112" s="774"/>
      <c r="LMR112" s="774"/>
      <c r="LMS112" s="774"/>
      <c r="LMT112" s="774"/>
      <c r="LMU112" s="774"/>
      <c r="LMV112" s="774"/>
      <c r="LMW112" s="774"/>
      <c r="LMX112" s="774"/>
      <c r="LMY112" s="774"/>
      <c r="LMZ112" s="774"/>
      <c r="LNA112" s="774"/>
      <c r="LNB112" s="774"/>
      <c r="LNC112" s="774"/>
      <c r="LND112" s="774"/>
      <c r="LNE112" s="774"/>
      <c r="LNF112" s="774"/>
      <c r="LNG112" s="774"/>
      <c r="LNH112" s="774"/>
      <c r="LNI112" s="774"/>
      <c r="LNJ112" s="774"/>
      <c r="LNK112" s="774"/>
      <c r="LNL112" s="774"/>
      <c r="LNM112" s="774"/>
      <c r="LNN112" s="774"/>
      <c r="LNO112" s="774"/>
      <c r="LNP112" s="774"/>
      <c r="LNQ112" s="774"/>
      <c r="LNR112" s="774"/>
      <c r="LNS112" s="774"/>
      <c r="LNT112" s="774"/>
      <c r="LNU112" s="774"/>
      <c r="LNV112" s="774"/>
      <c r="LNW112" s="774"/>
      <c r="LNX112" s="774"/>
      <c r="LNY112" s="774"/>
      <c r="LNZ112" s="774"/>
      <c r="LOA112" s="774"/>
      <c r="LOB112" s="774"/>
      <c r="LOC112" s="774"/>
      <c r="LOD112" s="774"/>
      <c r="LOE112" s="774"/>
      <c r="LOF112" s="774"/>
      <c r="LOG112" s="774"/>
      <c r="LOH112" s="774"/>
      <c r="LOI112" s="774"/>
      <c r="LOJ112" s="774"/>
      <c r="LOK112" s="774"/>
      <c r="LOL112" s="774"/>
      <c r="LOM112" s="774"/>
      <c r="LON112" s="774"/>
      <c r="LOO112" s="774"/>
      <c r="LOP112" s="774"/>
      <c r="LOQ112" s="774"/>
      <c r="LOR112" s="774"/>
      <c r="LOS112" s="774"/>
      <c r="LOT112" s="774"/>
      <c r="LOU112" s="774"/>
      <c r="LOV112" s="774"/>
      <c r="LOW112" s="774"/>
      <c r="LOX112" s="774"/>
      <c r="LOY112" s="774"/>
      <c r="LOZ112" s="774"/>
      <c r="LPA112" s="774"/>
      <c r="LPB112" s="774"/>
      <c r="LPC112" s="774"/>
      <c r="LPD112" s="774"/>
      <c r="LPE112" s="774"/>
      <c r="LPF112" s="774"/>
      <c r="LPG112" s="774"/>
      <c r="LPH112" s="774"/>
      <c r="LPI112" s="774"/>
      <c r="LPJ112" s="774"/>
      <c r="LPK112" s="774"/>
      <c r="LPL112" s="774"/>
      <c r="LPM112" s="774"/>
      <c r="LPN112" s="774"/>
      <c r="LPO112" s="774"/>
      <c r="LPP112" s="774"/>
      <c r="LPQ112" s="774"/>
      <c r="LPR112" s="774"/>
      <c r="LPS112" s="774"/>
      <c r="LPT112" s="774"/>
      <c r="LPU112" s="774"/>
      <c r="LPV112" s="774"/>
      <c r="LPW112" s="774"/>
      <c r="LPX112" s="774"/>
      <c r="LPY112" s="774"/>
      <c r="LPZ112" s="774"/>
      <c r="LQA112" s="774"/>
      <c r="LQB112" s="774"/>
      <c r="LQC112" s="774"/>
      <c r="LQD112" s="774"/>
      <c r="LQE112" s="774"/>
      <c r="LQF112" s="774"/>
      <c r="LQG112" s="774"/>
      <c r="LQH112" s="774"/>
      <c r="LQI112" s="774"/>
      <c r="LQJ112" s="774"/>
      <c r="LQK112" s="774"/>
      <c r="LQL112" s="774"/>
      <c r="LQM112" s="774"/>
      <c r="LQN112" s="774"/>
      <c r="LQO112" s="774"/>
      <c r="LQP112" s="774"/>
      <c r="LQQ112" s="774"/>
      <c r="LQR112" s="774"/>
      <c r="LQS112" s="774"/>
      <c r="LQT112" s="774"/>
      <c r="LQU112" s="774"/>
      <c r="LQV112" s="774"/>
      <c r="LQW112" s="774"/>
      <c r="LQX112" s="774"/>
      <c r="LQY112" s="774"/>
      <c r="LQZ112" s="774"/>
      <c r="LRA112" s="774"/>
      <c r="LRB112" s="774"/>
      <c r="LRC112" s="774"/>
      <c r="LRD112" s="774"/>
      <c r="LRE112" s="774"/>
      <c r="LRF112" s="774"/>
      <c r="LRG112" s="774"/>
      <c r="LRH112" s="774"/>
      <c r="LRI112" s="774"/>
      <c r="LRJ112" s="774"/>
      <c r="LRK112" s="774"/>
      <c r="LRL112" s="774"/>
      <c r="LRM112" s="774"/>
      <c r="LRN112" s="774"/>
      <c r="LRO112" s="774"/>
      <c r="LRP112" s="774"/>
      <c r="LRQ112" s="774"/>
      <c r="LRR112" s="774"/>
      <c r="LRS112" s="774"/>
      <c r="LRT112" s="774"/>
      <c r="LRU112" s="774"/>
      <c r="LRV112" s="774"/>
      <c r="LRW112" s="774"/>
      <c r="LRX112" s="774"/>
      <c r="LRY112" s="774"/>
      <c r="LRZ112" s="774"/>
      <c r="LSA112" s="774"/>
      <c r="LSB112" s="774"/>
      <c r="LSC112" s="774"/>
      <c r="LSD112" s="774"/>
      <c r="LSE112" s="774"/>
      <c r="LSF112" s="774"/>
      <c r="LSG112" s="774"/>
      <c r="LSH112" s="774"/>
      <c r="LSI112" s="774"/>
      <c r="LSJ112" s="774"/>
      <c r="LSK112" s="774"/>
      <c r="LSL112" s="774"/>
      <c r="LSM112" s="774"/>
      <c r="LSN112" s="774"/>
      <c r="LSO112" s="774"/>
      <c r="LSP112" s="774"/>
      <c r="LSQ112" s="774"/>
      <c r="LSR112" s="774"/>
      <c r="LSS112" s="774"/>
      <c r="LST112" s="774"/>
      <c r="LSU112" s="774"/>
      <c r="LSV112" s="774"/>
      <c r="LSW112" s="774"/>
      <c r="LSX112" s="774"/>
      <c r="LSY112" s="774"/>
      <c r="LSZ112" s="774"/>
      <c r="LTA112" s="774"/>
      <c r="LTB112" s="774"/>
      <c r="LTC112" s="774"/>
      <c r="LTD112" s="774"/>
      <c r="LTE112" s="774"/>
      <c r="LTF112" s="774"/>
      <c r="LTG112" s="774"/>
      <c r="LTH112" s="774"/>
      <c r="LTI112" s="774"/>
      <c r="LTJ112" s="774"/>
      <c r="LTK112" s="774"/>
      <c r="LTL112" s="774"/>
      <c r="LTM112" s="774"/>
      <c r="LTN112" s="774"/>
      <c r="LTO112" s="774"/>
      <c r="LTP112" s="774"/>
      <c r="LTQ112" s="774"/>
      <c r="LTR112" s="774"/>
      <c r="LTS112" s="774"/>
      <c r="LTT112" s="774"/>
      <c r="LTU112" s="774"/>
      <c r="LTV112" s="774"/>
      <c r="LTW112" s="774"/>
      <c r="LTX112" s="774"/>
      <c r="LTY112" s="774"/>
      <c r="LTZ112" s="774"/>
      <c r="LUA112" s="774"/>
      <c r="LUB112" s="774"/>
      <c r="LUC112" s="774"/>
      <c r="LUD112" s="774"/>
      <c r="LUE112" s="774"/>
      <c r="LUF112" s="774"/>
      <c r="LUG112" s="774"/>
      <c r="LUH112" s="774"/>
      <c r="LUI112" s="774"/>
      <c r="LUJ112" s="774"/>
      <c r="LUK112" s="774"/>
      <c r="LUL112" s="774"/>
      <c r="LUM112" s="774"/>
      <c r="LUN112" s="774"/>
      <c r="LUO112" s="774"/>
      <c r="LUP112" s="774"/>
      <c r="LUQ112" s="774"/>
      <c r="LUR112" s="774"/>
      <c r="LUS112" s="774"/>
      <c r="LUT112" s="774"/>
      <c r="LUU112" s="774"/>
      <c r="LUV112" s="774"/>
      <c r="LUW112" s="774"/>
      <c r="LUX112" s="774"/>
      <c r="LUY112" s="774"/>
      <c r="LUZ112" s="774"/>
      <c r="LVA112" s="774"/>
      <c r="LVB112" s="774"/>
      <c r="LVC112" s="774"/>
      <c r="LVD112" s="774"/>
      <c r="LVE112" s="774"/>
      <c r="LVF112" s="774"/>
      <c r="LVG112" s="774"/>
      <c r="LVH112" s="774"/>
      <c r="LVI112" s="774"/>
      <c r="LVJ112" s="774"/>
      <c r="LVK112" s="774"/>
      <c r="LVL112" s="774"/>
      <c r="LVM112" s="774"/>
      <c r="LVN112" s="774"/>
      <c r="LVO112" s="774"/>
      <c r="LVP112" s="774"/>
      <c r="LVQ112" s="774"/>
      <c r="LVR112" s="774"/>
      <c r="LVS112" s="774"/>
      <c r="LVT112" s="774"/>
      <c r="LVU112" s="774"/>
      <c r="LVV112" s="774"/>
      <c r="LVW112" s="774"/>
      <c r="LVX112" s="774"/>
      <c r="LVY112" s="774"/>
      <c r="LVZ112" s="774"/>
      <c r="LWA112" s="774"/>
      <c r="LWB112" s="774"/>
      <c r="LWC112" s="774"/>
      <c r="LWD112" s="774"/>
      <c r="LWE112" s="774"/>
      <c r="LWF112" s="774"/>
      <c r="LWG112" s="774"/>
      <c r="LWH112" s="774"/>
      <c r="LWI112" s="774"/>
      <c r="LWJ112" s="774"/>
      <c r="LWK112" s="774"/>
      <c r="LWL112" s="774"/>
      <c r="LWM112" s="774"/>
      <c r="LWN112" s="774"/>
      <c r="LWO112" s="774"/>
      <c r="LWP112" s="774"/>
      <c r="LWQ112" s="774"/>
      <c r="LWR112" s="774"/>
      <c r="LWS112" s="774"/>
      <c r="LWT112" s="774"/>
      <c r="LWU112" s="774"/>
      <c r="LWV112" s="774"/>
      <c r="LWW112" s="774"/>
      <c r="LWX112" s="774"/>
      <c r="LWY112" s="774"/>
      <c r="LWZ112" s="774"/>
      <c r="LXA112" s="774"/>
      <c r="LXB112" s="774"/>
      <c r="LXC112" s="774"/>
      <c r="LXD112" s="774"/>
      <c r="LXE112" s="774"/>
      <c r="LXF112" s="774"/>
      <c r="LXG112" s="774"/>
      <c r="LXH112" s="774"/>
      <c r="LXI112" s="774"/>
      <c r="LXJ112" s="774"/>
      <c r="LXK112" s="774"/>
      <c r="LXL112" s="774"/>
      <c r="LXM112" s="774"/>
      <c r="LXN112" s="774"/>
      <c r="LXO112" s="774"/>
      <c r="LXP112" s="774"/>
      <c r="LXQ112" s="774"/>
      <c r="LXR112" s="774"/>
      <c r="LXS112" s="774"/>
      <c r="LXT112" s="774"/>
      <c r="LXU112" s="774"/>
      <c r="LXV112" s="774"/>
      <c r="LXW112" s="774"/>
      <c r="LXX112" s="774"/>
      <c r="LXY112" s="774"/>
      <c r="LXZ112" s="774"/>
      <c r="LYA112" s="774"/>
      <c r="LYB112" s="774"/>
      <c r="LYC112" s="774"/>
      <c r="LYD112" s="774"/>
      <c r="LYE112" s="774"/>
      <c r="LYF112" s="774"/>
      <c r="LYG112" s="774"/>
      <c r="LYH112" s="774"/>
      <c r="LYI112" s="774"/>
      <c r="LYJ112" s="774"/>
      <c r="LYK112" s="774"/>
      <c r="LYL112" s="774"/>
      <c r="LYM112" s="774"/>
      <c r="LYN112" s="774"/>
      <c r="LYO112" s="774"/>
      <c r="LYP112" s="774"/>
      <c r="LYQ112" s="774"/>
      <c r="LYR112" s="774"/>
      <c r="LYS112" s="774"/>
      <c r="LYT112" s="774"/>
      <c r="LYU112" s="774"/>
      <c r="LYV112" s="774"/>
      <c r="LYW112" s="774"/>
      <c r="LYX112" s="774"/>
      <c r="LYY112" s="774"/>
      <c r="LYZ112" s="774"/>
      <c r="LZA112" s="774"/>
      <c r="LZB112" s="774"/>
      <c r="LZC112" s="774"/>
      <c r="LZD112" s="774"/>
      <c r="LZE112" s="774"/>
      <c r="LZF112" s="774"/>
      <c r="LZG112" s="774"/>
      <c r="LZH112" s="774"/>
      <c r="LZI112" s="774"/>
      <c r="LZJ112" s="774"/>
      <c r="LZK112" s="774"/>
      <c r="LZL112" s="774"/>
      <c r="LZM112" s="774"/>
      <c r="LZN112" s="774"/>
      <c r="LZO112" s="774"/>
      <c r="LZP112" s="774"/>
      <c r="LZQ112" s="774"/>
      <c r="LZR112" s="774"/>
      <c r="LZS112" s="774"/>
      <c r="LZT112" s="774"/>
      <c r="LZU112" s="774"/>
      <c r="LZV112" s="774"/>
      <c r="LZW112" s="774"/>
      <c r="LZX112" s="774"/>
      <c r="LZY112" s="774"/>
      <c r="LZZ112" s="774"/>
      <c r="MAA112" s="774"/>
      <c r="MAB112" s="774"/>
      <c r="MAC112" s="774"/>
      <c r="MAD112" s="774"/>
      <c r="MAE112" s="774"/>
      <c r="MAF112" s="774"/>
      <c r="MAG112" s="774"/>
      <c r="MAH112" s="774"/>
      <c r="MAI112" s="774"/>
      <c r="MAJ112" s="774"/>
      <c r="MAK112" s="774"/>
      <c r="MAL112" s="774"/>
      <c r="MAM112" s="774"/>
      <c r="MAN112" s="774"/>
      <c r="MAO112" s="774"/>
      <c r="MAP112" s="774"/>
      <c r="MAQ112" s="774"/>
      <c r="MAR112" s="774"/>
      <c r="MAS112" s="774"/>
      <c r="MAT112" s="774"/>
      <c r="MAU112" s="774"/>
      <c r="MAV112" s="774"/>
      <c r="MAW112" s="774"/>
      <c r="MAX112" s="774"/>
      <c r="MAY112" s="774"/>
      <c r="MAZ112" s="774"/>
      <c r="MBA112" s="774"/>
      <c r="MBB112" s="774"/>
      <c r="MBC112" s="774"/>
      <c r="MBD112" s="774"/>
      <c r="MBE112" s="774"/>
      <c r="MBF112" s="774"/>
      <c r="MBG112" s="774"/>
      <c r="MBH112" s="774"/>
      <c r="MBI112" s="774"/>
      <c r="MBJ112" s="774"/>
      <c r="MBK112" s="774"/>
      <c r="MBL112" s="774"/>
      <c r="MBM112" s="774"/>
      <c r="MBN112" s="774"/>
      <c r="MBO112" s="774"/>
      <c r="MBP112" s="774"/>
      <c r="MBQ112" s="774"/>
      <c r="MBR112" s="774"/>
      <c r="MBS112" s="774"/>
      <c r="MBT112" s="774"/>
      <c r="MBU112" s="774"/>
      <c r="MBV112" s="774"/>
      <c r="MBW112" s="774"/>
      <c r="MBX112" s="774"/>
      <c r="MBY112" s="774"/>
      <c r="MBZ112" s="774"/>
      <c r="MCA112" s="774"/>
      <c r="MCB112" s="774"/>
      <c r="MCC112" s="774"/>
      <c r="MCD112" s="774"/>
      <c r="MCE112" s="774"/>
      <c r="MCF112" s="774"/>
      <c r="MCG112" s="774"/>
      <c r="MCH112" s="774"/>
      <c r="MCI112" s="774"/>
      <c r="MCJ112" s="774"/>
      <c r="MCK112" s="774"/>
      <c r="MCL112" s="774"/>
      <c r="MCM112" s="774"/>
      <c r="MCN112" s="774"/>
      <c r="MCO112" s="774"/>
      <c r="MCP112" s="774"/>
      <c r="MCQ112" s="774"/>
      <c r="MCR112" s="774"/>
      <c r="MCS112" s="774"/>
      <c r="MCT112" s="774"/>
      <c r="MCU112" s="774"/>
      <c r="MCV112" s="774"/>
      <c r="MCW112" s="774"/>
      <c r="MCX112" s="774"/>
      <c r="MCY112" s="774"/>
      <c r="MCZ112" s="774"/>
      <c r="MDA112" s="774"/>
      <c r="MDB112" s="774"/>
      <c r="MDC112" s="774"/>
      <c r="MDD112" s="774"/>
      <c r="MDE112" s="774"/>
      <c r="MDF112" s="774"/>
      <c r="MDG112" s="774"/>
      <c r="MDH112" s="774"/>
      <c r="MDI112" s="774"/>
      <c r="MDJ112" s="774"/>
      <c r="MDK112" s="774"/>
      <c r="MDL112" s="774"/>
      <c r="MDM112" s="774"/>
      <c r="MDN112" s="774"/>
      <c r="MDO112" s="774"/>
      <c r="MDP112" s="774"/>
      <c r="MDQ112" s="774"/>
      <c r="MDR112" s="774"/>
      <c r="MDS112" s="774"/>
      <c r="MDT112" s="774"/>
      <c r="MDU112" s="774"/>
      <c r="MDV112" s="774"/>
      <c r="MDW112" s="774"/>
      <c r="MDX112" s="774"/>
      <c r="MDY112" s="774"/>
      <c r="MDZ112" s="774"/>
      <c r="MEA112" s="774"/>
      <c r="MEB112" s="774"/>
      <c r="MEC112" s="774"/>
      <c r="MED112" s="774"/>
      <c r="MEE112" s="774"/>
      <c r="MEF112" s="774"/>
      <c r="MEG112" s="774"/>
      <c r="MEH112" s="774"/>
      <c r="MEI112" s="774"/>
      <c r="MEJ112" s="774"/>
      <c r="MEK112" s="774"/>
      <c r="MEL112" s="774"/>
      <c r="MEM112" s="774"/>
      <c r="MEN112" s="774"/>
      <c r="MEO112" s="774"/>
      <c r="MEP112" s="774"/>
      <c r="MEQ112" s="774"/>
      <c r="MER112" s="774"/>
      <c r="MES112" s="774"/>
      <c r="MET112" s="774"/>
      <c r="MEU112" s="774"/>
      <c r="MEV112" s="774"/>
      <c r="MEW112" s="774"/>
      <c r="MEX112" s="774"/>
      <c r="MEY112" s="774"/>
      <c r="MEZ112" s="774"/>
      <c r="MFA112" s="774"/>
      <c r="MFB112" s="774"/>
      <c r="MFC112" s="774"/>
      <c r="MFD112" s="774"/>
      <c r="MFE112" s="774"/>
      <c r="MFF112" s="774"/>
      <c r="MFG112" s="774"/>
      <c r="MFH112" s="774"/>
      <c r="MFI112" s="774"/>
      <c r="MFJ112" s="774"/>
      <c r="MFK112" s="774"/>
      <c r="MFL112" s="774"/>
      <c r="MFM112" s="774"/>
      <c r="MFN112" s="774"/>
      <c r="MFO112" s="774"/>
      <c r="MFP112" s="774"/>
      <c r="MFQ112" s="774"/>
      <c r="MFR112" s="774"/>
      <c r="MFS112" s="774"/>
      <c r="MFT112" s="774"/>
      <c r="MFU112" s="774"/>
      <c r="MFV112" s="774"/>
      <c r="MFW112" s="774"/>
      <c r="MFX112" s="774"/>
      <c r="MFY112" s="774"/>
      <c r="MFZ112" s="774"/>
      <c r="MGA112" s="774"/>
      <c r="MGB112" s="774"/>
      <c r="MGC112" s="774"/>
      <c r="MGD112" s="774"/>
      <c r="MGE112" s="774"/>
      <c r="MGF112" s="774"/>
      <c r="MGG112" s="774"/>
      <c r="MGH112" s="774"/>
      <c r="MGI112" s="774"/>
      <c r="MGJ112" s="774"/>
      <c r="MGK112" s="774"/>
      <c r="MGL112" s="774"/>
      <c r="MGM112" s="774"/>
      <c r="MGN112" s="774"/>
      <c r="MGO112" s="774"/>
      <c r="MGP112" s="774"/>
      <c r="MGQ112" s="774"/>
      <c r="MGR112" s="774"/>
      <c r="MGS112" s="774"/>
      <c r="MGT112" s="774"/>
      <c r="MGU112" s="774"/>
      <c r="MGV112" s="774"/>
      <c r="MGW112" s="774"/>
      <c r="MGX112" s="774"/>
      <c r="MGY112" s="774"/>
      <c r="MGZ112" s="774"/>
      <c r="MHA112" s="774"/>
      <c r="MHB112" s="774"/>
      <c r="MHC112" s="774"/>
      <c r="MHD112" s="774"/>
      <c r="MHE112" s="774"/>
      <c r="MHF112" s="774"/>
      <c r="MHG112" s="774"/>
      <c r="MHH112" s="774"/>
      <c r="MHI112" s="774"/>
      <c r="MHJ112" s="774"/>
      <c r="MHK112" s="774"/>
      <c r="MHL112" s="774"/>
      <c r="MHM112" s="774"/>
      <c r="MHN112" s="774"/>
      <c r="MHO112" s="774"/>
      <c r="MHP112" s="774"/>
      <c r="MHQ112" s="774"/>
      <c r="MHR112" s="774"/>
      <c r="MHS112" s="774"/>
      <c r="MHT112" s="774"/>
      <c r="MHU112" s="774"/>
      <c r="MHV112" s="774"/>
      <c r="MHW112" s="774"/>
      <c r="MHX112" s="774"/>
      <c r="MHY112" s="774"/>
      <c r="MHZ112" s="774"/>
      <c r="MIA112" s="774"/>
      <c r="MIB112" s="774"/>
      <c r="MIC112" s="774"/>
      <c r="MID112" s="774"/>
      <c r="MIE112" s="774"/>
      <c r="MIF112" s="774"/>
      <c r="MIG112" s="774"/>
      <c r="MIH112" s="774"/>
      <c r="MII112" s="774"/>
      <c r="MIJ112" s="774"/>
      <c r="MIK112" s="774"/>
      <c r="MIL112" s="774"/>
      <c r="MIM112" s="774"/>
      <c r="MIN112" s="774"/>
      <c r="MIO112" s="774"/>
      <c r="MIP112" s="774"/>
      <c r="MIQ112" s="774"/>
      <c r="MIR112" s="774"/>
      <c r="MIS112" s="774"/>
      <c r="MIT112" s="774"/>
      <c r="MIU112" s="774"/>
      <c r="MIV112" s="774"/>
      <c r="MIW112" s="774"/>
      <c r="MIX112" s="774"/>
      <c r="MIY112" s="774"/>
      <c r="MIZ112" s="774"/>
      <c r="MJA112" s="774"/>
      <c r="MJB112" s="774"/>
      <c r="MJC112" s="774"/>
      <c r="MJD112" s="774"/>
      <c r="MJE112" s="774"/>
      <c r="MJF112" s="774"/>
      <c r="MJG112" s="774"/>
      <c r="MJH112" s="774"/>
      <c r="MJI112" s="774"/>
      <c r="MJJ112" s="774"/>
      <c r="MJK112" s="774"/>
      <c r="MJL112" s="774"/>
      <c r="MJM112" s="774"/>
      <c r="MJN112" s="774"/>
      <c r="MJO112" s="774"/>
      <c r="MJP112" s="774"/>
      <c r="MJQ112" s="774"/>
      <c r="MJR112" s="774"/>
      <c r="MJS112" s="774"/>
      <c r="MJT112" s="774"/>
      <c r="MJU112" s="774"/>
      <c r="MJV112" s="774"/>
      <c r="MJW112" s="774"/>
      <c r="MJX112" s="774"/>
      <c r="MJY112" s="774"/>
      <c r="MJZ112" s="774"/>
      <c r="MKA112" s="774"/>
      <c r="MKB112" s="774"/>
      <c r="MKC112" s="774"/>
      <c r="MKD112" s="774"/>
      <c r="MKE112" s="774"/>
      <c r="MKF112" s="774"/>
      <c r="MKG112" s="774"/>
      <c r="MKH112" s="774"/>
      <c r="MKI112" s="774"/>
      <c r="MKJ112" s="774"/>
      <c r="MKK112" s="774"/>
      <c r="MKL112" s="774"/>
      <c r="MKM112" s="774"/>
      <c r="MKN112" s="774"/>
      <c r="MKO112" s="774"/>
      <c r="MKP112" s="774"/>
      <c r="MKQ112" s="774"/>
      <c r="MKR112" s="774"/>
      <c r="MKS112" s="774"/>
      <c r="MKT112" s="774"/>
      <c r="MKU112" s="774"/>
      <c r="MKV112" s="774"/>
      <c r="MKW112" s="774"/>
      <c r="MKX112" s="774"/>
      <c r="MKY112" s="774"/>
      <c r="MKZ112" s="774"/>
      <c r="MLA112" s="774"/>
      <c r="MLB112" s="774"/>
      <c r="MLC112" s="774"/>
      <c r="MLD112" s="774"/>
      <c r="MLE112" s="774"/>
      <c r="MLF112" s="774"/>
      <c r="MLG112" s="774"/>
      <c r="MLH112" s="774"/>
      <c r="MLI112" s="774"/>
      <c r="MLJ112" s="774"/>
      <c r="MLK112" s="774"/>
      <c r="MLL112" s="774"/>
      <c r="MLM112" s="774"/>
      <c r="MLN112" s="774"/>
      <c r="MLO112" s="774"/>
      <c r="MLP112" s="774"/>
      <c r="MLQ112" s="774"/>
      <c r="MLR112" s="774"/>
      <c r="MLS112" s="774"/>
      <c r="MLT112" s="774"/>
      <c r="MLU112" s="774"/>
      <c r="MLV112" s="774"/>
      <c r="MLW112" s="774"/>
      <c r="MLX112" s="774"/>
      <c r="MLY112" s="774"/>
      <c r="MLZ112" s="774"/>
      <c r="MMA112" s="774"/>
      <c r="MMB112" s="774"/>
      <c r="MMC112" s="774"/>
      <c r="MMD112" s="774"/>
      <c r="MME112" s="774"/>
      <c r="MMF112" s="774"/>
      <c r="MMG112" s="774"/>
      <c r="MMH112" s="774"/>
      <c r="MMI112" s="774"/>
      <c r="MMJ112" s="774"/>
      <c r="MMK112" s="774"/>
      <c r="MML112" s="774"/>
      <c r="MMM112" s="774"/>
      <c r="MMN112" s="774"/>
      <c r="MMO112" s="774"/>
      <c r="MMP112" s="774"/>
      <c r="MMQ112" s="774"/>
      <c r="MMR112" s="774"/>
      <c r="MMS112" s="774"/>
      <c r="MMT112" s="774"/>
      <c r="MMU112" s="774"/>
      <c r="MMV112" s="774"/>
      <c r="MMW112" s="774"/>
      <c r="MMX112" s="774"/>
      <c r="MMY112" s="774"/>
      <c r="MMZ112" s="774"/>
      <c r="MNA112" s="774"/>
      <c r="MNB112" s="774"/>
      <c r="MNC112" s="774"/>
      <c r="MND112" s="774"/>
      <c r="MNE112" s="774"/>
      <c r="MNF112" s="774"/>
      <c r="MNG112" s="774"/>
      <c r="MNH112" s="774"/>
      <c r="MNI112" s="774"/>
      <c r="MNJ112" s="774"/>
      <c r="MNK112" s="774"/>
      <c r="MNL112" s="774"/>
      <c r="MNM112" s="774"/>
      <c r="MNN112" s="774"/>
      <c r="MNO112" s="774"/>
      <c r="MNP112" s="774"/>
      <c r="MNQ112" s="774"/>
      <c r="MNR112" s="774"/>
      <c r="MNS112" s="774"/>
      <c r="MNT112" s="774"/>
      <c r="MNU112" s="774"/>
      <c r="MNV112" s="774"/>
      <c r="MNW112" s="774"/>
      <c r="MNX112" s="774"/>
      <c r="MNY112" s="774"/>
      <c r="MNZ112" s="774"/>
      <c r="MOA112" s="774"/>
      <c r="MOB112" s="774"/>
      <c r="MOC112" s="774"/>
      <c r="MOD112" s="774"/>
      <c r="MOE112" s="774"/>
      <c r="MOF112" s="774"/>
      <c r="MOG112" s="774"/>
      <c r="MOH112" s="774"/>
      <c r="MOI112" s="774"/>
      <c r="MOJ112" s="774"/>
      <c r="MOK112" s="774"/>
      <c r="MOL112" s="774"/>
      <c r="MOM112" s="774"/>
      <c r="MON112" s="774"/>
      <c r="MOO112" s="774"/>
      <c r="MOP112" s="774"/>
      <c r="MOQ112" s="774"/>
      <c r="MOR112" s="774"/>
      <c r="MOS112" s="774"/>
      <c r="MOT112" s="774"/>
      <c r="MOU112" s="774"/>
      <c r="MOV112" s="774"/>
      <c r="MOW112" s="774"/>
      <c r="MOX112" s="774"/>
      <c r="MOY112" s="774"/>
      <c r="MOZ112" s="774"/>
      <c r="MPA112" s="774"/>
      <c r="MPB112" s="774"/>
      <c r="MPC112" s="774"/>
      <c r="MPD112" s="774"/>
      <c r="MPE112" s="774"/>
      <c r="MPF112" s="774"/>
      <c r="MPG112" s="774"/>
      <c r="MPH112" s="774"/>
      <c r="MPI112" s="774"/>
      <c r="MPJ112" s="774"/>
      <c r="MPK112" s="774"/>
      <c r="MPL112" s="774"/>
      <c r="MPM112" s="774"/>
      <c r="MPN112" s="774"/>
      <c r="MPO112" s="774"/>
      <c r="MPP112" s="774"/>
      <c r="MPQ112" s="774"/>
      <c r="MPR112" s="774"/>
      <c r="MPS112" s="774"/>
      <c r="MPT112" s="774"/>
      <c r="MPU112" s="774"/>
      <c r="MPV112" s="774"/>
      <c r="MPW112" s="774"/>
      <c r="MPX112" s="774"/>
      <c r="MPY112" s="774"/>
      <c r="MPZ112" s="774"/>
      <c r="MQA112" s="774"/>
      <c r="MQB112" s="774"/>
      <c r="MQC112" s="774"/>
      <c r="MQD112" s="774"/>
      <c r="MQE112" s="774"/>
      <c r="MQF112" s="774"/>
      <c r="MQG112" s="774"/>
      <c r="MQH112" s="774"/>
      <c r="MQI112" s="774"/>
      <c r="MQJ112" s="774"/>
      <c r="MQK112" s="774"/>
      <c r="MQL112" s="774"/>
      <c r="MQM112" s="774"/>
      <c r="MQN112" s="774"/>
      <c r="MQO112" s="774"/>
      <c r="MQP112" s="774"/>
      <c r="MQQ112" s="774"/>
      <c r="MQR112" s="774"/>
      <c r="MQS112" s="774"/>
      <c r="MQT112" s="774"/>
      <c r="MQU112" s="774"/>
      <c r="MQV112" s="774"/>
      <c r="MQW112" s="774"/>
      <c r="MQX112" s="774"/>
      <c r="MQY112" s="774"/>
      <c r="MQZ112" s="774"/>
      <c r="MRA112" s="774"/>
      <c r="MRB112" s="774"/>
      <c r="MRC112" s="774"/>
      <c r="MRD112" s="774"/>
      <c r="MRE112" s="774"/>
      <c r="MRF112" s="774"/>
      <c r="MRG112" s="774"/>
      <c r="MRH112" s="774"/>
      <c r="MRI112" s="774"/>
      <c r="MRJ112" s="774"/>
      <c r="MRK112" s="774"/>
      <c r="MRL112" s="774"/>
      <c r="MRM112" s="774"/>
      <c r="MRN112" s="774"/>
      <c r="MRO112" s="774"/>
      <c r="MRP112" s="774"/>
      <c r="MRQ112" s="774"/>
      <c r="MRR112" s="774"/>
      <c r="MRS112" s="774"/>
      <c r="MRT112" s="774"/>
      <c r="MRU112" s="774"/>
      <c r="MRV112" s="774"/>
      <c r="MRW112" s="774"/>
      <c r="MRX112" s="774"/>
      <c r="MRY112" s="774"/>
      <c r="MRZ112" s="774"/>
      <c r="MSA112" s="774"/>
      <c r="MSB112" s="774"/>
      <c r="MSC112" s="774"/>
      <c r="MSD112" s="774"/>
      <c r="MSE112" s="774"/>
      <c r="MSF112" s="774"/>
      <c r="MSG112" s="774"/>
      <c r="MSH112" s="774"/>
      <c r="MSI112" s="774"/>
      <c r="MSJ112" s="774"/>
      <c r="MSK112" s="774"/>
      <c r="MSL112" s="774"/>
      <c r="MSM112" s="774"/>
      <c r="MSN112" s="774"/>
      <c r="MSO112" s="774"/>
      <c r="MSP112" s="774"/>
      <c r="MSQ112" s="774"/>
      <c r="MSR112" s="774"/>
      <c r="MSS112" s="774"/>
      <c r="MST112" s="774"/>
      <c r="MSU112" s="774"/>
      <c r="MSV112" s="774"/>
      <c r="MSW112" s="774"/>
      <c r="MSX112" s="774"/>
      <c r="MSY112" s="774"/>
      <c r="MSZ112" s="774"/>
      <c r="MTA112" s="774"/>
      <c r="MTB112" s="774"/>
      <c r="MTC112" s="774"/>
      <c r="MTD112" s="774"/>
      <c r="MTE112" s="774"/>
      <c r="MTF112" s="774"/>
      <c r="MTG112" s="774"/>
      <c r="MTH112" s="774"/>
      <c r="MTI112" s="774"/>
      <c r="MTJ112" s="774"/>
      <c r="MTK112" s="774"/>
      <c r="MTL112" s="774"/>
      <c r="MTM112" s="774"/>
      <c r="MTN112" s="774"/>
      <c r="MTO112" s="774"/>
      <c r="MTP112" s="774"/>
      <c r="MTQ112" s="774"/>
      <c r="MTR112" s="774"/>
      <c r="MTS112" s="774"/>
      <c r="MTT112" s="774"/>
      <c r="MTU112" s="774"/>
      <c r="MTV112" s="774"/>
      <c r="MTW112" s="774"/>
      <c r="MTX112" s="774"/>
      <c r="MTY112" s="774"/>
      <c r="MTZ112" s="774"/>
      <c r="MUA112" s="774"/>
      <c r="MUB112" s="774"/>
      <c r="MUC112" s="774"/>
      <c r="MUD112" s="774"/>
      <c r="MUE112" s="774"/>
      <c r="MUF112" s="774"/>
      <c r="MUG112" s="774"/>
      <c r="MUH112" s="774"/>
      <c r="MUI112" s="774"/>
      <c r="MUJ112" s="774"/>
      <c r="MUK112" s="774"/>
      <c r="MUL112" s="774"/>
      <c r="MUM112" s="774"/>
      <c r="MUN112" s="774"/>
      <c r="MUO112" s="774"/>
      <c r="MUP112" s="774"/>
      <c r="MUQ112" s="774"/>
      <c r="MUR112" s="774"/>
      <c r="MUS112" s="774"/>
      <c r="MUT112" s="774"/>
      <c r="MUU112" s="774"/>
      <c r="MUV112" s="774"/>
      <c r="MUW112" s="774"/>
      <c r="MUX112" s="774"/>
      <c r="MUY112" s="774"/>
      <c r="MUZ112" s="774"/>
      <c r="MVA112" s="774"/>
      <c r="MVB112" s="774"/>
      <c r="MVC112" s="774"/>
      <c r="MVD112" s="774"/>
      <c r="MVE112" s="774"/>
      <c r="MVF112" s="774"/>
      <c r="MVG112" s="774"/>
      <c r="MVH112" s="774"/>
      <c r="MVI112" s="774"/>
      <c r="MVJ112" s="774"/>
      <c r="MVK112" s="774"/>
      <c r="MVL112" s="774"/>
      <c r="MVM112" s="774"/>
      <c r="MVN112" s="774"/>
      <c r="MVO112" s="774"/>
      <c r="MVP112" s="774"/>
      <c r="MVQ112" s="774"/>
      <c r="MVR112" s="774"/>
      <c r="MVS112" s="774"/>
      <c r="MVT112" s="774"/>
      <c r="MVU112" s="774"/>
      <c r="MVV112" s="774"/>
      <c r="MVW112" s="774"/>
      <c r="MVX112" s="774"/>
      <c r="MVY112" s="774"/>
      <c r="MVZ112" s="774"/>
      <c r="MWA112" s="774"/>
      <c r="MWB112" s="774"/>
      <c r="MWC112" s="774"/>
      <c r="MWD112" s="774"/>
      <c r="MWE112" s="774"/>
      <c r="MWF112" s="774"/>
      <c r="MWG112" s="774"/>
      <c r="MWH112" s="774"/>
      <c r="MWI112" s="774"/>
      <c r="MWJ112" s="774"/>
      <c r="MWK112" s="774"/>
      <c r="MWL112" s="774"/>
      <c r="MWM112" s="774"/>
      <c r="MWN112" s="774"/>
      <c r="MWO112" s="774"/>
      <c r="MWP112" s="774"/>
      <c r="MWQ112" s="774"/>
      <c r="MWR112" s="774"/>
      <c r="MWS112" s="774"/>
      <c r="MWT112" s="774"/>
      <c r="MWU112" s="774"/>
      <c r="MWV112" s="774"/>
      <c r="MWW112" s="774"/>
      <c r="MWX112" s="774"/>
      <c r="MWY112" s="774"/>
      <c r="MWZ112" s="774"/>
      <c r="MXA112" s="774"/>
      <c r="MXB112" s="774"/>
      <c r="MXC112" s="774"/>
      <c r="MXD112" s="774"/>
      <c r="MXE112" s="774"/>
      <c r="MXF112" s="774"/>
      <c r="MXG112" s="774"/>
      <c r="MXH112" s="774"/>
      <c r="MXI112" s="774"/>
      <c r="MXJ112" s="774"/>
      <c r="MXK112" s="774"/>
      <c r="MXL112" s="774"/>
      <c r="MXM112" s="774"/>
      <c r="MXN112" s="774"/>
      <c r="MXO112" s="774"/>
      <c r="MXP112" s="774"/>
      <c r="MXQ112" s="774"/>
      <c r="MXR112" s="774"/>
      <c r="MXS112" s="774"/>
      <c r="MXT112" s="774"/>
      <c r="MXU112" s="774"/>
      <c r="MXV112" s="774"/>
      <c r="MXW112" s="774"/>
      <c r="MXX112" s="774"/>
      <c r="MXY112" s="774"/>
      <c r="MXZ112" s="774"/>
      <c r="MYA112" s="774"/>
      <c r="MYB112" s="774"/>
      <c r="MYC112" s="774"/>
      <c r="MYD112" s="774"/>
      <c r="MYE112" s="774"/>
      <c r="MYF112" s="774"/>
      <c r="MYG112" s="774"/>
      <c r="MYH112" s="774"/>
      <c r="MYI112" s="774"/>
      <c r="MYJ112" s="774"/>
      <c r="MYK112" s="774"/>
      <c r="MYL112" s="774"/>
      <c r="MYM112" s="774"/>
      <c r="MYN112" s="774"/>
      <c r="MYO112" s="774"/>
      <c r="MYP112" s="774"/>
      <c r="MYQ112" s="774"/>
      <c r="MYR112" s="774"/>
      <c r="MYS112" s="774"/>
      <c r="MYT112" s="774"/>
      <c r="MYU112" s="774"/>
      <c r="MYV112" s="774"/>
      <c r="MYW112" s="774"/>
      <c r="MYX112" s="774"/>
      <c r="MYY112" s="774"/>
      <c r="MYZ112" s="774"/>
      <c r="MZA112" s="774"/>
      <c r="MZB112" s="774"/>
      <c r="MZC112" s="774"/>
      <c r="MZD112" s="774"/>
      <c r="MZE112" s="774"/>
      <c r="MZF112" s="774"/>
      <c r="MZG112" s="774"/>
      <c r="MZH112" s="774"/>
      <c r="MZI112" s="774"/>
      <c r="MZJ112" s="774"/>
      <c r="MZK112" s="774"/>
      <c r="MZL112" s="774"/>
      <c r="MZM112" s="774"/>
      <c r="MZN112" s="774"/>
      <c r="MZO112" s="774"/>
      <c r="MZP112" s="774"/>
      <c r="MZQ112" s="774"/>
      <c r="MZR112" s="774"/>
      <c r="MZS112" s="774"/>
      <c r="MZT112" s="774"/>
      <c r="MZU112" s="774"/>
      <c r="MZV112" s="774"/>
      <c r="MZW112" s="774"/>
      <c r="MZX112" s="774"/>
      <c r="MZY112" s="774"/>
      <c r="MZZ112" s="774"/>
      <c r="NAA112" s="774"/>
      <c r="NAB112" s="774"/>
      <c r="NAC112" s="774"/>
      <c r="NAD112" s="774"/>
      <c r="NAE112" s="774"/>
      <c r="NAF112" s="774"/>
      <c r="NAG112" s="774"/>
      <c r="NAH112" s="774"/>
      <c r="NAI112" s="774"/>
      <c r="NAJ112" s="774"/>
      <c r="NAK112" s="774"/>
      <c r="NAL112" s="774"/>
      <c r="NAM112" s="774"/>
      <c r="NAN112" s="774"/>
      <c r="NAO112" s="774"/>
      <c r="NAP112" s="774"/>
      <c r="NAQ112" s="774"/>
      <c r="NAR112" s="774"/>
      <c r="NAS112" s="774"/>
      <c r="NAT112" s="774"/>
      <c r="NAU112" s="774"/>
      <c r="NAV112" s="774"/>
      <c r="NAW112" s="774"/>
      <c r="NAX112" s="774"/>
      <c r="NAY112" s="774"/>
      <c r="NAZ112" s="774"/>
      <c r="NBA112" s="774"/>
      <c r="NBB112" s="774"/>
      <c r="NBC112" s="774"/>
      <c r="NBD112" s="774"/>
      <c r="NBE112" s="774"/>
      <c r="NBF112" s="774"/>
      <c r="NBG112" s="774"/>
      <c r="NBH112" s="774"/>
      <c r="NBI112" s="774"/>
      <c r="NBJ112" s="774"/>
      <c r="NBK112" s="774"/>
      <c r="NBL112" s="774"/>
      <c r="NBM112" s="774"/>
      <c r="NBN112" s="774"/>
      <c r="NBO112" s="774"/>
      <c r="NBP112" s="774"/>
      <c r="NBQ112" s="774"/>
      <c r="NBR112" s="774"/>
      <c r="NBS112" s="774"/>
      <c r="NBT112" s="774"/>
      <c r="NBU112" s="774"/>
      <c r="NBV112" s="774"/>
      <c r="NBW112" s="774"/>
      <c r="NBX112" s="774"/>
      <c r="NBY112" s="774"/>
      <c r="NBZ112" s="774"/>
      <c r="NCA112" s="774"/>
      <c r="NCB112" s="774"/>
      <c r="NCC112" s="774"/>
      <c r="NCD112" s="774"/>
      <c r="NCE112" s="774"/>
      <c r="NCF112" s="774"/>
      <c r="NCG112" s="774"/>
      <c r="NCH112" s="774"/>
      <c r="NCI112" s="774"/>
      <c r="NCJ112" s="774"/>
      <c r="NCK112" s="774"/>
      <c r="NCL112" s="774"/>
      <c r="NCM112" s="774"/>
      <c r="NCN112" s="774"/>
      <c r="NCO112" s="774"/>
      <c r="NCP112" s="774"/>
      <c r="NCQ112" s="774"/>
      <c r="NCR112" s="774"/>
      <c r="NCS112" s="774"/>
      <c r="NCT112" s="774"/>
      <c r="NCU112" s="774"/>
      <c r="NCV112" s="774"/>
      <c r="NCW112" s="774"/>
      <c r="NCX112" s="774"/>
      <c r="NCY112" s="774"/>
      <c r="NCZ112" s="774"/>
      <c r="NDA112" s="774"/>
      <c r="NDB112" s="774"/>
      <c r="NDC112" s="774"/>
      <c r="NDD112" s="774"/>
      <c r="NDE112" s="774"/>
      <c r="NDF112" s="774"/>
      <c r="NDG112" s="774"/>
      <c r="NDH112" s="774"/>
      <c r="NDI112" s="774"/>
      <c r="NDJ112" s="774"/>
      <c r="NDK112" s="774"/>
      <c r="NDL112" s="774"/>
      <c r="NDM112" s="774"/>
      <c r="NDN112" s="774"/>
      <c r="NDO112" s="774"/>
      <c r="NDP112" s="774"/>
      <c r="NDQ112" s="774"/>
      <c r="NDR112" s="774"/>
      <c r="NDS112" s="774"/>
      <c r="NDT112" s="774"/>
      <c r="NDU112" s="774"/>
      <c r="NDV112" s="774"/>
      <c r="NDW112" s="774"/>
      <c r="NDX112" s="774"/>
      <c r="NDY112" s="774"/>
      <c r="NDZ112" s="774"/>
      <c r="NEA112" s="774"/>
      <c r="NEB112" s="774"/>
      <c r="NEC112" s="774"/>
      <c r="NED112" s="774"/>
      <c r="NEE112" s="774"/>
      <c r="NEF112" s="774"/>
      <c r="NEG112" s="774"/>
      <c r="NEH112" s="774"/>
      <c r="NEI112" s="774"/>
      <c r="NEJ112" s="774"/>
      <c r="NEK112" s="774"/>
      <c r="NEL112" s="774"/>
      <c r="NEM112" s="774"/>
      <c r="NEN112" s="774"/>
      <c r="NEO112" s="774"/>
      <c r="NEP112" s="774"/>
      <c r="NEQ112" s="774"/>
      <c r="NER112" s="774"/>
      <c r="NES112" s="774"/>
      <c r="NET112" s="774"/>
      <c r="NEU112" s="774"/>
      <c r="NEV112" s="774"/>
      <c r="NEW112" s="774"/>
      <c r="NEX112" s="774"/>
      <c r="NEY112" s="774"/>
      <c r="NEZ112" s="774"/>
      <c r="NFA112" s="774"/>
      <c r="NFB112" s="774"/>
      <c r="NFC112" s="774"/>
      <c r="NFD112" s="774"/>
      <c r="NFE112" s="774"/>
      <c r="NFF112" s="774"/>
      <c r="NFG112" s="774"/>
      <c r="NFH112" s="774"/>
      <c r="NFI112" s="774"/>
      <c r="NFJ112" s="774"/>
      <c r="NFK112" s="774"/>
      <c r="NFL112" s="774"/>
      <c r="NFM112" s="774"/>
      <c r="NFN112" s="774"/>
      <c r="NFO112" s="774"/>
      <c r="NFP112" s="774"/>
      <c r="NFQ112" s="774"/>
      <c r="NFR112" s="774"/>
      <c r="NFS112" s="774"/>
      <c r="NFT112" s="774"/>
      <c r="NFU112" s="774"/>
      <c r="NFV112" s="774"/>
      <c r="NFW112" s="774"/>
      <c r="NFX112" s="774"/>
      <c r="NFY112" s="774"/>
      <c r="NFZ112" s="774"/>
      <c r="NGA112" s="774"/>
      <c r="NGB112" s="774"/>
      <c r="NGC112" s="774"/>
      <c r="NGD112" s="774"/>
      <c r="NGE112" s="774"/>
      <c r="NGF112" s="774"/>
      <c r="NGG112" s="774"/>
      <c r="NGH112" s="774"/>
      <c r="NGI112" s="774"/>
      <c r="NGJ112" s="774"/>
      <c r="NGK112" s="774"/>
      <c r="NGL112" s="774"/>
      <c r="NGM112" s="774"/>
      <c r="NGN112" s="774"/>
      <c r="NGO112" s="774"/>
      <c r="NGP112" s="774"/>
      <c r="NGQ112" s="774"/>
      <c r="NGR112" s="774"/>
      <c r="NGS112" s="774"/>
      <c r="NGT112" s="774"/>
      <c r="NGU112" s="774"/>
      <c r="NGV112" s="774"/>
      <c r="NGW112" s="774"/>
      <c r="NGX112" s="774"/>
      <c r="NGY112" s="774"/>
      <c r="NGZ112" s="774"/>
      <c r="NHA112" s="774"/>
      <c r="NHB112" s="774"/>
      <c r="NHC112" s="774"/>
      <c r="NHD112" s="774"/>
      <c r="NHE112" s="774"/>
      <c r="NHF112" s="774"/>
      <c r="NHG112" s="774"/>
      <c r="NHH112" s="774"/>
      <c r="NHI112" s="774"/>
      <c r="NHJ112" s="774"/>
      <c r="NHK112" s="774"/>
      <c r="NHL112" s="774"/>
      <c r="NHM112" s="774"/>
      <c r="NHN112" s="774"/>
      <c r="NHO112" s="774"/>
      <c r="NHP112" s="774"/>
      <c r="NHQ112" s="774"/>
      <c r="NHR112" s="774"/>
      <c r="NHS112" s="774"/>
      <c r="NHT112" s="774"/>
      <c r="NHU112" s="774"/>
      <c r="NHV112" s="774"/>
      <c r="NHW112" s="774"/>
      <c r="NHX112" s="774"/>
      <c r="NHY112" s="774"/>
      <c r="NHZ112" s="774"/>
      <c r="NIA112" s="774"/>
      <c r="NIB112" s="774"/>
      <c r="NIC112" s="774"/>
      <c r="NID112" s="774"/>
      <c r="NIE112" s="774"/>
      <c r="NIF112" s="774"/>
      <c r="NIG112" s="774"/>
      <c r="NIH112" s="774"/>
      <c r="NII112" s="774"/>
      <c r="NIJ112" s="774"/>
      <c r="NIK112" s="774"/>
      <c r="NIL112" s="774"/>
      <c r="NIM112" s="774"/>
      <c r="NIN112" s="774"/>
      <c r="NIO112" s="774"/>
      <c r="NIP112" s="774"/>
      <c r="NIQ112" s="774"/>
      <c r="NIR112" s="774"/>
      <c r="NIS112" s="774"/>
      <c r="NIT112" s="774"/>
      <c r="NIU112" s="774"/>
      <c r="NIV112" s="774"/>
      <c r="NIW112" s="774"/>
      <c r="NIX112" s="774"/>
      <c r="NIY112" s="774"/>
      <c r="NIZ112" s="774"/>
      <c r="NJA112" s="774"/>
      <c r="NJB112" s="774"/>
      <c r="NJC112" s="774"/>
      <c r="NJD112" s="774"/>
      <c r="NJE112" s="774"/>
      <c r="NJF112" s="774"/>
      <c r="NJG112" s="774"/>
      <c r="NJH112" s="774"/>
      <c r="NJI112" s="774"/>
      <c r="NJJ112" s="774"/>
      <c r="NJK112" s="774"/>
      <c r="NJL112" s="774"/>
      <c r="NJM112" s="774"/>
      <c r="NJN112" s="774"/>
      <c r="NJO112" s="774"/>
      <c r="NJP112" s="774"/>
      <c r="NJQ112" s="774"/>
      <c r="NJR112" s="774"/>
      <c r="NJS112" s="774"/>
      <c r="NJT112" s="774"/>
      <c r="NJU112" s="774"/>
      <c r="NJV112" s="774"/>
      <c r="NJW112" s="774"/>
      <c r="NJX112" s="774"/>
      <c r="NJY112" s="774"/>
      <c r="NJZ112" s="774"/>
      <c r="NKA112" s="774"/>
      <c r="NKB112" s="774"/>
      <c r="NKC112" s="774"/>
      <c r="NKD112" s="774"/>
      <c r="NKE112" s="774"/>
      <c r="NKF112" s="774"/>
      <c r="NKG112" s="774"/>
      <c r="NKH112" s="774"/>
      <c r="NKI112" s="774"/>
      <c r="NKJ112" s="774"/>
      <c r="NKK112" s="774"/>
      <c r="NKL112" s="774"/>
      <c r="NKM112" s="774"/>
      <c r="NKN112" s="774"/>
      <c r="NKO112" s="774"/>
      <c r="NKP112" s="774"/>
      <c r="NKQ112" s="774"/>
      <c r="NKR112" s="774"/>
      <c r="NKS112" s="774"/>
      <c r="NKT112" s="774"/>
      <c r="NKU112" s="774"/>
      <c r="NKV112" s="774"/>
      <c r="NKW112" s="774"/>
      <c r="NKX112" s="774"/>
      <c r="NKY112" s="774"/>
      <c r="NKZ112" s="774"/>
      <c r="NLA112" s="774"/>
      <c r="NLB112" s="774"/>
      <c r="NLC112" s="774"/>
      <c r="NLD112" s="774"/>
      <c r="NLE112" s="774"/>
      <c r="NLF112" s="774"/>
      <c r="NLG112" s="774"/>
      <c r="NLH112" s="774"/>
      <c r="NLI112" s="774"/>
      <c r="NLJ112" s="774"/>
      <c r="NLK112" s="774"/>
      <c r="NLL112" s="774"/>
      <c r="NLM112" s="774"/>
      <c r="NLN112" s="774"/>
      <c r="NLO112" s="774"/>
      <c r="NLP112" s="774"/>
      <c r="NLQ112" s="774"/>
      <c r="NLR112" s="774"/>
      <c r="NLS112" s="774"/>
      <c r="NLT112" s="774"/>
      <c r="NLU112" s="774"/>
      <c r="NLV112" s="774"/>
      <c r="NLW112" s="774"/>
      <c r="NLX112" s="774"/>
      <c r="NLY112" s="774"/>
      <c r="NLZ112" s="774"/>
      <c r="NMA112" s="774"/>
      <c r="NMB112" s="774"/>
      <c r="NMC112" s="774"/>
      <c r="NMD112" s="774"/>
      <c r="NME112" s="774"/>
      <c r="NMF112" s="774"/>
      <c r="NMG112" s="774"/>
      <c r="NMH112" s="774"/>
      <c r="NMI112" s="774"/>
      <c r="NMJ112" s="774"/>
      <c r="NMK112" s="774"/>
      <c r="NML112" s="774"/>
      <c r="NMM112" s="774"/>
      <c r="NMN112" s="774"/>
      <c r="NMO112" s="774"/>
      <c r="NMP112" s="774"/>
      <c r="NMQ112" s="774"/>
      <c r="NMR112" s="774"/>
      <c r="NMS112" s="774"/>
      <c r="NMT112" s="774"/>
      <c r="NMU112" s="774"/>
      <c r="NMV112" s="774"/>
      <c r="NMW112" s="774"/>
      <c r="NMX112" s="774"/>
      <c r="NMY112" s="774"/>
      <c r="NMZ112" s="774"/>
      <c r="NNA112" s="774"/>
      <c r="NNB112" s="774"/>
      <c r="NNC112" s="774"/>
      <c r="NND112" s="774"/>
      <c r="NNE112" s="774"/>
      <c r="NNF112" s="774"/>
      <c r="NNG112" s="774"/>
      <c r="NNH112" s="774"/>
      <c r="NNI112" s="774"/>
      <c r="NNJ112" s="774"/>
      <c r="NNK112" s="774"/>
      <c r="NNL112" s="774"/>
      <c r="NNM112" s="774"/>
      <c r="NNN112" s="774"/>
      <c r="NNO112" s="774"/>
      <c r="NNP112" s="774"/>
      <c r="NNQ112" s="774"/>
      <c r="NNR112" s="774"/>
      <c r="NNS112" s="774"/>
      <c r="NNT112" s="774"/>
      <c r="NNU112" s="774"/>
      <c r="NNV112" s="774"/>
      <c r="NNW112" s="774"/>
      <c r="NNX112" s="774"/>
      <c r="NNY112" s="774"/>
      <c r="NNZ112" s="774"/>
      <c r="NOA112" s="774"/>
      <c r="NOB112" s="774"/>
      <c r="NOC112" s="774"/>
      <c r="NOD112" s="774"/>
      <c r="NOE112" s="774"/>
      <c r="NOF112" s="774"/>
      <c r="NOG112" s="774"/>
      <c r="NOH112" s="774"/>
      <c r="NOI112" s="774"/>
      <c r="NOJ112" s="774"/>
      <c r="NOK112" s="774"/>
      <c r="NOL112" s="774"/>
      <c r="NOM112" s="774"/>
      <c r="NON112" s="774"/>
      <c r="NOO112" s="774"/>
      <c r="NOP112" s="774"/>
      <c r="NOQ112" s="774"/>
      <c r="NOR112" s="774"/>
      <c r="NOS112" s="774"/>
      <c r="NOT112" s="774"/>
      <c r="NOU112" s="774"/>
      <c r="NOV112" s="774"/>
      <c r="NOW112" s="774"/>
      <c r="NOX112" s="774"/>
      <c r="NOY112" s="774"/>
      <c r="NOZ112" s="774"/>
      <c r="NPA112" s="774"/>
      <c r="NPB112" s="774"/>
      <c r="NPC112" s="774"/>
      <c r="NPD112" s="774"/>
      <c r="NPE112" s="774"/>
      <c r="NPF112" s="774"/>
      <c r="NPG112" s="774"/>
      <c r="NPH112" s="774"/>
      <c r="NPI112" s="774"/>
      <c r="NPJ112" s="774"/>
      <c r="NPK112" s="774"/>
      <c r="NPL112" s="774"/>
      <c r="NPM112" s="774"/>
      <c r="NPN112" s="774"/>
      <c r="NPO112" s="774"/>
      <c r="NPP112" s="774"/>
      <c r="NPQ112" s="774"/>
      <c r="NPR112" s="774"/>
      <c r="NPS112" s="774"/>
      <c r="NPT112" s="774"/>
      <c r="NPU112" s="774"/>
      <c r="NPV112" s="774"/>
      <c r="NPW112" s="774"/>
      <c r="NPX112" s="774"/>
      <c r="NPY112" s="774"/>
      <c r="NPZ112" s="774"/>
      <c r="NQA112" s="774"/>
      <c r="NQB112" s="774"/>
      <c r="NQC112" s="774"/>
      <c r="NQD112" s="774"/>
      <c r="NQE112" s="774"/>
      <c r="NQF112" s="774"/>
      <c r="NQG112" s="774"/>
      <c r="NQH112" s="774"/>
      <c r="NQI112" s="774"/>
      <c r="NQJ112" s="774"/>
      <c r="NQK112" s="774"/>
      <c r="NQL112" s="774"/>
      <c r="NQM112" s="774"/>
      <c r="NQN112" s="774"/>
      <c r="NQO112" s="774"/>
      <c r="NQP112" s="774"/>
      <c r="NQQ112" s="774"/>
      <c r="NQR112" s="774"/>
      <c r="NQS112" s="774"/>
      <c r="NQT112" s="774"/>
      <c r="NQU112" s="774"/>
      <c r="NQV112" s="774"/>
      <c r="NQW112" s="774"/>
      <c r="NQX112" s="774"/>
      <c r="NQY112" s="774"/>
      <c r="NQZ112" s="774"/>
      <c r="NRA112" s="774"/>
      <c r="NRB112" s="774"/>
      <c r="NRC112" s="774"/>
      <c r="NRD112" s="774"/>
      <c r="NRE112" s="774"/>
      <c r="NRF112" s="774"/>
      <c r="NRG112" s="774"/>
      <c r="NRH112" s="774"/>
      <c r="NRI112" s="774"/>
      <c r="NRJ112" s="774"/>
      <c r="NRK112" s="774"/>
      <c r="NRL112" s="774"/>
      <c r="NRM112" s="774"/>
      <c r="NRN112" s="774"/>
      <c r="NRO112" s="774"/>
      <c r="NRP112" s="774"/>
      <c r="NRQ112" s="774"/>
      <c r="NRR112" s="774"/>
      <c r="NRS112" s="774"/>
      <c r="NRT112" s="774"/>
      <c r="NRU112" s="774"/>
      <c r="NRV112" s="774"/>
      <c r="NRW112" s="774"/>
      <c r="NRX112" s="774"/>
      <c r="NRY112" s="774"/>
      <c r="NRZ112" s="774"/>
      <c r="NSA112" s="774"/>
      <c r="NSB112" s="774"/>
      <c r="NSC112" s="774"/>
      <c r="NSD112" s="774"/>
      <c r="NSE112" s="774"/>
      <c r="NSF112" s="774"/>
      <c r="NSG112" s="774"/>
      <c r="NSH112" s="774"/>
      <c r="NSI112" s="774"/>
      <c r="NSJ112" s="774"/>
      <c r="NSK112" s="774"/>
      <c r="NSL112" s="774"/>
      <c r="NSM112" s="774"/>
      <c r="NSN112" s="774"/>
      <c r="NSO112" s="774"/>
      <c r="NSP112" s="774"/>
      <c r="NSQ112" s="774"/>
      <c r="NSR112" s="774"/>
      <c r="NSS112" s="774"/>
      <c r="NST112" s="774"/>
      <c r="NSU112" s="774"/>
      <c r="NSV112" s="774"/>
      <c r="NSW112" s="774"/>
      <c r="NSX112" s="774"/>
      <c r="NSY112" s="774"/>
      <c r="NSZ112" s="774"/>
      <c r="NTA112" s="774"/>
      <c r="NTB112" s="774"/>
      <c r="NTC112" s="774"/>
      <c r="NTD112" s="774"/>
      <c r="NTE112" s="774"/>
      <c r="NTF112" s="774"/>
      <c r="NTG112" s="774"/>
      <c r="NTH112" s="774"/>
      <c r="NTI112" s="774"/>
      <c r="NTJ112" s="774"/>
      <c r="NTK112" s="774"/>
      <c r="NTL112" s="774"/>
      <c r="NTM112" s="774"/>
      <c r="NTN112" s="774"/>
      <c r="NTO112" s="774"/>
      <c r="NTP112" s="774"/>
      <c r="NTQ112" s="774"/>
      <c r="NTR112" s="774"/>
      <c r="NTS112" s="774"/>
      <c r="NTT112" s="774"/>
      <c r="NTU112" s="774"/>
      <c r="NTV112" s="774"/>
      <c r="NTW112" s="774"/>
      <c r="NTX112" s="774"/>
      <c r="NTY112" s="774"/>
      <c r="NTZ112" s="774"/>
      <c r="NUA112" s="774"/>
      <c r="NUB112" s="774"/>
      <c r="NUC112" s="774"/>
      <c r="NUD112" s="774"/>
      <c r="NUE112" s="774"/>
      <c r="NUF112" s="774"/>
      <c r="NUG112" s="774"/>
      <c r="NUH112" s="774"/>
      <c r="NUI112" s="774"/>
      <c r="NUJ112" s="774"/>
      <c r="NUK112" s="774"/>
      <c r="NUL112" s="774"/>
      <c r="NUM112" s="774"/>
      <c r="NUN112" s="774"/>
      <c r="NUO112" s="774"/>
      <c r="NUP112" s="774"/>
      <c r="NUQ112" s="774"/>
      <c r="NUR112" s="774"/>
      <c r="NUS112" s="774"/>
      <c r="NUT112" s="774"/>
      <c r="NUU112" s="774"/>
      <c r="NUV112" s="774"/>
      <c r="NUW112" s="774"/>
      <c r="NUX112" s="774"/>
      <c r="NUY112" s="774"/>
      <c r="NUZ112" s="774"/>
      <c r="NVA112" s="774"/>
      <c r="NVB112" s="774"/>
      <c r="NVC112" s="774"/>
      <c r="NVD112" s="774"/>
      <c r="NVE112" s="774"/>
      <c r="NVF112" s="774"/>
      <c r="NVG112" s="774"/>
      <c r="NVH112" s="774"/>
      <c r="NVI112" s="774"/>
      <c r="NVJ112" s="774"/>
      <c r="NVK112" s="774"/>
      <c r="NVL112" s="774"/>
      <c r="NVM112" s="774"/>
      <c r="NVN112" s="774"/>
      <c r="NVO112" s="774"/>
      <c r="NVP112" s="774"/>
      <c r="NVQ112" s="774"/>
      <c r="NVR112" s="774"/>
      <c r="NVS112" s="774"/>
      <c r="NVT112" s="774"/>
      <c r="NVU112" s="774"/>
      <c r="NVV112" s="774"/>
      <c r="NVW112" s="774"/>
      <c r="NVX112" s="774"/>
      <c r="NVY112" s="774"/>
      <c r="NVZ112" s="774"/>
      <c r="NWA112" s="774"/>
      <c r="NWB112" s="774"/>
      <c r="NWC112" s="774"/>
      <c r="NWD112" s="774"/>
      <c r="NWE112" s="774"/>
      <c r="NWF112" s="774"/>
      <c r="NWG112" s="774"/>
      <c r="NWH112" s="774"/>
      <c r="NWI112" s="774"/>
      <c r="NWJ112" s="774"/>
      <c r="NWK112" s="774"/>
      <c r="NWL112" s="774"/>
      <c r="NWM112" s="774"/>
      <c r="NWN112" s="774"/>
      <c r="NWO112" s="774"/>
      <c r="NWP112" s="774"/>
      <c r="NWQ112" s="774"/>
      <c r="NWR112" s="774"/>
      <c r="NWS112" s="774"/>
      <c r="NWT112" s="774"/>
      <c r="NWU112" s="774"/>
      <c r="NWV112" s="774"/>
      <c r="NWW112" s="774"/>
      <c r="NWX112" s="774"/>
      <c r="NWY112" s="774"/>
      <c r="NWZ112" s="774"/>
      <c r="NXA112" s="774"/>
      <c r="NXB112" s="774"/>
      <c r="NXC112" s="774"/>
      <c r="NXD112" s="774"/>
      <c r="NXE112" s="774"/>
      <c r="NXF112" s="774"/>
      <c r="NXG112" s="774"/>
      <c r="NXH112" s="774"/>
      <c r="NXI112" s="774"/>
      <c r="NXJ112" s="774"/>
      <c r="NXK112" s="774"/>
      <c r="NXL112" s="774"/>
      <c r="NXM112" s="774"/>
      <c r="NXN112" s="774"/>
      <c r="NXO112" s="774"/>
      <c r="NXP112" s="774"/>
      <c r="NXQ112" s="774"/>
      <c r="NXR112" s="774"/>
      <c r="NXS112" s="774"/>
      <c r="NXT112" s="774"/>
      <c r="NXU112" s="774"/>
      <c r="NXV112" s="774"/>
      <c r="NXW112" s="774"/>
      <c r="NXX112" s="774"/>
      <c r="NXY112" s="774"/>
      <c r="NXZ112" s="774"/>
      <c r="NYA112" s="774"/>
      <c r="NYB112" s="774"/>
      <c r="NYC112" s="774"/>
      <c r="NYD112" s="774"/>
      <c r="NYE112" s="774"/>
      <c r="NYF112" s="774"/>
      <c r="NYG112" s="774"/>
      <c r="NYH112" s="774"/>
      <c r="NYI112" s="774"/>
      <c r="NYJ112" s="774"/>
      <c r="NYK112" s="774"/>
      <c r="NYL112" s="774"/>
      <c r="NYM112" s="774"/>
      <c r="NYN112" s="774"/>
      <c r="NYO112" s="774"/>
      <c r="NYP112" s="774"/>
      <c r="NYQ112" s="774"/>
      <c r="NYR112" s="774"/>
      <c r="NYS112" s="774"/>
      <c r="NYT112" s="774"/>
      <c r="NYU112" s="774"/>
      <c r="NYV112" s="774"/>
      <c r="NYW112" s="774"/>
      <c r="NYX112" s="774"/>
      <c r="NYY112" s="774"/>
      <c r="NYZ112" s="774"/>
      <c r="NZA112" s="774"/>
      <c r="NZB112" s="774"/>
      <c r="NZC112" s="774"/>
      <c r="NZD112" s="774"/>
      <c r="NZE112" s="774"/>
      <c r="NZF112" s="774"/>
      <c r="NZG112" s="774"/>
      <c r="NZH112" s="774"/>
      <c r="NZI112" s="774"/>
      <c r="NZJ112" s="774"/>
      <c r="NZK112" s="774"/>
      <c r="NZL112" s="774"/>
      <c r="NZM112" s="774"/>
      <c r="NZN112" s="774"/>
      <c r="NZO112" s="774"/>
      <c r="NZP112" s="774"/>
      <c r="NZQ112" s="774"/>
      <c r="NZR112" s="774"/>
      <c r="NZS112" s="774"/>
      <c r="NZT112" s="774"/>
      <c r="NZU112" s="774"/>
      <c r="NZV112" s="774"/>
      <c r="NZW112" s="774"/>
      <c r="NZX112" s="774"/>
      <c r="NZY112" s="774"/>
      <c r="NZZ112" s="774"/>
      <c r="OAA112" s="774"/>
      <c r="OAB112" s="774"/>
      <c r="OAC112" s="774"/>
      <c r="OAD112" s="774"/>
      <c r="OAE112" s="774"/>
      <c r="OAF112" s="774"/>
      <c r="OAG112" s="774"/>
      <c r="OAH112" s="774"/>
      <c r="OAI112" s="774"/>
      <c r="OAJ112" s="774"/>
      <c r="OAK112" s="774"/>
      <c r="OAL112" s="774"/>
      <c r="OAM112" s="774"/>
      <c r="OAN112" s="774"/>
      <c r="OAO112" s="774"/>
      <c r="OAP112" s="774"/>
      <c r="OAQ112" s="774"/>
      <c r="OAR112" s="774"/>
      <c r="OAS112" s="774"/>
      <c r="OAT112" s="774"/>
      <c r="OAU112" s="774"/>
      <c r="OAV112" s="774"/>
      <c r="OAW112" s="774"/>
      <c r="OAX112" s="774"/>
      <c r="OAY112" s="774"/>
      <c r="OAZ112" s="774"/>
      <c r="OBA112" s="774"/>
      <c r="OBB112" s="774"/>
      <c r="OBC112" s="774"/>
      <c r="OBD112" s="774"/>
      <c r="OBE112" s="774"/>
      <c r="OBF112" s="774"/>
      <c r="OBG112" s="774"/>
      <c r="OBH112" s="774"/>
      <c r="OBI112" s="774"/>
      <c r="OBJ112" s="774"/>
      <c r="OBK112" s="774"/>
      <c r="OBL112" s="774"/>
      <c r="OBM112" s="774"/>
      <c r="OBN112" s="774"/>
      <c r="OBO112" s="774"/>
      <c r="OBP112" s="774"/>
      <c r="OBQ112" s="774"/>
      <c r="OBR112" s="774"/>
      <c r="OBS112" s="774"/>
      <c r="OBT112" s="774"/>
      <c r="OBU112" s="774"/>
      <c r="OBV112" s="774"/>
      <c r="OBW112" s="774"/>
      <c r="OBX112" s="774"/>
      <c r="OBY112" s="774"/>
      <c r="OBZ112" s="774"/>
      <c r="OCA112" s="774"/>
      <c r="OCB112" s="774"/>
      <c r="OCC112" s="774"/>
      <c r="OCD112" s="774"/>
      <c r="OCE112" s="774"/>
      <c r="OCF112" s="774"/>
      <c r="OCG112" s="774"/>
      <c r="OCH112" s="774"/>
      <c r="OCI112" s="774"/>
      <c r="OCJ112" s="774"/>
      <c r="OCK112" s="774"/>
      <c r="OCL112" s="774"/>
      <c r="OCM112" s="774"/>
      <c r="OCN112" s="774"/>
      <c r="OCO112" s="774"/>
      <c r="OCP112" s="774"/>
      <c r="OCQ112" s="774"/>
      <c r="OCR112" s="774"/>
      <c r="OCS112" s="774"/>
      <c r="OCT112" s="774"/>
      <c r="OCU112" s="774"/>
      <c r="OCV112" s="774"/>
      <c r="OCW112" s="774"/>
      <c r="OCX112" s="774"/>
      <c r="OCY112" s="774"/>
      <c r="OCZ112" s="774"/>
      <c r="ODA112" s="774"/>
      <c r="ODB112" s="774"/>
      <c r="ODC112" s="774"/>
      <c r="ODD112" s="774"/>
      <c r="ODE112" s="774"/>
      <c r="ODF112" s="774"/>
      <c r="ODG112" s="774"/>
      <c r="ODH112" s="774"/>
      <c r="ODI112" s="774"/>
      <c r="ODJ112" s="774"/>
      <c r="ODK112" s="774"/>
      <c r="ODL112" s="774"/>
      <c r="ODM112" s="774"/>
      <c r="ODN112" s="774"/>
      <c r="ODO112" s="774"/>
      <c r="ODP112" s="774"/>
      <c r="ODQ112" s="774"/>
      <c r="ODR112" s="774"/>
      <c r="ODS112" s="774"/>
      <c r="ODT112" s="774"/>
      <c r="ODU112" s="774"/>
      <c r="ODV112" s="774"/>
      <c r="ODW112" s="774"/>
      <c r="ODX112" s="774"/>
      <c r="ODY112" s="774"/>
      <c r="ODZ112" s="774"/>
      <c r="OEA112" s="774"/>
      <c r="OEB112" s="774"/>
      <c r="OEC112" s="774"/>
      <c r="OED112" s="774"/>
      <c r="OEE112" s="774"/>
      <c r="OEF112" s="774"/>
      <c r="OEG112" s="774"/>
      <c r="OEH112" s="774"/>
      <c r="OEI112" s="774"/>
      <c r="OEJ112" s="774"/>
      <c r="OEK112" s="774"/>
      <c r="OEL112" s="774"/>
      <c r="OEM112" s="774"/>
      <c r="OEN112" s="774"/>
      <c r="OEO112" s="774"/>
      <c r="OEP112" s="774"/>
      <c r="OEQ112" s="774"/>
      <c r="OER112" s="774"/>
      <c r="OES112" s="774"/>
      <c r="OET112" s="774"/>
      <c r="OEU112" s="774"/>
      <c r="OEV112" s="774"/>
      <c r="OEW112" s="774"/>
      <c r="OEX112" s="774"/>
      <c r="OEY112" s="774"/>
      <c r="OEZ112" s="774"/>
      <c r="OFA112" s="774"/>
      <c r="OFB112" s="774"/>
      <c r="OFC112" s="774"/>
      <c r="OFD112" s="774"/>
      <c r="OFE112" s="774"/>
      <c r="OFF112" s="774"/>
      <c r="OFG112" s="774"/>
      <c r="OFH112" s="774"/>
      <c r="OFI112" s="774"/>
      <c r="OFJ112" s="774"/>
      <c r="OFK112" s="774"/>
      <c r="OFL112" s="774"/>
      <c r="OFM112" s="774"/>
      <c r="OFN112" s="774"/>
      <c r="OFO112" s="774"/>
      <c r="OFP112" s="774"/>
      <c r="OFQ112" s="774"/>
      <c r="OFR112" s="774"/>
      <c r="OFS112" s="774"/>
      <c r="OFT112" s="774"/>
      <c r="OFU112" s="774"/>
      <c r="OFV112" s="774"/>
      <c r="OFW112" s="774"/>
      <c r="OFX112" s="774"/>
      <c r="OFY112" s="774"/>
      <c r="OFZ112" s="774"/>
      <c r="OGA112" s="774"/>
      <c r="OGB112" s="774"/>
      <c r="OGC112" s="774"/>
      <c r="OGD112" s="774"/>
      <c r="OGE112" s="774"/>
      <c r="OGF112" s="774"/>
      <c r="OGG112" s="774"/>
      <c r="OGH112" s="774"/>
      <c r="OGI112" s="774"/>
      <c r="OGJ112" s="774"/>
      <c r="OGK112" s="774"/>
      <c r="OGL112" s="774"/>
      <c r="OGM112" s="774"/>
      <c r="OGN112" s="774"/>
      <c r="OGO112" s="774"/>
      <c r="OGP112" s="774"/>
      <c r="OGQ112" s="774"/>
      <c r="OGR112" s="774"/>
      <c r="OGS112" s="774"/>
      <c r="OGT112" s="774"/>
      <c r="OGU112" s="774"/>
      <c r="OGV112" s="774"/>
      <c r="OGW112" s="774"/>
      <c r="OGX112" s="774"/>
      <c r="OGY112" s="774"/>
      <c r="OGZ112" s="774"/>
      <c r="OHA112" s="774"/>
      <c r="OHB112" s="774"/>
      <c r="OHC112" s="774"/>
      <c r="OHD112" s="774"/>
      <c r="OHE112" s="774"/>
      <c r="OHF112" s="774"/>
      <c r="OHG112" s="774"/>
      <c r="OHH112" s="774"/>
      <c r="OHI112" s="774"/>
      <c r="OHJ112" s="774"/>
      <c r="OHK112" s="774"/>
      <c r="OHL112" s="774"/>
      <c r="OHM112" s="774"/>
      <c r="OHN112" s="774"/>
      <c r="OHO112" s="774"/>
      <c r="OHP112" s="774"/>
      <c r="OHQ112" s="774"/>
      <c r="OHR112" s="774"/>
      <c r="OHS112" s="774"/>
      <c r="OHT112" s="774"/>
      <c r="OHU112" s="774"/>
      <c r="OHV112" s="774"/>
      <c r="OHW112" s="774"/>
      <c r="OHX112" s="774"/>
      <c r="OHY112" s="774"/>
      <c r="OHZ112" s="774"/>
      <c r="OIA112" s="774"/>
      <c r="OIB112" s="774"/>
      <c r="OIC112" s="774"/>
      <c r="OID112" s="774"/>
      <c r="OIE112" s="774"/>
      <c r="OIF112" s="774"/>
      <c r="OIG112" s="774"/>
      <c r="OIH112" s="774"/>
      <c r="OII112" s="774"/>
      <c r="OIJ112" s="774"/>
      <c r="OIK112" s="774"/>
      <c r="OIL112" s="774"/>
      <c r="OIM112" s="774"/>
      <c r="OIN112" s="774"/>
      <c r="OIO112" s="774"/>
      <c r="OIP112" s="774"/>
      <c r="OIQ112" s="774"/>
      <c r="OIR112" s="774"/>
      <c r="OIS112" s="774"/>
      <c r="OIT112" s="774"/>
      <c r="OIU112" s="774"/>
      <c r="OIV112" s="774"/>
      <c r="OIW112" s="774"/>
      <c r="OIX112" s="774"/>
      <c r="OIY112" s="774"/>
      <c r="OIZ112" s="774"/>
      <c r="OJA112" s="774"/>
      <c r="OJB112" s="774"/>
      <c r="OJC112" s="774"/>
      <c r="OJD112" s="774"/>
      <c r="OJE112" s="774"/>
      <c r="OJF112" s="774"/>
      <c r="OJG112" s="774"/>
      <c r="OJH112" s="774"/>
      <c r="OJI112" s="774"/>
      <c r="OJJ112" s="774"/>
      <c r="OJK112" s="774"/>
      <c r="OJL112" s="774"/>
      <c r="OJM112" s="774"/>
      <c r="OJN112" s="774"/>
      <c r="OJO112" s="774"/>
      <c r="OJP112" s="774"/>
      <c r="OJQ112" s="774"/>
      <c r="OJR112" s="774"/>
      <c r="OJS112" s="774"/>
      <c r="OJT112" s="774"/>
      <c r="OJU112" s="774"/>
      <c r="OJV112" s="774"/>
      <c r="OJW112" s="774"/>
      <c r="OJX112" s="774"/>
      <c r="OJY112" s="774"/>
      <c r="OJZ112" s="774"/>
      <c r="OKA112" s="774"/>
      <c r="OKB112" s="774"/>
      <c r="OKC112" s="774"/>
      <c r="OKD112" s="774"/>
      <c r="OKE112" s="774"/>
      <c r="OKF112" s="774"/>
      <c r="OKG112" s="774"/>
      <c r="OKH112" s="774"/>
      <c r="OKI112" s="774"/>
      <c r="OKJ112" s="774"/>
      <c r="OKK112" s="774"/>
      <c r="OKL112" s="774"/>
      <c r="OKM112" s="774"/>
      <c r="OKN112" s="774"/>
      <c r="OKO112" s="774"/>
      <c r="OKP112" s="774"/>
      <c r="OKQ112" s="774"/>
      <c r="OKR112" s="774"/>
      <c r="OKS112" s="774"/>
      <c r="OKT112" s="774"/>
      <c r="OKU112" s="774"/>
      <c r="OKV112" s="774"/>
      <c r="OKW112" s="774"/>
      <c r="OKX112" s="774"/>
      <c r="OKY112" s="774"/>
      <c r="OKZ112" s="774"/>
      <c r="OLA112" s="774"/>
      <c r="OLB112" s="774"/>
      <c r="OLC112" s="774"/>
      <c r="OLD112" s="774"/>
      <c r="OLE112" s="774"/>
      <c r="OLF112" s="774"/>
      <c r="OLG112" s="774"/>
      <c r="OLH112" s="774"/>
      <c r="OLI112" s="774"/>
      <c r="OLJ112" s="774"/>
      <c r="OLK112" s="774"/>
      <c r="OLL112" s="774"/>
      <c r="OLM112" s="774"/>
      <c r="OLN112" s="774"/>
      <c r="OLO112" s="774"/>
      <c r="OLP112" s="774"/>
      <c r="OLQ112" s="774"/>
      <c r="OLR112" s="774"/>
      <c r="OLS112" s="774"/>
      <c r="OLT112" s="774"/>
      <c r="OLU112" s="774"/>
      <c r="OLV112" s="774"/>
      <c r="OLW112" s="774"/>
      <c r="OLX112" s="774"/>
      <c r="OLY112" s="774"/>
      <c r="OLZ112" s="774"/>
      <c r="OMA112" s="774"/>
      <c r="OMB112" s="774"/>
      <c r="OMC112" s="774"/>
      <c r="OMD112" s="774"/>
      <c r="OME112" s="774"/>
      <c r="OMF112" s="774"/>
      <c r="OMG112" s="774"/>
      <c r="OMH112" s="774"/>
      <c r="OMI112" s="774"/>
      <c r="OMJ112" s="774"/>
      <c r="OMK112" s="774"/>
      <c r="OML112" s="774"/>
      <c r="OMM112" s="774"/>
      <c r="OMN112" s="774"/>
      <c r="OMO112" s="774"/>
      <c r="OMP112" s="774"/>
      <c r="OMQ112" s="774"/>
      <c r="OMR112" s="774"/>
      <c r="OMS112" s="774"/>
      <c r="OMT112" s="774"/>
      <c r="OMU112" s="774"/>
      <c r="OMV112" s="774"/>
      <c r="OMW112" s="774"/>
      <c r="OMX112" s="774"/>
      <c r="OMY112" s="774"/>
      <c r="OMZ112" s="774"/>
      <c r="ONA112" s="774"/>
      <c r="ONB112" s="774"/>
      <c r="ONC112" s="774"/>
      <c r="OND112" s="774"/>
      <c r="ONE112" s="774"/>
      <c r="ONF112" s="774"/>
      <c r="ONG112" s="774"/>
      <c r="ONH112" s="774"/>
      <c r="ONI112" s="774"/>
      <c r="ONJ112" s="774"/>
      <c r="ONK112" s="774"/>
      <c r="ONL112" s="774"/>
      <c r="ONM112" s="774"/>
      <c r="ONN112" s="774"/>
      <c r="ONO112" s="774"/>
      <c r="ONP112" s="774"/>
      <c r="ONQ112" s="774"/>
      <c r="ONR112" s="774"/>
      <c r="ONS112" s="774"/>
      <c r="ONT112" s="774"/>
      <c r="ONU112" s="774"/>
      <c r="ONV112" s="774"/>
      <c r="ONW112" s="774"/>
      <c r="ONX112" s="774"/>
      <c r="ONY112" s="774"/>
      <c r="ONZ112" s="774"/>
      <c r="OOA112" s="774"/>
      <c r="OOB112" s="774"/>
      <c r="OOC112" s="774"/>
      <c r="OOD112" s="774"/>
      <c r="OOE112" s="774"/>
      <c r="OOF112" s="774"/>
      <c r="OOG112" s="774"/>
      <c r="OOH112" s="774"/>
      <c r="OOI112" s="774"/>
      <c r="OOJ112" s="774"/>
      <c r="OOK112" s="774"/>
      <c r="OOL112" s="774"/>
      <c r="OOM112" s="774"/>
      <c r="OON112" s="774"/>
      <c r="OOO112" s="774"/>
      <c r="OOP112" s="774"/>
      <c r="OOQ112" s="774"/>
      <c r="OOR112" s="774"/>
      <c r="OOS112" s="774"/>
      <c r="OOT112" s="774"/>
      <c r="OOU112" s="774"/>
      <c r="OOV112" s="774"/>
      <c r="OOW112" s="774"/>
      <c r="OOX112" s="774"/>
      <c r="OOY112" s="774"/>
      <c r="OOZ112" s="774"/>
      <c r="OPA112" s="774"/>
      <c r="OPB112" s="774"/>
      <c r="OPC112" s="774"/>
      <c r="OPD112" s="774"/>
      <c r="OPE112" s="774"/>
      <c r="OPF112" s="774"/>
      <c r="OPG112" s="774"/>
      <c r="OPH112" s="774"/>
      <c r="OPI112" s="774"/>
      <c r="OPJ112" s="774"/>
      <c r="OPK112" s="774"/>
      <c r="OPL112" s="774"/>
      <c r="OPM112" s="774"/>
      <c r="OPN112" s="774"/>
      <c r="OPO112" s="774"/>
      <c r="OPP112" s="774"/>
      <c r="OPQ112" s="774"/>
      <c r="OPR112" s="774"/>
      <c r="OPS112" s="774"/>
      <c r="OPT112" s="774"/>
      <c r="OPU112" s="774"/>
      <c r="OPV112" s="774"/>
      <c r="OPW112" s="774"/>
      <c r="OPX112" s="774"/>
      <c r="OPY112" s="774"/>
      <c r="OPZ112" s="774"/>
      <c r="OQA112" s="774"/>
      <c r="OQB112" s="774"/>
      <c r="OQC112" s="774"/>
      <c r="OQD112" s="774"/>
      <c r="OQE112" s="774"/>
      <c r="OQF112" s="774"/>
      <c r="OQG112" s="774"/>
      <c r="OQH112" s="774"/>
      <c r="OQI112" s="774"/>
      <c r="OQJ112" s="774"/>
      <c r="OQK112" s="774"/>
      <c r="OQL112" s="774"/>
      <c r="OQM112" s="774"/>
      <c r="OQN112" s="774"/>
      <c r="OQO112" s="774"/>
      <c r="OQP112" s="774"/>
      <c r="OQQ112" s="774"/>
      <c r="OQR112" s="774"/>
      <c r="OQS112" s="774"/>
      <c r="OQT112" s="774"/>
      <c r="OQU112" s="774"/>
      <c r="OQV112" s="774"/>
      <c r="OQW112" s="774"/>
      <c r="OQX112" s="774"/>
      <c r="OQY112" s="774"/>
      <c r="OQZ112" s="774"/>
      <c r="ORA112" s="774"/>
      <c r="ORB112" s="774"/>
      <c r="ORC112" s="774"/>
      <c r="ORD112" s="774"/>
      <c r="ORE112" s="774"/>
      <c r="ORF112" s="774"/>
      <c r="ORG112" s="774"/>
      <c r="ORH112" s="774"/>
      <c r="ORI112" s="774"/>
      <c r="ORJ112" s="774"/>
      <c r="ORK112" s="774"/>
      <c r="ORL112" s="774"/>
      <c r="ORM112" s="774"/>
      <c r="ORN112" s="774"/>
      <c r="ORO112" s="774"/>
      <c r="ORP112" s="774"/>
      <c r="ORQ112" s="774"/>
      <c r="ORR112" s="774"/>
      <c r="ORS112" s="774"/>
      <c r="ORT112" s="774"/>
      <c r="ORU112" s="774"/>
      <c r="ORV112" s="774"/>
      <c r="ORW112" s="774"/>
      <c r="ORX112" s="774"/>
      <c r="ORY112" s="774"/>
      <c r="ORZ112" s="774"/>
      <c r="OSA112" s="774"/>
      <c r="OSB112" s="774"/>
      <c r="OSC112" s="774"/>
      <c r="OSD112" s="774"/>
      <c r="OSE112" s="774"/>
      <c r="OSF112" s="774"/>
      <c r="OSG112" s="774"/>
      <c r="OSH112" s="774"/>
      <c r="OSI112" s="774"/>
      <c r="OSJ112" s="774"/>
      <c r="OSK112" s="774"/>
      <c r="OSL112" s="774"/>
      <c r="OSM112" s="774"/>
      <c r="OSN112" s="774"/>
      <c r="OSO112" s="774"/>
      <c r="OSP112" s="774"/>
      <c r="OSQ112" s="774"/>
      <c r="OSR112" s="774"/>
      <c r="OSS112" s="774"/>
      <c r="OST112" s="774"/>
      <c r="OSU112" s="774"/>
      <c r="OSV112" s="774"/>
      <c r="OSW112" s="774"/>
      <c r="OSX112" s="774"/>
      <c r="OSY112" s="774"/>
      <c r="OSZ112" s="774"/>
      <c r="OTA112" s="774"/>
      <c r="OTB112" s="774"/>
      <c r="OTC112" s="774"/>
      <c r="OTD112" s="774"/>
      <c r="OTE112" s="774"/>
      <c r="OTF112" s="774"/>
      <c r="OTG112" s="774"/>
      <c r="OTH112" s="774"/>
      <c r="OTI112" s="774"/>
      <c r="OTJ112" s="774"/>
      <c r="OTK112" s="774"/>
      <c r="OTL112" s="774"/>
      <c r="OTM112" s="774"/>
      <c r="OTN112" s="774"/>
      <c r="OTO112" s="774"/>
      <c r="OTP112" s="774"/>
      <c r="OTQ112" s="774"/>
      <c r="OTR112" s="774"/>
      <c r="OTS112" s="774"/>
      <c r="OTT112" s="774"/>
      <c r="OTU112" s="774"/>
      <c r="OTV112" s="774"/>
      <c r="OTW112" s="774"/>
      <c r="OTX112" s="774"/>
      <c r="OTY112" s="774"/>
      <c r="OTZ112" s="774"/>
      <c r="OUA112" s="774"/>
      <c r="OUB112" s="774"/>
      <c r="OUC112" s="774"/>
      <c r="OUD112" s="774"/>
      <c r="OUE112" s="774"/>
      <c r="OUF112" s="774"/>
      <c r="OUG112" s="774"/>
      <c r="OUH112" s="774"/>
      <c r="OUI112" s="774"/>
      <c r="OUJ112" s="774"/>
      <c r="OUK112" s="774"/>
      <c r="OUL112" s="774"/>
      <c r="OUM112" s="774"/>
      <c r="OUN112" s="774"/>
      <c r="OUO112" s="774"/>
      <c r="OUP112" s="774"/>
      <c r="OUQ112" s="774"/>
      <c r="OUR112" s="774"/>
      <c r="OUS112" s="774"/>
      <c r="OUT112" s="774"/>
      <c r="OUU112" s="774"/>
      <c r="OUV112" s="774"/>
      <c r="OUW112" s="774"/>
      <c r="OUX112" s="774"/>
      <c r="OUY112" s="774"/>
      <c r="OUZ112" s="774"/>
      <c r="OVA112" s="774"/>
      <c r="OVB112" s="774"/>
      <c r="OVC112" s="774"/>
      <c r="OVD112" s="774"/>
      <c r="OVE112" s="774"/>
      <c r="OVF112" s="774"/>
      <c r="OVG112" s="774"/>
      <c r="OVH112" s="774"/>
      <c r="OVI112" s="774"/>
      <c r="OVJ112" s="774"/>
      <c r="OVK112" s="774"/>
      <c r="OVL112" s="774"/>
      <c r="OVM112" s="774"/>
      <c r="OVN112" s="774"/>
      <c r="OVO112" s="774"/>
      <c r="OVP112" s="774"/>
      <c r="OVQ112" s="774"/>
      <c r="OVR112" s="774"/>
      <c r="OVS112" s="774"/>
      <c r="OVT112" s="774"/>
      <c r="OVU112" s="774"/>
      <c r="OVV112" s="774"/>
      <c r="OVW112" s="774"/>
      <c r="OVX112" s="774"/>
      <c r="OVY112" s="774"/>
      <c r="OVZ112" s="774"/>
      <c r="OWA112" s="774"/>
      <c r="OWB112" s="774"/>
      <c r="OWC112" s="774"/>
      <c r="OWD112" s="774"/>
      <c r="OWE112" s="774"/>
      <c r="OWF112" s="774"/>
      <c r="OWG112" s="774"/>
      <c r="OWH112" s="774"/>
      <c r="OWI112" s="774"/>
      <c r="OWJ112" s="774"/>
      <c r="OWK112" s="774"/>
      <c r="OWL112" s="774"/>
      <c r="OWM112" s="774"/>
      <c r="OWN112" s="774"/>
      <c r="OWO112" s="774"/>
      <c r="OWP112" s="774"/>
      <c r="OWQ112" s="774"/>
      <c r="OWR112" s="774"/>
      <c r="OWS112" s="774"/>
      <c r="OWT112" s="774"/>
      <c r="OWU112" s="774"/>
      <c r="OWV112" s="774"/>
      <c r="OWW112" s="774"/>
      <c r="OWX112" s="774"/>
      <c r="OWY112" s="774"/>
      <c r="OWZ112" s="774"/>
      <c r="OXA112" s="774"/>
      <c r="OXB112" s="774"/>
      <c r="OXC112" s="774"/>
      <c r="OXD112" s="774"/>
      <c r="OXE112" s="774"/>
      <c r="OXF112" s="774"/>
      <c r="OXG112" s="774"/>
      <c r="OXH112" s="774"/>
      <c r="OXI112" s="774"/>
      <c r="OXJ112" s="774"/>
      <c r="OXK112" s="774"/>
      <c r="OXL112" s="774"/>
      <c r="OXM112" s="774"/>
      <c r="OXN112" s="774"/>
      <c r="OXO112" s="774"/>
      <c r="OXP112" s="774"/>
      <c r="OXQ112" s="774"/>
      <c r="OXR112" s="774"/>
      <c r="OXS112" s="774"/>
      <c r="OXT112" s="774"/>
      <c r="OXU112" s="774"/>
      <c r="OXV112" s="774"/>
      <c r="OXW112" s="774"/>
      <c r="OXX112" s="774"/>
      <c r="OXY112" s="774"/>
      <c r="OXZ112" s="774"/>
      <c r="OYA112" s="774"/>
      <c r="OYB112" s="774"/>
      <c r="OYC112" s="774"/>
      <c r="OYD112" s="774"/>
      <c r="OYE112" s="774"/>
      <c r="OYF112" s="774"/>
      <c r="OYG112" s="774"/>
      <c r="OYH112" s="774"/>
      <c r="OYI112" s="774"/>
      <c r="OYJ112" s="774"/>
      <c r="OYK112" s="774"/>
      <c r="OYL112" s="774"/>
      <c r="OYM112" s="774"/>
      <c r="OYN112" s="774"/>
      <c r="OYO112" s="774"/>
      <c r="OYP112" s="774"/>
      <c r="OYQ112" s="774"/>
      <c r="OYR112" s="774"/>
      <c r="OYS112" s="774"/>
      <c r="OYT112" s="774"/>
      <c r="OYU112" s="774"/>
      <c r="OYV112" s="774"/>
      <c r="OYW112" s="774"/>
      <c r="OYX112" s="774"/>
      <c r="OYY112" s="774"/>
      <c r="OYZ112" s="774"/>
      <c r="OZA112" s="774"/>
      <c r="OZB112" s="774"/>
      <c r="OZC112" s="774"/>
      <c r="OZD112" s="774"/>
      <c r="OZE112" s="774"/>
      <c r="OZF112" s="774"/>
      <c r="OZG112" s="774"/>
      <c r="OZH112" s="774"/>
      <c r="OZI112" s="774"/>
      <c r="OZJ112" s="774"/>
      <c r="OZK112" s="774"/>
      <c r="OZL112" s="774"/>
      <c r="OZM112" s="774"/>
      <c r="OZN112" s="774"/>
      <c r="OZO112" s="774"/>
      <c r="OZP112" s="774"/>
      <c r="OZQ112" s="774"/>
      <c r="OZR112" s="774"/>
      <c r="OZS112" s="774"/>
      <c r="OZT112" s="774"/>
      <c r="OZU112" s="774"/>
      <c r="OZV112" s="774"/>
      <c r="OZW112" s="774"/>
      <c r="OZX112" s="774"/>
      <c r="OZY112" s="774"/>
      <c r="OZZ112" s="774"/>
      <c r="PAA112" s="774"/>
      <c r="PAB112" s="774"/>
      <c r="PAC112" s="774"/>
      <c r="PAD112" s="774"/>
      <c r="PAE112" s="774"/>
      <c r="PAF112" s="774"/>
      <c r="PAG112" s="774"/>
      <c r="PAH112" s="774"/>
      <c r="PAI112" s="774"/>
      <c r="PAJ112" s="774"/>
      <c r="PAK112" s="774"/>
      <c r="PAL112" s="774"/>
      <c r="PAM112" s="774"/>
      <c r="PAN112" s="774"/>
      <c r="PAO112" s="774"/>
      <c r="PAP112" s="774"/>
      <c r="PAQ112" s="774"/>
      <c r="PAR112" s="774"/>
      <c r="PAS112" s="774"/>
      <c r="PAT112" s="774"/>
      <c r="PAU112" s="774"/>
      <c r="PAV112" s="774"/>
      <c r="PAW112" s="774"/>
      <c r="PAX112" s="774"/>
      <c r="PAY112" s="774"/>
      <c r="PAZ112" s="774"/>
      <c r="PBA112" s="774"/>
      <c r="PBB112" s="774"/>
      <c r="PBC112" s="774"/>
      <c r="PBD112" s="774"/>
      <c r="PBE112" s="774"/>
      <c r="PBF112" s="774"/>
      <c r="PBG112" s="774"/>
      <c r="PBH112" s="774"/>
      <c r="PBI112" s="774"/>
      <c r="PBJ112" s="774"/>
      <c r="PBK112" s="774"/>
      <c r="PBL112" s="774"/>
      <c r="PBM112" s="774"/>
      <c r="PBN112" s="774"/>
      <c r="PBO112" s="774"/>
      <c r="PBP112" s="774"/>
      <c r="PBQ112" s="774"/>
      <c r="PBR112" s="774"/>
      <c r="PBS112" s="774"/>
      <c r="PBT112" s="774"/>
      <c r="PBU112" s="774"/>
      <c r="PBV112" s="774"/>
      <c r="PBW112" s="774"/>
      <c r="PBX112" s="774"/>
      <c r="PBY112" s="774"/>
      <c r="PBZ112" s="774"/>
      <c r="PCA112" s="774"/>
      <c r="PCB112" s="774"/>
      <c r="PCC112" s="774"/>
      <c r="PCD112" s="774"/>
      <c r="PCE112" s="774"/>
      <c r="PCF112" s="774"/>
      <c r="PCG112" s="774"/>
      <c r="PCH112" s="774"/>
      <c r="PCI112" s="774"/>
      <c r="PCJ112" s="774"/>
      <c r="PCK112" s="774"/>
      <c r="PCL112" s="774"/>
      <c r="PCM112" s="774"/>
      <c r="PCN112" s="774"/>
      <c r="PCO112" s="774"/>
      <c r="PCP112" s="774"/>
      <c r="PCQ112" s="774"/>
      <c r="PCR112" s="774"/>
      <c r="PCS112" s="774"/>
      <c r="PCT112" s="774"/>
      <c r="PCU112" s="774"/>
      <c r="PCV112" s="774"/>
      <c r="PCW112" s="774"/>
      <c r="PCX112" s="774"/>
      <c r="PCY112" s="774"/>
      <c r="PCZ112" s="774"/>
      <c r="PDA112" s="774"/>
      <c r="PDB112" s="774"/>
      <c r="PDC112" s="774"/>
      <c r="PDD112" s="774"/>
      <c r="PDE112" s="774"/>
      <c r="PDF112" s="774"/>
      <c r="PDG112" s="774"/>
      <c r="PDH112" s="774"/>
      <c r="PDI112" s="774"/>
      <c r="PDJ112" s="774"/>
      <c r="PDK112" s="774"/>
      <c r="PDL112" s="774"/>
      <c r="PDM112" s="774"/>
      <c r="PDN112" s="774"/>
      <c r="PDO112" s="774"/>
      <c r="PDP112" s="774"/>
      <c r="PDQ112" s="774"/>
      <c r="PDR112" s="774"/>
      <c r="PDS112" s="774"/>
      <c r="PDT112" s="774"/>
      <c r="PDU112" s="774"/>
      <c r="PDV112" s="774"/>
      <c r="PDW112" s="774"/>
      <c r="PDX112" s="774"/>
      <c r="PDY112" s="774"/>
      <c r="PDZ112" s="774"/>
      <c r="PEA112" s="774"/>
      <c r="PEB112" s="774"/>
      <c r="PEC112" s="774"/>
      <c r="PED112" s="774"/>
      <c r="PEE112" s="774"/>
      <c r="PEF112" s="774"/>
      <c r="PEG112" s="774"/>
      <c r="PEH112" s="774"/>
      <c r="PEI112" s="774"/>
      <c r="PEJ112" s="774"/>
      <c r="PEK112" s="774"/>
      <c r="PEL112" s="774"/>
      <c r="PEM112" s="774"/>
      <c r="PEN112" s="774"/>
      <c r="PEO112" s="774"/>
      <c r="PEP112" s="774"/>
      <c r="PEQ112" s="774"/>
      <c r="PER112" s="774"/>
      <c r="PES112" s="774"/>
      <c r="PET112" s="774"/>
      <c r="PEU112" s="774"/>
      <c r="PEV112" s="774"/>
      <c r="PEW112" s="774"/>
      <c r="PEX112" s="774"/>
      <c r="PEY112" s="774"/>
      <c r="PEZ112" s="774"/>
      <c r="PFA112" s="774"/>
      <c r="PFB112" s="774"/>
      <c r="PFC112" s="774"/>
      <c r="PFD112" s="774"/>
      <c r="PFE112" s="774"/>
      <c r="PFF112" s="774"/>
      <c r="PFG112" s="774"/>
      <c r="PFH112" s="774"/>
      <c r="PFI112" s="774"/>
      <c r="PFJ112" s="774"/>
      <c r="PFK112" s="774"/>
      <c r="PFL112" s="774"/>
      <c r="PFM112" s="774"/>
      <c r="PFN112" s="774"/>
      <c r="PFO112" s="774"/>
      <c r="PFP112" s="774"/>
      <c r="PFQ112" s="774"/>
      <c r="PFR112" s="774"/>
      <c r="PFS112" s="774"/>
      <c r="PFT112" s="774"/>
      <c r="PFU112" s="774"/>
      <c r="PFV112" s="774"/>
      <c r="PFW112" s="774"/>
      <c r="PFX112" s="774"/>
      <c r="PFY112" s="774"/>
      <c r="PFZ112" s="774"/>
      <c r="PGA112" s="774"/>
      <c r="PGB112" s="774"/>
      <c r="PGC112" s="774"/>
      <c r="PGD112" s="774"/>
      <c r="PGE112" s="774"/>
      <c r="PGF112" s="774"/>
      <c r="PGG112" s="774"/>
      <c r="PGH112" s="774"/>
      <c r="PGI112" s="774"/>
      <c r="PGJ112" s="774"/>
      <c r="PGK112" s="774"/>
      <c r="PGL112" s="774"/>
      <c r="PGM112" s="774"/>
      <c r="PGN112" s="774"/>
      <c r="PGO112" s="774"/>
      <c r="PGP112" s="774"/>
      <c r="PGQ112" s="774"/>
      <c r="PGR112" s="774"/>
      <c r="PGS112" s="774"/>
      <c r="PGT112" s="774"/>
      <c r="PGU112" s="774"/>
      <c r="PGV112" s="774"/>
      <c r="PGW112" s="774"/>
      <c r="PGX112" s="774"/>
      <c r="PGY112" s="774"/>
      <c r="PGZ112" s="774"/>
      <c r="PHA112" s="774"/>
      <c r="PHB112" s="774"/>
      <c r="PHC112" s="774"/>
      <c r="PHD112" s="774"/>
      <c r="PHE112" s="774"/>
      <c r="PHF112" s="774"/>
      <c r="PHG112" s="774"/>
      <c r="PHH112" s="774"/>
      <c r="PHI112" s="774"/>
      <c r="PHJ112" s="774"/>
      <c r="PHK112" s="774"/>
      <c r="PHL112" s="774"/>
      <c r="PHM112" s="774"/>
      <c r="PHN112" s="774"/>
      <c r="PHO112" s="774"/>
      <c r="PHP112" s="774"/>
      <c r="PHQ112" s="774"/>
      <c r="PHR112" s="774"/>
      <c r="PHS112" s="774"/>
      <c r="PHT112" s="774"/>
      <c r="PHU112" s="774"/>
      <c r="PHV112" s="774"/>
      <c r="PHW112" s="774"/>
      <c r="PHX112" s="774"/>
      <c r="PHY112" s="774"/>
      <c r="PHZ112" s="774"/>
      <c r="PIA112" s="774"/>
      <c r="PIB112" s="774"/>
      <c r="PIC112" s="774"/>
      <c r="PID112" s="774"/>
      <c r="PIE112" s="774"/>
      <c r="PIF112" s="774"/>
      <c r="PIG112" s="774"/>
      <c r="PIH112" s="774"/>
      <c r="PII112" s="774"/>
      <c r="PIJ112" s="774"/>
      <c r="PIK112" s="774"/>
      <c r="PIL112" s="774"/>
      <c r="PIM112" s="774"/>
      <c r="PIN112" s="774"/>
      <c r="PIO112" s="774"/>
      <c r="PIP112" s="774"/>
      <c r="PIQ112" s="774"/>
      <c r="PIR112" s="774"/>
      <c r="PIS112" s="774"/>
      <c r="PIT112" s="774"/>
      <c r="PIU112" s="774"/>
      <c r="PIV112" s="774"/>
      <c r="PIW112" s="774"/>
      <c r="PIX112" s="774"/>
      <c r="PIY112" s="774"/>
      <c r="PIZ112" s="774"/>
      <c r="PJA112" s="774"/>
      <c r="PJB112" s="774"/>
      <c r="PJC112" s="774"/>
      <c r="PJD112" s="774"/>
      <c r="PJE112" s="774"/>
      <c r="PJF112" s="774"/>
      <c r="PJG112" s="774"/>
      <c r="PJH112" s="774"/>
      <c r="PJI112" s="774"/>
      <c r="PJJ112" s="774"/>
      <c r="PJK112" s="774"/>
      <c r="PJL112" s="774"/>
      <c r="PJM112" s="774"/>
      <c r="PJN112" s="774"/>
      <c r="PJO112" s="774"/>
      <c r="PJP112" s="774"/>
      <c r="PJQ112" s="774"/>
      <c r="PJR112" s="774"/>
      <c r="PJS112" s="774"/>
      <c r="PJT112" s="774"/>
      <c r="PJU112" s="774"/>
      <c r="PJV112" s="774"/>
      <c r="PJW112" s="774"/>
      <c r="PJX112" s="774"/>
      <c r="PJY112" s="774"/>
      <c r="PJZ112" s="774"/>
      <c r="PKA112" s="774"/>
      <c r="PKB112" s="774"/>
      <c r="PKC112" s="774"/>
      <c r="PKD112" s="774"/>
      <c r="PKE112" s="774"/>
      <c r="PKF112" s="774"/>
      <c r="PKG112" s="774"/>
      <c r="PKH112" s="774"/>
      <c r="PKI112" s="774"/>
      <c r="PKJ112" s="774"/>
      <c r="PKK112" s="774"/>
      <c r="PKL112" s="774"/>
      <c r="PKM112" s="774"/>
      <c r="PKN112" s="774"/>
      <c r="PKO112" s="774"/>
      <c r="PKP112" s="774"/>
      <c r="PKQ112" s="774"/>
      <c r="PKR112" s="774"/>
      <c r="PKS112" s="774"/>
      <c r="PKT112" s="774"/>
      <c r="PKU112" s="774"/>
      <c r="PKV112" s="774"/>
      <c r="PKW112" s="774"/>
      <c r="PKX112" s="774"/>
      <c r="PKY112" s="774"/>
      <c r="PKZ112" s="774"/>
      <c r="PLA112" s="774"/>
      <c r="PLB112" s="774"/>
      <c r="PLC112" s="774"/>
      <c r="PLD112" s="774"/>
      <c r="PLE112" s="774"/>
      <c r="PLF112" s="774"/>
      <c r="PLG112" s="774"/>
      <c r="PLH112" s="774"/>
      <c r="PLI112" s="774"/>
      <c r="PLJ112" s="774"/>
      <c r="PLK112" s="774"/>
      <c r="PLL112" s="774"/>
      <c r="PLM112" s="774"/>
      <c r="PLN112" s="774"/>
      <c r="PLO112" s="774"/>
      <c r="PLP112" s="774"/>
      <c r="PLQ112" s="774"/>
      <c r="PLR112" s="774"/>
      <c r="PLS112" s="774"/>
      <c r="PLT112" s="774"/>
      <c r="PLU112" s="774"/>
      <c r="PLV112" s="774"/>
      <c r="PLW112" s="774"/>
      <c r="PLX112" s="774"/>
      <c r="PLY112" s="774"/>
      <c r="PLZ112" s="774"/>
      <c r="PMA112" s="774"/>
      <c r="PMB112" s="774"/>
      <c r="PMC112" s="774"/>
      <c r="PMD112" s="774"/>
      <c r="PME112" s="774"/>
      <c r="PMF112" s="774"/>
      <c r="PMG112" s="774"/>
      <c r="PMH112" s="774"/>
      <c r="PMI112" s="774"/>
      <c r="PMJ112" s="774"/>
      <c r="PMK112" s="774"/>
      <c r="PML112" s="774"/>
      <c r="PMM112" s="774"/>
      <c r="PMN112" s="774"/>
      <c r="PMO112" s="774"/>
      <c r="PMP112" s="774"/>
      <c r="PMQ112" s="774"/>
      <c r="PMR112" s="774"/>
      <c r="PMS112" s="774"/>
      <c r="PMT112" s="774"/>
      <c r="PMU112" s="774"/>
      <c r="PMV112" s="774"/>
      <c r="PMW112" s="774"/>
      <c r="PMX112" s="774"/>
      <c r="PMY112" s="774"/>
      <c r="PMZ112" s="774"/>
      <c r="PNA112" s="774"/>
      <c r="PNB112" s="774"/>
      <c r="PNC112" s="774"/>
      <c r="PND112" s="774"/>
      <c r="PNE112" s="774"/>
      <c r="PNF112" s="774"/>
      <c r="PNG112" s="774"/>
      <c r="PNH112" s="774"/>
      <c r="PNI112" s="774"/>
      <c r="PNJ112" s="774"/>
      <c r="PNK112" s="774"/>
      <c r="PNL112" s="774"/>
      <c r="PNM112" s="774"/>
      <c r="PNN112" s="774"/>
      <c r="PNO112" s="774"/>
      <c r="PNP112" s="774"/>
      <c r="PNQ112" s="774"/>
      <c r="PNR112" s="774"/>
      <c r="PNS112" s="774"/>
      <c r="PNT112" s="774"/>
      <c r="PNU112" s="774"/>
      <c r="PNV112" s="774"/>
      <c r="PNW112" s="774"/>
      <c r="PNX112" s="774"/>
      <c r="PNY112" s="774"/>
      <c r="PNZ112" s="774"/>
      <c r="POA112" s="774"/>
      <c r="POB112" s="774"/>
      <c r="POC112" s="774"/>
      <c r="POD112" s="774"/>
      <c r="POE112" s="774"/>
      <c r="POF112" s="774"/>
      <c r="POG112" s="774"/>
      <c r="POH112" s="774"/>
      <c r="POI112" s="774"/>
      <c r="POJ112" s="774"/>
      <c r="POK112" s="774"/>
      <c r="POL112" s="774"/>
      <c r="POM112" s="774"/>
      <c r="PON112" s="774"/>
      <c r="POO112" s="774"/>
      <c r="POP112" s="774"/>
      <c r="POQ112" s="774"/>
      <c r="POR112" s="774"/>
      <c r="POS112" s="774"/>
      <c r="POT112" s="774"/>
      <c r="POU112" s="774"/>
      <c r="POV112" s="774"/>
      <c r="POW112" s="774"/>
      <c r="POX112" s="774"/>
      <c r="POY112" s="774"/>
      <c r="POZ112" s="774"/>
      <c r="PPA112" s="774"/>
      <c r="PPB112" s="774"/>
      <c r="PPC112" s="774"/>
      <c r="PPD112" s="774"/>
      <c r="PPE112" s="774"/>
      <c r="PPF112" s="774"/>
      <c r="PPG112" s="774"/>
      <c r="PPH112" s="774"/>
      <c r="PPI112" s="774"/>
      <c r="PPJ112" s="774"/>
      <c r="PPK112" s="774"/>
      <c r="PPL112" s="774"/>
      <c r="PPM112" s="774"/>
      <c r="PPN112" s="774"/>
      <c r="PPO112" s="774"/>
      <c r="PPP112" s="774"/>
      <c r="PPQ112" s="774"/>
      <c r="PPR112" s="774"/>
      <c r="PPS112" s="774"/>
      <c r="PPT112" s="774"/>
      <c r="PPU112" s="774"/>
      <c r="PPV112" s="774"/>
      <c r="PPW112" s="774"/>
      <c r="PPX112" s="774"/>
      <c r="PPY112" s="774"/>
      <c r="PPZ112" s="774"/>
      <c r="PQA112" s="774"/>
      <c r="PQB112" s="774"/>
      <c r="PQC112" s="774"/>
      <c r="PQD112" s="774"/>
      <c r="PQE112" s="774"/>
      <c r="PQF112" s="774"/>
      <c r="PQG112" s="774"/>
      <c r="PQH112" s="774"/>
      <c r="PQI112" s="774"/>
      <c r="PQJ112" s="774"/>
      <c r="PQK112" s="774"/>
      <c r="PQL112" s="774"/>
      <c r="PQM112" s="774"/>
      <c r="PQN112" s="774"/>
      <c r="PQO112" s="774"/>
      <c r="PQP112" s="774"/>
      <c r="PQQ112" s="774"/>
      <c r="PQR112" s="774"/>
      <c r="PQS112" s="774"/>
      <c r="PQT112" s="774"/>
      <c r="PQU112" s="774"/>
      <c r="PQV112" s="774"/>
      <c r="PQW112" s="774"/>
      <c r="PQX112" s="774"/>
      <c r="PQY112" s="774"/>
      <c r="PQZ112" s="774"/>
      <c r="PRA112" s="774"/>
      <c r="PRB112" s="774"/>
      <c r="PRC112" s="774"/>
      <c r="PRD112" s="774"/>
      <c r="PRE112" s="774"/>
      <c r="PRF112" s="774"/>
      <c r="PRG112" s="774"/>
      <c r="PRH112" s="774"/>
      <c r="PRI112" s="774"/>
      <c r="PRJ112" s="774"/>
      <c r="PRK112" s="774"/>
      <c r="PRL112" s="774"/>
      <c r="PRM112" s="774"/>
      <c r="PRN112" s="774"/>
      <c r="PRO112" s="774"/>
      <c r="PRP112" s="774"/>
      <c r="PRQ112" s="774"/>
      <c r="PRR112" s="774"/>
      <c r="PRS112" s="774"/>
      <c r="PRT112" s="774"/>
      <c r="PRU112" s="774"/>
      <c r="PRV112" s="774"/>
      <c r="PRW112" s="774"/>
      <c r="PRX112" s="774"/>
      <c r="PRY112" s="774"/>
      <c r="PRZ112" s="774"/>
      <c r="PSA112" s="774"/>
      <c r="PSB112" s="774"/>
      <c r="PSC112" s="774"/>
      <c r="PSD112" s="774"/>
      <c r="PSE112" s="774"/>
      <c r="PSF112" s="774"/>
      <c r="PSG112" s="774"/>
      <c r="PSH112" s="774"/>
      <c r="PSI112" s="774"/>
      <c r="PSJ112" s="774"/>
      <c r="PSK112" s="774"/>
      <c r="PSL112" s="774"/>
      <c r="PSM112" s="774"/>
      <c r="PSN112" s="774"/>
      <c r="PSO112" s="774"/>
      <c r="PSP112" s="774"/>
      <c r="PSQ112" s="774"/>
      <c r="PSR112" s="774"/>
      <c r="PSS112" s="774"/>
      <c r="PST112" s="774"/>
      <c r="PSU112" s="774"/>
      <c r="PSV112" s="774"/>
      <c r="PSW112" s="774"/>
      <c r="PSX112" s="774"/>
      <c r="PSY112" s="774"/>
      <c r="PSZ112" s="774"/>
      <c r="PTA112" s="774"/>
      <c r="PTB112" s="774"/>
      <c r="PTC112" s="774"/>
      <c r="PTD112" s="774"/>
      <c r="PTE112" s="774"/>
      <c r="PTF112" s="774"/>
      <c r="PTG112" s="774"/>
      <c r="PTH112" s="774"/>
      <c r="PTI112" s="774"/>
      <c r="PTJ112" s="774"/>
      <c r="PTK112" s="774"/>
      <c r="PTL112" s="774"/>
      <c r="PTM112" s="774"/>
      <c r="PTN112" s="774"/>
      <c r="PTO112" s="774"/>
      <c r="PTP112" s="774"/>
      <c r="PTQ112" s="774"/>
      <c r="PTR112" s="774"/>
      <c r="PTS112" s="774"/>
      <c r="PTT112" s="774"/>
      <c r="PTU112" s="774"/>
      <c r="PTV112" s="774"/>
      <c r="PTW112" s="774"/>
      <c r="PTX112" s="774"/>
      <c r="PTY112" s="774"/>
      <c r="PTZ112" s="774"/>
      <c r="PUA112" s="774"/>
      <c r="PUB112" s="774"/>
      <c r="PUC112" s="774"/>
      <c r="PUD112" s="774"/>
      <c r="PUE112" s="774"/>
      <c r="PUF112" s="774"/>
      <c r="PUG112" s="774"/>
      <c r="PUH112" s="774"/>
      <c r="PUI112" s="774"/>
      <c r="PUJ112" s="774"/>
      <c r="PUK112" s="774"/>
      <c r="PUL112" s="774"/>
      <c r="PUM112" s="774"/>
      <c r="PUN112" s="774"/>
      <c r="PUO112" s="774"/>
      <c r="PUP112" s="774"/>
      <c r="PUQ112" s="774"/>
      <c r="PUR112" s="774"/>
      <c r="PUS112" s="774"/>
      <c r="PUT112" s="774"/>
      <c r="PUU112" s="774"/>
      <c r="PUV112" s="774"/>
      <c r="PUW112" s="774"/>
      <c r="PUX112" s="774"/>
      <c r="PUY112" s="774"/>
      <c r="PUZ112" s="774"/>
      <c r="PVA112" s="774"/>
      <c r="PVB112" s="774"/>
      <c r="PVC112" s="774"/>
      <c r="PVD112" s="774"/>
      <c r="PVE112" s="774"/>
      <c r="PVF112" s="774"/>
      <c r="PVG112" s="774"/>
      <c r="PVH112" s="774"/>
      <c r="PVI112" s="774"/>
      <c r="PVJ112" s="774"/>
      <c r="PVK112" s="774"/>
      <c r="PVL112" s="774"/>
      <c r="PVM112" s="774"/>
      <c r="PVN112" s="774"/>
      <c r="PVO112" s="774"/>
      <c r="PVP112" s="774"/>
      <c r="PVQ112" s="774"/>
      <c r="PVR112" s="774"/>
      <c r="PVS112" s="774"/>
      <c r="PVT112" s="774"/>
      <c r="PVU112" s="774"/>
      <c r="PVV112" s="774"/>
      <c r="PVW112" s="774"/>
      <c r="PVX112" s="774"/>
      <c r="PVY112" s="774"/>
      <c r="PVZ112" s="774"/>
      <c r="PWA112" s="774"/>
      <c r="PWB112" s="774"/>
      <c r="PWC112" s="774"/>
      <c r="PWD112" s="774"/>
      <c r="PWE112" s="774"/>
      <c r="PWF112" s="774"/>
      <c r="PWG112" s="774"/>
      <c r="PWH112" s="774"/>
      <c r="PWI112" s="774"/>
      <c r="PWJ112" s="774"/>
      <c r="PWK112" s="774"/>
      <c r="PWL112" s="774"/>
      <c r="PWM112" s="774"/>
      <c r="PWN112" s="774"/>
      <c r="PWO112" s="774"/>
      <c r="PWP112" s="774"/>
      <c r="PWQ112" s="774"/>
      <c r="PWR112" s="774"/>
      <c r="PWS112" s="774"/>
      <c r="PWT112" s="774"/>
      <c r="PWU112" s="774"/>
      <c r="PWV112" s="774"/>
      <c r="PWW112" s="774"/>
      <c r="PWX112" s="774"/>
      <c r="PWY112" s="774"/>
      <c r="PWZ112" s="774"/>
      <c r="PXA112" s="774"/>
      <c r="PXB112" s="774"/>
      <c r="PXC112" s="774"/>
      <c r="PXD112" s="774"/>
      <c r="PXE112" s="774"/>
      <c r="PXF112" s="774"/>
      <c r="PXG112" s="774"/>
      <c r="PXH112" s="774"/>
      <c r="PXI112" s="774"/>
      <c r="PXJ112" s="774"/>
      <c r="PXK112" s="774"/>
      <c r="PXL112" s="774"/>
      <c r="PXM112" s="774"/>
      <c r="PXN112" s="774"/>
      <c r="PXO112" s="774"/>
      <c r="PXP112" s="774"/>
      <c r="PXQ112" s="774"/>
      <c r="PXR112" s="774"/>
      <c r="PXS112" s="774"/>
      <c r="PXT112" s="774"/>
      <c r="PXU112" s="774"/>
      <c r="PXV112" s="774"/>
      <c r="PXW112" s="774"/>
      <c r="PXX112" s="774"/>
      <c r="PXY112" s="774"/>
      <c r="PXZ112" s="774"/>
      <c r="PYA112" s="774"/>
      <c r="PYB112" s="774"/>
      <c r="PYC112" s="774"/>
      <c r="PYD112" s="774"/>
      <c r="PYE112" s="774"/>
      <c r="PYF112" s="774"/>
      <c r="PYG112" s="774"/>
      <c r="PYH112" s="774"/>
      <c r="PYI112" s="774"/>
      <c r="PYJ112" s="774"/>
      <c r="PYK112" s="774"/>
      <c r="PYL112" s="774"/>
      <c r="PYM112" s="774"/>
      <c r="PYN112" s="774"/>
      <c r="PYO112" s="774"/>
      <c r="PYP112" s="774"/>
      <c r="PYQ112" s="774"/>
      <c r="PYR112" s="774"/>
      <c r="PYS112" s="774"/>
      <c r="PYT112" s="774"/>
      <c r="PYU112" s="774"/>
      <c r="PYV112" s="774"/>
      <c r="PYW112" s="774"/>
      <c r="PYX112" s="774"/>
      <c r="PYY112" s="774"/>
      <c r="PYZ112" s="774"/>
      <c r="PZA112" s="774"/>
      <c r="PZB112" s="774"/>
      <c r="PZC112" s="774"/>
      <c r="PZD112" s="774"/>
      <c r="PZE112" s="774"/>
      <c r="PZF112" s="774"/>
      <c r="PZG112" s="774"/>
      <c r="PZH112" s="774"/>
      <c r="PZI112" s="774"/>
      <c r="PZJ112" s="774"/>
      <c r="PZK112" s="774"/>
      <c r="PZL112" s="774"/>
      <c r="PZM112" s="774"/>
      <c r="PZN112" s="774"/>
      <c r="PZO112" s="774"/>
      <c r="PZP112" s="774"/>
      <c r="PZQ112" s="774"/>
      <c r="PZR112" s="774"/>
      <c r="PZS112" s="774"/>
      <c r="PZT112" s="774"/>
      <c r="PZU112" s="774"/>
      <c r="PZV112" s="774"/>
      <c r="PZW112" s="774"/>
      <c r="PZX112" s="774"/>
      <c r="PZY112" s="774"/>
      <c r="PZZ112" s="774"/>
      <c r="QAA112" s="774"/>
      <c r="QAB112" s="774"/>
      <c r="QAC112" s="774"/>
      <c r="QAD112" s="774"/>
      <c r="QAE112" s="774"/>
      <c r="QAF112" s="774"/>
      <c r="QAG112" s="774"/>
      <c r="QAH112" s="774"/>
      <c r="QAI112" s="774"/>
      <c r="QAJ112" s="774"/>
      <c r="QAK112" s="774"/>
      <c r="QAL112" s="774"/>
      <c r="QAM112" s="774"/>
      <c r="QAN112" s="774"/>
      <c r="QAO112" s="774"/>
      <c r="QAP112" s="774"/>
      <c r="QAQ112" s="774"/>
      <c r="QAR112" s="774"/>
      <c r="QAS112" s="774"/>
      <c r="QAT112" s="774"/>
      <c r="QAU112" s="774"/>
      <c r="QAV112" s="774"/>
      <c r="QAW112" s="774"/>
      <c r="QAX112" s="774"/>
      <c r="QAY112" s="774"/>
      <c r="QAZ112" s="774"/>
      <c r="QBA112" s="774"/>
      <c r="QBB112" s="774"/>
      <c r="QBC112" s="774"/>
      <c r="QBD112" s="774"/>
      <c r="QBE112" s="774"/>
      <c r="QBF112" s="774"/>
      <c r="QBG112" s="774"/>
      <c r="QBH112" s="774"/>
      <c r="QBI112" s="774"/>
      <c r="QBJ112" s="774"/>
      <c r="QBK112" s="774"/>
      <c r="QBL112" s="774"/>
      <c r="QBM112" s="774"/>
      <c r="QBN112" s="774"/>
      <c r="QBO112" s="774"/>
      <c r="QBP112" s="774"/>
      <c r="QBQ112" s="774"/>
      <c r="QBR112" s="774"/>
      <c r="QBS112" s="774"/>
      <c r="QBT112" s="774"/>
      <c r="QBU112" s="774"/>
      <c r="QBV112" s="774"/>
      <c r="QBW112" s="774"/>
      <c r="QBX112" s="774"/>
      <c r="QBY112" s="774"/>
      <c r="QBZ112" s="774"/>
      <c r="QCA112" s="774"/>
      <c r="QCB112" s="774"/>
      <c r="QCC112" s="774"/>
      <c r="QCD112" s="774"/>
      <c r="QCE112" s="774"/>
      <c r="QCF112" s="774"/>
      <c r="QCG112" s="774"/>
      <c r="QCH112" s="774"/>
      <c r="QCI112" s="774"/>
      <c r="QCJ112" s="774"/>
      <c r="QCK112" s="774"/>
      <c r="QCL112" s="774"/>
      <c r="QCM112" s="774"/>
      <c r="QCN112" s="774"/>
      <c r="QCO112" s="774"/>
      <c r="QCP112" s="774"/>
      <c r="QCQ112" s="774"/>
      <c r="QCR112" s="774"/>
      <c r="QCS112" s="774"/>
      <c r="QCT112" s="774"/>
      <c r="QCU112" s="774"/>
      <c r="QCV112" s="774"/>
      <c r="QCW112" s="774"/>
      <c r="QCX112" s="774"/>
      <c r="QCY112" s="774"/>
      <c r="QCZ112" s="774"/>
      <c r="QDA112" s="774"/>
      <c r="QDB112" s="774"/>
      <c r="QDC112" s="774"/>
      <c r="QDD112" s="774"/>
      <c r="QDE112" s="774"/>
      <c r="QDF112" s="774"/>
      <c r="QDG112" s="774"/>
      <c r="QDH112" s="774"/>
      <c r="QDI112" s="774"/>
      <c r="QDJ112" s="774"/>
      <c r="QDK112" s="774"/>
      <c r="QDL112" s="774"/>
      <c r="QDM112" s="774"/>
      <c r="QDN112" s="774"/>
      <c r="QDO112" s="774"/>
      <c r="QDP112" s="774"/>
      <c r="QDQ112" s="774"/>
      <c r="QDR112" s="774"/>
      <c r="QDS112" s="774"/>
      <c r="QDT112" s="774"/>
      <c r="QDU112" s="774"/>
      <c r="QDV112" s="774"/>
      <c r="QDW112" s="774"/>
      <c r="QDX112" s="774"/>
      <c r="QDY112" s="774"/>
      <c r="QDZ112" s="774"/>
      <c r="QEA112" s="774"/>
      <c r="QEB112" s="774"/>
      <c r="QEC112" s="774"/>
      <c r="QED112" s="774"/>
      <c r="QEE112" s="774"/>
      <c r="QEF112" s="774"/>
      <c r="QEG112" s="774"/>
      <c r="QEH112" s="774"/>
      <c r="QEI112" s="774"/>
      <c r="QEJ112" s="774"/>
      <c r="QEK112" s="774"/>
      <c r="QEL112" s="774"/>
      <c r="QEM112" s="774"/>
      <c r="QEN112" s="774"/>
      <c r="QEO112" s="774"/>
      <c r="QEP112" s="774"/>
      <c r="QEQ112" s="774"/>
      <c r="QER112" s="774"/>
      <c r="QES112" s="774"/>
      <c r="QET112" s="774"/>
      <c r="QEU112" s="774"/>
      <c r="QEV112" s="774"/>
      <c r="QEW112" s="774"/>
      <c r="QEX112" s="774"/>
      <c r="QEY112" s="774"/>
      <c r="QEZ112" s="774"/>
      <c r="QFA112" s="774"/>
      <c r="QFB112" s="774"/>
      <c r="QFC112" s="774"/>
      <c r="QFD112" s="774"/>
      <c r="QFE112" s="774"/>
      <c r="QFF112" s="774"/>
      <c r="QFG112" s="774"/>
      <c r="QFH112" s="774"/>
      <c r="QFI112" s="774"/>
      <c r="QFJ112" s="774"/>
      <c r="QFK112" s="774"/>
      <c r="QFL112" s="774"/>
      <c r="QFM112" s="774"/>
      <c r="QFN112" s="774"/>
      <c r="QFO112" s="774"/>
      <c r="QFP112" s="774"/>
      <c r="QFQ112" s="774"/>
      <c r="QFR112" s="774"/>
      <c r="QFS112" s="774"/>
      <c r="QFT112" s="774"/>
      <c r="QFU112" s="774"/>
      <c r="QFV112" s="774"/>
      <c r="QFW112" s="774"/>
      <c r="QFX112" s="774"/>
      <c r="QFY112" s="774"/>
      <c r="QFZ112" s="774"/>
      <c r="QGA112" s="774"/>
      <c r="QGB112" s="774"/>
      <c r="QGC112" s="774"/>
      <c r="QGD112" s="774"/>
      <c r="QGE112" s="774"/>
      <c r="QGF112" s="774"/>
      <c r="QGG112" s="774"/>
      <c r="QGH112" s="774"/>
      <c r="QGI112" s="774"/>
      <c r="QGJ112" s="774"/>
      <c r="QGK112" s="774"/>
      <c r="QGL112" s="774"/>
      <c r="QGM112" s="774"/>
      <c r="QGN112" s="774"/>
      <c r="QGO112" s="774"/>
      <c r="QGP112" s="774"/>
      <c r="QGQ112" s="774"/>
      <c r="QGR112" s="774"/>
      <c r="QGS112" s="774"/>
      <c r="QGT112" s="774"/>
      <c r="QGU112" s="774"/>
      <c r="QGV112" s="774"/>
      <c r="QGW112" s="774"/>
      <c r="QGX112" s="774"/>
      <c r="QGY112" s="774"/>
      <c r="QGZ112" s="774"/>
      <c r="QHA112" s="774"/>
      <c r="QHB112" s="774"/>
      <c r="QHC112" s="774"/>
      <c r="QHD112" s="774"/>
      <c r="QHE112" s="774"/>
      <c r="QHF112" s="774"/>
      <c r="QHG112" s="774"/>
      <c r="QHH112" s="774"/>
      <c r="QHI112" s="774"/>
      <c r="QHJ112" s="774"/>
      <c r="QHK112" s="774"/>
      <c r="QHL112" s="774"/>
      <c r="QHM112" s="774"/>
      <c r="QHN112" s="774"/>
      <c r="QHO112" s="774"/>
      <c r="QHP112" s="774"/>
      <c r="QHQ112" s="774"/>
      <c r="QHR112" s="774"/>
      <c r="QHS112" s="774"/>
      <c r="QHT112" s="774"/>
      <c r="QHU112" s="774"/>
      <c r="QHV112" s="774"/>
      <c r="QHW112" s="774"/>
      <c r="QHX112" s="774"/>
      <c r="QHY112" s="774"/>
      <c r="QHZ112" s="774"/>
      <c r="QIA112" s="774"/>
      <c r="QIB112" s="774"/>
      <c r="QIC112" s="774"/>
      <c r="QID112" s="774"/>
      <c r="QIE112" s="774"/>
      <c r="QIF112" s="774"/>
      <c r="QIG112" s="774"/>
      <c r="QIH112" s="774"/>
      <c r="QII112" s="774"/>
      <c r="QIJ112" s="774"/>
      <c r="QIK112" s="774"/>
      <c r="QIL112" s="774"/>
      <c r="QIM112" s="774"/>
      <c r="QIN112" s="774"/>
      <c r="QIO112" s="774"/>
      <c r="QIP112" s="774"/>
      <c r="QIQ112" s="774"/>
      <c r="QIR112" s="774"/>
      <c r="QIS112" s="774"/>
      <c r="QIT112" s="774"/>
      <c r="QIU112" s="774"/>
      <c r="QIV112" s="774"/>
      <c r="QIW112" s="774"/>
      <c r="QIX112" s="774"/>
      <c r="QIY112" s="774"/>
      <c r="QIZ112" s="774"/>
      <c r="QJA112" s="774"/>
      <c r="QJB112" s="774"/>
      <c r="QJC112" s="774"/>
      <c r="QJD112" s="774"/>
      <c r="QJE112" s="774"/>
      <c r="QJF112" s="774"/>
      <c r="QJG112" s="774"/>
      <c r="QJH112" s="774"/>
      <c r="QJI112" s="774"/>
      <c r="QJJ112" s="774"/>
      <c r="QJK112" s="774"/>
      <c r="QJL112" s="774"/>
      <c r="QJM112" s="774"/>
      <c r="QJN112" s="774"/>
      <c r="QJO112" s="774"/>
      <c r="QJP112" s="774"/>
      <c r="QJQ112" s="774"/>
      <c r="QJR112" s="774"/>
      <c r="QJS112" s="774"/>
      <c r="QJT112" s="774"/>
      <c r="QJU112" s="774"/>
      <c r="QJV112" s="774"/>
      <c r="QJW112" s="774"/>
      <c r="QJX112" s="774"/>
      <c r="QJY112" s="774"/>
      <c r="QJZ112" s="774"/>
      <c r="QKA112" s="774"/>
      <c r="QKB112" s="774"/>
      <c r="QKC112" s="774"/>
      <c r="QKD112" s="774"/>
      <c r="QKE112" s="774"/>
      <c r="QKF112" s="774"/>
      <c r="QKG112" s="774"/>
      <c r="QKH112" s="774"/>
      <c r="QKI112" s="774"/>
      <c r="QKJ112" s="774"/>
      <c r="QKK112" s="774"/>
      <c r="QKL112" s="774"/>
      <c r="QKM112" s="774"/>
      <c r="QKN112" s="774"/>
      <c r="QKO112" s="774"/>
      <c r="QKP112" s="774"/>
      <c r="QKQ112" s="774"/>
      <c r="QKR112" s="774"/>
      <c r="QKS112" s="774"/>
      <c r="QKT112" s="774"/>
      <c r="QKU112" s="774"/>
      <c r="QKV112" s="774"/>
      <c r="QKW112" s="774"/>
      <c r="QKX112" s="774"/>
      <c r="QKY112" s="774"/>
      <c r="QKZ112" s="774"/>
      <c r="QLA112" s="774"/>
      <c r="QLB112" s="774"/>
      <c r="QLC112" s="774"/>
      <c r="QLD112" s="774"/>
      <c r="QLE112" s="774"/>
      <c r="QLF112" s="774"/>
      <c r="QLG112" s="774"/>
      <c r="QLH112" s="774"/>
      <c r="QLI112" s="774"/>
      <c r="QLJ112" s="774"/>
      <c r="QLK112" s="774"/>
      <c r="QLL112" s="774"/>
      <c r="QLM112" s="774"/>
      <c r="QLN112" s="774"/>
      <c r="QLO112" s="774"/>
      <c r="QLP112" s="774"/>
      <c r="QLQ112" s="774"/>
      <c r="QLR112" s="774"/>
      <c r="QLS112" s="774"/>
      <c r="QLT112" s="774"/>
      <c r="QLU112" s="774"/>
      <c r="QLV112" s="774"/>
      <c r="QLW112" s="774"/>
      <c r="QLX112" s="774"/>
      <c r="QLY112" s="774"/>
      <c r="QLZ112" s="774"/>
      <c r="QMA112" s="774"/>
      <c r="QMB112" s="774"/>
      <c r="QMC112" s="774"/>
      <c r="QMD112" s="774"/>
      <c r="QME112" s="774"/>
      <c r="QMF112" s="774"/>
      <c r="QMG112" s="774"/>
      <c r="QMH112" s="774"/>
      <c r="QMI112" s="774"/>
      <c r="QMJ112" s="774"/>
      <c r="QMK112" s="774"/>
      <c r="QML112" s="774"/>
      <c r="QMM112" s="774"/>
      <c r="QMN112" s="774"/>
      <c r="QMO112" s="774"/>
      <c r="QMP112" s="774"/>
      <c r="QMQ112" s="774"/>
      <c r="QMR112" s="774"/>
      <c r="QMS112" s="774"/>
      <c r="QMT112" s="774"/>
      <c r="QMU112" s="774"/>
      <c r="QMV112" s="774"/>
      <c r="QMW112" s="774"/>
      <c r="QMX112" s="774"/>
      <c r="QMY112" s="774"/>
      <c r="QMZ112" s="774"/>
      <c r="QNA112" s="774"/>
      <c r="QNB112" s="774"/>
      <c r="QNC112" s="774"/>
      <c r="QND112" s="774"/>
      <c r="QNE112" s="774"/>
      <c r="QNF112" s="774"/>
      <c r="QNG112" s="774"/>
      <c r="QNH112" s="774"/>
      <c r="QNI112" s="774"/>
      <c r="QNJ112" s="774"/>
      <c r="QNK112" s="774"/>
      <c r="QNL112" s="774"/>
      <c r="QNM112" s="774"/>
      <c r="QNN112" s="774"/>
      <c r="QNO112" s="774"/>
      <c r="QNP112" s="774"/>
      <c r="QNQ112" s="774"/>
      <c r="QNR112" s="774"/>
      <c r="QNS112" s="774"/>
      <c r="QNT112" s="774"/>
      <c r="QNU112" s="774"/>
      <c r="QNV112" s="774"/>
      <c r="QNW112" s="774"/>
      <c r="QNX112" s="774"/>
      <c r="QNY112" s="774"/>
      <c r="QNZ112" s="774"/>
      <c r="QOA112" s="774"/>
      <c r="QOB112" s="774"/>
      <c r="QOC112" s="774"/>
      <c r="QOD112" s="774"/>
      <c r="QOE112" s="774"/>
      <c r="QOF112" s="774"/>
      <c r="QOG112" s="774"/>
      <c r="QOH112" s="774"/>
      <c r="QOI112" s="774"/>
      <c r="QOJ112" s="774"/>
      <c r="QOK112" s="774"/>
      <c r="QOL112" s="774"/>
      <c r="QOM112" s="774"/>
      <c r="QON112" s="774"/>
      <c r="QOO112" s="774"/>
      <c r="QOP112" s="774"/>
      <c r="QOQ112" s="774"/>
      <c r="QOR112" s="774"/>
      <c r="QOS112" s="774"/>
      <c r="QOT112" s="774"/>
      <c r="QOU112" s="774"/>
      <c r="QOV112" s="774"/>
      <c r="QOW112" s="774"/>
      <c r="QOX112" s="774"/>
      <c r="QOY112" s="774"/>
      <c r="QOZ112" s="774"/>
      <c r="QPA112" s="774"/>
      <c r="QPB112" s="774"/>
      <c r="QPC112" s="774"/>
      <c r="QPD112" s="774"/>
      <c r="QPE112" s="774"/>
      <c r="QPF112" s="774"/>
      <c r="QPG112" s="774"/>
      <c r="QPH112" s="774"/>
      <c r="QPI112" s="774"/>
      <c r="QPJ112" s="774"/>
      <c r="QPK112" s="774"/>
      <c r="QPL112" s="774"/>
      <c r="QPM112" s="774"/>
      <c r="QPN112" s="774"/>
      <c r="QPO112" s="774"/>
      <c r="QPP112" s="774"/>
      <c r="QPQ112" s="774"/>
      <c r="QPR112" s="774"/>
      <c r="QPS112" s="774"/>
      <c r="QPT112" s="774"/>
      <c r="QPU112" s="774"/>
      <c r="QPV112" s="774"/>
      <c r="QPW112" s="774"/>
      <c r="QPX112" s="774"/>
      <c r="QPY112" s="774"/>
      <c r="QPZ112" s="774"/>
      <c r="QQA112" s="774"/>
      <c r="QQB112" s="774"/>
      <c r="QQC112" s="774"/>
      <c r="QQD112" s="774"/>
      <c r="QQE112" s="774"/>
      <c r="QQF112" s="774"/>
      <c r="QQG112" s="774"/>
      <c r="QQH112" s="774"/>
      <c r="QQI112" s="774"/>
      <c r="QQJ112" s="774"/>
      <c r="QQK112" s="774"/>
      <c r="QQL112" s="774"/>
      <c r="QQM112" s="774"/>
      <c r="QQN112" s="774"/>
      <c r="QQO112" s="774"/>
      <c r="QQP112" s="774"/>
      <c r="QQQ112" s="774"/>
      <c r="QQR112" s="774"/>
      <c r="QQS112" s="774"/>
      <c r="QQT112" s="774"/>
      <c r="QQU112" s="774"/>
      <c r="QQV112" s="774"/>
      <c r="QQW112" s="774"/>
      <c r="QQX112" s="774"/>
      <c r="QQY112" s="774"/>
      <c r="QQZ112" s="774"/>
      <c r="QRA112" s="774"/>
      <c r="QRB112" s="774"/>
      <c r="QRC112" s="774"/>
      <c r="QRD112" s="774"/>
      <c r="QRE112" s="774"/>
      <c r="QRF112" s="774"/>
      <c r="QRG112" s="774"/>
      <c r="QRH112" s="774"/>
      <c r="QRI112" s="774"/>
      <c r="QRJ112" s="774"/>
      <c r="QRK112" s="774"/>
      <c r="QRL112" s="774"/>
      <c r="QRM112" s="774"/>
      <c r="QRN112" s="774"/>
      <c r="QRO112" s="774"/>
      <c r="QRP112" s="774"/>
      <c r="QRQ112" s="774"/>
      <c r="QRR112" s="774"/>
      <c r="QRS112" s="774"/>
      <c r="QRT112" s="774"/>
      <c r="QRU112" s="774"/>
      <c r="QRV112" s="774"/>
      <c r="QRW112" s="774"/>
      <c r="QRX112" s="774"/>
      <c r="QRY112" s="774"/>
      <c r="QRZ112" s="774"/>
      <c r="QSA112" s="774"/>
      <c r="QSB112" s="774"/>
      <c r="QSC112" s="774"/>
      <c r="QSD112" s="774"/>
      <c r="QSE112" s="774"/>
      <c r="QSF112" s="774"/>
      <c r="QSG112" s="774"/>
      <c r="QSH112" s="774"/>
      <c r="QSI112" s="774"/>
      <c r="QSJ112" s="774"/>
      <c r="QSK112" s="774"/>
      <c r="QSL112" s="774"/>
      <c r="QSM112" s="774"/>
      <c r="QSN112" s="774"/>
      <c r="QSO112" s="774"/>
      <c r="QSP112" s="774"/>
      <c r="QSQ112" s="774"/>
      <c r="QSR112" s="774"/>
      <c r="QSS112" s="774"/>
      <c r="QST112" s="774"/>
      <c r="QSU112" s="774"/>
      <c r="QSV112" s="774"/>
      <c r="QSW112" s="774"/>
      <c r="QSX112" s="774"/>
      <c r="QSY112" s="774"/>
      <c r="QSZ112" s="774"/>
      <c r="QTA112" s="774"/>
      <c r="QTB112" s="774"/>
      <c r="QTC112" s="774"/>
      <c r="QTD112" s="774"/>
      <c r="QTE112" s="774"/>
      <c r="QTF112" s="774"/>
      <c r="QTG112" s="774"/>
      <c r="QTH112" s="774"/>
      <c r="QTI112" s="774"/>
      <c r="QTJ112" s="774"/>
      <c r="QTK112" s="774"/>
      <c r="QTL112" s="774"/>
      <c r="QTM112" s="774"/>
      <c r="QTN112" s="774"/>
      <c r="QTO112" s="774"/>
      <c r="QTP112" s="774"/>
      <c r="QTQ112" s="774"/>
      <c r="QTR112" s="774"/>
      <c r="QTS112" s="774"/>
      <c r="QTT112" s="774"/>
      <c r="QTU112" s="774"/>
      <c r="QTV112" s="774"/>
      <c r="QTW112" s="774"/>
      <c r="QTX112" s="774"/>
      <c r="QTY112" s="774"/>
      <c r="QTZ112" s="774"/>
      <c r="QUA112" s="774"/>
      <c r="QUB112" s="774"/>
      <c r="QUC112" s="774"/>
      <c r="QUD112" s="774"/>
      <c r="QUE112" s="774"/>
      <c r="QUF112" s="774"/>
      <c r="QUG112" s="774"/>
      <c r="QUH112" s="774"/>
      <c r="QUI112" s="774"/>
      <c r="QUJ112" s="774"/>
      <c r="QUK112" s="774"/>
      <c r="QUL112" s="774"/>
      <c r="QUM112" s="774"/>
      <c r="QUN112" s="774"/>
      <c r="QUO112" s="774"/>
      <c r="QUP112" s="774"/>
      <c r="QUQ112" s="774"/>
      <c r="QUR112" s="774"/>
      <c r="QUS112" s="774"/>
      <c r="QUT112" s="774"/>
      <c r="QUU112" s="774"/>
      <c r="QUV112" s="774"/>
      <c r="QUW112" s="774"/>
      <c r="QUX112" s="774"/>
      <c r="QUY112" s="774"/>
      <c r="QUZ112" s="774"/>
      <c r="QVA112" s="774"/>
      <c r="QVB112" s="774"/>
      <c r="QVC112" s="774"/>
      <c r="QVD112" s="774"/>
      <c r="QVE112" s="774"/>
      <c r="QVF112" s="774"/>
      <c r="QVG112" s="774"/>
      <c r="QVH112" s="774"/>
      <c r="QVI112" s="774"/>
      <c r="QVJ112" s="774"/>
      <c r="QVK112" s="774"/>
      <c r="QVL112" s="774"/>
      <c r="QVM112" s="774"/>
      <c r="QVN112" s="774"/>
      <c r="QVO112" s="774"/>
      <c r="QVP112" s="774"/>
      <c r="QVQ112" s="774"/>
      <c r="QVR112" s="774"/>
      <c r="QVS112" s="774"/>
      <c r="QVT112" s="774"/>
      <c r="QVU112" s="774"/>
      <c r="QVV112" s="774"/>
      <c r="QVW112" s="774"/>
      <c r="QVX112" s="774"/>
      <c r="QVY112" s="774"/>
      <c r="QVZ112" s="774"/>
      <c r="QWA112" s="774"/>
      <c r="QWB112" s="774"/>
      <c r="QWC112" s="774"/>
      <c r="QWD112" s="774"/>
      <c r="QWE112" s="774"/>
      <c r="QWF112" s="774"/>
      <c r="QWG112" s="774"/>
      <c r="QWH112" s="774"/>
      <c r="QWI112" s="774"/>
      <c r="QWJ112" s="774"/>
      <c r="QWK112" s="774"/>
      <c r="QWL112" s="774"/>
      <c r="QWM112" s="774"/>
      <c r="QWN112" s="774"/>
      <c r="QWO112" s="774"/>
      <c r="QWP112" s="774"/>
      <c r="QWQ112" s="774"/>
      <c r="QWR112" s="774"/>
      <c r="QWS112" s="774"/>
      <c r="QWT112" s="774"/>
      <c r="QWU112" s="774"/>
      <c r="QWV112" s="774"/>
      <c r="QWW112" s="774"/>
      <c r="QWX112" s="774"/>
      <c r="QWY112" s="774"/>
      <c r="QWZ112" s="774"/>
      <c r="QXA112" s="774"/>
      <c r="QXB112" s="774"/>
      <c r="QXC112" s="774"/>
      <c r="QXD112" s="774"/>
      <c r="QXE112" s="774"/>
      <c r="QXF112" s="774"/>
      <c r="QXG112" s="774"/>
      <c r="QXH112" s="774"/>
      <c r="QXI112" s="774"/>
      <c r="QXJ112" s="774"/>
      <c r="QXK112" s="774"/>
      <c r="QXL112" s="774"/>
      <c r="QXM112" s="774"/>
      <c r="QXN112" s="774"/>
      <c r="QXO112" s="774"/>
      <c r="QXP112" s="774"/>
      <c r="QXQ112" s="774"/>
      <c r="QXR112" s="774"/>
      <c r="QXS112" s="774"/>
      <c r="QXT112" s="774"/>
      <c r="QXU112" s="774"/>
      <c r="QXV112" s="774"/>
      <c r="QXW112" s="774"/>
      <c r="QXX112" s="774"/>
      <c r="QXY112" s="774"/>
      <c r="QXZ112" s="774"/>
      <c r="QYA112" s="774"/>
      <c r="QYB112" s="774"/>
      <c r="QYC112" s="774"/>
      <c r="QYD112" s="774"/>
      <c r="QYE112" s="774"/>
      <c r="QYF112" s="774"/>
      <c r="QYG112" s="774"/>
      <c r="QYH112" s="774"/>
      <c r="QYI112" s="774"/>
      <c r="QYJ112" s="774"/>
      <c r="QYK112" s="774"/>
      <c r="QYL112" s="774"/>
      <c r="QYM112" s="774"/>
      <c r="QYN112" s="774"/>
      <c r="QYO112" s="774"/>
      <c r="QYP112" s="774"/>
      <c r="QYQ112" s="774"/>
      <c r="QYR112" s="774"/>
      <c r="QYS112" s="774"/>
      <c r="QYT112" s="774"/>
      <c r="QYU112" s="774"/>
      <c r="QYV112" s="774"/>
      <c r="QYW112" s="774"/>
      <c r="QYX112" s="774"/>
      <c r="QYY112" s="774"/>
      <c r="QYZ112" s="774"/>
      <c r="QZA112" s="774"/>
      <c r="QZB112" s="774"/>
      <c r="QZC112" s="774"/>
      <c r="QZD112" s="774"/>
      <c r="QZE112" s="774"/>
      <c r="QZF112" s="774"/>
      <c r="QZG112" s="774"/>
      <c r="QZH112" s="774"/>
      <c r="QZI112" s="774"/>
      <c r="QZJ112" s="774"/>
      <c r="QZK112" s="774"/>
      <c r="QZL112" s="774"/>
      <c r="QZM112" s="774"/>
      <c r="QZN112" s="774"/>
      <c r="QZO112" s="774"/>
      <c r="QZP112" s="774"/>
      <c r="QZQ112" s="774"/>
      <c r="QZR112" s="774"/>
      <c r="QZS112" s="774"/>
      <c r="QZT112" s="774"/>
      <c r="QZU112" s="774"/>
      <c r="QZV112" s="774"/>
      <c r="QZW112" s="774"/>
      <c r="QZX112" s="774"/>
      <c r="QZY112" s="774"/>
      <c r="QZZ112" s="774"/>
      <c r="RAA112" s="774"/>
      <c r="RAB112" s="774"/>
      <c r="RAC112" s="774"/>
      <c r="RAD112" s="774"/>
      <c r="RAE112" s="774"/>
      <c r="RAF112" s="774"/>
      <c r="RAG112" s="774"/>
      <c r="RAH112" s="774"/>
      <c r="RAI112" s="774"/>
      <c r="RAJ112" s="774"/>
      <c r="RAK112" s="774"/>
      <c r="RAL112" s="774"/>
      <c r="RAM112" s="774"/>
      <c r="RAN112" s="774"/>
      <c r="RAO112" s="774"/>
      <c r="RAP112" s="774"/>
      <c r="RAQ112" s="774"/>
      <c r="RAR112" s="774"/>
      <c r="RAS112" s="774"/>
      <c r="RAT112" s="774"/>
      <c r="RAU112" s="774"/>
      <c r="RAV112" s="774"/>
      <c r="RAW112" s="774"/>
      <c r="RAX112" s="774"/>
      <c r="RAY112" s="774"/>
      <c r="RAZ112" s="774"/>
      <c r="RBA112" s="774"/>
      <c r="RBB112" s="774"/>
      <c r="RBC112" s="774"/>
      <c r="RBD112" s="774"/>
      <c r="RBE112" s="774"/>
      <c r="RBF112" s="774"/>
      <c r="RBG112" s="774"/>
      <c r="RBH112" s="774"/>
      <c r="RBI112" s="774"/>
      <c r="RBJ112" s="774"/>
      <c r="RBK112" s="774"/>
      <c r="RBL112" s="774"/>
      <c r="RBM112" s="774"/>
      <c r="RBN112" s="774"/>
      <c r="RBO112" s="774"/>
      <c r="RBP112" s="774"/>
      <c r="RBQ112" s="774"/>
      <c r="RBR112" s="774"/>
      <c r="RBS112" s="774"/>
      <c r="RBT112" s="774"/>
      <c r="RBU112" s="774"/>
      <c r="RBV112" s="774"/>
      <c r="RBW112" s="774"/>
      <c r="RBX112" s="774"/>
      <c r="RBY112" s="774"/>
      <c r="RBZ112" s="774"/>
      <c r="RCA112" s="774"/>
      <c r="RCB112" s="774"/>
      <c r="RCC112" s="774"/>
      <c r="RCD112" s="774"/>
      <c r="RCE112" s="774"/>
      <c r="RCF112" s="774"/>
      <c r="RCG112" s="774"/>
      <c r="RCH112" s="774"/>
      <c r="RCI112" s="774"/>
      <c r="RCJ112" s="774"/>
      <c r="RCK112" s="774"/>
      <c r="RCL112" s="774"/>
      <c r="RCM112" s="774"/>
      <c r="RCN112" s="774"/>
      <c r="RCO112" s="774"/>
      <c r="RCP112" s="774"/>
      <c r="RCQ112" s="774"/>
      <c r="RCR112" s="774"/>
      <c r="RCS112" s="774"/>
      <c r="RCT112" s="774"/>
      <c r="RCU112" s="774"/>
      <c r="RCV112" s="774"/>
      <c r="RCW112" s="774"/>
      <c r="RCX112" s="774"/>
      <c r="RCY112" s="774"/>
      <c r="RCZ112" s="774"/>
      <c r="RDA112" s="774"/>
      <c r="RDB112" s="774"/>
      <c r="RDC112" s="774"/>
      <c r="RDD112" s="774"/>
      <c r="RDE112" s="774"/>
      <c r="RDF112" s="774"/>
      <c r="RDG112" s="774"/>
      <c r="RDH112" s="774"/>
      <c r="RDI112" s="774"/>
      <c r="RDJ112" s="774"/>
      <c r="RDK112" s="774"/>
      <c r="RDL112" s="774"/>
      <c r="RDM112" s="774"/>
      <c r="RDN112" s="774"/>
      <c r="RDO112" s="774"/>
      <c r="RDP112" s="774"/>
      <c r="RDQ112" s="774"/>
      <c r="RDR112" s="774"/>
      <c r="RDS112" s="774"/>
      <c r="RDT112" s="774"/>
      <c r="RDU112" s="774"/>
      <c r="RDV112" s="774"/>
      <c r="RDW112" s="774"/>
      <c r="RDX112" s="774"/>
      <c r="RDY112" s="774"/>
      <c r="RDZ112" s="774"/>
      <c r="REA112" s="774"/>
      <c r="REB112" s="774"/>
      <c r="REC112" s="774"/>
      <c r="RED112" s="774"/>
      <c r="REE112" s="774"/>
      <c r="REF112" s="774"/>
      <c r="REG112" s="774"/>
      <c r="REH112" s="774"/>
      <c r="REI112" s="774"/>
      <c r="REJ112" s="774"/>
      <c r="REK112" s="774"/>
      <c r="REL112" s="774"/>
      <c r="REM112" s="774"/>
      <c r="REN112" s="774"/>
      <c r="REO112" s="774"/>
      <c r="REP112" s="774"/>
      <c r="REQ112" s="774"/>
      <c r="RER112" s="774"/>
      <c r="RES112" s="774"/>
      <c r="RET112" s="774"/>
      <c r="REU112" s="774"/>
      <c r="REV112" s="774"/>
      <c r="REW112" s="774"/>
      <c r="REX112" s="774"/>
      <c r="REY112" s="774"/>
      <c r="REZ112" s="774"/>
      <c r="RFA112" s="774"/>
      <c r="RFB112" s="774"/>
      <c r="RFC112" s="774"/>
      <c r="RFD112" s="774"/>
      <c r="RFE112" s="774"/>
      <c r="RFF112" s="774"/>
      <c r="RFG112" s="774"/>
      <c r="RFH112" s="774"/>
      <c r="RFI112" s="774"/>
      <c r="RFJ112" s="774"/>
      <c r="RFK112" s="774"/>
      <c r="RFL112" s="774"/>
      <c r="RFM112" s="774"/>
      <c r="RFN112" s="774"/>
      <c r="RFO112" s="774"/>
      <c r="RFP112" s="774"/>
      <c r="RFQ112" s="774"/>
      <c r="RFR112" s="774"/>
      <c r="RFS112" s="774"/>
      <c r="RFT112" s="774"/>
      <c r="RFU112" s="774"/>
      <c r="RFV112" s="774"/>
      <c r="RFW112" s="774"/>
      <c r="RFX112" s="774"/>
      <c r="RFY112" s="774"/>
      <c r="RFZ112" s="774"/>
      <c r="RGA112" s="774"/>
      <c r="RGB112" s="774"/>
      <c r="RGC112" s="774"/>
      <c r="RGD112" s="774"/>
      <c r="RGE112" s="774"/>
      <c r="RGF112" s="774"/>
      <c r="RGG112" s="774"/>
      <c r="RGH112" s="774"/>
      <c r="RGI112" s="774"/>
      <c r="RGJ112" s="774"/>
      <c r="RGK112" s="774"/>
      <c r="RGL112" s="774"/>
      <c r="RGM112" s="774"/>
      <c r="RGN112" s="774"/>
      <c r="RGO112" s="774"/>
      <c r="RGP112" s="774"/>
      <c r="RGQ112" s="774"/>
      <c r="RGR112" s="774"/>
      <c r="RGS112" s="774"/>
      <c r="RGT112" s="774"/>
      <c r="RGU112" s="774"/>
      <c r="RGV112" s="774"/>
      <c r="RGW112" s="774"/>
      <c r="RGX112" s="774"/>
      <c r="RGY112" s="774"/>
      <c r="RGZ112" s="774"/>
      <c r="RHA112" s="774"/>
      <c r="RHB112" s="774"/>
      <c r="RHC112" s="774"/>
      <c r="RHD112" s="774"/>
      <c r="RHE112" s="774"/>
      <c r="RHF112" s="774"/>
      <c r="RHG112" s="774"/>
      <c r="RHH112" s="774"/>
      <c r="RHI112" s="774"/>
      <c r="RHJ112" s="774"/>
      <c r="RHK112" s="774"/>
      <c r="RHL112" s="774"/>
      <c r="RHM112" s="774"/>
      <c r="RHN112" s="774"/>
      <c r="RHO112" s="774"/>
      <c r="RHP112" s="774"/>
      <c r="RHQ112" s="774"/>
      <c r="RHR112" s="774"/>
      <c r="RHS112" s="774"/>
      <c r="RHT112" s="774"/>
      <c r="RHU112" s="774"/>
      <c r="RHV112" s="774"/>
      <c r="RHW112" s="774"/>
      <c r="RHX112" s="774"/>
      <c r="RHY112" s="774"/>
      <c r="RHZ112" s="774"/>
      <c r="RIA112" s="774"/>
      <c r="RIB112" s="774"/>
      <c r="RIC112" s="774"/>
      <c r="RID112" s="774"/>
      <c r="RIE112" s="774"/>
      <c r="RIF112" s="774"/>
      <c r="RIG112" s="774"/>
      <c r="RIH112" s="774"/>
      <c r="RII112" s="774"/>
      <c r="RIJ112" s="774"/>
      <c r="RIK112" s="774"/>
      <c r="RIL112" s="774"/>
      <c r="RIM112" s="774"/>
      <c r="RIN112" s="774"/>
      <c r="RIO112" s="774"/>
      <c r="RIP112" s="774"/>
      <c r="RIQ112" s="774"/>
      <c r="RIR112" s="774"/>
      <c r="RIS112" s="774"/>
      <c r="RIT112" s="774"/>
      <c r="RIU112" s="774"/>
      <c r="RIV112" s="774"/>
      <c r="RIW112" s="774"/>
      <c r="RIX112" s="774"/>
      <c r="RIY112" s="774"/>
      <c r="RIZ112" s="774"/>
      <c r="RJA112" s="774"/>
      <c r="RJB112" s="774"/>
      <c r="RJC112" s="774"/>
      <c r="RJD112" s="774"/>
      <c r="RJE112" s="774"/>
      <c r="RJF112" s="774"/>
      <c r="RJG112" s="774"/>
      <c r="RJH112" s="774"/>
      <c r="RJI112" s="774"/>
      <c r="RJJ112" s="774"/>
      <c r="RJK112" s="774"/>
      <c r="RJL112" s="774"/>
      <c r="RJM112" s="774"/>
      <c r="RJN112" s="774"/>
      <c r="RJO112" s="774"/>
      <c r="RJP112" s="774"/>
      <c r="RJQ112" s="774"/>
      <c r="RJR112" s="774"/>
      <c r="RJS112" s="774"/>
      <c r="RJT112" s="774"/>
      <c r="RJU112" s="774"/>
      <c r="RJV112" s="774"/>
      <c r="RJW112" s="774"/>
      <c r="RJX112" s="774"/>
      <c r="RJY112" s="774"/>
      <c r="RJZ112" s="774"/>
      <c r="RKA112" s="774"/>
      <c r="RKB112" s="774"/>
      <c r="RKC112" s="774"/>
      <c r="RKD112" s="774"/>
      <c r="RKE112" s="774"/>
      <c r="RKF112" s="774"/>
      <c r="RKG112" s="774"/>
      <c r="RKH112" s="774"/>
      <c r="RKI112" s="774"/>
      <c r="RKJ112" s="774"/>
      <c r="RKK112" s="774"/>
      <c r="RKL112" s="774"/>
      <c r="RKM112" s="774"/>
      <c r="RKN112" s="774"/>
      <c r="RKO112" s="774"/>
      <c r="RKP112" s="774"/>
      <c r="RKQ112" s="774"/>
      <c r="RKR112" s="774"/>
      <c r="RKS112" s="774"/>
      <c r="RKT112" s="774"/>
      <c r="RKU112" s="774"/>
      <c r="RKV112" s="774"/>
      <c r="RKW112" s="774"/>
      <c r="RKX112" s="774"/>
      <c r="RKY112" s="774"/>
      <c r="RKZ112" s="774"/>
      <c r="RLA112" s="774"/>
      <c r="RLB112" s="774"/>
      <c r="RLC112" s="774"/>
      <c r="RLD112" s="774"/>
      <c r="RLE112" s="774"/>
      <c r="RLF112" s="774"/>
      <c r="RLG112" s="774"/>
      <c r="RLH112" s="774"/>
      <c r="RLI112" s="774"/>
      <c r="RLJ112" s="774"/>
      <c r="RLK112" s="774"/>
      <c r="RLL112" s="774"/>
      <c r="RLM112" s="774"/>
      <c r="RLN112" s="774"/>
      <c r="RLO112" s="774"/>
      <c r="RLP112" s="774"/>
      <c r="RLQ112" s="774"/>
      <c r="RLR112" s="774"/>
      <c r="RLS112" s="774"/>
      <c r="RLT112" s="774"/>
      <c r="RLU112" s="774"/>
      <c r="RLV112" s="774"/>
      <c r="RLW112" s="774"/>
      <c r="RLX112" s="774"/>
      <c r="RLY112" s="774"/>
      <c r="RLZ112" s="774"/>
      <c r="RMA112" s="774"/>
      <c r="RMB112" s="774"/>
      <c r="RMC112" s="774"/>
      <c r="RMD112" s="774"/>
      <c r="RME112" s="774"/>
      <c r="RMF112" s="774"/>
      <c r="RMG112" s="774"/>
      <c r="RMH112" s="774"/>
      <c r="RMI112" s="774"/>
      <c r="RMJ112" s="774"/>
      <c r="RMK112" s="774"/>
      <c r="RML112" s="774"/>
      <c r="RMM112" s="774"/>
      <c r="RMN112" s="774"/>
      <c r="RMO112" s="774"/>
      <c r="RMP112" s="774"/>
      <c r="RMQ112" s="774"/>
      <c r="RMR112" s="774"/>
      <c r="RMS112" s="774"/>
      <c r="RMT112" s="774"/>
      <c r="RMU112" s="774"/>
      <c r="RMV112" s="774"/>
      <c r="RMW112" s="774"/>
      <c r="RMX112" s="774"/>
      <c r="RMY112" s="774"/>
      <c r="RMZ112" s="774"/>
      <c r="RNA112" s="774"/>
      <c r="RNB112" s="774"/>
      <c r="RNC112" s="774"/>
      <c r="RND112" s="774"/>
      <c r="RNE112" s="774"/>
      <c r="RNF112" s="774"/>
      <c r="RNG112" s="774"/>
      <c r="RNH112" s="774"/>
      <c r="RNI112" s="774"/>
      <c r="RNJ112" s="774"/>
      <c r="RNK112" s="774"/>
      <c r="RNL112" s="774"/>
      <c r="RNM112" s="774"/>
      <c r="RNN112" s="774"/>
      <c r="RNO112" s="774"/>
      <c r="RNP112" s="774"/>
      <c r="RNQ112" s="774"/>
      <c r="RNR112" s="774"/>
      <c r="RNS112" s="774"/>
      <c r="RNT112" s="774"/>
      <c r="RNU112" s="774"/>
      <c r="RNV112" s="774"/>
      <c r="RNW112" s="774"/>
      <c r="RNX112" s="774"/>
      <c r="RNY112" s="774"/>
      <c r="RNZ112" s="774"/>
      <c r="ROA112" s="774"/>
      <c r="ROB112" s="774"/>
      <c r="ROC112" s="774"/>
      <c r="ROD112" s="774"/>
      <c r="ROE112" s="774"/>
      <c r="ROF112" s="774"/>
      <c r="ROG112" s="774"/>
      <c r="ROH112" s="774"/>
      <c r="ROI112" s="774"/>
      <c r="ROJ112" s="774"/>
      <c r="ROK112" s="774"/>
      <c r="ROL112" s="774"/>
      <c r="ROM112" s="774"/>
      <c r="RON112" s="774"/>
      <c r="ROO112" s="774"/>
      <c r="ROP112" s="774"/>
      <c r="ROQ112" s="774"/>
      <c r="ROR112" s="774"/>
      <c r="ROS112" s="774"/>
      <c r="ROT112" s="774"/>
      <c r="ROU112" s="774"/>
      <c r="ROV112" s="774"/>
      <c r="ROW112" s="774"/>
      <c r="ROX112" s="774"/>
      <c r="ROY112" s="774"/>
      <c r="ROZ112" s="774"/>
      <c r="RPA112" s="774"/>
      <c r="RPB112" s="774"/>
      <c r="RPC112" s="774"/>
      <c r="RPD112" s="774"/>
      <c r="RPE112" s="774"/>
      <c r="RPF112" s="774"/>
      <c r="RPG112" s="774"/>
      <c r="RPH112" s="774"/>
      <c r="RPI112" s="774"/>
      <c r="RPJ112" s="774"/>
      <c r="RPK112" s="774"/>
      <c r="RPL112" s="774"/>
      <c r="RPM112" s="774"/>
      <c r="RPN112" s="774"/>
      <c r="RPO112" s="774"/>
      <c r="RPP112" s="774"/>
      <c r="RPQ112" s="774"/>
      <c r="RPR112" s="774"/>
      <c r="RPS112" s="774"/>
      <c r="RPT112" s="774"/>
      <c r="RPU112" s="774"/>
      <c r="RPV112" s="774"/>
      <c r="RPW112" s="774"/>
      <c r="RPX112" s="774"/>
      <c r="RPY112" s="774"/>
      <c r="RPZ112" s="774"/>
      <c r="RQA112" s="774"/>
      <c r="RQB112" s="774"/>
      <c r="RQC112" s="774"/>
      <c r="RQD112" s="774"/>
      <c r="RQE112" s="774"/>
      <c r="RQF112" s="774"/>
      <c r="RQG112" s="774"/>
      <c r="RQH112" s="774"/>
      <c r="RQI112" s="774"/>
      <c r="RQJ112" s="774"/>
      <c r="RQK112" s="774"/>
      <c r="RQL112" s="774"/>
      <c r="RQM112" s="774"/>
      <c r="RQN112" s="774"/>
      <c r="RQO112" s="774"/>
      <c r="RQP112" s="774"/>
      <c r="RQQ112" s="774"/>
      <c r="RQR112" s="774"/>
      <c r="RQS112" s="774"/>
      <c r="RQT112" s="774"/>
      <c r="RQU112" s="774"/>
      <c r="RQV112" s="774"/>
      <c r="RQW112" s="774"/>
      <c r="RQX112" s="774"/>
      <c r="RQY112" s="774"/>
      <c r="RQZ112" s="774"/>
      <c r="RRA112" s="774"/>
      <c r="RRB112" s="774"/>
      <c r="RRC112" s="774"/>
      <c r="RRD112" s="774"/>
      <c r="RRE112" s="774"/>
      <c r="RRF112" s="774"/>
      <c r="RRG112" s="774"/>
      <c r="RRH112" s="774"/>
      <c r="RRI112" s="774"/>
      <c r="RRJ112" s="774"/>
      <c r="RRK112" s="774"/>
      <c r="RRL112" s="774"/>
      <c r="RRM112" s="774"/>
      <c r="RRN112" s="774"/>
      <c r="RRO112" s="774"/>
      <c r="RRP112" s="774"/>
      <c r="RRQ112" s="774"/>
      <c r="RRR112" s="774"/>
      <c r="RRS112" s="774"/>
      <c r="RRT112" s="774"/>
      <c r="RRU112" s="774"/>
      <c r="RRV112" s="774"/>
      <c r="RRW112" s="774"/>
      <c r="RRX112" s="774"/>
      <c r="RRY112" s="774"/>
      <c r="RRZ112" s="774"/>
      <c r="RSA112" s="774"/>
      <c r="RSB112" s="774"/>
      <c r="RSC112" s="774"/>
      <c r="RSD112" s="774"/>
      <c r="RSE112" s="774"/>
      <c r="RSF112" s="774"/>
      <c r="RSG112" s="774"/>
      <c r="RSH112" s="774"/>
      <c r="RSI112" s="774"/>
      <c r="RSJ112" s="774"/>
      <c r="RSK112" s="774"/>
      <c r="RSL112" s="774"/>
      <c r="RSM112" s="774"/>
      <c r="RSN112" s="774"/>
      <c r="RSO112" s="774"/>
      <c r="RSP112" s="774"/>
      <c r="RSQ112" s="774"/>
      <c r="RSR112" s="774"/>
      <c r="RSS112" s="774"/>
      <c r="RST112" s="774"/>
      <c r="RSU112" s="774"/>
      <c r="RSV112" s="774"/>
      <c r="RSW112" s="774"/>
      <c r="RSX112" s="774"/>
      <c r="RSY112" s="774"/>
      <c r="RSZ112" s="774"/>
      <c r="RTA112" s="774"/>
      <c r="RTB112" s="774"/>
      <c r="RTC112" s="774"/>
      <c r="RTD112" s="774"/>
      <c r="RTE112" s="774"/>
      <c r="RTF112" s="774"/>
      <c r="RTG112" s="774"/>
      <c r="RTH112" s="774"/>
      <c r="RTI112" s="774"/>
      <c r="RTJ112" s="774"/>
      <c r="RTK112" s="774"/>
      <c r="RTL112" s="774"/>
      <c r="RTM112" s="774"/>
      <c r="RTN112" s="774"/>
      <c r="RTO112" s="774"/>
      <c r="RTP112" s="774"/>
      <c r="RTQ112" s="774"/>
      <c r="RTR112" s="774"/>
      <c r="RTS112" s="774"/>
      <c r="RTT112" s="774"/>
      <c r="RTU112" s="774"/>
      <c r="RTV112" s="774"/>
      <c r="RTW112" s="774"/>
      <c r="RTX112" s="774"/>
      <c r="RTY112" s="774"/>
      <c r="RTZ112" s="774"/>
      <c r="RUA112" s="774"/>
      <c r="RUB112" s="774"/>
      <c r="RUC112" s="774"/>
      <c r="RUD112" s="774"/>
      <c r="RUE112" s="774"/>
      <c r="RUF112" s="774"/>
      <c r="RUG112" s="774"/>
      <c r="RUH112" s="774"/>
      <c r="RUI112" s="774"/>
      <c r="RUJ112" s="774"/>
      <c r="RUK112" s="774"/>
      <c r="RUL112" s="774"/>
      <c r="RUM112" s="774"/>
      <c r="RUN112" s="774"/>
      <c r="RUO112" s="774"/>
      <c r="RUP112" s="774"/>
      <c r="RUQ112" s="774"/>
      <c r="RUR112" s="774"/>
      <c r="RUS112" s="774"/>
      <c r="RUT112" s="774"/>
      <c r="RUU112" s="774"/>
      <c r="RUV112" s="774"/>
      <c r="RUW112" s="774"/>
      <c r="RUX112" s="774"/>
      <c r="RUY112" s="774"/>
      <c r="RUZ112" s="774"/>
      <c r="RVA112" s="774"/>
      <c r="RVB112" s="774"/>
      <c r="RVC112" s="774"/>
      <c r="RVD112" s="774"/>
      <c r="RVE112" s="774"/>
      <c r="RVF112" s="774"/>
      <c r="RVG112" s="774"/>
      <c r="RVH112" s="774"/>
      <c r="RVI112" s="774"/>
      <c r="RVJ112" s="774"/>
      <c r="RVK112" s="774"/>
      <c r="RVL112" s="774"/>
      <c r="RVM112" s="774"/>
      <c r="RVN112" s="774"/>
      <c r="RVO112" s="774"/>
      <c r="RVP112" s="774"/>
      <c r="RVQ112" s="774"/>
      <c r="RVR112" s="774"/>
      <c r="RVS112" s="774"/>
      <c r="RVT112" s="774"/>
      <c r="RVU112" s="774"/>
      <c r="RVV112" s="774"/>
      <c r="RVW112" s="774"/>
      <c r="RVX112" s="774"/>
      <c r="RVY112" s="774"/>
      <c r="RVZ112" s="774"/>
      <c r="RWA112" s="774"/>
      <c r="RWB112" s="774"/>
      <c r="RWC112" s="774"/>
      <c r="RWD112" s="774"/>
      <c r="RWE112" s="774"/>
      <c r="RWF112" s="774"/>
      <c r="RWG112" s="774"/>
      <c r="RWH112" s="774"/>
      <c r="RWI112" s="774"/>
      <c r="RWJ112" s="774"/>
      <c r="RWK112" s="774"/>
      <c r="RWL112" s="774"/>
      <c r="RWM112" s="774"/>
      <c r="RWN112" s="774"/>
      <c r="RWO112" s="774"/>
      <c r="RWP112" s="774"/>
      <c r="RWQ112" s="774"/>
      <c r="RWR112" s="774"/>
      <c r="RWS112" s="774"/>
      <c r="RWT112" s="774"/>
      <c r="RWU112" s="774"/>
      <c r="RWV112" s="774"/>
      <c r="RWW112" s="774"/>
      <c r="RWX112" s="774"/>
      <c r="RWY112" s="774"/>
      <c r="RWZ112" s="774"/>
      <c r="RXA112" s="774"/>
      <c r="RXB112" s="774"/>
      <c r="RXC112" s="774"/>
      <c r="RXD112" s="774"/>
      <c r="RXE112" s="774"/>
      <c r="RXF112" s="774"/>
      <c r="RXG112" s="774"/>
      <c r="RXH112" s="774"/>
      <c r="RXI112" s="774"/>
      <c r="RXJ112" s="774"/>
      <c r="RXK112" s="774"/>
      <c r="RXL112" s="774"/>
      <c r="RXM112" s="774"/>
      <c r="RXN112" s="774"/>
      <c r="RXO112" s="774"/>
      <c r="RXP112" s="774"/>
      <c r="RXQ112" s="774"/>
      <c r="RXR112" s="774"/>
      <c r="RXS112" s="774"/>
      <c r="RXT112" s="774"/>
      <c r="RXU112" s="774"/>
      <c r="RXV112" s="774"/>
      <c r="RXW112" s="774"/>
      <c r="RXX112" s="774"/>
      <c r="RXY112" s="774"/>
      <c r="RXZ112" s="774"/>
      <c r="RYA112" s="774"/>
      <c r="RYB112" s="774"/>
      <c r="RYC112" s="774"/>
      <c r="RYD112" s="774"/>
      <c r="RYE112" s="774"/>
      <c r="RYF112" s="774"/>
      <c r="RYG112" s="774"/>
      <c r="RYH112" s="774"/>
      <c r="RYI112" s="774"/>
      <c r="RYJ112" s="774"/>
      <c r="RYK112" s="774"/>
      <c r="RYL112" s="774"/>
      <c r="RYM112" s="774"/>
      <c r="RYN112" s="774"/>
      <c r="RYO112" s="774"/>
      <c r="RYP112" s="774"/>
      <c r="RYQ112" s="774"/>
      <c r="RYR112" s="774"/>
      <c r="RYS112" s="774"/>
      <c r="RYT112" s="774"/>
      <c r="RYU112" s="774"/>
      <c r="RYV112" s="774"/>
      <c r="RYW112" s="774"/>
      <c r="RYX112" s="774"/>
      <c r="RYY112" s="774"/>
      <c r="RYZ112" s="774"/>
      <c r="RZA112" s="774"/>
      <c r="RZB112" s="774"/>
      <c r="RZC112" s="774"/>
      <c r="RZD112" s="774"/>
      <c r="RZE112" s="774"/>
      <c r="RZF112" s="774"/>
      <c r="RZG112" s="774"/>
      <c r="RZH112" s="774"/>
      <c r="RZI112" s="774"/>
      <c r="RZJ112" s="774"/>
      <c r="RZK112" s="774"/>
      <c r="RZL112" s="774"/>
      <c r="RZM112" s="774"/>
      <c r="RZN112" s="774"/>
      <c r="RZO112" s="774"/>
      <c r="RZP112" s="774"/>
      <c r="RZQ112" s="774"/>
      <c r="RZR112" s="774"/>
      <c r="RZS112" s="774"/>
      <c r="RZT112" s="774"/>
      <c r="RZU112" s="774"/>
      <c r="RZV112" s="774"/>
      <c r="RZW112" s="774"/>
      <c r="RZX112" s="774"/>
      <c r="RZY112" s="774"/>
      <c r="RZZ112" s="774"/>
      <c r="SAA112" s="774"/>
      <c r="SAB112" s="774"/>
      <c r="SAC112" s="774"/>
      <c r="SAD112" s="774"/>
      <c r="SAE112" s="774"/>
      <c r="SAF112" s="774"/>
      <c r="SAG112" s="774"/>
      <c r="SAH112" s="774"/>
      <c r="SAI112" s="774"/>
      <c r="SAJ112" s="774"/>
      <c r="SAK112" s="774"/>
      <c r="SAL112" s="774"/>
      <c r="SAM112" s="774"/>
      <c r="SAN112" s="774"/>
      <c r="SAO112" s="774"/>
      <c r="SAP112" s="774"/>
      <c r="SAQ112" s="774"/>
      <c r="SAR112" s="774"/>
      <c r="SAS112" s="774"/>
      <c r="SAT112" s="774"/>
      <c r="SAU112" s="774"/>
      <c r="SAV112" s="774"/>
      <c r="SAW112" s="774"/>
      <c r="SAX112" s="774"/>
      <c r="SAY112" s="774"/>
      <c r="SAZ112" s="774"/>
      <c r="SBA112" s="774"/>
      <c r="SBB112" s="774"/>
      <c r="SBC112" s="774"/>
      <c r="SBD112" s="774"/>
      <c r="SBE112" s="774"/>
      <c r="SBF112" s="774"/>
      <c r="SBG112" s="774"/>
      <c r="SBH112" s="774"/>
      <c r="SBI112" s="774"/>
      <c r="SBJ112" s="774"/>
      <c r="SBK112" s="774"/>
      <c r="SBL112" s="774"/>
      <c r="SBM112" s="774"/>
      <c r="SBN112" s="774"/>
      <c r="SBO112" s="774"/>
      <c r="SBP112" s="774"/>
      <c r="SBQ112" s="774"/>
      <c r="SBR112" s="774"/>
      <c r="SBS112" s="774"/>
      <c r="SBT112" s="774"/>
      <c r="SBU112" s="774"/>
      <c r="SBV112" s="774"/>
      <c r="SBW112" s="774"/>
      <c r="SBX112" s="774"/>
      <c r="SBY112" s="774"/>
      <c r="SBZ112" s="774"/>
      <c r="SCA112" s="774"/>
      <c r="SCB112" s="774"/>
      <c r="SCC112" s="774"/>
      <c r="SCD112" s="774"/>
      <c r="SCE112" s="774"/>
      <c r="SCF112" s="774"/>
      <c r="SCG112" s="774"/>
      <c r="SCH112" s="774"/>
      <c r="SCI112" s="774"/>
      <c r="SCJ112" s="774"/>
      <c r="SCK112" s="774"/>
      <c r="SCL112" s="774"/>
      <c r="SCM112" s="774"/>
      <c r="SCN112" s="774"/>
      <c r="SCO112" s="774"/>
      <c r="SCP112" s="774"/>
      <c r="SCQ112" s="774"/>
      <c r="SCR112" s="774"/>
      <c r="SCS112" s="774"/>
      <c r="SCT112" s="774"/>
      <c r="SCU112" s="774"/>
      <c r="SCV112" s="774"/>
      <c r="SCW112" s="774"/>
      <c r="SCX112" s="774"/>
      <c r="SCY112" s="774"/>
      <c r="SCZ112" s="774"/>
      <c r="SDA112" s="774"/>
      <c r="SDB112" s="774"/>
      <c r="SDC112" s="774"/>
      <c r="SDD112" s="774"/>
      <c r="SDE112" s="774"/>
      <c r="SDF112" s="774"/>
      <c r="SDG112" s="774"/>
      <c r="SDH112" s="774"/>
      <c r="SDI112" s="774"/>
      <c r="SDJ112" s="774"/>
      <c r="SDK112" s="774"/>
      <c r="SDL112" s="774"/>
      <c r="SDM112" s="774"/>
      <c r="SDN112" s="774"/>
      <c r="SDO112" s="774"/>
      <c r="SDP112" s="774"/>
      <c r="SDQ112" s="774"/>
      <c r="SDR112" s="774"/>
      <c r="SDS112" s="774"/>
      <c r="SDT112" s="774"/>
      <c r="SDU112" s="774"/>
      <c r="SDV112" s="774"/>
      <c r="SDW112" s="774"/>
      <c r="SDX112" s="774"/>
      <c r="SDY112" s="774"/>
      <c r="SDZ112" s="774"/>
      <c r="SEA112" s="774"/>
      <c r="SEB112" s="774"/>
      <c r="SEC112" s="774"/>
      <c r="SED112" s="774"/>
      <c r="SEE112" s="774"/>
      <c r="SEF112" s="774"/>
      <c r="SEG112" s="774"/>
      <c r="SEH112" s="774"/>
      <c r="SEI112" s="774"/>
      <c r="SEJ112" s="774"/>
      <c r="SEK112" s="774"/>
      <c r="SEL112" s="774"/>
      <c r="SEM112" s="774"/>
      <c r="SEN112" s="774"/>
      <c r="SEO112" s="774"/>
      <c r="SEP112" s="774"/>
      <c r="SEQ112" s="774"/>
      <c r="SER112" s="774"/>
      <c r="SES112" s="774"/>
      <c r="SET112" s="774"/>
      <c r="SEU112" s="774"/>
      <c r="SEV112" s="774"/>
      <c r="SEW112" s="774"/>
      <c r="SEX112" s="774"/>
      <c r="SEY112" s="774"/>
      <c r="SEZ112" s="774"/>
      <c r="SFA112" s="774"/>
      <c r="SFB112" s="774"/>
      <c r="SFC112" s="774"/>
      <c r="SFD112" s="774"/>
      <c r="SFE112" s="774"/>
      <c r="SFF112" s="774"/>
      <c r="SFG112" s="774"/>
      <c r="SFH112" s="774"/>
      <c r="SFI112" s="774"/>
      <c r="SFJ112" s="774"/>
      <c r="SFK112" s="774"/>
      <c r="SFL112" s="774"/>
      <c r="SFM112" s="774"/>
      <c r="SFN112" s="774"/>
      <c r="SFO112" s="774"/>
      <c r="SFP112" s="774"/>
      <c r="SFQ112" s="774"/>
      <c r="SFR112" s="774"/>
      <c r="SFS112" s="774"/>
      <c r="SFT112" s="774"/>
      <c r="SFU112" s="774"/>
      <c r="SFV112" s="774"/>
      <c r="SFW112" s="774"/>
      <c r="SFX112" s="774"/>
      <c r="SFY112" s="774"/>
      <c r="SFZ112" s="774"/>
      <c r="SGA112" s="774"/>
      <c r="SGB112" s="774"/>
      <c r="SGC112" s="774"/>
      <c r="SGD112" s="774"/>
      <c r="SGE112" s="774"/>
      <c r="SGF112" s="774"/>
      <c r="SGG112" s="774"/>
      <c r="SGH112" s="774"/>
      <c r="SGI112" s="774"/>
      <c r="SGJ112" s="774"/>
      <c r="SGK112" s="774"/>
      <c r="SGL112" s="774"/>
      <c r="SGM112" s="774"/>
      <c r="SGN112" s="774"/>
      <c r="SGO112" s="774"/>
      <c r="SGP112" s="774"/>
      <c r="SGQ112" s="774"/>
      <c r="SGR112" s="774"/>
      <c r="SGS112" s="774"/>
      <c r="SGT112" s="774"/>
      <c r="SGU112" s="774"/>
      <c r="SGV112" s="774"/>
      <c r="SGW112" s="774"/>
      <c r="SGX112" s="774"/>
      <c r="SGY112" s="774"/>
      <c r="SGZ112" s="774"/>
      <c r="SHA112" s="774"/>
      <c r="SHB112" s="774"/>
      <c r="SHC112" s="774"/>
      <c r="SHD112" s="774"/>
      <c r="SHE112" s="774"/>
      <c r="SHF112" s="774"/>
      <c r="SHG112" s="774"/>
      <c r="SHH112" s="774"/>
      <c r="SHI112" s="774"/>
      <c r="SHJ112" s="774"/>
      <c r="SHK112" s="774"/>
      <c r="SHL112" s="774"/>
      <c r="SHM112" s="774"/>
      <c r="SHN112" s="774"/>
      <c r="SHO112" s="774"/>
      <c r="SHP112" s="774"/>
      <c r="SHQ112" s="774"/>
      <c r="SHR112" s="774"/>
      <c r="SHS112" s="774"/>
      <c r="SHT112" s="774"/>
      <c r="SHU112" s="774"/>
      <c r="SHV112" s="774"/>
      <c r="SHW112" s="774"/>
      <c r="SHX112" s="774"/>
      <c r="SHY112" s="774"/>
      <c r="SHZ112" s="774"/>
      <c r="SIA112" s="774"/>
      <c r="SIB112" s="774"/>
      <c r="SIC112" s="774"/>
      <c r="SID112" s="774"/>
      <c r="SIE112" s="774"/>
      <c r="SIF112" s="774"/>
      <c r="SIG112" s="774"/>
      <c r="SIH112" s="774"/>
      <c r="SII112" s="774"/>
      <c r="SIJ112" s="774"/>
      <c r="SIK112" s="774"/>
      <c r="SIL112" s="774"/>
      <c r="SIM112" s="774"/>
      <c r="SIN112" s="774"/>
      <c r="SIO112" s="774"/>
      <c r="SIP112" s="774"/>
      <c r="SIQ112" s="774"/>
      <c r="SIR112" s="774"/>
      <c r="SIS112" s="774"/>
      <c r="SIT112" s="774"/>
      <c r="SIU112" s="774"/>
      <c r="SIV112" s="774"/>
      <c r="SIW112" s="774"/>
      <c r="SIX112" s="774"/>
      <c r="SIY112" s="774"/>
      <c r="SIZ112" s="774"/>
      <c r="SJA112" s="774"/>
      <c r="SJB112" s="774"/>
      <c r="SJC112" s="774"/>
      <c r="SJD112" s="774"/>
      <c r="SJE112" s="774"/>
      <c r="SJF112" s="774"/>
      <c r="SJG112" s="774"/>
      <c r="SJH112" s="774"/>
      <c r="SJI112" s="774"/>
      <c r="SJJ112" s="774"/>
      <c r="SJK112" s="774"/>
      <c r="SJL112" s="774"/>
      <c r="SJM112" s="774"/>
      <c r="SJN112" s="774"/>
      <c r="SJO112" s="774"/>
      <c r="SJP112" s="774"/>
      <c r="SJQ112" s="774"/>
      <c r="SJR112" s="774"/>
      <c r="SJS112" s="774"/>
      <c r="SJT112" s="774"/>
      <c r="SJU112" s="774"/>
      <c r="SJV112" s="774"/>
      <c r="SJW112" s="774"/>
      <c r="SJX112" s="774"/>
      <c r="SJY112" s="774"/>
      <c r="SJZ112" s="774"/>
      <c r="SKA112" s="774"/>
      <c r="SKB112" s="774"/>
      <c r="SKC112" s="774"/>
      <c r="SKD112" s="774"/>
      <c r="SKE112" s="774"/>
      <c r="SKF112" s="774"/>
      <c r="SKG112" s="774"/>
      <c r="SKH112" s="774"/>
      <c r="SKI112" s="774"/>
      <c r="SKJ112" s="774"/>
      <c r="SKK112" s="774"/>
      <c r="SKL112" s="774"/>
      <c r="SKM112" s="774"/>
      <c r="SKN112" s="774"/>
      <c r="SKO112" s="774"/>
      <c r="SKP112" s="774"/>
      <c r="SKQ112" s="774"/>
      <c r="SKR112" s="774"/>
      <c r="SKS112" s="774"/>
      <c r="SKT112" s="774"/>
      <c r="SKU112" s="774"/>
      <c r="SKV112" s="774"/>
      <c r="SKW112" s="774"/>
      <c r="SKX112" s="774"/>
      <c r="SKY112" s="774"/>
      <c r="SKZ112" s="774"/>
      <c r="SLA112" s="774"/>
      <c r="SLB112" s="774"/>
      <c r="SLC112" s="774"/>
      <c r="SLD112" s="774"/>
      <c r="SLE112" s="774"/>
      <c r="SLF112" s="774"/>
      <c r="SLG112" s="774"/>
      <c r="SLH112" s="774"/>
      <c r="SLI112" s="774"/>
      <c r="SLJ112" s="774"/>
      <c r="SLK112" s="774"/>
      <c r="SLL112" s="774"/>
      <c r="SLM112" s="774"/>
      <c r="SLN112" s="774"/>
      <c r="SLO112" s="774"/>
      <c r="SLP112" s="774"/>
      <c r="SLQ112" s="774"/>
      <c r="SLR112" s="774"/>
      <c r="SLS112" s="774"/>
      <c r="SLT112" s="774"/>
      <c r="SLU112" s="774"/>
      <c r="SLV112" s="774"/>
      <c r="SLW112" s="774"/>
      <c r="SLX112" s="774"/>
      <c r="SLY112" s="774"/>
      <c r="SLZ112" s="774"/>
      <c r="SMA112" s="774"/>
      <c r="SMB112" s="774"/>
      <c r="SMC112" s="774"/>
      <c r="SMD112" s="774"/>
      <c r="SME112" s="774"/>
      <c r="SMF112" s="774"/>
      <c r="SMG112" s="774"/>
      <c r="SMH112" s="774"/>
      <c r="SMI112" s="774"/>
      <c r="SMJ112" s="774"/>
      <c r="SMK112" s="774"/>
      <c r="SML112" s="774"/>
      <c r="SMM112" s="774"/>
      <c r="SMN112" s="774"/>
      <c r="SMO112" s="774"/>
      <c r="SMP112" s="774"/>
      <c r="SMQ112" s="774"/>
      <c r="SMR112" s="774"/>
      <c r="SMS112" s="774"/>
      <c r="SMT112" s="774"/>
      <c r="SMU112" s="774"/>
      <c r="SMV112" s="774"/>
      <c r="SMW112" s="774"/>
      <c r="SMX112" s="774"/>
      <c r="SMY112" s="774"/>
      <c r="SMZ112" s="774"/>
      <c r="SNA112" s="774"/>
      <c r="SNB112" s="774"/>
      <c r="SNC112" s="774"/>
      <c r="SND112" s="774"/>
      <c r="SNE112" s="774"/>
      <c r="SNF112" s="774"/>
      <c r="SNG112" s="774"/>
      <c r="SNH112" s="774"/>
      <c r="SNI112" s="774"/>
      <c r="SNJ112" s="774"/>
      <c r="SNK112" s="774"/>
      <c r="SNL112" s="774"/>
      <c r="SNM112" s="774"/>
      <c r="SNN112" s="774"/>
      <c r="SNO112" s="774"/>
      <c r="SNP112" s="774"/>
      <c r="SNQ112" s="774"/>
      <c r="SNR112" s="774"/>
      <c r="SNS112" s="774"/>
      <c r="SNT112" s="774"/>
      <c r="SNU112" s="774"/>
      <c r="SNV112" s="774"/>
      <c r="SNW112" s="774"/>
      <c r="SNX112" s="774"/>
      <c r="SNY112" s="774"/>
      <c r="SNZ112" s="774"/>
      <c r="SOA112" s="774"/>
      <c r="SOB112" s="774"/>
      <c r="SOC112" s="774"/>
      <c r="SOD112" s="774"/>
      <c r="SOE112" s="774"/>
      <c r="SOF112" s="774"/>
      <c r="SOG112" s="774"/>
      <c r="SOH112" s="774"/>
      <c r="SOI112" s="774"/>
      <c r="SOJ112" s="774"/>
      <c r="SOK112" s="774"/>
      <c r="SOL112" s="774"/>
      <c r="SOM112" s="774"/>
      <c r="SON112" s="774"/>
      <c r="SOO112" s="774"/>
      <c r="SOP112" s="774"/>
      <c r="SOQ112" s="774"/>
      <c r="SOR112" s="774"/>
      <c r="SOS112" s="774"/>
      <c r="SOT112" s="774"/>
      <c r="SOU112" s="774"/>
      <c r="SOV112" s="774"/>
      <c r="SOW112" s="774"/>
      <c r="SOX112" s="774"/>
      <c r="SOY112" s="774"/>
      <c r="SOZ112" s="774"/>
      <c r="SPA112" s="774"/>
      <c r="SPB112" s="774"/>
      <c r="SPC112" s="774"/>
      <c r="SPD112" s="774"/>
      <c r="SPE112" s="774"/>
      <c r="SPF112" s="774"/>
      <c r="SPG112" s="774"/>
      <c r="SPH112" s="774"/>
      <c r="SPI112" s="774"/>
      <c r="SPJ112" s="774"/>
      <c r="SPK112" s="774"/>
      <c r="SPL112" s="774"/>
      <c r="SPM112" s="774"/>
      <c r="SPN112" s="774"/>
      <c r="SPO112" s="774"/>
      <c r="SPP112" s="774"/>
      <c r="SPQ112" s="774"/>
      <c r="SPR112" s="774"/>
      <c r="SPS112" s="774"/>
      <c r="SPT112" s="774"/>
      <c r="SPU112" s="774"/>
      <c r="SPV112" s="774"/>
      <c r="SPW112" s="774"/>
      <c r="SPX112" s="774"/>
      <c r="SPY112" s="774"/>
      <c r="SPZ112" s="774"/>
      <c r="SQA112" s="774"/>
      <c r="SQB112" s="774"/>
      <c r="SQC112" s="774"/>
      <c r="SQD112" s="774"/>
      <c r="SQE112" s="774"/>
      <c r="SQF112" s="774"/>
      <c r="SQG112" s="774"/>
      <c r="SQH112" s="774"/>
      <c r="SQI112" s="774"/>
      <c r="SQJ112" s="774"/>
      <c r="SQK112" s="774"/>
      <c r="SQL112" s="774"/>
      <c r="SQM112" s="774"/>
      <c r="SQN112" s="774"/>
      <c r="SQO112" s="774"/>
      <c r="SQP112" s="774"/>
      <c r="SQQ112" s="774"/>
      <c r="SQR112" s="774"/>
      <c r="SQS112" s="774"/>
      <c r="SQT112" s="774"/>
      <c r="SQU112" s="774"/>
      <c r="SQV112" s="774"/>
      <c r="SQW112" s="774"/>
      <c r="SQX112" s="774"/>
      <c r="SQY112" s="774"/>
      <c r="SQZ112" s="774"/>
      <c r="SRA112" s="774"/>
      <c r="SRB112" s="774"/>
      <c r="SRC112" s="774"/>
      <c r="SRD112" s="774"/>
      <c r="SRE112" s="774"/>
      <c r="SRF112" s="774"/>
      <c r="SRG112" s="774"/>
      <c r="SRH112" s="774"/>
      <c r="SRI112" s="774"/>
      <c r="SRJ112" s="774"/>
      <c r="SRK112" s="774"/>
      <c r="SRL112" s="774"/>
      <c r="SRM112" s="774"/>
      <c r="SRN112" s="774"/>
      <c r="SRO112" s="774"/>
      <c r="SRP112" s="774"/>
      <c r="SRQ112" s="774"/>
      <c r="SRR112" s="774"/>
      <c r="SRS112" s="774"/>
      <c r="SRT112" s="774"/>
      <c r="SRU112" s="774"/>
      <c r="SRV112" s="774"/>
      <c r="SRW112" s="774"/>
      <c r="SRX112" s="774"/>
      <c r="SRY112" s="774"/>
      <c r="SRZ112" s="774"/>
      <c r="SSA112" s="774"/>
      <c r="SSB112" s="774"/>
      <c r="SSC112" s="774"/>
      <c r="SSD112" s="774"/>
      <c r="SSE112" s="774"/>
      <c r="SSF112" s="774"/>
      <c r="SSG112" s="774"/>
      <c r="SSH112" s="774"/>
      <c r="SSI112" s="774"/>
      <c r="SSJ112" s="774"/>
      <c r="SSK112" s="774"/>
      <c r="SSL112" s="774"/>
      <c r="SSM112" s="774"/>
      <c r="SSN112" s="774"/>
      <c r="SSO112" s="774"/>
      <c r="SSP112" s="774"/>
      <c r="SSQ112" s="774"/>
      <c r="SSR112" s="774"/>
      <c r="SSS112" s="774"/>
      <c r="SST112" s="774"/>
      <c r="SSU112" s="774"/>
      <c r="SSV112" s="774"/>
      <c r="SSW112" s="774"/>
      <c r="SSX112" s="774"/>
      <c r="SSY112" s="774"/>
      <c r="SSZ112" s="774"/>
      <c r="STA112" s="774"/>
      <c r="STB112" s="774"/>
      <c r="STC112" s="774"/>
      <c r="STD112" s="774"/>
      <c r="STE112" s="774"/>
      <c r="STF112" s="774"/>
      <c r="STG112" s="774"/>
      <c r="STH112" s="774"/>
      <c r="STI112" s="774"/>
      <c r="STJ112" s="774"/>
      <c r="STK112" s="774"/>
      <c r="STL112" s="774"/>
      <c r="STM112" s="774"/>
      <c r="STN112" s="774"/>
      <c r="STO112" s="774"/>
      <c r="STP112" s="774"/>
      <c r="STQ112" s="774"/>
      <c r="STR112" s="774"/>
      <c r="STS112" s="774"/>
      <c r="STT112" s="774"/>
      <c r="STU112" s="774"/>
      <c r="STV112" s="774"/>
      <c r="STW112" s="774"/>
      <c r="STX112" s="774"/>
      <c r="STY112" s="774"/>
      <c r="STZ112" s="774"/>
      <c r="SUA112" s="774"/>
      <c r="SUB112" s="774"/>
      <c r="SUC112" s="774"/>
      <c r="SUD112" s="774"/>
      <c r="SUE112" s="774"/>
      <c r="SUF112" s="774"/>
      <c r="SUG112" s="774"/>
      <c r="SUH112" s="774"/>
      <c r="SUI112" s="774"/>
      <c r="SUJ112" s="774"/>
      <c r="SUK112" s="774"/>
      <c r="SUL112" s="774"/>
      <c r="SUM112" s="774"/>
      <c r="SUN112" s="774"/>
      <c r="SUO112" s="774"/>
      <c r="SUP112" s="774"/>
      <c r="SUQ112" s="774"/>
      <c r="SUR112" s="774"/>
      <c r="SUS112" s="774"/>
      <c r="SUT112" s="774"/>
      <c r="SUU112" s="774"/>
      <c r="SUV112" s="774"/>
      <c r="SUW112" s="774"/>
      <c r="SUX112" s="774"/>
      <c r="SUY112" s="774"/>
      <c r="SUZ112" s="774"/>
      <c r="SVA112" s="774"/>
      <c r="SVB112" s="774"/>
      <c r="SVC112" s="774"/>
      <c r="SVD112" s="774"/>
      <c r="SVE112" s="774"/>
      <c r="SVF112" s="774"/>
      <c r="SVG112" s="774"/>
      <c r="SVH112" s="774"/>
      <c r="SVI112" s="774"/>
      <c r="SVJ112" s="774"/>
      <c r="SVK112" s="774"/>
      <c r="SVL112" s="774"/>
      <c r="SVM112" s="774"/>
      <c r="SVN112" s="774"/>
      <c r="SVO112" s="774"/>
      <c r="SVP112" s="774"/>
      <c r="SVQ112" s="774"/>
      <c r="SVR112" s="774"/>
      <c r="SVS112" s="774"/>
      <c r="SVT112" s="774"/>
      <c r="SVU112" s="774"/>
      <c r="SVV112" s="774"/>
      <c r="SVW112" s="774"/>
      <c r="SVX112" s="774"/>
      <c r="SVY112" s="774"/>
      <c r="SVZ112" s="774"/>
      <c r="SWA112" s="774"/>
      <c r="SWB112" s="774"/>
      <c r="SWC112" s="774"/>
      <c r="SWD112" s="774"/>
      <c r="SWE112" s="774"/>
      <c r="SWF112" s="774"/>
      <c r="SWG112" s="774"/>
      <c r="SWH112" s="774"/>
      <c r="SWI112" s="774"/>
      <c r="SWJ112" s="774"/>
      <c r="SWK112" s="774"/>
      <c r="SWL112" s="774"/>
      <c r="SWM112" s="774"/>
      <c r="SWN112" s="774"/>
      <c r="SWO112" s="774"/>
      <c r="SWP112" s="774"/>
      <c r="SWQ112" s="774"/>
      <c r="SWR112" s="774"/>
      <c r="SWS112" s="774"/>
      <c r="SWT112" s="774"/>
      <c r="SWU112" s="774"/>
      <c r="SWV112" s="774"/>
      <c r="SWW112" s="774"/>
      <c r="SWX112" s="774"/>
      <c r="SWY112" s="774"/>
      <c r="SWZ112" s="774"/>
      <c r="SXA112" s="774"/>
      <c r="SXB112" s="774"/>
      <c r="SXC112" s="774"/>
      <c r="SXD112" s="774"/>
      <c r="SXE112" s="774"/>
      <c r="SXF112" s="774"/>
      <c r="SXG112" s="774"/>
      <c r="SXH112" s="774"/>
      <c r="SXI112" s="774"/>
      <c r="SXJ112" s="774"/>
      <c r="SXK112" s="774"/>
      <c r="SXL112" s="774"/>
      <c r="SXM112" s="774"/>
      <c r="SXN112" s="774"/>
      <c r="SXO112" s="774"/>
      <c r="SXP112" s="774"/>
      <c r="SXQ112" s="774"/>
      <c r="SXR112" s="774"/>
      <c r="SXS112" s="774"/>
      <c r="SXT112" s="774"/>
      <c r="SXU112" s="774"/>
      <c r="SXV112" s="774"/>
      <c r="SXW112" s="774"/>
      <c r="SXX112" s="774"/>
      <c r="SXY112" s="774"/>
      <c r="SXZ112" s="774"/>
      <c r="SYA112" s="774"/>
      <c r="SYB112" s="774"/>
      <c r="SYC112" s="774"/>
      <c r="SYD112" s="774"/>
      <c r="SYE112" s="774"/>
      <c r="SYF112" s="774"/>
      <c r="SYG112" s="774"/>
      <c r="SYH112" s="774"/>
      <c r="SYI112" s="774"/>
      <c r="SYJ112" s="774"/>
      <c r="SYK112" s="774"/>
      <c r="SYL112" s="774"/>
      <c r="SYM112" s="774"/>
      <c r="SYN112" s="774"/>
      <c r="SYO112" s="774"/>
      <c r="SYP112" s="774"/>
      <c r="SYQ112" s="774"/>
      <c r="SYR112" s="774"/>
      <c r="SYS112" s="774"/>
      <c r="SYT112" s="774"/>
      <c r="SYU112" s="774"/>
      <c r="SYV112" s="774"/>
      <c r="SYW112" s="774"/>
      <c r="SYX112" s="774"/>
      <c r="SYY112" s="774"/>
      <c r="SYZ112" s="774"/>
      <c r="SZA112" s="774"/>
      <c r="SZB112" s="774"/>
      <c r="SZC112" s="774"/>
      <c r="SZD112" s="774"/>
      <c r="SZE112" s="774"/>
      <c r="SZF112" s="774"/>
      <c r="SZG112" s="774"/>
      <c r="SZH112" s="774"/>
      <c r="SZI112" s="774"/>
      <c r="SZJ112" s="774"/>
      <c r="SZK112" s="774"/>
      <c r="SZL112" s="774"/>
      <c r="SZM112" s="774"/>
      <c r="SZN112" s="774"/>
      <c r="SZO112" s="774"/>
      <c r="SZP112" s="774"/>
      <c r="SZQ112" s="774"/>
      <c r="SZR112" s="774"/>
      <c r="SZS112" s="774"/>
      <c r="SZT112" s="774"/>
      <c r="SZU112" s="774"/>
      <c r="SZV112" s="774"/>
      <c r="SZW112" s="774"/>
      <c r="SZX112" s="774"/>
      <c r="SZY112" s="774"/>
      <c r="SZZ112" s="774"/>
      <c r="TAA112" s="774"/>
      <c r="TAB112" s="774"/>
      <c r="TAC112" s="774"/>
      <c r="TAD112" s="774"/>
      <c r="TAE112" s="774"/>
      <c r="TAF112" s="774"/>
      <c r="TAG112" s="774"/>
      <c r="TAH112" s="774"/>
      <c r="TAI112" s="774"/>
      <c r="TAJ112" s="774"/>
      <c r="TAK112" s="774"/>
      <c r="TAL112" s="774"/>
      <c r="TAM112" s="774"/>
      <c r="TAN112" s="774"/>
      <c r="TAO112" s="774"/>
      <c r="TAP112" s="774"/>
      <c r="TAQ112" s="774"/>
      <c r="TAR112" s="774"/>
      <c r="TAS112" s="774"/>
      <c r="TAT112" s="774"/>
      <c r="TAU112" s="774"/>
      <c r="TAV112" s="774"/>
      <c r="TAW112" s="774"/>
      <c r="TAX112" s="774"/>
      <c r="TAY112" s="774"/>
      <c r="TAZ112" s="774"/>
      <c r="TBA112" s="774"/>
      <c r="TBB112" s="774"/>
      <c r="TBC112" s="774"/>
      <c r="TBD112" s="774"/>
      <c r="TBE112" s="774"/>
      <c r="TBF112" s="774"/>
      <c r="TBG112" s="774"/>
      <c r="TBH112" s="774"/>
      <c r="TBI112" s="774"/>
      <c r="TBJ112" s="774"/>
      <c r="TBK112" s="774"/>
      <c r="TBL112" s="774"/>
      <c r="TBM112" s="774"/>
      <c r="TBN112" s="774"/>
      <c r="TBO112" s="774"/>
      <c r="TBP112" s="774"/>
      <c r="TBQ112" s="774"/>
      <c r="TBR112" s="774"/>
      <c r="TBS112" s="774"/>
      <c r="TBT112" s="774"/>
      <c r="TBU112" s="774"/>
      <c r="TBV112" s="774"/>
      <c r="TBW112" s="774"/>
      <c r="TBX112" s="774"/>
      <c r="TBY112" s="774"/>
      <c r="TBZ112" s="774"/>
      <c r="TCA112" s="774"/>
      <c r="TCB112" s="774"/>
      <c r="TCC112" s="774"/>
      <c r="TCD112" s="774"/>
      <c r="TCE112" s="774"/>
      <c r="TCF112" s="774"/>
      <c r="TCG112" s="774"/>
      <c r="TCH112" s="774"/>
      <c r="TCI112" s="774"/>
      <c r="TCJ112" s="774"/>
      <c r="TCK112" s="774"/>
      <c r="TCL112" s="774"/>
      <c r="TCM112" s="774"/>
      <c r="TCN112" s="774"/>
      <c r="TCO112" s="774"/>
      <c r="TCP112" s="774"/>
      <c r="TCQ112" s="774"/>
      <c r="TCR112" s="774"/>
      <c r="TCS112" s="774"/>
      <c r="TCT112" s="774"/>
      <c r="TCU112" s="774"/>
      <c r="TCV112" s="774"/>
      <c r="TCW112" s="774"/>
      <c r="TCX112" s="774"/>
      <c r="TCY112" s="774"/>
      <c r="TCZ112" s="774"/>
      <c r="TDA112" s="774"/>
      <c r="TDB112" s="774"/>
      <c r="TDC112" s="774"/>
      <c r="TDD112" s="774"/>
      <c r="TDE112" s="774"/>
      <c r="TDF112" s="774"/>
      <c r="TDG112" s="774"/>
      <c r="TDH112" s="774"/>
      <c r="TDI112" s="774"/>
      <c r="TDJ112" s="774"/>
      <c r="TDK112" s="774"/>
      <c r="TDL112" s="774"/>
      <c r="TDM112" s="774"/>
      <c r="TDN112" s="774"/>
      <c r="TDO112" s="774"/>
      <c r="TDP112" s="774"/>
      <c r="TDQ112" s="774"/>
      <c r="TDR112" s="774"/>
      <c r="TDS112" s="774"/>
      <c r="TDT112" s="774"/>
      <c r="TDU112" s="774"/>
      <c r="TDV112" s="774"/>
      <c r="TDW112" s="774"/>
      <c r="TDX112" s="774"/>
      <c r="TDY112" s="774"/>
      <c r="TDZ112" s="774"/>
      <c r="TEA112" s="774"/>
      <c r="TEB112" s="774"/>
      <c r="TEC112" s="774"/>
      <c r="TED112" s="774"/>
      <c r="TEE112" s="774"/>
      <c r="TEF112" s="774"/>
      <c r="TEG112" s="774"/>
      <c r="TEH112" s="774"/>
      <c r="TEI112" s="774"/>
      <c r="TEJ112" s="774"/>
      <c r="TEK112" s="774"/>
      <c r="TEL112" s="774"/>
      <c r="TEM112" s="774"/>
      <c r="TEN112" s="774"/>
      <c r="TEO112" s="774"/>
      <c r="TEP112" s="774"/>
      <c r="TEQ112" s="774"/>
      <c r="TER112" s="774"/>
      <c r="TES112" s="774"/>
      <c r="TET112" s="774"/>
      <c r="TEU112" s="774"/>
      <c r="TEV112" s="774"/>
      <c r="TEW112" s="774"/>
      <c r="TEX112" s="774"/>
      <c r="TEY112" s="774"/>
      <c r="TEZ112" s="774"/>
      <c r="TFA112" s="774"/>
      <c r="TFB112" s="774"/>
      <c r="TFC112" s="774"/>
      <c r="TFD112" s="774"/>
      <c r="TFE112" s="774"/>
      <c r="TFF112" s="774"/>
      <c r="TFG112" s="774"/>
      <c r="TFH112" s="774"/>
      <c r="TFI112" s="774"/>
      <c r="TFJ112" s="774"/>
      <c r="TFK112" s="774"/>
      <c r="TFL112" s="774"/>
      <c r="TFM112" s="774"/>
      <c r="TFN112" s="774"/>
      <c r="TFO112" s="774"/>
      <c r="TFP112" s="774"/>
      <c r="TFQ112" s="774"/>
      <c r="TFR112" s="774"/>
      <c r="TFS112" s="774"/>
      <c r="TFT112" s="774"/>
      <c r="TFU112" s="774"/>
      <c r="TFV112" s="774"/>
      <c r="TFW112" s="774"/>
      <c r="TFX112" s="774"/>
      <c r="TFY112" s="774"/>
      <c r="TFZ112" s="774"/>
      <c r="TGA112" s="774"/>
      <c r="TGB112" s="774"/>
      <c r="TGC112" s="774"/>
      <c r="TGD112" s="774"/>
      <c r="TGE112" s="774"/>
      <c r="TGF112" s="774"/>
      <c r="TGG112" s="774"/>
      <c r="TGH112" s="774"/>
      <c r="TGI112" s="774"/>
      <c r="TGJ112" s="774"/>
      <c r="TGK112" s="774"/>
      <c r="TGL112" s="774"/>
      <c r="TGM112" s="774"/>
      <c r="TGN112" s="774"/>
      <c r="TGO112" s="774"/>
      <c r="TGP112" s="774"/>
      <c r="TGQ112" s="774"/>
      <c r="TGR112" s="774"/>
      <c r="TGS112" s="774"/>
      <c r="TGT112" s="774"/>
      <c r="TGU112" s="774"/>
      <c r="TGV112" s="774"/>
      <c r="TGW112" s="774"/>
      <c r="TGX112" s="774"/>
      <c r="TGY112" s="774"/>
      <c r="TGZ112" s="774"/>
      <c r="THA112" s="774"/>
      <c r="THB112" s="774"/>
      <c r="THC112" s="774"/>
      <c r="THD112" s="774"/>
      <c r="THE112" s="774"/>
      <c r="THF112" s="774"/>
      <c r="THG112" s="774"/>
      <c r="THH112" s="774"/>
      <c r="THI112" s="774"/>
      <c r="THJ112" s="774"/>
      <c r="THK112" s="774"/>
      <c r="THL112" s="774"/>
      <c r="THM112" s="774"/>
      <c r="THN112" s="774"/>
      <c r="THO112" s="774"/>
      <c r="THP112" s="774"/>
      <c r="THQ112" s="774"/>
      <c r="THR112" s="774"/>
      <c r="THS112" s="774"/>
      <c r="THT112" s="774"/>
      <c r="THU112" s="774"/>
      <c r="THV112" s="774"/>
      <c r="THW112" s="774"/>
      <c r="THX112" s="774"/>
      <c r="THY112" s="774"/>
      <c r="THZ112" s="774"/>
      <c r="TIA112" s="774"/>
      <c r="TIB112" s="774"/>
      <c r="TIC112" s="774"/>
      <c r="TID112" s="774"/>
      <c r="TIE112" s="774"/>
      <c r="TIF112" s="774"/>
      <c r="TIG112" s="774"/>
      <c r="TIH112" s="774"/>
      <c r="TII112" s="774"/>
      <c r="TIJ112" s="774"/>
      <c r="TIK112" s="774"/>
      <c r="TIL112" s="774"/>
      <c r="TIM112" s="774"/>
      <c r="TIN112" s="774"/>
      <c r="TIO112" s="774"/>
      <c r="TIP112" s="774"/>
      <c r="TIQ112" s="774"/>
      <c r="TIR112" s="774"/>
      <c r="TIS112" s="774"/>
      <c r="TIT112" s="774"/>
      <c r="TIU112" s="774"/>
      <c r="TIV112" s="774"/>
      <c r="TIW112" s="774"/>
      <c r="TIX112" s="774"/>
      <c r="TIY112" s="774"/>
      <c r="TIZ112" s="774"/>
      <c r="TJA112" s="774"/>
      <c r="TJB112" s="774"/>
      <c r="TJC112" s="774"/>
      <c r="TJD112" s="774"/>
      <c r="TJE112" s="774"/>
      <c r="TJF112" s="774"/>
      <c r="TJG112" s="774"/>
      <c r="TJH112" s="774"/>
      <c r="TJI112" s="774"/>
      <c r="TJJ112" s="774"/>
      <c r="TJK112" s="774"/>
      <c r="TJL112" s="774"/>
      <c r="TJM112" s="774"/>
      <c r="TJN112" s="774"/>
      <c r="TJO112" s="774"/>
      <c r="TJP112" s="774"/>
      <c r="TJQ112" s="774"/>
      <c r="TJR112" s="774"/>
      <c r="TJS112" s="774"/>
      <c r="TJT112" s="774"/>
      <c r="TJU112" s="774"/>
      <c r="TJV112" s="774"/>
      <c r="TJW112" s="774"/>
      <c r="TJX112" s="774"/>
      <c r="TJY112" s="774"/>
      <c r="TJZ112" s="774"/>
      <c r="TKA112" s="774"/>
      <c r="TKB112" s="774"/>
      <c r="TKC112" s="774"/>
      <c r="TKD112" s="774"/>
      <c r="TKE112" s="774"/>
      <c r="TKF112" s="774"/>
      <c r="TKG112" s="774"/>
      <c r="TKH112" s="774"/>
      <c r="TKI112" s="774"/>
      <c r="TKJ112" s="774"/>
      <c r="TKK112" s="774"/>
      <c r="TKL112" s="774"/>
      <c r="TKM112" s="774"/>
      <c r="TKN112" s="774"/>
      <c r="TKO112" s="774"/>
      <c r="TKP112" s="774"/>
      <c r="TKQ112" s="774"/>
      <c r="TKR112" s="774"/>
      <c r="TKS112" s="774"/>
      <c r="TKT112" s="774"/>
      <c r="TKU112" s="774"/>
      <c r="TKV112" s="774"/>
      <c r="TKW112" s="774"/>
      <c r="TKX112" s="774"/>
      <c r="TKY112" s="774"/>
      <c r="TKZ112" s="774"/>
      <c r="TLA112" s="774"/>
      <c r="TLB112" s="774"/>
      <c r="TLC112" s="774"/>
      <c r="TLD112" s="774"/>
      <c r="TLE112" s="774"/>
      <c r="TLF112" s="774"/>
      <c r="TLG112" s="774"/>
      <c r="TLH112" s="774"/>
      <c r="TLI112" s="774"/>
      <c r="TLJ112" s="774"/>
      <c r="TLK112" s="774"/>
      <c r="TLL112" s="774"/>
      <c r="TLM112" s="774"/>
      <c r="TLN112" s="774"/>
      <c r="TLO112" s="774"/>
      <c r="TLP112" s="774"/>
      <c r="TLQ112" s="774"/>
      <c r="TLR112" s="774"/>
      <c r="TLS112" s="774"/>
      <c r="TLT112" s="774"/>
      <c r="TLU112" s="774"/>
      <c r="TLV112" s="774"/>
      <c r="TLW112" s="774"/>
      <c r="TLX112" s="774"/>
      <c r="TLY112" s="774"/>
      <c r="TLZ112" s="774"/>
      <c r="TMA112" s="774"/>
      <c r="TMB112" s="774"/>
      <c r="TMC112" s="774"/>
      <c r="TMD112" s="774"/>
      <c r="TME112" s="774"/>
      <c r="TMF112" s="774"/>
      <c r="TMG112" s="774"/>
      <c r="TMH112" s="774"/>
      <c r="TMI112" s="774"/>
      <c r="TMJ112" s="774"/>
      <c r="TMK112" s="774"/>
      <c r="TML112" s="774"/>
      <c r="TMM112" s="774"/>
      <c r="TMN112" s="774"/>
      <c r="TMO112" s="774"/>
      <c r="TMP112" s="774"/>
      <c r="TMQ112" s="774"/>
      <c r="TMR112" s="774"/>
      <c r="TMS112" s="774"/>
      <c r="TMT112" s="774"/>
      <c r="TMU112" s="774"/>
      <c r="TMV112" s="774"/>
      <c r="TMW112" s="774"/>
      <c r="TMX112" s="774"/>
      <c r="TMY112" s="774"/>
      <c r="TMZ112" s="774"/>
      <c r="TNA112" s="774"/>
      <c r="TNB112" s="774"/>
      <c r="TNC112" s="774"/>
      <c r="TND112" s="774"/>
      <c r="TNE112" s="774"/>
      <c r="TNF112" s="774"/>
      <c r="TNG112" s="774"/>
      <c r="TNH112" s="774"/>
      <c r="TNI112" s="774"/>
      <c r="TNJ112" s="774"/>
      <c r="TNK112" s="774"/>
      <c r="TNL112" s="774"/>
      <c r="TNM112" s="774"/>
      <c r="TNN112" s="774"/>
      <c r="TNO112" s="774"/>
      <c r="TNP112" s="774"/>
      <c r="TNQ112" s="774"/>
      <c r="TNR112" s="774"/>
      <c r="TNS112" s="774"/>
      <c r="TNT112" s="774"/>
      <c r="TNU112" s="774"/>
      <c r="TNV112" s="774"/>
      <c r="TNW112" s="774"/>
      <c r="TNX112" s="774"/>
      <c r="TNY112" s="774"/>
      <c r="TNZ112" s="774"/>
      <c r="TOA112" s="774"/>
      <c r="TOB112" s="774"/>
      <c r="TOC112" s="774"/>
      <c r="TOD112" s="774"/>
      <c r="TOE112" s="774"/>
      <c r="TOF112" s="774"/>
      <c r="TOG112" s="774"/>
      <c r="TOH112" s="774"/>
      <c r="TOI112" s="774"/>
      <c r="TOJ112" s="774"/>
      <c r="TOK112" s="774"/>
      <c r="TOL112" s="774"/>
      <c r="TOM112" s="774"/>
      <c r="TON112" s="774"/>
      <c r="TOO112" s="774"/>
      <c r="TOP112" s="774"/>
      <c r="TOQ112" s="774"/>
      <c r="TOR112" s="774"/>
      <c r="TOS112" s="774"/>
      <c r="TOT112" s="774"/>
      <c r="TOU112" s="774"/>
      <c r="TOV112" s="774"/>
      <c r="TOW112" s="774"/>
      <c r="TOX112" s="774"/>
      <c r="TOY112" s="774"/>
      <c r="TOZ112" s="774"/>
      <c r="TPA112" s="774"/>
      <c r="TPB112" s="774"/>
      <c r="TPC112" s="774"/>
      <c r="TPD112" s="774"/>
      <c r="TPE112" s="774"/>
      <c r="TPF112" s="774"/>
      <c r="TPG112" s="774"/>
      <c r="TPH112" s="774"/>
      <c r="TPI112" s="774"/>
      <c r="TPJ112" s="774"/>
      <c r="TPK112" s="774"/>
      <c r="TPL112" s="774"/>
      <c r="TPM112" s="774"/>
      <c r="TPN112" s="774"/>
      <c r="TPO112" s="774"/>
      <c r="TPP112" s="774"/>
      <c r="TPQ112" s="774"/>
      <c r="TPR112" s="774"/>
      <c r="TPS112" s="774"/>
      <c r="TPT112" s="774"/>
      <c r="TPU112" s="774"/>
      <c r="TPV112" s="774"/>
      <c r="TPW112" s="774"/>
      <c r="TPX112" s="774"/>
      <c r="TPY112" s="774"/>
      <c r="TPZ112" s="774"/>
      <c r="TQA112" s="774"/>
      <c r="TQB112" s="774"/>
      <c r="TQC112" s="774"/>
      <c r="TQD112" s="774"/>
      <c r="TQE112" s="774"/>
      <c r="TQF112" s="774"/>
      <c r="TQG112" s="774"/>
      <c r="TQH112" s="774"/>
      <c r="TQI112" s="774"/>
      <c r="TQJ112" s="774"/>
      <c r="TQK112" s="774"/>
      <c r="TQL112" s="774"/>
      <c r="TQM112" s="774"/>
      <c r="TQN112" s="774"/>
      <c r="TQO112" s="774"/>
      <c r="TQP112" s="774"/>
      <c r="TQQ112" s="774"/>
      <c r="TQR112" s="774"/>
      <c r="TQS112" s="774"/>
      <c r="TQT112" s="774"/>
      <c r="TQU112" s="774"/>
      <c r="TQV112" s="774"/>
      <c r="TQW112" s="774"/>
      <c r="TQX112" s="774"/>
      <c r="TQY112" s="774"/>
      <c r="TQZ112" s="774"/>
      <c r="TRA112" s="774"/>
      <c r="TRB112" s="774"/>
      <c r="TRC112" s="774"/>
      <c r="TRD112" s="774"/>
      <c r="TRE112" s="774"/>
      <c r="TRF112" s="774"/>
      <c r="TRG112" s="774"/>
      <c r="TRH112" s="774"/>
      <c r="TRI112" s="774"/>
      <c r="TRJ112" s="774"/>
      <c r="TRK112" s="774"/>
      <c r="TRL112" s="774"/>
      <c r="TRM112" s="774"/>
      <c r="TRN112" s="774"/>
      <c r="TRO112" s="774"/>
      <c r="TRP112" s="774"/>
      <c r="TRQ112" s="774"/>
      <c r="TRR112" s="774"/>
      <c r="TRS112" s="774"/>
      <c r="TRT112" s="774"/>
      <c r="TRU112" s="774"/>
      <c r="TRV112" s="774"/>
      <c r="TRW112" s="774"/>
      <c r="TRX112" s="774"/>
      <c r="TRY112" s="774"/>
      <c r="TRZ112" s="774"/>
      <c r="TSA112" s="774"/>
      <c r="TSB112" s="774"/>
      <c r="TSC112" s="774"/>
      <c r="TSD112" s="774"/>
      <c r="TSE112" s="774"/>
      <c r="TSF112" s="774"/>
      <c r="TSG112" s="774"/>
      <c r="TSH112" s="774"/>
      <c r="TSI112" s="774"/>
      <c r="TSJ112" s="774"/>
      <c r="TSK112" s="774"/>
      <c r="TSL112" s="774"/>
      <c r="TSM112" s="774"/>
      <c r="TSN112" s="774"/>
      <c r="TSO112" s="774"/>
      <c r="TSP112" s="774"/>
      <c r="TSQ112" s="774"/>
      <c r="TSR112" s="774"/>
      <c r="TSS112" s="774"/>
      <c r="TST112" s="774"/>
      <c r="TSU112" s="774"/>
      <c r="TSV112" s="774"/>
      <c r="TSW112" s="774"/>
      <c r="TSX112" s="774"/>
      <c r="TSY112" s="774"/>
      <c r="TSZ112" s="774"/>
      <c r="TTA112" s="774"/>
      <c r="TTB112" s="774"/>
      <c r="TTC112" s="774"/>
      <c r="TTD112" s="774"/>
      <c r="TTE112" s="774"/>
      <c r="TTF112" s="774"/>
      <c r="TTG112" s="774"/>
      <c r="TTH112" s="774"/>
      <c r="TTI112" s="774"/>
      <c r="TTJ112" s="774"/>
      <c r="TTK112" s="774"/>
      <c r="TTL112" s="774"/>
      <c r="TTM112" s="774"/>
      <c r="TTN112" s="774"/>
      <c r="TTO112" s="774"/>
      <c r="TTP112" s="774"/>
      <c r="TTQ112" s="774"/>
      <c r="TTR112" s="774"/>
      <c r="TTS112" s="774"/>
      <c r="TTT112" s="774"/>
      <c r="TTU112" s="774"/>
      <c r="TTV112" s="774"/>
      <c r="TTW112" s="774"/>
      <c r="TTX112" s="774"/>
      <c r="TTY112" s="774"/>
      <c r="TTZ112" s="774"/>
      <c r="TUA112" s="774"/>
      <c r="TUB112" s="774"/>
      <c r="TUC112" s="774"/>
      <c r="TUD112" s="774"/>
      <c r="TUE112" s="774"/>
      <c r="TUF112" s="774"/>
      <c r="TUG112" s="774"/>
      <c r="TUH112" s="774"/>
      <c r="TUI112" s="774"/>
      <c r="TUJ112" s="774"/>
      <c r="TUK112" s="774"/>
      <c r="TUL112" s="774"/>
      <c r="TUM112" s="774"/>
      <c r="TUN112" s="774"/>
      <c r="TUO112" s="774"/>
      <c r="TUP112" s="774"/>
      <c r="TUQ112" s="774"/>
      <c r="TUR112" s="774"/>
      <c r="TUS112" s="774"/>
      <c r="TUT112" s="774"/>
      <c r="TUU112" s="774"/>
      <c r="TUV112" s="774"/>
      <c r="TUW112" s="774"/>
      <c r="TUX112" s="774"/>
      <c r="TUY112" s="774"/>
      <c r="TUZ112" s="774"/>
      <c r="TVA112" s="774"/>
      <c r="TVB112" s="774"/>
      <c r="TVC112" s="774"/>
      <c r="TVD112" s="774"/>
      <c r="TVE112" s="774"/>
      <c r="TVF112" s="774"/>
      <c r="TVG112" s="774"/>
      <c r="TVH112" s="774"/>
      <c r="TVI112" s="774"/>
      <c r="TVJ112" s="774"/>
      <c r="TVK112" s="774"/>
      <c r="TVL112" s="774"/>
      <c r="TVM112" s="774"/>
      <c r="TVN112" s="774"/>
      <c r="TVO112" s="774"/>
      <c r="TVP112" s="774"/>
      <c r="TVQ112" s="774"/>
      <c r="TVR112" s="774"/>
      <c r="TVS112" s="774"/>
      <c r="TVT112" s="774"/>
      <c r="TVU112" s="774"/>
      <c r="TVV112" s="774"/>
      <c r="TVW112" s="774"/>
      <c r="TVX112" s="774"/>
      <c r="TVY112" s="774"/>
      <c r="TVZ112" s="774"/>
      <c r="TWA112" s="774"/>
      <c r="TWB112" s="774"/>
      <c r="TWC112" s="774"/>
      <c r="TWD112" s="774"/>
      <c r="TWE112" s="774"/>
      <c r="TWF112" s="774"/>
      <c r="TWG112" s="774"/>
      <c r="TWH112" s="774"/>
      <c r="TWI112" s="774"/>
      <c r="TWJ112" s="774"/>
      <c r="TWK112" s="774"/>
      <c r="TWL112" s="774"/>
      <c r="TWM112" s="774"/>
      <c r="TWN112" s="774"/>
      <c r="TWO112" s="774"/>
      <c r="TWP112" s="774"/>
      <c r="TWQ112" s="774"/>
      <c r="TWR112" s="774"/>
      <c r="TWS112" s="774"/>
      <c r="TWT112" s="774"/>
      <c r="TWU112" s="774"/>
      <c r="TWV112" s="774"/>
      <c r="TWW112" s="774"/>
      <c r="TWX112" s="774"/>
      <c r="TWY112" s="774"/>
      <c r="TWZ112" s="774"/>
      <c r="TXA112" s="774"/>
      <c r="TXB112" s="774"/>
      <c r="TXC112" s="774"/>
      <c r="TXD112" s="774"/>
      <c r="TXE112" s="774"/>
      <c r="TXF112" s="774"/>
      <c r="TXG112" s="774"/>
      <c r="TXH112" s="774"/>
      <c r="TXI112" s="774"/>
      <c r="TXJ112" s="774"/>
      <c r="TXK112" s="774"/>
      <c r="TXL112" s="774"/>
      <c r="TXM112" s="774"/>
      <c r="TXN112" s="774"/>
      <c r="TXO112" s="774"/>
      <c r="TXP112" s="774"/>
      <c r="TXQ112" s="774"/>
      <c r="TXR112" s="774"/>
      <c r="TXS112" s="774"/>
      <c r="TXT112" s="774"/>
      <c r="TXU112" s="774"/>
      <c r="TXV112" s="774"/>
      <c r="TXW112" s="774"/>
      <c r="TXX112" s="774"/>
      <c r="TXY112" s="774"/>
      <c r="TXZ112" s="774"/>
      <c r="TYA112" s="774"/>
      <c r="TYB112" s="774"/>
      <c r="TYC112" s="774"/>
      <c r="TYD112" s="774"/>
      <c r="TYE112" s="774"/>
      <c r="TYF112" s="774"/>
      <c r="TYG112" s="774"/>
      <c r="TYH112" s="774"/>
      <c r="TYI112" s="774"/>
      <c r="TYJ112" s="774"/>
      <c r="TYK112" s="774"/>
      <c r="TYL112" s="774"/>
      <c r="TYM112" s="774"/>
      <c r="TYN112" s="774"/>
      <c r="TYO112" s="774"/>
      <c r="TYP112" s="774"/>
      <c r="TYQ112" s="774"/>
      <c r="TYR112" s="774"/>
      <c r="TYS112" s="774"/>
      <c r="TYT112" s="774"/>
      <c r="TYU112" s="774"/>
      <c r="TYV112" s="774"/>
      <c r="TYW112" s="774"/>
      <c r="TYX112" s="774"/>
      <c r="TYY112" s="774"/>
      <c r="TYZ112" s="774"/>
      <c r="TZA112" s="774"/>
      <c r="TZB112" s="774"/>
      <c r="TZC112" s="774"/>
      <c r="TZD112" s="774"/>
      <c r="TZE112" s="774"/>
      <c r="TZF112" s="774"/>
      <c r="TZG112" s="774"/>
      <c r="TZH112" s="774"/>
      <c r="TZI112" s="774"/>
      <c r="TZJ112" s="774"/>
      <c r="TZK112" s="774"/>
      <c r="TZL112" s="774"/>
      <c r="TZM112" s="774"/>
      <c r="TZN112" s="774"/>
      <c r="TZO112" s="774"/>
      <c r="TZP112" s="774"/>
      <c r="TZQ112" s="774"/>
      <c r="TZR112" s="774"/>
      <c r="TZS112" s="774"/>
      <c r="TZT112" s="774"/>
      <c r="TZU112" s="774"/>
      <c r="TZV112" s="774"/>
      <c r="TZW112" s="774"/>
      <c r="TZX112" s="774"/>
      <c r="TZY112" s="774"/>
      <c r="TZZ112" s="774"/>
      <c r="UAA112" s="774"/>
      <c r="UAB112" s="774"/>
      <c r="UAC112" s="774"/>
      <c r="UAD112" s="774"/>
      <c r="UAE112" s="774"/>
      <c r="UAF112" s="774"/>
      <c r="UAG112" s="774"/>
      <c r="UAH112" s="774"/>
      <c r="UAI112" s="774"/>
      <c r="UAJ112" s="774"/>
      <c r="UAK112" s="774"/>
      <c r="UAL112" s="774"/>
      <c r="UAM112" s="774"/>
      <c r="UAN112" s="774"/>
      <c r="UAO112" s="774"/>
      <c r="UAP112" s="774"/>
      <c r="UAQ112" s="774"/>
      <c r="UAR112" s="774"/>
      <c r="UAS112" s="774"/>
      <c r="UAT112" s="774"/>
      <c r="UAU112" s="774"/>
      <c r="UAV112" s="774"/>
      <c r="UAW112" s="774"/>
      <c r="UAX112" s="774"/>
      <c r="UAY112" s="774"/>
      <c r="UAZ112" s="774"/>
      <c r="UBA112" s="774"/>
      <c r="UBB112" s="774"/>
      <c r="UBC112" s="774"/>
      <c r="UBD112" s="774"/>
      <c r="UBE112" s="774"/>
      <c r="UBF112" s="774"/>
      <c r="UBG112" s="774"/>
      <c r="UBH112" s="774"/>
      <c r="UBI112" s="774"/>
      <c r="UBJ112" s="774"/>
      <c r="UBK112" s="774"/>
      <c r="UBL112" s="774"/>
      <c r="UBM112" s="774"/>
      <c r="UBN112" s="774"/>
      <c r="UBO112" s="774"/>
      <c r="UBP112" s="774"/>
      <c r="UBQ112" s="774"/>
      <c r="UBR112" s="774"/>
      <c r="UBS112" s="774"/>
      <c r="UBT112" s="774"/>
      <c r="UBU112" s="774"/>
      <c r="UBV112" s="774"/>
      <c r="UBW112" s="774"/>
      <c r="UBX112" s="774"/>
      <c r="UBY112" s="774"/>
      <c r="UBZ112" s="774"/>
      <c r="UCA112" s="774"/>
      <c r="UCB112" s="774"/>
      <c r="UCC112" s="774"/>
      <c r="UCD112" s="774"/>
      <c r="UCE112" s="774"/>
      <c r="UCF112" s="774"/>
      <c r="UCG112" s="774"/>
      <c r="UCH112" s="774"/>
      <c r="UCI112" s="774"/>
      <c r="UCJ112" s="774"/>
      <c r="UCK112" s="774"/>
      <c r="UCL112" s="774"/>
      <c r="UCM112" s="774"/>
      <c r="UCN112" s="774"/>
      <c r="UCO112" s="774"/>
      <c r="UCP112" s="774"/>
      <c r="UCQ112" s="774"/>
      <c r="UCR112" s="774"/>
      <c r="UCS112" s="774"/>
      <c r="UCT112" s="774"/>
      <c r="UCU112" s="774"/>
      <c r="UCV112" s="774"/>
      <c r="UCW112" s="774"/>
      <c r="UCX112" s="774"/>
      <c r="UCY112" s="774"/>
      <c r="UCZ112" s="774"/>
      <c r="UDA112" s="774"/>
      <c r="UDB112" s="774"/>
      <c r="UDC112" s="774"/>
      <c r="UDD112" s="774"/>
      <c r="UDE112" s="774"/>
      <c r="UDF112" s="774"/>
      <c r="UDG112" s="774"/>
      <c r="UDH112" s="774"/>
      <c r="UDI112" s="774"/>
      <c r="UDJ112" s="774"/>
      <c r="UDK112" s="774"/>
      <c r="UDL112" s="774"/>
      <c r="UDM112" s="774"/>
      <c r="UDN112" s="774"/>
      <c r="UDO112" s="774"/>
      <c r="UDP112" s="774"/>
      <c r="UDQ112" s="774"/>
      <c r="UDR112" s="774"/>
      <c r="UDS112" s="774"/>
      <c r="UDT112" s="774"/>
      <c r="UDU112" s="774"/>
      <c r="UDV112" s="774"/>
      <c r="UDW112" s="774"/>
      <c r="UDX112" s="774"/>
      <c r="UDY112" s="774"/>
      <c r="UDZ112" s="774"/>
      <c r="UEA112" s="774"/>
      <c r="UEB112" s="774"/>
      <c r="UEC112" s="774"/>
      <c r="UED112" s="774"/>
      <c r="UEE112" s="774"/>
      <c r="UEF112" s="774"/>
      <c r="UEG112" s="774"/>
      <c r="UEH112" s="774"/>
      <c r="UEI112" s="774"/>
      <c r="UEJ112" s="774"/>
      <c r="UEK112" s="774"/>
      <c r="UEL112" s="774"/>
      <c r="UEM112" s="774"/>
      <c r="UEN112" s="774"/>
      <c r="UEO112" s="774"/>
      <c r="UEP112" s="774"/>
      <c r="UEQ112" s="774"/>
      <c r="UER112" s="774"/>
      <c r="UES112" s="774"/>
      <c r="UET112" s="774"/>
      <c r="UEU112" s="774"/>
      <c r="UEV112" s="774"/>
      <c r="UEW112" s="774"/>
      <c r="UEX112" s="774"/>
      <c r="UEY112" s="774"/>
      <c r="UEZ112" s="774"/>
      <c r="UFA112" s="774"/>
      <c r="UFB112" s="774"/>
      <c r="UFC112" s="774"/>
      <c r="UFD112" s="774"/>
      <c r="UFE112" s="774"/>
      <c r="UFF112" s="774"/>
      <c r="UFG112" s="774"/>
      <c r="UFH112" s="774"/>
      <c r="UFI112" s="774"/>
      <c r="UFJ112" s="774"/>
      <c r="UFK112" s="774"/>
      <c r="UFL112" s="774"/>
      <c r="UFM112" s="774"/>
      <c r="UFN112" s="774"/>
      <c r="UFO112" s="774"/>
      <c r="UFP112" s="774"/>
      <c r="UFQ112" s="774"/>
      <c r="UFR112" s="774"/>
      <c r="UFS112" s="774"/>
      <c r="UFT112" s="774"/>
      <c r="UFU112" s="774"/>
      <c r="UFV112" s="774"/>
      <c r="UFW112" s="774"/>
      <c r="UFX112" s="774"/>
      <c r="UFY112" s="774"/>
      <c r="UFZ112" s="774"/>
      <c r="UGA112" s="774"/>
      <c r="UGB112" s="774"/>
      <c r="UGC112" s="774"/>
      <c r="UGD112" s="774"/>
      <c r="UGE112" s="774"/>
      <c r="UGF112" s="774"/>
      <c r="UGG112" s="774"/>
      <c r="UGH112" s="774"/>
      <c r="UGI112" s="774"/>
      <c r="UGJ112" s="774"/>
      <c r="UGK112" s="774"/>
      <c r="UGL112" s="774"/>
      <c r="UGM112" s="774"/>
      <c r="UGN112" s="774"/>
      <c r="UGO112" s="774"/>
      <c r="UGP112" s="774"/>
      <c r="UGQ112" s="774"/>
      <c r="UGR112" s="774"/>
      <c r="UGS112" s="774"/>
      <c r="UGT112" s="774"/>
      <c r="UGU112" s="774"/>
      <c r="UGV112" s="774"/>
      <c r="UGW112" s="774"/>
      <c r="UGX112" s="774"/>
      <c r="UGY112" s="774"/>
      <c r="UGZ112" s="774"/>
      <c r="UHA112" s="774"/>
      <c r="UHB112" s="774"/>
      <c r="UHC112" s="774"/>
      <c r="UHD112" s="774"/>
      <c r="UHE112" s="774"/>
      <c r="UHF112" s="774"/>
      <c r="UHG112" s="774"/>
      <c r="UHH112" s="774"/>
      <c r="UHI112" s="774"/>
      <c r="UHJ112" s="774"/>
      <c r="UHK112" s="774"/>
      <c r="UHL112" s="774"/>
      <c r="UHM112" s="774"/>
      <c r="UHN112" s="774"/>
      <c r="UHO112" s="774"/>
      <c r="UHP112" s="774"/>
      <c r="UHQ112" s="774"/>
      <c r="UHR112" s="774"/>
      <c r="UHS112" s="774"/>
      <c r="UHT112" s="774"/>
      <c r="UHU112" s="774"/>
      <c r="UHV112" s="774"/>
      <c r="UHW112" s="774"/>
      <c r="UHX112" s="774"/>
      <c r="UHY112" s="774"/>
      <c r="UHZ112" s="774"/>
      <c r="UIA112" s="774"/>
      <c r="UIB112" s="774"/>
      <c r="UIC112" s="774"/>
      <c r="UID112" s="774"/>
      <c r="UIE112" s="774"/>
      <c r="UIF112" s="774"/>
      <c r="UIG112" s="774"/>
      <c r="UIH112" s="774"/>
      <c r="UII112" s="774"/>
      <c r="UIJ112" s="774"/>
      <c r="UIK112" s="774"/>
      <c r="UIL112" s="774"/>
      <c r="UIM112" s="774"/>
      <c r="UIN112" s="774"/>
      <c r="UIO112" s="774"/>
      <c r="UIP112" s="774"/>
      <c r="UIQ112" s="774"/>
      <c r="UIR112" s="774"/>
      <c r="UIS112" s="774"/>
      <c r="UIT112" s="774"/>
      <c r="UIU112" s="774"/>
      <c r="UIV112" s="774"/>
      <c r="UIW112" s="774"/>
      <c r="UIX112" s="774"/>
      <c r="UIY112" s="774"/>
      <c r="UIZ112" s="774"/>
      <c r="UJA112" s="774"/>
      <c r="UJB112" s="774"/>
      <c r="UJC112" s="774"/>
      <c r="UJD112" s="774"/>
      <c r="UJE112" s="774"/>
      <c r="UJF112" s="774"/>
      <c r="UJG112" s="774"/>
      <c r="UJH112" s="774"/>
      <c r="UJI112" s="774"/>
      <c r="UJJ112" s="774"/>
      <c r="UJK112" s="774"/>
      <c r="UJL112" s="774"/>
      <c r="UJM112" s="774"/>
      <c r="UJN112" s="774"/>
      <c r="UJO112" s="774"/>
      <c r="UJP112" s="774"/>
      <c r="UJQ112" s="774"/>
      <c r="UJR112" s="774"/>
      <c r="UJS112" s="774"/>
      <c r="UJT112" s="774"/>
      <c r="UJU112" s="774"/>
      <c r="UJV112" s="774"/>
      <c r="UJW112" s="774"/>
      <c r="UJX112" s="774"/>
      <c r="UJY112" s="774"/>
      <c r="UJZ112" s="774"/>
      <c r="UKA112" s="774"/>
      <c r="UKB112" s="774"/>
      <c r="UKC112" s="774"/>
      <c r="UKD112" s="774"/>
      <c r="UKE112" s="774"/>
      <c r="UKF112" s="774"/>
      <c r="UKG112" s="774"/>
      <c r="UKH112" s="774"/>
      <c r="UKI112" s="774"/>
      <c r="UKJ112" s="774"/>
      <c r="UKK112" s="774"/>
      <c r="UKL112" s="774"/>
      <c r="UKM112" s="774"/>
      <c r="UKN112" s="774"/>
      <c r="UKO112" s="774"/>
      <c r="UKP112" s="774"/>
      <c r="UKQ112" s="774"/>
      <c r="UKR112" s="774"/>
      <c r="UKS112" s="774"/>
      <c r="UKT112" s="774"/>
      <c r="UKU112" s="774"/>
      <c r="UKV112" s="774"/>
      <c r="UKW112" s="774"/>
      <c r="UKX112" s="774"/>
      <c r="UKY112" s="774"/>
      <c r="UKZ112" s="774"/>
      <c r="ULA112" s="774"/>
      <c r="ULB112" s="774"/>
      <c r="ULC112" s="774"/>
      <c r="ULD112" s="774"/>
      <c r="ULE112" s="774"/>
      <c r="ULF112" s="774"/>
      <c r="ULG112" s="774"/>
      <c r="ULH112" s="774"/>
      <c r="ULI112" s="774"/>
      <c r="ULJ112" s="774"/>
      <c r="ULK112" s="774"/>
      <c r="ULL112" s="774"/>
      <c r="ULM112" s="774"/>
      <c r="ULN112" s="774"/>
      <c r="ULO112" s="774"/>
      <c r="ULP112" s="774"/>
      <c r="ULQ112" s="774"/>
      <c r="ULR112" s="774"/>
      <c r="ULS112" s="774"/>
      <c r="ULT112" s="774"/>
      <c r="ULU112" s="774"/>
      <c r="ULV112" s="774"/>
      <c r="ULW112" s="774"/>
      <c r="ULX112" s="774"/>
      <c r="ULY112" s="774"/>
      <c r="ULZ112" s="774"/>
      <c r="UMA112" s="774"/>
      <c r="UMB112" s="774"/>
      <c r="UMC112" s="774"/>
      <c r="UMD112" s="774"/>
      <c r="UME112" s="774"/>
      <c r="UMF112" s="774"/>
      <c r="UMG112" s="774"/>
      <c r="UMH112" s="774"/>
      <c r="UMI112" s="774"/>
      <c r="UMJ112" s="774"/>
      <c r="UMK112" s="774"/>
      <c r="UML112" s="774"/>
      <c r="UMM112" s="774"/>
      <c r="UMN112" s="774"/>
      <c r="UMO112" s="774"/>
      <c r="UMP112" s="774"/>
      <c r="UMQ112" s="774"/>
      <c r="UMR112" s="774"/>
      <c r="UMS112" s="774"/>
      <c r="UMT112" s="774"/>
      <c r="UMU112" s="774"/>
      <c r="UMV112" s="774"/>
      <c r="UMW112" s="774"/>
      <c r="UMX112" s="774"/>
      <c r="UMY112" s="774"/>
      <c r="UMZ112" s="774"/>
      <c r="UNA112" s="774"/>
      <c r="UNB112" s="774"/>
      <c r="UNC112" s="774"/>
      <c r="UND112" s="774"/>
      <c r="UNE112" s="774"/>
      <c r="UNF112" s="774"/>
      <c r="UNG112" s="774"/>
      <c r="UNH112" s="774"/>
      <c r="UNI112" s="774"/>
      <c r="UNJ112" s="774"/>
      <c r="UNK112" s="774"/>
      <c r="UNL112" s="774"/>
      <c r="UNM112" s="774"/>
      <c r="UNN112" s="774"/>
      <c r="UNO112" s="774"/>
      <c r="UNP112" s="774"/>
      <c r="UNQ112" s="774"/>
      <c r="UNR112" s="774"/>
      <c r="UNS112" s="774"/>
      <c r="UNT112" s="774"/>
      <c r="UNU112" s="774"/>
      <c r="UNV112" s="774"/>
      <c r="UNW112" s="774"/>
      <c r="UNX112" s="774"/>
      <c r="UNY112" s="774"/>
      <c r="UNZ112" s="774"/>
      <c r="UOA112" s="774"/>
      <c r="UOB112" s="774"/>
      <c r="UOC112" s="774"/>
      <c r="UOD112" s="774"/>
      <c r="UOE112" s="774"/>
      <c r="UOF112" s="774"/>
      <c r="UOG112" s="774"/>
      <c r="UOH112" s="774"/>
      <c r="UOI112" s="774"/>
      <c r="UOJ112" s="774"/>
      <c r="UOK112" s="774"/>
      <c r="UOL112" s="774"/>
      <c r="UOM112" s="774"/>
      <c r="UON112" s="774"/>
      <c r="UOO112" s="774"/>
      <c r="UOP112" s="774"/>
      <c r="UOQ112" s="774"/>
      <c r="UOR112" s="774"/>
      <c r="UOS112" s="774"/>
      <c r="UOT112" s="774"/>
      <c r="UOU112" s="774"/>
      <c r="UOV112" s="774"/>
      <c r="UOW112" s="774"/>
      <c r="UOX112" s="774"/>
      <c r="UOY112" s="774"/>
      <c r="UOZ112" s="774"/>
      <c r="UPA112" s="774"/>
      <c r="UPB112" s="774"/>
      <c r="UPC112" s="774"/>
      <c r="UPD112" s="774"/>
      <c r="UPE112" s="774"/>
      <c r="UPF112" s="774"/>
      <c r="UPG112" s="774"/>
      <c r="UPH112" s="774"/>
      <c r="UPI112" s="774"/>
      <c r="UPJ112" s="774"/>
      <c r="UPK112" s="774"/>
      <c r="UPL112" s="774"/>
      <c r="UPM112" s="774"/>
      <c r="UPN112" s="774"/>
      <c r="UPO112" s="774"/>
      <c r="UPP112" s="774"/>
      <c r="UPQ112" s="774"/>
      <c r="UPR112" s="774"/>
      <c r="UPS112" s="774"/>
      <c r="UPT112" s="774"/>
      <c r="UPU112" s="774"/>
      <c r="UPV112" s="774"/>
      <c r="UPW112" s="774"/>
      <c r="UPX112" s="774"/>
      <c r="UPY112" s="774"/>
      <c r="UPZ112" s="774"/>
      <c r="UQA112" s="774"/>
      <c r="UQB112" s="774"/>
      <c r="UQC112" s="774"/>
      <c r="UQD112" s="774"/>
      <c r="UQE112" s="774"/>
      <c r="UQF112" s="774"/>
      <c r="UQG112" s="774"/>
      <c r="UQH112" s="774"/>
      <c r="UQI112" s="774"/>
      <c r="UQJ112" s="774"/>
      <c r="UQK112" s="774"/>
      <c r="UQL112" s="774"/>
      <c r="UQM112" s="774"/>
      <c r="UQN112" s="774"/>
      <c r="UQO112" s="774"/>
      <c r="UQP112" s="774"/>
      <c r="UQQ112" s="774"/>
      <c r="UQR112" s="774"/>
      <c r="UQS112" s="774"/>
      <c r="UQT112" s="774"/>
      <c r="UQU112" s="774"/>
      <c r="UQV112" s="774"/>
      <c r="UQW112" s="774"/>
      <c r="UQX112" s="774"/>
      <c r="UQY112" s="774"/>
      <c r="UQZ112" s="774"/>
      <c r="URA112" s="774"/>
      <c r="URB112" s="774"/>
      <c r="URC112" s="774"/>
      <c r="URD112" s="774"/>
      <c r="URE112" s="774"/>
      <c r="URF112" s="774"/>
      <c r="URG112" s="774"/>
      <c r="URH112" s="774"/>
      <c r="URI112" s="774"/>
      <c r="URJ112" s="774"/>
      <c r="URK112" s="774"/>
      <c r="URL112" s="774"/>
      <c r="URM112" s="774"/>
      <c r="URN112" s="774"/>
      <c r="URO112" s="774"/>
      <c r="URP112" s="774"/>
      <c r="URQ112" s="774"/>
      <c r="URR112" s="774"/>
      <c r="URS112" s="774"/>
      <c r="URT112" s="774"/>
      <c r="URU112" s="774"/>
      <c r="URV112" s="774"/>
      <c r="URW112" s="774"/>
      <c r="URX112" s="774"/>
      <c r="URY112" s="774"/>
      <c r="URZ112" s="774"/>
      <c r="USA112" s="774"/>
      <c r="USB112" s="774"/>
      <c r="USC112" s="774"/>
      <c r="USD112" s="774"/>
      <c r="USE112" s="774"/>
      <c r="USF112" s="774"/>
      <c r="USG112" s="774"/>
      <c r="USH112" s="774"/>
      <c r="USI112" s="774"/>
      <c r="USJ112" s="774"/>
      <c r="USK112" s="774"/>
      <c r="USL112" s="774"/>
      <c r="USM112" s="774"/>
      <c r="USN112" s="774"/>
      <c r="USO112" s="774"/>
      <c r="USP112" s="774"/>
      <c r="USQ112" s="774"/>
      <c r="USR112" s="774"/>
      <c r="USS112" s="774"/>
      <c r="UST112" s="774"/>
      <c r="USU112" s="774"/>
      <c r="USV112" s="774"/>
      <c r="USW112" s="774"/>
      <c r="USX112" s="774"/>
      <c r="USY112" s="774"/>
      <c r="USZ112" s="774"/>
      <c r="UTA112" s="774"/>
      <c r="UTB112" s="774"/>
      <c r="UTC112" s="774"/>
      <c r="UTD112" s="774"/>
      <c r="UTE112" s="774"/>
      <c r="UTF112" s="774"/>
      <c r="UTG112" s="774"/>
      <c r="UTH112" s="774"/>
      <c r="UTI112" s="774"/>
      <c r="UTJ112" s="774"/>
      <c r="UTK112" s="774"/>
      <c r="UTL112" s="774"/>
      <c r="UTM112" s="774"/>
      <c r="UTN112" s="774"/>
      <c r="UTO112" s="774"/>
      <c r="UTP112" s="774"/>
      <c r="UTQ112" s="774"/>
      <c r="UTR112" s="774"/>
      <c r="UTS112" s="774"/>
      <c r="UTT112" s="774"/>
      <c r="UTU112" s="774"/>
      <c r="UTV112" s="774"/>
      <c r="UTW112" s="774"/>
      <c r="UTX112" s="774"/>
      <c r="UTY112" s="774"/>
      <c r="UTZ112" s="774"/>
      <c r="UUA112" s="774"/>
      <c r="UUB112" s="774"/>
      <c r="UUC112" s="774"/>
      <c r="UUD112" s="774"/>
      <c r="UUE112" s="774"/>
      <c r="UUF112" s="774"/>
      <c r="UUG112" s="774"/>
      <c r="UUH112" s="774"/>
      <c r="UUI112" s="774"/>
      <c r="UUJ112" s="774"/>
      <c r="UUK112" s="774"/>
      <c r="UUL112" s="774"/>
      <c r="UUM112" s="774"/>
      <c r="UUN112" s="774"/>
      <c r="UUO112" s="774"/>
      <c r="UUP112" s="774"/>
      <c r="UUQ112" s="774"/>
      <c r="UUR112" s="774"/>
      <c r="UUS112" s="774"/>
      <c r="UUT112" s="774"/>
      <c r="UUU112" s="774"/>
      <c r="UUV112" s="774"/>
      <c r="UUW112" s="774"/>
      <c r="UUX112" s="774"/>
      <c r="UUY112" s="774"/>
      <c r="UUZ112" s="774"/>
      <c r="UVA112" s="774"/>
      <c r="UVB112" s="774"/>
      <c r="UVC112" s="774"/>
      <c r="UVD112" s="774"/>
      <c r="UVE112" s="774"/>
      <c r="UVF112" s="774"/>
      <c r="UVG112" s="774"/>
      <c r="UVH112" s="774"/>
      <c r="UVI112" s="774"/>
      <c r="UVJ112" s="774"/>
      <c r="UVK112" s="774"/>
      <c r="UVL112" s="774"/>
      <c r="UVM112" s="774"/>
      <c r="UVN112" s="774"/>
      <c r="UVO112" s="774"/>
      <c r="UVP112" s="774"/>
      <c r="UVQ112" s="774"/>
      <c r="UVR112" s="774"/>
      <c r="UVS112" s="774"/>
      <c r="UVT112" s="774"/>
      <c r="UVU112" s="774"/>
      <c r="UVV112" s="774"/>
      <c r="UVW112" s="774"/>
      <c r="UVX112" s="774"/>
      <c r="UVY112" s="774"/>
      <c r="UVZ112" s="774"/>
      <c r="UWA112" s="774"/>
      <c r="UWB112" s="774"/>
      <c r="UWC112" s="774"/>
      <c r="UWD112" s="774"/>
      <c r="UWE112" s="774"/>
      <c r="UWF112" s="774"/>
      <c r="UWG112" s="774"/>
      <c r="UWH112" s="774"/>
      <c r="UWI112" s="774"/>
      <c r="UWJ112" s="774"/>
      <c r="UWK112" s="774"/>
      <c r="UWL112" s="774"/>
      <c r="UWM112" s="774"/>
      <c r="UWN112" s="774"/>
      <c r="UWO112" s="774"/>
      <c r="UWP112" s="774"/>
      <c r="UWQ112" s="774"/>
      <c r="UWR112" s="774"/>
      <c r="UWS112" s="774"/>
      <c r="UWT112" s="774"/>
      <c r="UWU112" s="774"/>
      <c r="UWV112" s="774"/>
      <c r="UWW112" s="774"/>
      <c r="UWX112" s="774"/>
      <c r="UWY112" s="774"/>
      <c r="UWZ112" s="774"/>
      <c r="UXA112" s="774"/>
      <c r="UXB112" s="774"/>
      <c r="UXC112" s="774"/>
      <c r="UXD112" s="774"/>
      <c r="UXE112" s="774"/>
      <c r="UXF112" s="774"/>
      <c r="UXG112" s="774"/>
      <c r="UXH112" s="774"/>
      <c r="UXI112" s="774"/>
      <c r="UXJ112" s="774"/>
      <c r="UXK112" s="774"/>
      <c r="UXL112" s="774"/>
      <c r="UXM112" s="774"/>
      <c r="UXN112" s="774"/>
      <c r="UXO112" s="774"/>
      <c r="UXP112" s="774"/>
      <c r="UXQ112" s="774"/>
      <c r="UXR112" s="774"/>
      <c r="UXS112" s="774"/>
      <c r="UXT112" s="774"/>
      <c r="UXU112" s="774"/>
      <c r="UXV112" s="774"/>
      <c r="UXW112" s="774"/>
      <c r="UXX112" s="774"/>
      <c r="UXY112" s="774"/>
      <c r="UXZ112" s="774"/>
      <c r="UYA112" s="774"/>
      <c r="UYB112" s="774"/>
      <c r="UYC112" s="774"/>
      <c r="UYD112" s="774"/>
      <c r="UYE112" s="774"/>
      <c r="UYF112" s="774"/>
      <c r="UYG112" s="774"/>
      <c r="UYH112" s="774"/>
      <c r="UYI112" s="774"/>
      <c r="UYJ112" s="774"/>
      <c r="UYK112" s="774"/>
      <c r="UYL112" s="774"/>
      <c r="UYM112" s="774"/>
      <c r="UYN112" s="774"/>
      <c r="UYO112" s="774"/>
      <c r="UYP112" s="774"/>
      <c r="UYQ112" s="774"/>
      <c r="UYR112" s="774"/>
      <c r="UYS112" s="774"/>
      <c r="UYT112" s="774"/>
      <c r="UYU112" s="774"/>
      <c r="UYV112" s="774"/>
      <c r="UYW112" s="774"/>
      <c r="UYX112" s="774"/>
      <c r="UYY112" s="774"/>
      <c r="UYZ112" s="774"/>
      <c r="UZA112" s="774"/>
      <c r="UZB112" s="774"/>
      <c r="UZC112" s="774"/>
      <c r="UZD112" s="774"/>
      <c r="UZE112" s="774"/>
      <c r="UZF112" s="774"/>
      <c r="UZG112" s="774"/>
      <c r="UZH112" s="774"/>
      <c r="UZI112" s="774"/>
      <c r="UZJ112" s="774"/>
      <c r="UZK112" s="774"/>
      <c r="UZL112" s="774"/>
      <c r="UZM112" s="774"/>
      <c r="UZN112" s="774"/>
      <c r="UZO112" s="774"/>
      <c r="UZP112" s="774"/>
      <c r="UZQ112" s="774"/>
      <c r="UZR112" s="774"/>
      <c r="UZS112" s="774"/>
      <c r="UZT112" s="774"/>
      <c r="UZU112" s="774"/>
      <c r="UZV112" s="774"/>
      <c r="UZW112" s="774"/>
      <c r="UZX112" s="774"/>
      <c r="UZY112" s="774"/>
      <c r="UZZ112" s="774"/>
      <c r="VAA112" s="774"/>
      <c r="VAB112" s="774"/>
      <c r="VAC112" s="774"/>
      <c r="VAD112" s="774"/>
      <c r="VAE112" s="774"/>
      <c r="VAF112" s="774"/>
      <c r="VAG112" s="774"/>
      <c r="VAH112" s="774"/>
      <c r="VAI112" s="774"/>
      <c r="VAJ112" s="774"/>
      <c r="VAK112" s="774"/>
      <c r="VAL112" s="774"/>
      <c r="VAM112" s="774"/>
      <c r="VAN112" s="774"/>
      <c r="VAO112" s="774"/>
      <c r="VAP112" s="774"/>
      <c r="VAQ112" s="774"/>
      <c r="VAR112" s="774"/>
      <c r="VAS112" s="774"/>
      <c r="VAT112" s="774"/>
      <c r="VAU112" s="774"/>
      <c r="VAV112" s="774"/>
      <c r="VAW112" s="774"/>
      <c r="VAX112" s="774"/>
      <c r="VAY112" s="774"/>
      <c r="VAZ112" s="774"/>
      <c r="VBA112" s="774"/>
      <c r="VBB112" s="774"/>
      <c r="VBC112" s="774"/>
      <c r="VBD112" s="774"/>
      <c r="VBE112" s="774"/>
      <c r="VBF112" s="774"/>
      <c r="VBG112" s="774"/>
      <c r="VBH112" s="774"/>
      <c r="VBI112" s="774"/>
      <c r="VBJ112" s="774"/>
      <c r="VBK112" s="774"/>
      <c r="VBL112" s="774"/>
      <c r="VBM112" s="774"/>
      <c r="VBN112" s="774"/>
      <c r="VBO112" s="774"/>
      <c r="VBP112" s="774"/>
      <c r="VBQ112" s="774"/>
      <c r="VBR112" s="774"/>
      <c r="VBS112" s="774"/>
      <c r="VBT112" s="774"/>
      <c r="VBU112" s="774"/>
      <c r="VBV112" s="774"/>
      <c r="VBW112" s="774"/>
      <c r="VBX112" s="774"/>
      <c r="VBY112" s="774"/>
      <c r="VBZ112" s="774"/>
      <c r="VCA112" s="774"/>
      <c r="VCB112" s="774"/>
      <c r="VCC112" s="774"/>
      <c r="VCD112" s="774"/>
      <c r="VCE112" s="774"/>
      <c r="VCF112" s="774"/>
      <c r="VCG112" s="774"/>
      <c r="VCH112" s="774"/>
      <c r="VCI112" s="774"/>
      <c r="VCJ112" s="774"/>
      <c r="VCK112" s="774"/>
      <c r="VCL112" s="774"/>
      <c r="VCM112" s="774"/>
      <c r="VCN112" s="774"/>
      <c r="VCO112" s="774"/>
      <c r="VCP112" s="774"/>
      <c r="VCQ112" s="774"/>
      <c r="VCR112" s="774"/>
      <c r="VCS112" s="774"/>
      <c r="VCT112" s="774"/>
      <c r="VCU112" s="774"/>
      <c r="VCV112" s="774"/>
      <c r="VCW112" s="774"/>
      <c r="VCX112" s="774"/>
      <c r="VCY112" s="774"/>
      <c r="VCZ112" s="774"/>
      <c r="VDA112" s="774"/>
      <c r="VDB112" s="774"/>
      <c r="VDC112" s="774"/>
      <c r="VDD112" s="774"/>
      <c r="VDE112" s="774"/>
      <c r="VDF112" s="774"/>
      <c r="VDG112" s="774"/>
      <c r="VDH112" s="774"/>
      <c r="VDI112" s="774"/>
      <c r="VDJ112" s="774"/>
      <c r="VDK112" s="774"/>
      <c r="VDL112" s="774"/>
      <c r="VDM112" s="774"/>
      <c r="VDN112" s="774"/>
      <c r="VDO112" s="774"/>
      <c r="VDP112" s="774"/>
      <c r="VDQ112" s="774"/>
      <c r="VDR112" s="774"/>
      <c r="VDS112" s="774"/>
      <c r="VDT112" s="774"/>
      <c r="VDU112" s="774"/>
      <c r="VDV112" s="774"/>
      <c r="VDW112" s="774"/>
      <c r="VDX112" s="774"/>
      <c r="VDY112" s="774"/>
      <c r="VDZ112" s="774"/>
      <c r="VEA112" s="774"/>
      <c r="VEB112" s="774"/>
      <c r="VEC112" s="774"/>
      <c r="VED112" s="774"/>
      <c r="VEE112" s="774"/>
      <c r="VEF112" s="774"/>
      <c r="VEG112" s="774"/>
      <c r="VEH112" s="774"/>
      <c r="VEI112" s="774"/>
      <c r="VEJ112" s="774"/>
      <c r="VEK112" s="774"/>
      <c r="VEL112" s="774"/>
      <c r="VEM112" s="774"/>
      <c r="VEN112" s="774"/>
      <c r="VEO112" s="774"/>
      <c r="VEP112" s="774"/>
      <c r="VEQ112" s="774"/>
      <c r="VER112" s="774"/>
      <c r="VES112" s="774"/>
      <c r="VET112" s="774"/>
      <c r="VEU112" s="774"/>
      <c r="VEV112" s="774"/>
      <c r="VEW112" s="774"/>
      <c r="VEX112" s="774"/>
      <c r="VEY112" s="774"/>
      <c r="VEZ112" s="774"/>
      <c r="VFA112" s="774"/>
      <c r="VFB112" s="774"/>
      <c r="VFC112" s="774"/>
      <c r="VFD112" s="774"/>
      <c r="VFE112" s="774"/>
      <c r="VFF112" s="774"/>
      <c r="VFG112" s="774"/>
      <c r="VFH112" s="774"/>
      <c r="VFI112" s="774"/>
      <c r="VFJ112" s="774"/>
      <c r="VFK112" s="774"/>
      <c r="VFL112" s="774"/>
      <c r="VFM112" s="774"/>
      <c r="VFN112" s="774"/>
      <c r="VFO112" s="774"/>
      <c r="VFP112" s="774"/>
      <c r="VFQ112" s="774"/>
      <c r="VFR112" s="774"/>
      <c r="VFS112" s="774"/>
      <c r="VFT112" s="774"/>
      <c r="VFU112" s="774"/>
      <c r="VFV112" s="774"/>
      <c r="VFW112" s="774"/>
      <c r="VFX112" s="774"/>
      <c r="VFY112" s="774"/>
      <c r="VFZ112" s="774"/>
      <c r="VGA112" s="774"/>
      <c r="VGB112" s="774"/>
      <c r="VGC112" s="774"/>
      <c r="VGD112" s="774"/>
      <c r="VGE112" s="774"/>
      <c r="VGF112" s="774"/>
      <c r="VGG112" s="774"/>
      <c r="VGH112" s="774"/>
      <c r="VGI112" s="774"/>
      <c r="VGJ112" s="774"/>
      <c r="VGK112" s="774"/>
      <c r="VGL112" s="774"/>
      <c r="VGM112" s="774"/>
      <c r="VGN112" s="774"/>
      <c r="VGO112" s="774"/>
      <c r="VGP112" s="774"/>
      <c r="VGQ112" s="774"/>
      <c r="VGR112" s="774"/>
      <c r="VGS112" s="774"/>
      <c r="VGT112" s="774"/>
      <c r="VGU112" s="774"/>
      <c r="VGV112" s="774"/>
      <c r="VGW112" s="774"/>
      <c r="VGX112" s="774"/>
      <c r="VGY112" s="774"/>
      <c r="VGZ112" s="774"/>
      <c r="VHA112" s="774"/>
      <c r="VHB112" s="774"/>
      <c r="VHC112" s="774"/>
      <c r="VHD112" s="774"/>
      <c r="VHE112" s="774"/>
      <c r="VHF112" s="774"/>
      <c r="VHG112" s="774"/>
      <c r="VHH112" s="774"/>
      <c r="VHI112" s="774"/>
      <c r="VHJ112" s="774"/>
      <c r="VHK112" s="774"/>
      <c r="VHL112" s="774"/>
      <c r="VHM112" s="774"/>
      <c r="VHN112" s="774"/>
      <c r="VHO112" s="774"/>
      <c r="VHP112" s="774"/>
      <c r="VHQ112" s="774"/>
      <c r="VHR112" s="774"/>
      <c r="VHS112" s="774"/>
      <c r="VHT112" s="774"/>
      <c r="VHU112" s="774"/>
      <c r="VHV112" s="774"/>
      <c r="VHW112" s="774"/>
      <c r="VHX112" s="774"/>
      <c r="VHY112" s="774"/>
      <c r="VHZ112" s="774"/>
      <c r="VIA112" s="774"/>
      <c r="VIB112" s="774"/>
      <c r="VIC112" s="774"/>
      <c r="VID112" s="774"/>
      <c r="VIE112" s="774"/>
      <c r="VIF112" s="774"/>
      <c r="VIG112" s="774"/>
      <c r="VIH112" s="774"/>
      <c r="VII112" s="774"/>
      <c r="VIJ112" s="774"/>
      <c r="VIK112" s="774"/>
      <c r="VIL112" s="774"/>
      <c r="VIM112" s="774"/>
      <c r="VIN112" s="774"/>
      <c r="VIO112" s="774"/>
      <c r="VIP112" s="774"/>
      <c r="VIQ112" s="774"/>
      <c r="VIR112" s="774"/>
      <c r="VIS112" s="774"/>
      <c r="VIT112" s="774"/>
      <c r="VIU112" s="774"/>
      <c r="VIV112" s="774"/>
      <c r="VIW112" s="774"/>
      <c r="VIX112" s="774"/>
      <c r="VIY112" s="774"/>
      <c r="VIZ112" s="774"/>
      <c r="VJA112" s="774"/>
      <c r="VJB112" s="774"/>
      <c r="VJC112" s="774"/>
      <c r="VJD112" s="774"/>
      <c r="VJE112" s="774"/>
      <c r="VJF112" s="774"/>
      <c r="VJG112" s="774"/>
      <c r="VJH112" s="774"/>
      <c r="VJI112" s="774"/>
      <c r="VJJ112" s="774"/>
      <c r="VJK112" s="774"/>
      <c r="VJL112" s="774"/>
      <c r="VJM112" s="774"/>
      <c r="VJN112" s="774"/>
      <c r="VJO112" s="774"/>
      <c r="VJP112" s="774"/>
      <c r="VJQ112" s="774"/>
      <c r="VJR112" s="774"/>
      <c r="VJS112" s="774"/>
      <c r="VJT112" s="774"/>
      <c r="VJU112" s="774"/>
      <c r="VJV112" s="774"/>
      <c r="VJW112" s="774"/>
      <c r="VJX112" s="774"/>
      <c r="VJY112" s="774"/>
      <c r="VJZ112" s="774"/>
      <c r="VKA112" s="774"/>
      <c r="VKB112" s="774"/>
      <c r="VKC112" s="774"/>
      <c r="VKD112" s="774"/>
      <c r="VKE112" s="774"/>
      <c r="VKF112" s="774"/>
      <c r="VKG112" s="774"/>
      <c r="VKH112" s="774"/>
      <c r="VKI112" s="774"/>
      <c r="VKJ112" s="774"/>
      <c r="VKK112" s="774"/>
      <c r="VKL112" s="774"/>
      <c r="VKM112" s="774"/>
      <c r="VKN112" s="774"/>
      <c r="VKO112" s="774"/>
      <c r="VKP112" s="774"/>
      <c r="VKQ112" s="774"/>
      <c r="VKR112" s="774"/>
      <c r="VKS112" s="774"/>
      <c r="VKT112" s="774"/>
      <c r="VKU112" s="774"/>
      <c r="VKV112" s="774"/>
      <c r="VKW112" s="774"/>
      <c r="VKX112" s="774"/>
      <c r="VKY112" s="774"/>
      <c r="VKZ112" s="774"/>
      <c r="VLA112" s="774"/>
      <c r="VLB112" s="774"/>
      <c r="VLC112" s="774"/>
      <c r="VLD112" s="774"/>
      <c r="VLE112" s="774"/>
      <c r="VLF112" s="774"/>
      <c r="VLG112" s="774"/>
      <c r="VLH112" s="774"/>
      <c r="VLI112" s="774"/>
      <c r="VLJ112" s="774"/>
      <c r="VLK112" s="774"/>
      <c r="VLL112" s="774"/>
      <c r="VLM112" s="774"/>
      <c r="VLN112" s="774"/>
      <c r="VLO112" s="774"/>
      <c r="VLP112" s="774"/>
      <c r="VLQ112" s="774"/>
      <c r="VLR112" s="774"/>
      <c r="VLS112" s="774"/>
      <c r="VLT112" s="774"/>
      <c r="VLU112" s="774"/>
      <c r="VLV112" s="774"/>
      <c r="VLW112" s="774"/>
      <c r="VLX112" s="774"/>
      <c r="VLY112" s="774"/>
      <c r="VLZ112" s="774"/>
      <c r="VMA112" s="774"/>
      <c r="VMB112" s="774"/>
      <c r="VMC112" s="774"/>
      <c r="VMD112" s="774"/>
      <c r="VME112" s="774"/>
      <c r="VMF112" s="774"/>
      <c r="VMG112" s="774"/>
      <c r="VMH112" s="774"/>
      <c r="VMI112" s="774"/>
      <c r="VMJ112" s="774"/>
      <c r="VMK112" s="774"/>
      <c r="VML112" s="774"/>
      <c r="VMM112" s="774"/>
      <c r="VMN112" s="774"/>
      <c r="VMO112" s="774"/>
      <c r="VMP112" s="774"/>
      <c r="VMQ112" s="774"/>
      <c r="VMR112" s="774"/>
      <c r="VMS112" s="774"/>
      <c r="VMT112" s="774"/>
      <c r="VMU112" s="774"/>
      <c r="VMV112" s="774"/>
      <c r="VMW112" s="774"/>
      <c r="VMX112" s="774"/>
      <c r="VMY112" s="774"/>
      <c r="VMZ112" s="774"/>
      <c r="VNA112" s="774"/>
      <c r="VNB112" s="774"/>
      <c r="VNC112" s="774"/>
      <c r="VND112" s="774"/>
      <c r="VNE112" s="774"/>
      <c r="VNF112" s="774"/>
      <c r="VNG112" s="774"/>
      <c r="VNH112" s="774"/>
      <c r="VNI112" s="774"/>
      <c r="VNJ112" s="774"/>
      <c r="VNK112" s="774"/>
      <c r="VNL112" s="774"/>
      <c r="VNM112" s="774"/>
      <c r="VNN112" s="774"/>
      <c r="VNO112" s="774"/>
      <c r="VNP112" s="774"/>
      <c r="VNQ112" s="774"/>
      <c r="VNR112" s="774"/>
      <c r="VNS112" s="774"/>
      <c r="VNT112" s="774"/>
      <c r="VNU112" s="774"/>
      <c r="VNV112" s="774"/>
      <c r="VNW112" s="774"/>
      <c r="VNX112" s="774"/>
      <c r="VNY112" s="774"/>
      <c r="VNZ112" s="774"/>
      <c r="VOA112" s="774"/>
      <c r="VOB112" s="774"/>
      <c r="VOC112" s="774"/>
      <c r="VOD112" s="774"/>
      <c r="VOE112" s="774"/>
      <c r="VOF112" s="774"/>
      <c r="VOG112" s="774"/>
      <c r="VOH112" s="774"/>
      <c r="VOI112" s="774"/>
      <c r="VOJ112" s="774"/>
      <c r="VOK112" s="774"/>
      <c r="VOL112" s="774"/>
      <c r="VOM112" s="774"/>
      <c r="VON112" s="774"/>
      <c r="VOO112" s="774"/>
      <c r="VOP112" s="774"/>
      <c r="VOQ112" s="774"/>
      <c r="VOR112" s="774"/>
      <c r="VOS112" s="774"/>
      <c r="VOT112" s="774"/>
      <c r="VOU112" s="774"/>
      <c r="VOV112" s="774"/>
      <c r="VOW112" s="774"/>
      <c r="VOX112" s="774"/>
      <c r="VOY112" s="774"/>
      <c r="VOZ112" s="774"/>
      <c r="VPA112" s="774"/>
      <c r="VPB112" s="774"/>
      <c r="VPC112" s="774"/>
      <c r="VPD112" s="774"/>
      <c r="VPE112" s="774"/>
      <c r="VPF112" s="774"/>
      <c r="VPG112" s="774"/>
      <c r="VPH112" s="774"/>
      <c r="VPI112" s="774"/>
      <c r="VPJ112" s="774"/>
      <c r="VPK112" s="774"/>
      <c r="VPL112" s="774"/>
      <c r="VPM112" s="774"/>
      <c r="VPN112" s="774"/>
      <c r="VPO112" s="774"/>
      <c r="VPP112" s="774"/>
      <c r="VPQ112" s="774"/>
      <c r="VPR112" s="774"/>
      <c r="VPS112" s="774"/>
      <c r="VPT112" s="774"/>
      <c r="VPU112" s="774"/>
      <c r="VPV112" s="774"/>
      <c r="VPW112" s="774"/>
      <c r="VPX112" s="774"/>
      <c r="VPY112" s="774"/>
      <c r="VPZ112" s="774"/>
      <c r="VQA112" s="774"/>
      <c r="VQB112" s="774"/>
      <c r="VQC112" s="774"/>
      <c r="VQD112" s="774"/>
      <c r="VQE112" s="774"/>
      <c r="VQF112" s="774"/>
      <c r="VQG112" s="774"/>
      <c r="VQH112" s="774"/>
      <c r="VQI112" s="774"/>
      <c r="VQJ112" s="774"/>
      <c r="VQK112" s="774"/>
      <c r="VQL112" s="774"/>
      <c r="VQM112" s="774"/>
      <c r="VQN112" s="774"/>
      <c r="VQO112" s="774"/>
      <c r="VQP112" s="774"/>
      <c r="VQQ112" s="774"/>
      <c r="VQR112" s="774"/>
      <c r="VQS112" s="774"/>
      <c r="VQT112" s="774"/>
      <c r="VQU112" s="774"/>
      <c r="VQV112" s="774"/>
      <c r="VQW112" s="774"/>
      <c r="VQX112" s="774"/>
      <c r="VQY112" s="774"/>
      <c r="VQZ112" s="774"/>
      <c r="VRA112" s="774"/>
      <c r="VRB112" s="774"/>
      <c r="VRC112" s="774"/>
      <c r="VRD112" s="774"/>
      <c r="VRE112" s="774"/>
      <c r="VRF112" s="774"/>
      <c r="VRG112" s="774"/>
      <c r="VRH112" s="774"/>
      <c r="VRI112" s="774"/>
      <c r="VRJ112" s="774"/>
      <c r="VRK112" s="774"/>
      <c r="VRL112" s="774"/>
      <c r="VRM112" s="774"/>
      <c r="VRN112" s="774"/>
      <c r="VRO112" s="774"/>
      <c r="VRP112" s="774"/>
      <c r="VRQ112" s="774"/>
      <c r="VRR112" s="774"/>
      <c r="VRS112" s="774"/>
      <c r="VRT112" s="774"/>
      <c r="VRU112" s="774"/>
      <c r="VRV112" s="774"/>
      <c r="VRW112" s="774"/>
      <c r="VRX112" s="774"/>
      <c r="VRY112" s="774"/>
      <c r="VRZ112" s="774"/>
      <c r="VSA112" s="774"/>
      <c r="VSB112" s="774"/>
      <c r="VSC112" s="774"/>
      <c r="VSD112" s="774"/>
      <c r="VSE112" s="774"/>
      <c r="VSF112" s="774"/>
      <c r="VSG112" s="774"/>
      <c r="VSH112" s="774"/>
      <c r="VSI112" s="774"/>
      <c r="VSJ112" s="774"/>
      <c r="VSK112" s="774"/>
      <c r="VSL112" s="774"/>
      <c r="VSM112" s="774"/>
      <c r="VSN112" s="774"/>
      <c r="VSO112" s="774"/>
      <c r="VSP112" s="774"/>
      <c r="VSQ112" s="774"/>
      <c r="VSR112" s="774"/>
      <c r="VSS112" s="774"/>
      <c r="VST112" s="774"/>
      <c r="VSU112" s="774"/>
      <c r="VSV112" s="774"/>
      <c r="VSW112" s="774"/>
      <c r="VSX112" s="774"/>
      <c r="VSY112" s="774"/>
      <c r="VSZ112" s="774"/>
      <c r="VTA112" s="774"/>
      <c r="VTB112" s="774"/>
      <c r="VTC112" s="774"/>
      <c r="VTD112" s="774"/>
      <c r="VTE112" s="774"/>
      <c r="VTF112" s="774"/>
      <c r="VTG112" s="774"/>
      <c r="VTH112" s="774"/>
      <c r="VTI112" s="774"/>
      <c r="VTJ112" s="774"/>
      <c r="VTK112" s="774"/>
      <c r="VTL112" s="774"/>
      <c r="VTM112" s="774"/>
      <c r="VTN112" s="774"/>
      <c r="VTO112" s="774"/>
      <c r="VTP112" s="774"/>
      <c r="VTQ112" s="774"/>
      <c r="VTR112" s="774"/>
      <c r="VTS112" s="774"/>
      <c r="VTT112" s="774"/>
      <c r="VTU112" s="774"/>
      <c r="VTV112" s="774"/>
      <c r="VTW112" s="774"/>
      <c r="VTX112" s="774"/>
      <c r="VTY112" s="774"/>
      <c r="VTZ112" s="774"/>
      <c r="VUA112" s="774"/>
      <c r="VUB112" s="774"/>
      <c r="VUC112" s="774"/>
      <c r="VUD112" s="774"/>
      <c r="VUE112" s="774"/>
      <c r="VUF112" s="774"/>
      <c r="VUG112" s="774"/>
      <c r="VUH112" s="774"/>
      <c r="VUI112" s="774"/>
      <c r="VUJ112" s="774"/>
      <c r="VUK112" s="774"/>
      <c r="VUL112" s="774"/>
      <c r="VUM112" s="774"/>
      <c r="VUN112" s="774"/>
      <c r="VUO112" s="774"/>
      <c r="VUP112" s="774"/>
      <c r="VUQ112" s="774"/>
      <c r="VUR112" s="774"/>
      <c r="VUS112" s="774"/>
      <c r="VUT112" s="774"/>
      <c r="VUU112" s="774"/>
      <c r="VUV112" s="774"/>
      <c r="VUW112" s="774"/>
      <c r="VUX112" s="774"/>
      <c r="VUY112" s="774"/>
      <c r="VUZ112" s="774"/>
      <c r="VVA112" s="774"/>
      <c r="VVB112" s="774"/>
      <c r="VVC112" s="774"/>
      <c r="VVD112" s="774"/>
      <c r="VVE112" s="774"/>
      <c r="VVF112" s="774"/>
      <c r="VVG112" s="774"/>
      <c r="VVH112" s="774"/>
      <c r="VVI112" s="774"/>
      <c r="VVJ112" s="774"/>
      <c r="VVK112" s="774"/>
      <c r="VVL112" s="774"/>
      <c r="VVM112" s="774"/>
      <c r="VVN112" s="774"/>
      <c r="VVO112" s="774"/>
      <c r="VVP112" s="774"/>
      <c r="VVQ112" s="774"/>
      <c r="VVR112" s="774"/>
      <c r="VVS112" s="774"/>
      <c r="VVT112" s="774"/>
      <c r="VVU112" s="774"/>
      <c r="VVV112" s="774"/>
      <c r="VVW112" s="774"/>
      <c r="VVX112" s="774"/>
      <c r="VVY112" s="774"/>
      <c r="VVZ112" s="774"/>
      <c r="VWA112" s="774"/>
      <c r="VWB112" s="774"/>
      <c r="VWC112" s="774"/>
      <c r="VWD112" s="774"/>
      <c r="VWE112" s="774"/>
      <c r="VWF112" s="774"/>
      <c r="VWG112" s="774"/>
      <c r="VWH112" s="774"/>
      <c r="VWI112" s="774"/>
      <c r="VWJ112" s="774"/>
      <c r="VWK112" s="774"/>
      <c r="VWL112" s="774"/>
      <c r="VWM112" s="774"/>
      <c r="VWN112" s="774"/>
      <c r="VWO112" s="774"/>
      <c r="VWP112" s="774"/>
      <c r="VWQ112" s="774"/>
      <c r="VWR112" s="774"/>
      <c r="VWS112" s="774"/>
      <c r="VWT112" s="774"/>
      <c r="VWU112" s="774"/>
      <c r="VWV112" s="774"/>
      <c r="VWW112" s="774"/>
      <c r="VWX112" s="774"/>
      <c r="VWY112" s="774"/>
      <c r="VWZ112" s="774"/>
      <c r="VXA112" s="774"/>
      <c r="VXB112" s="774"/>
      <c r="VXC112" s="774"/>
      <c r="VXD112" s="774"/>
      <c r="VXE112" s="774"/>
      <c r="VXF112" s="774"/>
      <c r="VXG112" s="774"/>
      <c r="VXH112" s="774"/>
      <c r="VXI112" s="774"/>
      <c r="VXJ112" s="774"/>
      <c r="VXK112" s="774"/>
      <c r="VXL112" s="774"/>
      <c r="VXM112" s="774"/>
      <c r="VXN112" s="774"/>
      <c r="VXO112" s="774"/>
      <c r="VXP112" s="774"/>
      <c r="VXQ112" s="774"/>
      <c r="VXR112" s="774"/>
      <c r="VXS112" s="774"/>
      <c r="VXT112" s="774"/>
      <c r="VXU112" s="774"/>
      <c r="VXV112" s="774"/>
      <c r="VXW112" s="774"/>
      <c r="VXX112" s="774"/>
      <c r="VXY112" s="774"/>
      <c r="VXZ112" s="774"/>
      <c r="VYA112" s="774"/>
      <c r="VYB112" s="774"/>
      <c r="VYC112" s="774"/>
      <c r="VYD112" s="774"/>
      <c r="VYE112" s="774"/>
      <c r="VYF112" s="774"/>
      <c r="VYG112" s="774"/>
      <c r="VYH112" s="774"/>
      <c r="VYI112" s="774"/>
      <c r="VYJ112" s="774"/>
      <c r="VYK112" s="774"/>
      <c r="VYL112" s="774"/>
      <c r="VYM112" s="774"/>
      <c r="VYN112" s="774"/>
      <c r="VYO112" s="774"/>
      <c r="VYP112" s="774"/>
      <c r="VYQ112" s="774"/>
      <c r="VYR112" s="774"/>
      <c r="VYS112" s="774"/>
      <c r="VYT112" s="774"/>
      <c r="VYU112" s="774"/>
      <c r="VYV112" s="774"/>
      <c r="VYW112" s="774"/>
      <c r="VYX112" s="774"/>
      <c r="VYY112" s="774"/>
      <c r="VYZ112" s="774"/>
      <c r="VZA112" s="774"/>
      <c r="VZB112" s="774"/>
      <c r="VZC112" s="774"/>
      <c r="VZD112" s="774"/>
      <c r="VZE112" s="774"/>
      <c r="VZF112" s="774"/>
      <c r="VZG112" s="774"/>
      <c r="VZH112" s="774"/>
      <c r="VZI112" s="774"/>
      <c r="VZJ112" s="774"/>
      <c r="VZK112" s="774"/>
      <c r="VZL112" s="774"/>
      <c r="VZM112" s="774"/>
      <c r="VZN112" s="774"/>
      <c r="VZO112" s="774"/>
      <c r="VZP112" s="774"/>
      <c r="VZQ112" s="774"/>
      <c r="VZR112" s="774"/>
      <c r="VZS112" s="774"/>
      <c r="VZT112" s="774"/>
      <c r="VZU112" s="774"/>
      <c r="VZV112" s="774"/>
      <c r="VZW112" s="774"/>
      <c r="VZX112" s="774"/>
      <c r="VZY112" s="774"/>
      <c r="VZZ112" s="774"/>
      <c r="WAA112" s="774"/>
      <c r="WAB112" s="774"/>
      <c r="WAC112" s="774"/>
      <c r="WAD112" s="774"/>
      <c r="WAE112" s="774"/>
      <c r="WAF112" s="774"/>
      <c r="WAG112" s="774"/>
      <c r="WAH112" s="774"/>
      <c r="WAI112" s="774"/>
      <c r="WAJ112" s="774"/>
      <c r="WAK112" s="774"/>
      <c r="WAL112" s="774"/>
      <c r="WAM112" s="774"/>
      <c r="WAN112" s="774"/>
      <c r="WAO112" s="774"/>
      <c r="WAP112" s="774"/>
      <c r="WAQ112" s="774"/>
      <c r="WAR112" s="774"/>
      <c r="WAS112" s="774"/>
      <c r="WAT112" s="774"/>
      <c r="WAU112" s="774"/>
      <c r="WAV112" s="774"/>
      <c r="WAW112" s="774"/>
      <c r="WAX112" s="774"/>
      <c r="WAY112" s="774"/>
      <c r="WAZ112" s="774"/>
      <c r="WBA112" s="774"/>
      <c r="WBB112" s="774"/>
      <c r="WBC112" s="774"/>
      <c r="WBD112" s="774"/>
      <c r="WBE112" s="774"/>
      <c r="WBF112" s="774"/>
      <c r="WBG112" s="774"/>
      <c r="WBH112" s="774"/>
      <c r="WBI112" s="774"/>
      <c r="WBJ112" s="774"/>
      <c r="WBK112" s="774"/>
      <c r="WBL112" s="774"/>
      <c r="WBM112" s="774"/>
      <c r="WBN112" s="774"/>
      <c r="WBO112" s="774"/>
      <c r="WBP112" s="774"/>
      <c r="WBQ112" s="774"/>
      <c r="WBR112" s="774"/>
      <c r="WBS112" s="774"/>
      <c r="WBT112" s="774"/>
      <c r="WBU112" s="774"/>
      <c r="WBV112" s="774"/>
      <c r="WBW112" s="774"/>
      <c r="WBX112" s="774"/>
      <c r="WBY112" s="774"/>
      <c r="WBZ112" s="774"/>
      <c r="WCA112" s="774"/>
      <c r="WCB112" s="774"/>
      <c r="WCC112" s="774"/>
      <c r="WCD112" s="774"/>
      <c r="WCE112" s="774"/>
      <c r="WCF112" s="774"/>
      <c r="WCG112" s="774"/>
      <c r="WCH112" s="774"/>
      <c r="WCI112" s="774"/>
      <c r="WCJ112" s="774"/>
      <c r="WCK112" s="774"/>
      <c r="WCL112" s="774"/>
      <c r="WCM112" s="774"/>
      <c r="WCN112" s="774"/>
      <c r="WCO112" s="774"/>
      <c r="WCP112" s="774"/>
      <c r="WCQ112" s="774"/>
      <c r="WCR112" s="774"/>
      <c r="WCS112" s="774"/>
      <c r="WCT112" s="774"/>
      <c r="WCU112" s="774"/>
      <c r="WCV112" s="774"/>
      <c r="WCW112" s="774"/>
      <c r="WCX112" s="774"/>
      <c r="WCY112" s="774"/>
      <c r="WCZ112" s="774"/>
      <c r="WDA112" s="774"/>
      <c r="WDB112" s="774"/>
      <c r="WDC112" s="774"/>
      <c r="WDD112" s="774"/>
      <c r="WDE112" s="774"/>
      <c r="WDF112" s="774"/>
      <c r="WDG112" s="774"/>
      <c r="WDH112" s="774"/>
      <c r="WDI112" s="774"/>
      <c r="WDJ112" s="774"/>
      <c r="WDK112" s="774"/>
      <c r="WDL112" s="774"/>
      <c r="WDM112" s="774"/>
      <c r="WDN112" s="774"/>
      <c r="WDO112" s="774"/>
      <c r="WDP112" s="774"/>
      <c r="WDQ112" s="774"/>
      <c r="WDR112" s="774"/>
      <c r="WDS112" s="774"/>
      <c r="WDT112" s="774"/>
      <c r="WDU112" s="774"/>
      <c r="WDV112" s="774"/>
      <c r="WDW112" s="774"/>
      <c r="WDX112" s="774"/>
      <c r="WDY112" s="774"/>
      <c r="WDZ112" s="774"/>
      <c r="WEA112" s="774"/>
      <c r="WEB112" s="774"/>
      <c r="WEC112" s="774"/>
      <c r="WED112" s="774"/>
      <c r="WEE112" s="774"/>
      <c r="WEF112" s="774"/>
      <c r="WEG112" s="774"/>
      <c r="WEH112" s="774"/>
      <c r="WEI112" s="774"/>
      <c r="WEJ112" s="774"/>
      <c r="WEK112" s="774"/>
      <c r="WEL112" s="774"/>
      <c r="WEM112" s="774"/>
      <c r="WEN112" s="774"/>
      <c r="WEO112" s="774"/>
      <c r="WEP112" s="774"/>
      <c r="WEQ112" s="774"/>
      <c r="WER112" s="774"/>
      <c r="WES112" s="774"/>
      <c r="WET112" s="774"/>
      <c r="WEU112" s="774"/>
      <c r="WEV112" s="774"/>
      <c r="WEW112" s="774"/>
      <c r="WEX112" s="774"/>
      <c r="WEY112" s="774"/>
      <c r="WEZ112" s="774"/>
      <c r="WFA112" s="774"/>
      <c r="WFB112" s="774"/>
      <c r="WFC112" s="774"/>
      <c r="WFD112" s="774"/>
      <c r="WFE112" s="774"/>
      <c r="WFF112" s="774"/>
      <c r="WFG112" s="774"/>
      <c r="WFH112" s="774"/>
      <c r="WFI112" s="774"/>
      <c r="WFJ112" s="774"/>
      <c r="WFK112" s="774"/>
      <c r="WFL112" s="774"/>
      <c r="WFM112" s="774"/>
      <c r="WFN112" s="774"/>
      <c r="WFO112" s="774"/>
      <c r="WFP112" s="774"/>
      <c r="WFQ112" s="774"/>
      <c r="WFR112" s="774"/>
      <c r="WFS112" s="774"/>
      <c r="WFT112" s="774"/>
      <c r="WFU112" s="774"/>
      <c r="WFV112" s="774"/>
      <c r="WFW112" s="774"/>
      <c r="WFX112" s="774"/>
      <c r="WFY112" s="774"/>
      <c r="WFZ112" s="774"/>
      <c r="WGA112" s="774"/>
      <c r="WGB112" s="774"/>
      <c r="WGC112" s="774"/>
      <c r="WGD112" s="774"/>
      <c r="WGE112" s="774"/>
      <c r="WGF112" s="774"/>
      <c r="WGG112" s="774"/>
      <c r="WGH112" s="774"/>
      <c r="WGI112" s="774"/>
      <c r="WGJ112" s="774"/>
      <c r="WGK112" s="774"/>
      <c r="WGL112" s="774"/>
      <c r="WGM112" s="774"/>
      <c r="WGN112" s="774"/>
      <c r="WGO112" s="774"/>
      <c r="WGP112" s="774"/>
      <c r="WGQ112" s="774"/>
      <c r="WGR112" s="774"/>
      <c r="WGS112" s="774"/>
      <c r="WGT112" s="774"/>
      <c r="WGU112" s="774"/>
      <c r="WGV112" s="774"/>
      <c r="WGW112" s="774"/>
      <c r="WGX112" s="774"/>
      <c r="WGY112" s="774"/>
      <c r="WGZ112" s="774"/>
      <c r="WHA112" s="774"/>
      <c r="WHB112" s="774"/>
      <c r="WHC112" s="774"/>
      <c r="WHD112" s="774"/>
      <c r="WHE112" s="774"/>
      <c r="WHF112" s="774"/>
      <c r="WHG112" s="774"/>
      <c r="WHH112" s="774"/>
      <c r="WHI112" s="774"/>
      <c r="WHJ112" s="774"/>
      <c r="WHK112" s="774"/>
      <c r="WHL112" s="774"/>
      <c r="WHM112" s="774"/>
      <c r="WHN112" s="774"/>
      <c r="WHO112" s="774"/>
      <c r="WHP112" s="774"/>
      <c r="WHQ112" s="774"/>
      <c r="WHR112" s="774"/>
      <c r="WHS112" s="774"/>
      <c r="WHT112" s="774"/>
      <c r="WHU112" s="774"/>
      <c r="WHV112" s="774"/>
      <c r="WHW112" s="774"/>
      <c r="WHX112" s="774"/>
      <c r="WHY112" s="774"/>
      <c r="WHZ112" s="774"/>
      <c r="WIA112" s="774"/>
      <c r="WIB112" s="774"/>
      <c r="WIC112" s="774"/>
      <c r="WID112" s="774"/>
      <c r="WIE112" s="774"/>
      <c r="WIF112" s="774"/>
      <c r="WIG112" s="774"/>
      <c r="WIH112" s="774"/>
      <c r="WII112" s="774"/>
      <c r="WIJ112" s="774"/>
      <c r="WIK112" s="774"/>
      <c r="WIL112" s="774"/>
      <c r="WIM112" s="774"/>
      <c r="WIN112" s="774"/>
      <c r="WIO112" s="774"/>
      <c r="WIP112" s="774"/>
      <c r="WIQ112" s="774"/>
      <c r="WIR112" s="774"/>
      <c r="WIS112" s="774"/>
      <c r="WIT112" s="774"/>
      <c r="WIU112" s="774"/>
      <c r="WIV112" s="774"/>
      <c r="WIW112" s="774"/>
      <c r="WIX112" s="774"/>
      <c r="WIY112" s="774"/>
      <c r="WIZ112" s="774"/>
      <c r="WJA112" s="774"/>
      <c r="WJB112" s="774"/>
      <c r="WJC112" s="774"/>
      <c r="WJD112" s="774"/>
      <c r="WJE112" s="774"/>
      <c r="WJF112" s="774"/>
      <c r="WJG112" s="774"/>
      <c r="WJH112" s="774"/>
      <c r="WJI112" s="774"/>
      <c r="WJJ112" s="774"/>
      <c r="WJK112" s="774"/>
      <c r="WJL112" s="774"/>
      <c r="WJM112" s="774"/>
      <c r="WJN112" s="774"/>
      <c r="WJO112" s="774"/>
      <c r="WJP112" s="774"/>
      <c r="WJQ112" s="774"/>
      <c r="WJR112" s="774"/>
      <c r="WJS112" s="774"/>
      <c r="WJT112" s="774"/>
      <c r="WJU112" s="774"/>
      <c r="WJV112" s="774"/>
      <c r="WJW112" s="774"/>
      <c r="WJX112" s="774"/>
      <c r="WJY112" s="774"/>
      <c r="WJZ112" s="774"/>
      <c r="WKA112" s="774"/>
      <c r="WKB112" s="774"/>
      <c r="WKC112" s="774"/>
      <c r="WKD112" s="774"/>
      <c r="WKE112" s="774"/>
      <c r="WKF112" s="774"/>
      <c r="WKG112" s="774"/>
      <c r="WKH112" s="774"/>
      <c r="WKI112" s="774"/>
      <c r="WKJ112" s="774"/>
      <c r="WKK112" s="774"/>
      <c r="WKL112" s="774"/>
      <c r="WKM112" s="774"/>
      <c r="WKN112" s="774"/>
      <c r="WKO112" s="774"/>
      <c r="WKP112" s="774"/>
      <c r="WKQ112" s="774"/>
      <c r="WKR112" s="774"/>
      <c r="WKS112" s="774"/>
      <c r="WKT112" s="774"/>
      <c r="WKU112" s="774"/>
      <c r="WKV112" s="774"/>
      <c r="WKW112" s="774"/>
      <c r="WKX112" s="774"/>
      <c r="WKY112" s="774"/>
      <c r="WKZ112" s="774"/>
      <c r="WLA112" s="774"/>
      <c r="WLB112" s="774"/>
      <c r="WLC112" s="774"/>
      <c r="WLD112" s="774"/>
      <c r="WLE112" s="774"/>
      <c r="WLF112" s="774"/>
      <c r="WLG112" s="774"/>
      <c r="WLH112" s="774"/>
      <c r="WLI112" s="774"/>
      <c r="WLJ112" s="774"/>
      <c r="WLK112" s="774"/>
      <c r="WLL112" s="774"/>
      <c r="WLM112" s="774"/>
      <c r="WLN112" s="774"/>
      <c r="WLO112" s="774"/>
      <c r="WLP112" s="774"/>
      <c r="WLQ112" s="774"/>
      <c r="WLR112" s="774"/>
      <c r="WLS112" s="774"/>
      <c r="WLT112" s="774"/>
      <c r="WLU112" s="774"/>
      <c r="WLV112" s="774"/>
      <c r="WLW112" s="774"/>
      <c r="WLX112" s="774"/>
      <c r="WLY112" s="774"/>
      <c r="WLZ112" s="774"/>
      <c r="WMA112" s="774"/>
      <c r="WMB112" s="774"/>
      <c r="WMC112" s="774"/>
      <c r="WMD112" s="774"/>
      <c r="WME112" s="774"/>
      <c r="WMF112" s="774"/>
      <c r="WMG112" s="774"/>
      <c r="WMH112" s="774"/>
      <c r="WMI112" s="774"/>
      <c r="WMJ112" s="774"/>
      <c r="WMK112" s="774"/>
      <c r="WML112" s="774"/>
      <c r="WMM112" s="774"/>
      <c r="WMN112" s="774"/>
      <c r="WMO112" s="774"/>
      <c r="WMP112" s="774"/>
      <c r="WMQ112" s="774"/>
      <c r="WMR112" s="774"/>
      <c r="WMS112" s="774"/>
      <c r="WMT112" s="774"/>
      <c r="WMU112" s="774"/>
      <c r="WMV112" s="774"/>
      <c r="WMW112" s="774"/>
      <c r="WMX112" s="774"/>
      <c r="WMY112" s="774"/>
      <c r="WMZ112" s="774"/>
      <c r="WNA112" s="774"/>
      <c r="WNB112" s="774"/>
      <c r="WNC112" s="774"/>
      <c r="WND112" s="774"/>
      <c r="WNE112" s="774"/>
      <c r="WNF112" s="774"/>
      <c r="WNG112" s="774"/>
      <c r="WNH112" s="774"/>
      <c r="WNI112" s="774"/>
      <c r="WNJ112" s="774"/>
      <c r="WNK112" s="774"/>
      <c r="WNL112" s="774"/>
      <c r="WNM112" s="774"/>
      <c r="WNN112" s="774"/>
      <c r="WNO112" s="774"/>
      <c r="WNP112" s="774"/>
      <c r="WNQ112" s="774"/>
      <c r="WNR112" s="774"/>
      <c r="WNS112" s="774"/>
      <c r="WNT112" s="774"/>
      <c r="WNU112" s="774"/>
      <c r="WNV112" s="774"/>
      <c r="WNW112" s="774"/>
      <c r="WNX112" s="774"/>
      <c r="WNY112" s="774"/>
      <c r="WNZ112" s="774"/>
      <c r="WOA112" s="774"/>
      <c r="WOB112" s="774"/>
      <c r="WOC112" s="774"/>
      <c r="WOD112" s="774"/>
      <c r="WOE112" s="774"/>
      <c r="WOF112" s="774"/>
      <c r="WOG112" s="774"/>
      <c r="WOH112" s="774"/>
      <c r="WOI112" s="774"/>
      <c r="WOJ112" s="774"/>
      <c r="WOK112" s="774"/>
      <c r="WOL112" s="774"/>
      <c r="WOM112" s="774"/>
      <c r="WON112" s="774"/>
      <c r="WOO112" s="774"/>
      <c r="WOP112" s="774"/>
      <c r="WOQ112" s="774"/>
      <c r="WOR112" s="774"/>
      <c r="WOS112" s="774"/>
      <c r="WOT112" s="774"/>
      <c r="WOU112" s="774"/>
      <c r="WOV112" s="774"/>
      <c r="WOW112" s="774"/>
      <c r="WOX112" s="774"/>
      <c r="WOY112" s="774"/>
      <c r="WOZ112" s="774"/>
      <c r="WPA112" s="774"/>
      <c r="WPB112" s="774"/>
      <c r="WPC112" s="774"/>
      <c r="WPD112" s="774"/>
      <c r="WPE112" s="774"/>
      <c r="WPF112" s="774"/>
      <c r="WPG112" s="774"/>
      <c r="WPH112" s="774"/>
      <c r="WPI112" s="774"/>
      <c r="WPJ112" s="774"/>
      <c r="WPK112" s="774"/>
      <c r="WPL112" s="774"/>
      <c r="WPM112" s="774"/>
      <c r="WPN112" s="774"/>
      <c r="WPO112" s="774"/>
      <c r="WPP112" s="774"/>
      <c r="WPQ112" s="774"/>
      <c r="WPR112" s="774"/>
      <c r="WPS112" s="774"/>
      <c r="WPT112" s="774"/>
      <c r="WPU112" s="774"/>
      <c r="WPV112" s="774"/>
      <c r="WPW112" s="774"/>
      <c r="WPX112" s="774"/>
      <c r="WPY112" s="774"/>
      <c r="WPZ112" s="774"/>
      <c r="WQA112" s="774"/>
      <c r="WQB112" s="774"/>
      <c r="WQC112" s="774"/>
      <c r="WQD112" s="774"/>
      <c r="WQE112" s="774"/>
      <c r="WQF112" s="774"/>
      <c r="WQG112" s="774"/>
      <c r="WQH112" s="774"/>
      <c r="WQI112" s="774"/>
      <c r="WQJ112" s="774"/>
      <c r="WQK112" s="774"/>
      <c r="WQL112" s="774"/>
      <c r="WQM112" s="774"/>
      <c r="WQN112" s="774"/>
      <c r="WQO112" s="774"/>
      <c r="WQP112" s="774"/>
      <c r="WQQ112" s="774"/>
      <c r="WQR112" s="774"/>
      <c r="WQS112" s="774"/>
      <c r="WQT112" s="774"/>
      <c r="WQU112" s="774"/>
      <c r="WQV112" s="774"/>
      <c r="WQW112" s="774"/>
      <c r="WQX112" s="774"/>
      <c r="WQY112" s="774"/>
      <c r="WQZ112" s="774"/>
      <c r="WRA112" s="774"/>
      <c r="WRB112" s="774"/>
      <c r="WRC112" s="774"/>
      <c r="WRD112" s="774"/>
      <c r="WRE112" s="774"/>
      <c r="WRF112" s="774"/>
      <c r="WRG112" s="774"/>
      <c r="WRH112" s="774"/>
      <c r="WRI112" s="774"/>
      <c r="WRJ112" s="774"/>
      <c r="WRK112" s="774"/>
      <c r="WRL112" s="774"/>
      <c r="WRM112" s="774"/>
      <c r="WRN112" s="774"/>
      <c r="WRO112" s="774"/>
      <c r="WRP112" s="774"/>
      <c r="WRQ112" s="774"/>
      <c r="WRR112" s="774"/>
      <c r="WRS112" s="774"/>
      <c r="WRT112" s="774"/>
      <c r="WRU112" s="774"/>
      <c r="WRV112" s="774"/>
      <c r="WRW112" s="774"/>
      <c r="WRX112" s="774"/>
      <c r="WRY112" s="774"/>
      <c r="WRZ112" s="774"/>
      <c r="WSA112" s="774"/>
      <c r="WSB112" s="774"/>
      <c r="WSC112" s="774"/>
      <c r="WSD112" s="774"/>
      <c r="WSE112" s="774"/>
      <c r="WSF112" s="774"/>
      <c r="WSG112" s="774"/>
      <c r="WSH112" s="774"/>
      <c r="WSI112" s="774"/>
      <c r="WSJ112" s="774"/>
      <c r="WSK112" s="774"/>
      <c r="WSL112" s="774"/>
      <c r="WSM112" s="774"/>
      <c r="WSN112" s="774"/>
      <c r="WSO112" s="774"/>
      <c r="WSP112" s="774"/>
      <c r="WSQ112" s="774"/>
      <c r="WSR112" s="774"/>
      <c r="WSS112" s="774"/>
      <c r="WST112" s="774"/>
      <c r="WSU112" s="774"/>
      <c r="WSV112" s="774"/>
      <c r="WSW112" s="774"/>
      <c r="WSX112" s="774"/>
      <c r="WSY112" s="774"/>
      <c r="WSZ112" s="774"/>
      <c r="WTA112" s="774"/>
      <c r="WTB112" s="774"/>
      <c r="WTC112" s="774"/>
      <c r="WTD112" s="774"/>
      <c r="WTE112" s="774"/>
      <c r="WTF112" s="774"/>
      <c r="WTG112" s="774"/>
      <c r="WTH112" s="774"/>
      <c r="WTI112" s="774"/>
      <c r="WTJ112" s="774"/>
      <c r="WTK112" s="774"/>
      <c r="WTL112" s="774"/>
      <c r="WTM112" s="774"/>
      <c r="WTN112" s="774"/>
      <c r="WTO112" s="774"/>
      <c r="WTP112" s="774"/>
      <c r="WTQ112" s="774"/>
      <c r="WTR112" s="774"/>
      <c r="WTS112" s="774"/>
      <c r="WTT112" s="774"/>
      <c r="WTU112" s="774"/>
      <c r="WTV112" s="774"/>
      <c r="WTW112" s="774"/>
      <c r="WTX112" s="774"/>
      <c r="WTY112" s="774"/>
      <c r="WTZ112" s="774"/>
      <c r="WUA112" s="774"/>
      <c r="WUB112" s="774"/>
      <c r="WUC112" s="774"/>
      <c r="WUD112" s="774"/>
      <c r="WUE112" s="774"/>
      <c r="WUF112" s="774"/>
      <c r="WUG112" s="774"/>
      <c r="WUH112" s="774"/>
      <c r="WUI112" s="774"/>
      <c r="WUJ112" s="774"/>
      <c r="WUK112" s="774"/>
      <c r="WUL112" s="774"/>
      <c r="WUM112" s="774"/>
      <c r="WUN112" s="774"/>
      <c r="WUO112" s="774"/>
      <c r="WUP112" s="774"/>
      <c r="WUQ112" s="774"/>
      <c r="WUR112" s="774"/>
      <c r="WUS112" s="774"/>
      <c r="WUT112" s="774"/>
      <c r="WUU112" s="774"/>
      <c r="WUV112" s="774"/>
      <c r="WUW112" s="774"/>
      <c r="WUX112" s="774"/>
      <c r="WUY112" s="774"/>
      <c r="WUZ112" s="774"/>
      <c r="WVA112" s="774"/>
      <c r="WVB112" s="774"/>
      <c r="WVC112" s="774"/>
      <c r="WVD112" s="774"/>
      <c r="WVE112" s="774"/>
      <c r="WVF112" s="774"/>
      <c r="WVG112" s="774"/>
      <c r="WVH112" s="774"/>
      <c r="WVI112" s="774"/>
      <c r="WVJ112" s="774"/>
      <c r="WVK112" s="774"/>
      <c r="WVL112" s="774"/>
      <c r="WVM112" s="774"/>
      <c r="WVN112" s="774"/>
      <c r="WVO112" s="774"/>
      <c r="WVP112" s="774"/>
      <c r="WVQ112" s="774"/>
      <c r="WVR112" s="774"/>
      <c r="WVS112" s="774"/>
      <c r="WVT112" s="774"/>
      <c r="WVU112" s="774"/>
      <c r="WVV112" s="774"/>
      <c r="WVW112" s="774"/>
      <c r="WVX112" s="774"/>
      <c r="WVY112" s="774"/>
      <c r="WVZ112" s="774"/>
      <c r="WWA112" s="774"/>
      <c r="WWB112" s="774"/>
      <c r="WWC112" s="774"/>
      <c r="WWD112" s="774"/>
      <c r="WWE112" s="774"/>
      <c r="WWF112" s="774"/>
      <c r="WWG112" s="774"/>
      <c r="WWH112" s="774"/>
      <c r="WWI112" s="774"/>
      <c r="WWJ112" s="774"/>
      <c r="WWK112" s="774"/>
      <c r="WWL112" s="774"/>
      <c r="WWM112" s="774"/>
      <c r="WWN112" s="774"/>
      <c r="WWO112" s="774"/>
      <c r="WWP112" s="774"/>
      <c r="WWQ112" s="774"/>
      <c r="WWR112" s="774"/>
      <c r="WWS112" s="774"/>
      <c r="WWT112" s="774"/>
      <c r="WWU112" s="774"/>
      <c r="WWV112" s="774"/>
      <c r="WWW112" s="774"/>
      <c r="WWX112" s="774"/>
      <c r="WWY112" s="774"/>
      <c r="WWZ112" s="774"/>
      <c r="WXA112" s="774"/>
      <c r="WXB112" s="774"/>
      <c r="WXC112" s="774"/>
      <c r="WXD112" s="774"/>
      <c r="WXE112" s="774"/>
      <c r="WXF112" s="774"/>
      <c r="WXG112" s="774"/>
      <c r="WXH112" s="774"/>
      <c r="WXI112" s="774"/>
      <c r="WXJ112" s="774"/>
      <c r="WXK112" s="774"/>
      <c r="WXL112" s="774"/>
      <c r="WXM112" s="774"/>
      <c r="WXN112" s="774"/>
      <c r="WXO112" s="774"/>
      <c r="WXP112" s="774"/>
      <c r="WXQ112" s="774"/>
      <c r="WXR112" s="774"/>
      <c r="WXS112" s="774"/>
      <c r="WXT112" s="774"/>
      <c r="WXU112" s="774"/>
      <c r="WXV112" s="774"/>
      <c r="WXW112" s="774"/>
      <c r="WXX112" s="774"/>
      <c r="WXY112" s="774"/>
      <c r="WXZ112" s="774"/>
      <c r="WYA112" s="774"/>
      <c r="WYB112" s="774"/>
      <c r="WYC112" s="774"/>
      <c r="WYD112" s="774"/>
      <c r="WYE112" s="774"/>
      <c r="WYF112" s="774"/>
      <c r="WYG112" s="774"/>
      <c r="WYH112" s="774"/>
      <c r="WYI112" s="774"/>
      <c r="WYJ112" s="774"/>
      <c r="WYK112" s="774"/>
      <c r="WYL112" s="774"/>
      <c r="WYM112" s="774"/>
      <c r="WYN112" s="774"/>
      <c r="WYO112" s="774"/>
      <c r="WYP112" s="774"/>
      <c r="WYQ112" s="774"/>
      <c r="WYR112" s="774"/>
      <c r="WYS112" s="774"/>
      <c r="WYT112" s="774"/>
      <c r="WYU112" s="774"/>
      <c r="WYV112" s="774"/>
      <c r="WYW112" s="774"/>
      <c r="WYX112" s="774"/>
      <c r="WYY112" s="774"/>
      <c r="WYZ112" s="774"/>
      <c r="WZA112" s="774"/>
      <c r="WZB112" s="774"/>
      <c r="WZC112" s="774"/>
      <c r="WZD112" s="774"/>
      <c r="WZE112" s="774"/>
      <c r="WZF112" s="774"/>
      <c r="WZG112" s="774"/>
      <c r="WZH112" s="774"/>
      <c r="WZI112" s="774"/>
      <c r="WZJ112" s="774"/>
      <c r="WZK112" s="774"/>
      <c r="WZL112" s="774"/>
      <c r="WZM112" s="774"/>
      <c r="WZN112" s="774"/>
      <c r="WZO112" s="774"/>
      <c r="WZP112" s="774"/>
      <c r="WZQ112" s="774"/>
      <c r="WZR112" s="774"/>
      <c r="WZS112" s="774"/>
      <c r="WZT112" s="774"/>
      <c r="WZU112" s="774"/>
      <c r="WZV112" s="774"/>
      <c r="WZW112" s="774"/>
      <c r="WZX112" s="774"/>
      <c r="WZY112" s="774"/>
      <c r="WZZ112" s="774"/>
      <c r="XAA112" s="774"/>
      <c r="XAB112" s="774"/>
      <c r="XAC112" s="774"/>
      <c r="XAD112" s="774"/>
      <c r="XAE112" s="774"/>
      <c r="XAF112" s="774"/>
      <c r="XAG112" s="774"/>
      <c r="XAH112" s="774"/>
      <c r="XAI112" s="774"/>
      <c r="XAJ112" s="774"/>
      <c r="XAK112" s="774"/>
      <c r="XAL112" s="774"/>
      <c r="XAM112" s="774"/>
      <c r="XAN112" s="774"/>
      <c r="XAO112" s="774"/>
      <c r="XAP112" s="774"/>
      <c r="XAQ112" s="774"/>
      <c r="XAR112" s="774"/>
      <c r="XAS112" s="774"/>
      <c r="XAT112" s="774"/>
      <c r="XAU112" s="774"/>
      <c r="XAV112" s="774"/>
      <c r="XAW112" s="774"/>
      <c r="XAX112" s="774"/>
      <c r="XAY112" s="774"/>
      <c r="XAZ112" s="774"/>
      <c r="XBA112" s="774"/>
      <c r="XBB112" s="774"/>
      <c r="XBC112" s="774"/>
      <c r="XBD112" s="774"/>
      <c r="XBE112" s="774"/>
      <c r="XBF112" s="774"/>
      <c r="XBG112" s="774"/>
      <c r="XBH112" s="774"/>
      <c r="XBI112" s="774"/>
      <c r="XBJ112" s="774"/>
      <c r="XBK112" s="774"/>
      <c r="XBL112" s="774"/>
      <c r="XBM112" s="774"/>
      <c r="XBN112" s="774"/>
      <c r="XBO112" s="774"/>
      <c r="XBP112" s="774"/>
      <c r="XBQ112" s="774"/>
      <c r="XBR112" s="774"/>
      <c r="XBS112" s="774"/>
      <c r="XBT112" s="774"/>
      <c r="XBU112" s="774"/>
      <c r="XBV112" s="774"/>
      <c r="XBW112" s="774"/>
      <c r="XBX112" s="774"/>
      <c r="XBY112" s="774"/>
      <c r="XBZ112" s="774"/>
      <c r="XCA112" s="774"/>
      <c r="XCB112" s="774"/>
      <c r="XCC112" s="774"/>
      <c r="XCD112" s="774"/>
      <c r="XCE112" s="774"/>
      <c r="XCF112" s="774"/>
      <c r="XCG112" s="774"/>
      <c r="XCH112" s="774"/>
      <c r="XCI112" s="774"/>
      <c r="XCJ112" s="774"/>
      <c r="XCK112" s="774"/>
      <c r="XCL112" s="774"/>
      <c r="XCM112" s="774"/>
      <c r="XCN112" s="774"/>
      <c r="XCO112" s="774"/>
      <c r="XCP112" s="774"/>
      <c r="XCQ112" s="774"/>
      <c r="XCR112" s="774"/>
      <c r="XCS112" s="774"/>
      <c r="XCT112" s="774"/>
      <c r="XCU112" s="774"/>
      <c r="XCV112" s="774"/>
      <c r="XCW112" s="774"/>
      <c r="XCX112" s="774"/>
      <c r="XCY112" s="774"/>
      <c r="XCZ112" s="774"/>
      <c r="XDA112" s="774"/>
      <c r="XDB112" s="774"/>
      <c r="XDC112" s="774"/>
      <c r="XDD112" s="774"/>
      <c r="XDE112" s="774"/>
      <c r="XDF112" s="774"/>
      <c r="XDG112" s="774"/>
      <c r="XDH112" s="774"/>
      <c r="XDI112" s="774"/>
      <c r="XDJ112" s="774"/>
      <c r="XDK112" s="774"/>
      <c r="XDL112" s="774"/>
      <c r="XDM112" s="774"/>
      <c r="XDN112" s="774"/>
      <c r="XDO112" s="774"/>
      <c r="XDP112" s="774"/>
      <c r="XDQ112" s="774"/>
      <c r="XDR112" s="774"/>
      <c r="XDS112" s="774"/>
      <c r="XDT112" s="774"/>
      <c r="XDU112" s="774"/>
      <c r="XDV112" s="774"/>
      <c r="XDW112" s="774"/>
      <c r="XDX112" s="774"/>
      <c r="XDY112" s="774"/>
      <c r="XDZ112" s="774"/>
      <c r="XEA112" s="774"/>
      <c r="XEB112" s="774"/>
      <c r="XEC112" s="774"/>
      <c r="XED112" s="774"/>
      <c r="XEE112" s="774"/>
      <c r="XEF112" s="774"/>
      <c r="XEG112" s="774"/>
      <c r="XEH112" s="774"/>
      <c r="XEI112" s="774"/>
      <c r="XEJ112" s="774"/>
      <c r="XEK112" s="774"/>
      <c r="XEL112" s="774"/>
      <c r="XEM112" s="774"/>
      <c r="XEN112" s="774"/>
      <c r="XEO112" s="774"/>
      <c r="XEP112" s="774"/>
      <c r="XEQ112" s="774"/>
      <c r="XER112" s="774"/>
      <c r="XES112" s="774"/>
      <c r="XET112" s="774"/>
      <c r="XEU112" s="774"/>
      <c r="XEV112" s="774"/>
      <c r="XEW112" s="774"/>
      <c r="XEX112" s="774"/>
      <c r="XEY112" s="774"/>
      <c r="XEZ112" s="774"/>
      <c r="XFA112" s="774"/>
      <c r="XFB112" s="774"/>
      <c r="XFC112" s="774"/>
      <c r="XFD112" s="774"/>
    </row>
    <row r="113" spans="1:26" s="740" customFormat="1" ht="12" customHeight="1">
      <c r="A113" s="756" t="s">
        <v>1929</v>
      </c>
      <c r="B113" s="756" t="s">
        <v>1930</v>
      </c>
      <c r="C113" s="995">
        <v>4.08</v>
      </c>
      <c r="D113" s="757"/>
      <c r="E113" s="757">
        <f>+'Proposed Rates'!B161</f>
        <v>4.08</v>
      </c>
      <c r="F113" s="757"/>
      <c r="G113" s="743">
        <v>4479.17</v>
      </c>
      <c r="H113" s="757"/>
      <c r="I113" s="743">
        <v>3627.5999999999995</v>
      </c>
      <c r="J113" s="757"/>
      <c r="K113" s="743">
        <f t="shared" si="19"/>
        <v>8106.7699999999995</v>
      </c>
      <c r="L113" s="757"/>
      <c r="M113" s="775">
        <f t="shared" si="28"/>
        <v>156.83368347338936</v>
      </c>
      <c r="N113" s="757"/>
      <c r="O113" s="759">
        <f t="shared" si="29"/>
        <v>177.82352941176467</v>
      </c>
      <c r="P113" s="757"/>
      <c r="Q113" s="759">
        <f t="shared" si="30"/>
        <v>167.32860644257701</v>
      </c>
      <c r="R113" s="757"/>
      <c r="S113" s="840">
        <f t="shared" si="20"/>
        <v>0.36126966167640301</v>
      </c>
      <c r="T113" s="840"/>
      <c r="U113" s="840"/>
      <c r="V113" s="841"/>
      <c r="W113" s="987">
        <f t="shared" si="21"/>
        <v>725.4089884595254</v>
      </c>
      <c r="X113" s="841"/>
      <c r="Y113" s="858">
        <f t="shared" si="22"/>
        <v>4.4412696616764027</v>
      </c>
      <c r="Z113" s="858">
        <f t="shared" si="23"/>
        <v>8832.1789884595255</v>
      </c>
    </row>
    <row r="114" spans="1:26" s="740" customFormat="1" ht="12" customHeight="1">
      <c r="A114" s="756" t="s">
        <v>1931</v>
      </c>
      <c r="B114" s="756" t="s">
        <v>1932</v>
      </c>
      <c r="C114" s="757">
        <f>0.31*References!$B$11</f>
        <v>1.3423</v>
      </c>
      <c r="D114" s="757"/>
      <c r="E114" s="757">
        <f>+'Proposed Rates'!B42*References!B11</f>
        <v>1.3423</v>
      </c>
      <c r="F114" s="757"/>
      <c r="G114" s="743">
        <v>159.46</v>
      </c>
      <c r="H114" s="757"/>
      <c r="I114" s="743">
        <v>109.88000000000001</v>
      </c>
      <c r="J114" s="757"/>
      <c r="K114" s="743">
        <f t="shared" si="19"/>
        <v>269.34000000000003</v>
      </c>
      <c r="L114" s="757"/>
      <c r="M114" s="775">
        <f t="shared" si="28"/>
        <v>16.970870893242942</v>
      </c>
      <c r="N114" s="757"/>
      <c r="O114" s="759">
        <f t="shared" si="29"/>
        <v>16.371898979363781</v>
      </c>
      <c r="P114" s="757"/>
      <c r="Q114" s="759">
        <f t="shared" si="30"/>
        <v>16.671384936303362</v>
      </c>
      <c r="R114" s="757"/>
      <c r="S114" s="840">
        <f t="shared" si="20"/>
        <v>0.11885594776182248</v>
      </c>
      <c r="T114" s="840"/>
      <c r="U114" s="840"/>
      <c r="V114" s="841"/>
      <c r="W114" s="987">
        <f t="shared" si="21"/>
        <v>23.777919085278079</v>
      </c>
      <c r="X114" s="841"/>
      <c r="Y114" s="858">
        <f t="shared" si="22"/>
        <v>1.4611559477618226</v>
      </c>
      <c r="Z114" s="858">
        <f t="shared" si="23"/>
        <v>293.11791908527812</v>
      </c>
    </row>
    <row r="115" spans="1:26" s="740" customFormat="1" ht="12" customHeight="1">
      <c r="A115" s="756" t="s">
        <v>1933</v>
      </c>
      <c r="B115" s="756" t="s">
        <v>1934</v>
      </c>
      <c r="C115" s="757">
        <f>C114+(0.14*References!B11)</f>
        <v>1.9485000000000001</v>
      </c>
      <c r="D115" s="757"/>
      <c r="E115" s="757">
        <f>+('Proposed Rates'!B42+'Proposed Rates'!B43)*References!B11</f>
        <v>1.9485000000000001</v>
      </c>
      <c r="F115" s="757"/>
      <c r="G115" s="743">
        <v>27.299999999999997</v>
      </c>
      <c r="H115" s="757"/>
      <c r="I115" s="743">
        <v>19.5</v>
      </c>
      <c r="J115" s="757"/>
      <c r="K115" s="743">
        <f t="shared" si="19"/>
        <v>46.8</v>
      </c>
      <c r="L115" s="757"/>
      <c r="M115" s="775">
        <f t="shared" si="28"/>
        <v>2.0015396458814467</v>
      </c>
      <c r="N115" s="757"/>
      <c r="O115" s="759">
        <f t="shared" si="29"/>
        <v>2.0015396458814472</v>
      </c>
      <c r="P115" s="757"/>
      <c r="Q115" s="759">
        <f t="shared" si="30"/>
        <v>2.0015396458814472</v>
      </c>
      <c r="R115" s="757"/>
      <c r="S115" s="840">
        <f t="shared" si="20"/>
        <v>0.17253282739619394</v>
      </c>
      <c r="T115" s="840"/>
      <c r="U115" s="840"/>
      <c r="V115" s="841"/>
      <c r="W115" s="987">
        <f t="shared" si="21"/>
        <v>4.1439755309940347</v>
      </c>
      <c r="X115" s="841"/>
      <c r="Y115" s="858">
        <f t="shared" si="22"/>
        <v>2.1210328273961943</v>
      </c>
      <c r="Z115" s="858">
        <f t="shared" si="23"/>
        <v>50.943975530994031</v>
      </c>
    </row>
    <row r="116" spans="1:26" s="740" customFormat="1" ht="12" customHeight="1">
      <c r="A116" s="756" t="s">
        <v>1935</v>
      </c>
      <c r="B116" s="756" t="s">
        <v>1936</v>
      </c>
      <c r="C116" s="757">
        <f>C115+(0.14*References!B11*2)</f>
        <v>3.1609000000000003</v>
      </c>
      <c r="D116" s="757"/>
      <c r="E116" s="757">
        <f>+('Proposed Rates'!B42+'Proposed Rates'!B43+'Proposed Rates'!B43+'Proposed Rates'!B43)*References!B11</f>
        <v>3.1609000000000003</v>
      </c>
      <c r="F116" s="757"/>
      <c r="G116" s="743">
        <v>44.24</v>
      </c>
      <c r="H116" s="757"/>
      <c r="I116" s="743">
        <v>31.6</v>
      </c>
      <c r="J116" s="757"/>
      <c r="K116" s="743">
        <f t="shared" si="19"/>
        <v>75.84</v>
      </c>
      <c r="L116" s="757"/>
      <c r="M116" s="775">
        <f t="shared" si="28"/>
        <v>1.9994305419342591</v>
      </c>
      <c r="N116" s="757"/>
      <c r="O116" s="759">
        <f t="shared" si="29"/>
        <v>1.9994305419342591</v>
      </c>
      <c r="P116" s="757"/>
      <c r="Q116" s="759">
        <f t="shared" si="30"/>
        <v>1.9994305419342591</v>
      </c>
      <c r="R116" s="757"/>
      <c r="S116" s="840">
        <f t="shared" si="20"/>
        <v>0.27988658666493682</v>
      </c>
      <c r="T116" s="840"/>
      <c r="U116" s="840"/>
      <c r="V116" s="841"/>
      <c r="W116" s="987">
        <f t="shared" si="21"/>
        <v>6.7153654758672552</v>
      </c>
      <c r="X116" s="841"/>
      <c r="Y116" s="858">
        <f t="shared" si="22"/>
        <v>3.4407865866649372</v>
      </c>
      <c r="Z116" s="858">
        <f t="shared" si="23"/>
        <v>82.555365475867262</v>
      </c>
    </row>
    <row r="117" spans="1:26" s="740" customFormat="1" ht="12" customHeight="1">
      <c r="A117" s="756" t="s">
        <v>1937</v>
      </c>
      <c r="B117" s="756" t="s">
        <v>1938</v>
      </c>
      <c r="C117" s="757">
        <f>0.14*References!$B$11</f>
        <v>0.60620000000000007</v>
      </c>
      <c r="D117" s="757"/>
      <c r="E117" s="757">
        <f>+'Proposed Rates'!B54*References!B11</f>
        <v>0.60620000000000007</v>
      </c>
      <c r="F117" s="757"/>
      <c r="G117" s="743">
        <v>140.91</v>
      </c>
      <c r="H117" s="757"/>
      <c r="I117" s="743">
        <v>100.64999999999999</v>
      </c>
      <c r="J117" s="757"/>
      <c r="K117" s="743">
        <f t="shared" si="19"/>
        <v>241.56</v>
      </c>
      <c r="L117" s="757"/>
      <c r="M117" s="775">
        <f t="shared" si="28"/>
        <v>33.206862421643017</v>
      </c>
      <c r="N117" s="757"/>
      <c r="O117" s="759">
        <f t="shared" si="29"/>
        <v>33.206862421643017</v>
      </c>
      <c r="P117" s="757"/>
      <c r="Q117" s="759">
        <f t="shared" si="30"/>
        <v>33.206862421643017</v>
      </c>
      <c r="R117" s="757"/>
      <c r="S117" s="840">
        <f t="shared" si="20"/>
        <v>5.3676879634371448E-2</v>
      </c>
      <c r="T117" s="840"/>
      <c r="U117" s="840"/>
      <c r="V117" s="841"/>
      <c r="W117" s="987">
        <f t="shared" si="21"/>
        <v>21.389289086899975</v>
      </c>
      <c r="X117" s="841"/>
      <c r="Y117" s="858">
        <f t="shared" si="22"/>
        <v>0.65987687963437147</v>
      </c>
      <c r="Z117" s="858">
        <f t="shared" si="23"/>
        <v>262.94928908689997</v>
      </c>
    </row>
    <row r="118" spans="1:26" s="740" customFormat="1" ht="12" customHeight="1">
      <c r="A118" s="756" t="s">
        <v>1939</v>
      </c>
      <c r="B118" s="756" t="s">
        <v>1940</v>
      </c>
      <c r="C118" s="757">
        <v>31.02</v>
      </c>
      <c r="D118" s="757"/>
      <c r="E118" s="757">
        <f>+'Proposed Rates'!B174</f>
        <v>31.02</v>
      </c>
      <c r="F118" s="757"/>
      <c r="G118" s="743">
        <v>137.22</v>
      </c>
      <c r="H118" s="757"/>
      <c r="I118" s="743">
        <v>309.93</v>
      </c>
      <c r="J118" s="757"/>
      <c r="K118" s="743">
        <f t="shared" ref="K118:K139" si="31">+G118+I118</f>
        <v>447.15</v>
      </c>
      <c r="L118" s="757"/>
      <c r="M118" s="775">
        <f t="shared" si="28"/>
        <v>0.63194252555954689</v>
      </c>
      <c r="N118" s="757"/>
      <c r="O118" s="759">
        <f t="shared" si="29"/>
        <v>1.9982591876208899</v>
      </c>
      <c r="P118" s="757"/>
      <c r="Q118" s="759">
        <f t="shared" si="30"/>
        <v>1.3151008565902185</v>
      </c>
      <c r="R118" s="757"/>
      <c r="S118" s="840">
        <f t="shared" ref="S118:S139" si="32">+$E118*S$5</f>
        <v>2.7467119865691227</v>
      </c>
      <c r="T118" s="840"/>
      <c r="U118" s="840"/>
      <c r="V118" s="841"/>
      <c r="W118" s="987">
        <f t="shared" ref="W118:W139" si="33">+Q118*SUM(S118:U118)*12</f>
        <v>43.346439436124086</v>
      </c>
      <c r="X118" s="841"/>
      <c r="Y118" s="858">
        <f t="shared" ref="Y118:Y139" si="34">+E118+SUM(S118:U118)</f>
        <v>33.766711986569121</v>
      </c>
      <c r="Z118" s="858">
        <f t="shared" ref="Z118:Z138" si="35">K118+W118</f>
        <v>490.49643943612409</v>
      </c>
    </row>
    <row r="119" spans="1:26" s="740" customFormat="1" ht="12" customHeight="1">
      <c r="A119" s="756" t="s">
        <v>1941</v>
      </c>
      <c r="B119" s="756" t="s">
        <v>1942</v>
      </c>
      <c r="C119" s="757">
        <v>31.02</v>
      </c>
      <c r="D119" s="757"/>
      <c r="E119" s="757">
        <f>+'Proposed Rates'!B174</f>
        <v>31.02</v>
      </c>
      <c r="F119" s="757"/>
      <c r="G119" s="743">
        <v>30.24</v>
      </c>
      <c r="H119" s="757"/>
      <c r="I119" s="743">
        <v>0</v>
      </c>
      <c r="J119" s="757"/>
      <c r="K119" s="743">
        <f t="shared" si="31"/>
        <v>30.24</v>
      </c>
      <c r="L119" s="757"/>
      <c r="M119" s="775">
        <f t="shared" si="28"/>
        <v>0.13926499032882009</v>
      </c>
      <c r="N119" s="757"/>
      <c r="O119" s="759">
        <f t="shared" si="29"/>
        <v>0</v>
      </c>
      <c r="P119" s="757"/>
      <c r="Q119" s="759">
        <f t="shared" si="30"/>
        <v>6.9632495164410044E-2</v>
      </c>
      <c r="R119" s="757"/>
      <c r="S119" s="840">
        <f t="shared" si="32"/>
        <v>2.7467119865691227</v>
      </c>
      <c r="T119" s="840"/>
      <c r="U119" s="840"/>
      <c r="V119" s="841"/>
      <c r="W119" s="987">
        <f t="shared" si="33"/>
        <v>2.2951249094736186</v>
      </c>
      <c r="X119" s="841"/>
      <c r="Y119" s="858">
        <f t="shared" si="34"/>
        <v>33.766711986569121</v>
      </c>
      <c r="Z119" s="858">
        <f t="shared" si="35"/>
        <v>32.535124909473616</v>
      </c>
    </row>
    <row r="120" spans="1:26" s="740" customFormat="1" ht="12" customHeight="1">
      <c r="A120" s="756" t="s">
        <v>1943</v>
      </c>
      <c r="B120" s="756" t="s">
        <v>1944</v>
      </c>
      <c r="C120" s="757">
        <v>31.02</v>
      </c>
      <c r="D120" s="757"/>
      <c r="E120" s="757">
        <f>+'Proposed Rates'!B174</f>
        <v>31.02</v>
      </c>
      <c r="F120" s="757"/>
      <c r="G120" s="743">
        <v>62.22</v>
      </c>
      <c r="H120" s="757"/>
      <c r="I120" s="743">
        <v>0</v>
      </c>
      <c r="J120" s="757"/>
      <c r="K120" s="743">
        <f t="shared" si="31"/>
        <v>62.22</v>
      </c>
      <c r="L120" s="757"/>
      <c r="M120" s="775">
        <f t="shared" si="28"/>
        <v>0.28654324399005249</v>
      </c>
      <c r="N120" s="757"/>
      <c r="O120" s="759">
        <f t="shared" si="29"/>
        <v>0</v>
      </c>
      <c r="P120" s="757"/>
      <c r="Q120" s="759">
        <f t="shared" si="30"/>
        <v>0.14327162199502624</v>
      </c>
      <c r="R120" s="757"/>
      <c r="S120" s="840">
        <f t="shared" si="32"/>
        <v>2.7467119865691227</v>
      </c>
      <c r="T120" s="840"/>
      <c r="U120" s="840"/>
      <c r="V120" s="841"/>
      <c r="W120" s="987">
        <f t="shared" si="33"/>
        <v>4.7223105776272671</v>
      </c>
      <c r="X120" s="841"/>
      <c r="Y120" s="858">
        <f t="shared" si="34"/>
        <v>33.766711986569121</v>
      </c>
      <c r="Z120" s="858">
        <f t="shared" si="35"/>
        <v>66.942310577627268</v>
      </c>
    </row>
    <row r="121" spans="1:26" s="740" customFormat="1" ht="12" customHeight="1">
      <c r="A121" s="756" t="s">
        <v>1945</v>
      </c>
      <c r="B121" s="756" t="s">
        <v>1946</v>
      </c>
      <c r="C121" s="757">
        <f>5.17*7</f>
        <v>36.19</v>
      </c>
      <c r="D121" s="757"/>
      <c r="E121" s="757">
        <f>+'Proposed Rates'!B173*7</f>
        <v>36.19</v>
      </c>
      <c r="F121" s="757"/>
      <c r="G121" s="743">
        <v>44.16</v>
      </c>
      <c r="H121" s="757"/>
      <c r="I121" s="743">
        <v>22.08</v>
      </c>
      <c r="J121" s="757"/>
      <c r="K121" s="743">
        <f t="shared" si="31"/>
        <v>66.239999999999995</v>
      </c>
      <c r="L121" s="757"/>
      <c r="M121" s="775">
        <f t="shared" si="28"/>
        <v>0.1743180831326728</v>
      </c>
      <c r="N121" s="757"/>
      <c r="O121" s="759">
        <f t="shared" si="29"/>
        <v>0.12202265819287095</v>
      </c>
      <c r="P121" s="757"/>
      <c r="Q121" s="759">
        <f t="shared" si="30"/>
        <v>0.14817037066277189</v>
      </c>
      <c r="R121" s="757"/>
      <c r="S121" s="840">
        <f t="shared" si="32"/>
        <v>3.2044973176639764</v>
      </c>
      <c r="T121" s="840"/>
      <c r="U121" s="840"/>
      <c r="V121" s="841"/>
      <c r="W121" s="987">
        <f t="shared" si="33"/>
        <v>5.6977386641535563</v>
      </c>
      <c r="X121" s="841"/>
      <c r="Y121" s="858">
        <f t="shared" si="34"/>
        <v>39.394497317663976</v>
      </c>
      <c r="Z121" s="858">
        <f t="shared" si="35"/>
        <v>71.937738664153557</v>
      </c>
    </row>
    <row r="122" spans="1:26" s="740" customFormat="1" ht="12" customHeight="1">
      <c r="A122" s="756" t="s">
        <v>1947</v>
      </c>
      <c r="B122" s="756" t="s">
        <v>1948</v>
      </c>
      <c r="C122" s="757">
        <v>22.08</v>
      </c>
      <c r="D122" s="757"/>
      <c r="E122" s="757">
        <f>+'Proposed Rates'!B178</f>
        <v>22.08</v>
      </c>
      <c r="F122" s="757"/>
      <c r="G122" s="743">
        <v>44.16</v>
      </c>
      <c r="H122" s="757"/>
      <c r="I122" s="743">
        <v>22.08</v>
      </c>
      <c r="J122" s="757"/>
      <c r="K122" s="743">
        <f t="shared" si="31"/>
        <v>66.239999999999995</v>
      </c>
      <c r="L122" s="757"/>
      <c r="M122" s="775">
        <f t="shared" si="28"/>
        <v>0.2857142857142857</v>
      </c>
      <c r="N122" s="757"/>
      <c r="O122" s="759">
        <f t="shared" si="29"/>
        <v>0.19999999999999998</v>
      </c>
      <c r="P122" s="757"/>
      <c r="Q122" s="759">
        <f t="shared" si="30"/>
        <v>0.24285714285714283</v>
      </c>
      <c r="R122" s="757"/>
      <c r="S122" s="840">
        <f t="shared" si="32"/>
        <v>1.9551064043664159</v>
      </c>
      <c r="T122" s="840"/>
      <c r="U122" s="840"/>
      <c r="V122" s="841"/>
      <c r="W122" s="987">
        <f t="shared" si="33"/>
        <v>5.6977386641535546</v>
      </c>
      <c r="X122" s="841"/>
      <c r="Y122" s="858">
        <f t="shared" si="34"/>
        <v>24.035106404366413</v>
      </c>
      <c r="Z122" s="858">
        <f t="shared" si="35"/>
        <v>71.937738664153557</v>
      </c>
    </row>
    <row r="123" spans="1:26" s="740" customFormat="1" ht="12" customHeight="1">
      <c r="A123" s="756" t="s">
        <v>1949</v>
      </c>
      <c r="B123" s="756" t="s">
        <v>1950</v>
      </c>
      <c r="C123" s="757">
        <v>18.47</v>
      </c>
      <c r="D123" s="757"/>
      <c r="E123" s="757">
        <f>+'Proposed Rates'!B215</f>
        <v>18.86</v>
      </c>
      <c r="F123" s="757"/>
      <c r="G123" s="743">
        <v>1791.5899999999997</v>
      </c>
      <c r="H123" s="757"/>
      <c r="I123" s="743">
        <v>1451.44</v>
      </c>
      <c r="J123" s="757"/>
      <c r="K123" s="743">
        <f t="shared" si="31"/>
        <v>3243.0299999999997</v>
      </c>
      <c r="L123" s="757"/>
      <c r="M123" s="775">
        <f t="shared" si="28"/>
        <v>13.857142857142856</v>
      </c>
      <c r="N123" s="757"/>
      <c r="O123" s="759">
        <f t="shared" si="29"/>
        <v>15.391728525980913</v>
      </c>
      <c r="P123" s="757"/>
      <c r="Q123" s="759">
        <f t="shared" si="30"/>
        <v>14.624435691561885</v>
      </c>
      <c r="R123" s="757"/>
      <c r="S123" s="840">
        <f t="shared" si="32"/>
        <v>1.6699867203963137</v>
      </c>
      <c r="T123" s="840"/>
      <c r="U123" s="840"/>
      <c r="V123" s="841"/>
      <c r="W123" s="987">
        <f t="shared" si="33"/>
        <v>293.07136077837873</v>
      </c>
      <c r="X123" s="841"/>
      <c r="Y123" s="858">
        <f t="shared" si="34"/>
        <v>20.529986720396312</v>
      </c>
      <c r="Z123" s="858">
        <f t="shared" si="35"/>
        <v>3536.1013607783784</v>
      </c>
    </row>
    <row r="124" spans="1:26" s="740" customFormat="1" ht="12" customHeight="1">
      <c r="A124" s="756" t="s">
        <v>1951</v>
      </c>
      <c r="B124" s="756" t="s">
        <v>1952</v>
      </c>
      <c r="C124" s="757">
        <v>22.77</v>
      </c>
      <c r="D124" s="757"/>
      <c r="E124" s="757">
        <f>+'Proposed Rates'!B216</f>
        <v>23.25</v>
      </c>
      <c r="F124" s="757"/>
      <c r="G124" s="743">
        <v>182.16000000000003</v>
      </c>
      <c r="H124" s="757"/>
      <c r="I124" s="743">
        <v>116.25</v>
      </c>
      <c r="J124" s="757"/>
      <c r="K124" s="743">
        <f t="shared" si="31"/>
        <v>298.41000000000003</v>
      </c>
      <c r="L124" s="757"/>
      <c r="M124" s="775">
        <f t="shared" si="28"/>
        <v>1.142857142857143</v>
      </c>
      <c r="N124" s="757"/>
      <c r="O124" s="759">
        <f t="shared" si="29"/>
        <v>1</v>
      </c>
      <c r="P124" s="757"/>
      <c r="Q124" s="759">
        <f t="shared" si="30"/>
        <v>1.0714285714285716</v>
      </c>
      <c r="R124" s="757"/>
      <c r="S124" s="840">
        <f t="shared" si="32"/>
        <v>2.0587057926412671</v>
      </c>
      <c r="T124" s="840"/>
      <c r="U124" s="840"/>
      <c r="V124" s="841"/>
      <c r="W124" s="987">
        <f t="shared" si="33"/>
        <v>26.469074476816296</v>
      </c>
      <c r="X124" s="841"/>
      <c r="Y124" s="858">
        <f t="shared" si="34"/>
        <v>25.308705792641266</v>
      </c>
      <c r="Z124" s="858">
        <f t="shared" si="35"/>
        <v>324.8790744768163</v>
      </c>
    </row>
    <row r="125" spans="1:26" s="740" customFormat="1" ht="12" customHeight="1">
      <c r="A125" s="756" t="s">
        <v>1953</v>
      </c>
      <c r="B125" s="756" t="s">
        <v>1954</v>
      </c>
      <c r="C125" s="757">
        <v>22.77</v>
      </c>
      <c r="D125" s="757"/>
      <c r="E125" s="757">
        <f>+'Proposed Rates'!B217</f>
        <v>23.25</v>
      </c>
      <c r="F125" s="757"/>
      <c r="G125" s="743">
        <v>0</v>
      </c>
      <c r="H125" s="757"/>
      <c r="I125" s="743">
        <v>139.5</v>
      </c>
      <c r="J125" s="757"/>
      <c r="K125" s="743">
        <f t="shared" si="31"/>
        <v>139.5</v>
      </c>
      <c r="L125" s="757"/>
      <c r="M125" s="775">
        <f t="shared" si="28"/>
        <v>0</v>
      </c>
      <c r="N125" s="757"/>
      <c r="O125" s="759">
        <f t="shared" si="29"/>
        <v>1.2</v>
      </c>
      <c r="P125" s="757"/>
      <c r="Q125" s="759">
        <f t="shared" si="30"/>
        <v>0.6</v>
      </c>
      <c r="R125" s="757"/>
      <c r="S125" s="840">
        <f t="shared" si="32"/>
        <v>2.0587057926412671</v>
      </c>
      <c r="T125" s="840"/>
      <c r="U125" s="840"/>
      <c r="V125" s="841"/>
      <c r="W125" s="987">
        <f t="shared" si="33"/>
        <v>14.822681707017122</v>
      </c>
      <c r="X125" s="841"/>
      <c r="Y125" s="858">
        <f t="shared" si="34"/>
        <v>25.308705792641266</v>
      </c>
      <c r="Z125" s="858">
        <f t="shared" si="35"/>
        <v>154.32268170701713</v>
      </c>
    </row>
    <row r="126" spans="1:26" s="740" customFormat="1" ht="12" customHeight="1">
      <c r="A126" s="756" t="s">
        <v>1955</v>
      </c>
      <c r="B126" s="756" t="s">
        <v>1956</v>
      </c>
      <c r="C126" s="757">
        <v>26.46</v>
      </c>
      <c r="D126" s="757"/>
      <c r="E126" s="757">
        <f>+'Proposed Rates'!B218</f>
        <v>27.02</v>
      </c>
      <c r="F126" s="757"/>
      <c r="G126" s="743">
        <v>793.80000000000007</v>
      </c>
      <c r="H126" s="757"/>
      <c r="I126" s="743">
        <v>162.12</v>
      </c>
      <c r="J126" s="757"/>
      <c r="K126" s="743">
        <f t="shared" si="31"/>
        <v>955.92000000000007</v>
      </c>
      <c r="L126" s="757"/>
      <c r="M126" s="775">
        <f t="shared" si="28"/>
        <v>4.2857142857142856</v>
      </c>
      <c r="N126" s="757"/>
      <c r="O126" s="759">
        <f t="shared" si="29"/>
        <v>1.2</v>
      </c>
      <c r="P126" s="757"/>
      <c r="Q126" s="759">
        <f t="shared" si="30"/>
        <v>2.7428571428571429</v>
      </c>
      <c r="R126" s="757"/>
      <c r="S126" s="840">
        <f t="shared" si="32"/>
        <v>2.3925260437491196</v>
      </c>
      <c r="T126" s="840"/>
      <c r="U126" s="840"/>
      <c r="V126" s="841"/>
      <c r="W126" s="987">
        <f t="shared" si="33"/>
        <v>78.748285782828162</v>
      </c>
      <c r="X126" s="841"/>
      <c r="Y126" s="858">
        <f t="shared" si="34"/>
        <v>29.412526043749118</v>
      </c>
      <c r="Z126" s="858">
        <f t="shared" si="35"/>
        <v>1034.6682857828282</v>
      </c>
    </row>
    <row r="127" spans="1:26" s="740" customFormat="1" ht="12" customHeight="1">
      <c r="A127" s="756" t="s">
        <v>1957</v>
      </c>
      <c r="B127" s="756" t="s">
        <v>1958</v>
      </c>
      <c r="C127" s="757">
        <v>18.47</v>
      </c>
      <c r="D127" s="757"/>
      <c r="E127" s="757">
        <f>+'Proposed Rates'!B215</f>
        <v>18.86</v>
      </c>
      <c r="F127" s="757"/>
      <c r="G127" s="743">
        <v>9.1</v>
      </c>
      <c r="H127" s="757"/>
      <c r="I127" s="743">
        <v>0</v>
      </c>
      <c r="J127" s="757"/>
      <c r="K127" s="743">
        <f t="shared" si="31"/>
        <v>9.1</v>
      </c>
      <c r="L127" s="757"/>
      <c r="M127" s="775">
        <f t="shared" si="28"/>
        <v>7.038440714672442E-2</v>
      </c>
      <c r="N127" s="757"/>
      <c r="O127" s="759">
        <f t="shared" si="29"/>
        <v>0</v>
      </c>
      <c r="P127" s="757"/>
      <c r="Q127" s="759">
        <f t="shared" si="30"/>
        <v>3.519220357336221E-2</v>
      </c>
      <c r="R127" s="757"/>
      <c r="S127" s="840">
        <f t="shared" si="32"/>
        <v>1.6699867203963137</v>
      </c>
      <c r="T127" s="840"/>
      <c r="U127" s="840"/>
      <c r="V127" s="841"/>
      <c r="W127" s="987">
        <f t="shared" si="33"/>
        <v>0.70524615154798309</v>
      </c>
      <c r="X127" s="841"/>
      <c r="Y127" s="858">
        <f t="shared" si="34"/>
        <v>20.529986720396312</v>
      </c>
      <c r="Z127" s="858">
        <f t="shared" si="35"/>
        <v>9.8052461515479834</v>
      </c>
    </row>
    <row r="128" spans="1:26" s="740" customFormat="1" ht="12" customHeight="1">
      <c r="A128" s="756" t="s">
        <v>1959</v>
      </c>
      <c r="B128" s="756" t="s">
        <v>1960</v>
      </c>
      <c r="C128" s="757">
        <v>11.73</v>
      </c>
      <c r="D128" s="757"/>
      <c r="E128" s="757">
        <f>+'Proposed Rates'!B14</f>
        <v>11.73</v>
      </c>
      <c r="F128" s="757"/>
      <c r="G128" s="743">
        <v>2780.0099999999998</v>
      </c>
      <c r="H128" s="757"/>
      <c r="I128" s="743">
        <v>2016.0099999999998</v>
      </c>
      <c r="J128" s="757"/>
      <c r="K128" s="743">
        <f t="shared" si="31"/>
        <v>4796.0199999999995</v>
      </c>
      <c r="L128" s="757"/>
      <c r="M128" s="775">
        <f t="shared" si="28"/>
        <v>33.857142857142854</v>
      </c>
      <c r="N128" s="757"/>
      <c r="O128" s="759">
        <f t="shared" si="29"/>
        <v>34.373572037510648</v>
      </c>
      <c r="P128" s="757"/>
      <c r="Q128" s="759">
        <f t="shared" si="30"/>
        <v>34.115357447326751</v>
      </c>
      <c r="R128" s="757"/>
      <c r="S128" s="840">
        <f t="shared" si="32"/>
        <v>1.0386502773196586</v>
      </c>
      <c r="T128" s="840"/>
      <c r="U128" s="840"/>
      <c r="V128" s="841"/>
      <c r="W128" s="987">
        <f t="shared" si="33"/>
        <v>425.20710568230254</v>
      </c>
      <c r="X128" s="841"/>
      <c r="Y128" s="858">
        <f t="shared" si="34"/>
        <v>12.76865027731966</v>
      </c>
      <c r="Z128" s="858">
        <f t="shared" si="35"/>
        <v>5221.227105682302</v>
      </c>
    </row>
    <row r="129" spans="1:16384" s="740" customFormat="1" ht="12" customHeight="1">
      <c r="A129" s="756" t="s">
        <v>1961</v>
      </c>
      <c r="B129" s="756" t="s">
        <v>1962</v>
      </c>
      <c r="C129" s="757">
        <v>84.78</v>
      </c>
      <c r="D129" s="757"/>
      <c r="E129" s="757">
        <f>+'Proposed Rates'!B141</f>
        <v>84.78</v>
      </c>
      <c r="F129" s="757"/>
      <c r="G129" s="743">
        <v>1120.53</v>
      </c>
      <c r="H129" s="757"/>
      <c r="I129" s="743">
        <v>1777.75</v>
      </c>
      <c r="J129" s="757"/>
      <c r="K129" s="743">
        <f t="shared" si="31"/>
        <v>2898.2799999999997</v>
      </c>
      <c r="L129" s="757"/>
      <c r="M129" s="775">
        <f t="shared" si="28"/>
        <v>1.8881306237994133</v>
      </c>
      <c r="N129" s="757"/>
      <c r="O129" s="759">
        <f t="shared" si="29"/>
        <v>4.1937957065345604</v>
      </c>
      <c r="P129" s="757"/>
      <c r="Q129" s="759">
        <f t="shared" si="30"/>
        <v>3.0409631651669868</v>
      </c>
      <c r="R129" s="757"/>
      <c r="S129" s="840">
        <f t="shared" si="32"/>
        <v>7.5069710580699622</v>
      </c>
      <c r="T129" s="840"/>
      <c r="U129" s="840"/>
      <c r="V129" s="841"/>
      <c r="W129" s="987">
        <f t="shared" si="33"/>
        <v>273.94106963478475</v>
      </c>
      <c r="X129" s="841"/>
      <c r="Y129" s="858">
        <f t="shared" si="34"/>
        <v>92.286971058069966</v>
      </c>
      <c r="Z129" s="858">
        <f t="shared" si="35"/>
        <v>3172.2210696347847</v>
      </c>
    </row>
    <row r="130" spans="1:16384" s="740" customFormat="1" ht="12" customHeight="1">
      <c r="A130" s="756" t="s">
        <v>1963</v>
      </c>
      <c r="B130" s="756" t="s">
        <v>1964</v>
      </c>
      <c r="C130" s="757">
        <v>4.22</v>
      </c>
      <c r="D130" s="757"/>
      <c r="E130" s="757">
        <f>+'Proposed Rates'!B28</f>
        <v>4.22</v>
      </c>
      <c r="F130" s="757"/>
      <c r="G130" s="743">
        <v>8.879999999999999</v>
      </c>
      <c r="H130" s="757"/>
      <c r="I130" s="743">
        <v>0</v>
      </c>
      <c r="J130" s="757"/>
      <c r="K130" s="743">
        <f t="shared" si="31"/>
        <v>8.879999999999999</v>
      </c>
      <c r="L130" s="757"/>
      <c r="M130" s="775">
        <f t="shared" si="28"/>
        <v>0.30060934326337169</v>
      </c>
      <c r="N130" s="757"/>
      <c r="O130" s="759">
        <f t="shared" si="29"/>
        <v>0</v>
      </c>
      <c r="P130" s="757"/>
      <c r="Q130" s="759">
        <f t="shared" si="30"/>
        <v>0.15030467163168584</v>
      </c>
      <c r="R130" s="757"/>
      <c r="S130" s="840">
        <f t="shared" si="32"/>
        <v>0.37366616967510308</v>
      </c>
      <c r="T130" s="840"/>
      <c r="U130" s="840"/>
      <c r="V130" s="841"/>
      <c r="W130" s="987">
        <f t="shared" si="33"/>
        <v>0.67396525119463413</v>
      </c>
      <c r="X130" s="841"/>
      <c r="Y130" s="858">
        <f t="shared" si="34"/>
        <v>4.5936661696751031</v>
      </c>
      <c r="Z130" s="858">
        <f t="shared" si="35"/>
        <v>9.5539652511946329</v>
      </c>
    </row>
    <row r="131" spans="1:16384" s="740" customFormat="1" ht="12" customHeight="1">
      <c r="A131" s="756" t="s">
        <v>1965</v>
      </c>
      <c r="B131" s="756" t="s">
        <v>1966</v>
      </c>
      <c r="C131" s="777">
        <v>1.18</v>
      </c>
      <c r="D131" s="777"/>
      <c r="E131" s="757">
        <f>+'Proposed Rates'!B235</f>
        <v>1.2</v>
      </c>
      <c r="F131" s="757"/>
      <c r="G131" s="743">
        <v>7200.1</v>
      </c>
      <c r="H131" s="757"/>
      <c r="I131" s="743">
        <v>5298.59</v>
      </c>
      <c r="J131" s="757"/>
      <c r="K131" s="743">
        <f t="shared" si="31"/>
        <v>12498.69</v>
      </c>
      <c r="L131" s="757"/>
      <c r="M131" s="775">
        <f t="shared" si="28"/>
        <v>871.6828087167072</v>
      </c>
      <c r="N131" s="757"/>
      <c r="O131" s="759">
        <f t="shared" si="29"/>
        <v>883.09833333333347</v>
      </c>
      <c r="P131" s="757"/>
      <c r="Q131" s="759">
        <f t="shared" si="30"/>
        <v>877.39057102502034</v>
      </c>
      <c r="R131" s="757"/>
      <c r="S131" s="840">
        <f t="shared" si="32"/>
        <v>0.10625578284600087</v>
      </c>
      <c r="T131" s="840"/>
      <c r="U131" s="840"/>
      <c r="V131" s="841"/>
      <c r="W131" s="987">
        <f t="shared" si="33"/>
        <v>1118.7338638315591</v>
      </c>
      <c r="X131" s="841"/>
      <c r="Y131" s="858">
        <f t="shared" si="34"/>
        <v>1.3062557828460009</v>
      </c>
      <c r="Z131" s="858">
        <f t="shared" si="35"/>
        <v>13617.42386383156</v>
      </c>
    </row>
    <row r="132" spans="1:16384" s="740" customFormat="1" ht="12" customHeight="1">
      <c r="A132" s="756" t="s">
        <v>1967</v>
      </c>
      <c r="B132" s="756" t="s">
        <v>1968</v>
      </c>
      <c r="C132" s="777">
        <v>1.18</v>
      </c>
      <c r="D132" s="777"/>
      <c r="E132" s="757">
        <f>+'Proposed Rates'!B235</f>
        <v>1.2</v>
      </c>
      <c r="F132" s="757"/>
      <c r="G132" s="743">
        <v>15039.670000000002</v>
      </c>
      <c r="H132" s="757"/>
      <c r="I132" s="743">
        <v>10497.96</v>
      </c>
      <c r="J132" s="757"/>
      <c r="K132" s="743">
        <f t="shared" si="31"/>
        <v>25537.63</v>
      </c>
      <c r="L132" s="757"/>
      <c r="M132" s="775">
        <f t="shared" si="28"/>
        <v>1820.7832929782087</v>
      </c>
      <c r="N132" s="757"/>
      <c r="O132" s="759">
        <f t="shared" si="29"/>
        <v>1749.6599999999999</v>
      </c>
      <c r="P132" s="757"/>
      <c r="Q132" s="759">
        <f t="shared" si="30"/>
        <v>1785.2216464891044</v>
      </c>
      <c r="R132" s="757"/>
      <c r="S132" s="840">
        <f t="shared" si="32"/>
        <v>0.10625578284600087</v>
      </c>
      <c r="T132" s="840"/>
      <c r="U132" s="840"/>
      <c r="V132" s="841"/>
      <c r="W132" s="987">
        <f t="shared" si="33"/>
        <v>2276.281483215917</v>
      </c>
      <c r="X132" s="841"/>
      <c r="Y132" s="858">
        <f t="shared" si="34"/>
        <v>1.3062557828460009</v>
      </c>
      <c r="Z132" s="858">
        <f t="shared" si="35"/>
        <v>27813.911483215918</v>
      </c>
    </row>
    <row r="133" spans="1:16384" s="740" customFormat="1" ht="12" customHeight="1">
      <c r="A133" s="756" t="s">
        <v>1969</v>
      </c>
      <c r="B133" s="756" t="s">
        <v>1970</v>
      </c>
      <c r="C133" s="757">
        <v>1.18</v>
      </c>
      <c r="D133" s="757"/>
      <c r="E133" s="757">
        <f>+'Proposed Rates'!B235</f>
        <v>1.2</v>
      </c>
      <c r="F133" s="776"/>
      <c r="G133" s="743">
        <v>-61.31</v>
      </c>
      <c r="H133" s="776"/>
      <c r="I133" s="743">
        <v>26</v>
      </c>
      <c r="J133" s="776"/>
      <c r="K133" s="743">
        <f t="shared" si="31"/>
        <v>-35.31</v>
      </c>
      <c r="L133" s="776"/>
      <c r="M133" s="775">
        <f t="shared" si="28"/>
        <v>-7.4225181598062964</v>
      </c>
      <c r="N133" s="757"/>
      <c r="O133" s="759">
        <f t="shared" si="29"/>
        <v>4.3333333333333339</v>
      </c>
      <c r="P133" s="757"/>
      <c r="Q133" s="759">
        <f t="shared" si="30"/>
        <v>-1.5445924132364812</v>
      </c>
      <c r="R133" s="776"/>
      <c r="S133" s="840">
        <f t="shared" si="32"/>
        <v>0.10625578284600087</v>
      </c>
      <c r="T133" s="845"/>
      <c r="U133" s="845"/>
      <c r="V133" s="846"/>
      <c r="W133" s="987">
        <f t="shared" si="33"/>
        <v>-1.9694625125572318</v>
      </c>
      <c r="X133" s="1244"/>
      <c r="Y133" s="858">
        <f t="shared" si="34"/>
        <v>1.3062557828460009</v>
      </c>
      <c r="Z133" s="858">
        <f t="shared" si="35"/>
        <v>-37.279462512557231</v>
      </c>
      <c r="AA133" s="774"/>
      <c r="AB133" s="774"/>
      <c r="AC133" s="774"/>
      <c r="AD133" s="774"/>
      <c r="AE133" s="774"/>
      <c r="AF133" s="774"/>
      <c r="AG133" s="774"/>
      <c r="AH133" s="774"/>
      <c r="AI133" s="774"/>
      <c r="AJ133" s="774"/>
      <c r="AK133" s="774"/>
      <c r="AL133" s="774"/>
      <c r="AM133" s="774"/>
      <c r="AN133" s="774"/>
      <c r="AO133" s="774"/>
      <c r="AP133" s="774"/>
      <c r="AQ133" s="774"/>
      <c r="AR133" s="774"/>
      <c r="AS133" s="774"/>
      <c r="AT133" s="774"/>
      <c r="AU133" s="774"/>
      <c r="AV133" s="774"/>
      <c r="AW133" s="774"/>
      <c r="AX133" s="774"/>
      <c r="AY133" s="774"/>
      <c r="AZ133" s="774"/>
      <c r="BA133" s="774"/>
      <c r="BB133" s="774"/>
      <c r="BC133" s="774"/>
      <c r="BD133" s="774"/>
      <c r="BE133" s="774"/>
      <c r="BF133" s="774"/>
      <c r="BG133" s="774"/>
      <c r="BH133" s="774"/>
      <c r="BI133" s="774"/>
      <c r="BJ133" s="774"/>
      <c r="BK133" s="774"/>
      <c r="BL133" s="774"/>
      <c r="BM133" s="774"/>
      <c r="BN133" s="774"/>
      <c r="BO133" s="774"/>
      <c r="BP133" s="774"/>
      <c r="BQ133" s="774"/>
      <c r="BR133" s="774"/>
      <c r="BS133" s="774"/>
      <c r="BT133" s="774"/>
      <c r="BU133" s="774"/>
      <c r="BV133" s="774"/>
      <c r="BW133" s="774"/>
      <c r="BX133" s="774"/>
      <c r="BY133" s="774"/>
      <c r="BZ133" s="774"/>
      <c r="CA133" s="774"/>
      <c r="CB133" s="774"/>
      <c r="CC133" s="774"/>
      <c r="CD133" s="774"/>
      <c r="CE133" s="774"/>
      <c r="CF133" s="774"/>
      <c r="CG133" s="774"/>
      <c r="CH133" s="774"/>
      <c r="CI133" s="774"/>
      <c r="CJ133" s="774"/>
      <c r="CK133" s="774"/>
      <c r="CL133" s="774"/>
      <c r="CM133" s="774"/>
      <c r="CN133" s="774"/>
      <c r="CO133" s="774"/>
      <c r="CP133" s="774"/>
      <c r="CQ133" s="774"/>
      <c r="CR133" s="774"/>
      <c r="CS133" s="774"/>
      <c r="CT133" s="774"/>
      <c r="CU133" s="774"/>
      <c r="CV133" s="774"/>
      <c r="CW133" s="774"/>
      <c r="CX133" s="774"/>
      <c r="CY133" s="774"/>
      <c r="CZ133" s="774"/>
      <c r="DA133" s="774"/>
      <c r="DB133" s="774"/>
      <c r="DC133" s="774"/>
      <c r="DD133" s="774"/>
      <c r="DE133" s="774"/>
      <c r="DF133" s="774"/>
      <c r="DG133" s="774"/>
      <c r="DH133" s="774"/>
      <c r="DI133" s="774"/>
      <c r="DJ133" s="774"/>
      <c r="DK133" s="774"/>
      <c r="DL133" s="774"/>
      <c r="DM133" s="774"/>
      <c r="DN133" s="774"/>
      <c r="DO133" s="774"/>
      <c r="DP133" s="774"/>
      <c r="DQ133" s="774"/>
      <c r="DR133" s="774"/>
      <c r="DS133" s="774"/>
      <c r="DT133" s="774"/>
      <c r="DU133" s="774"/>
      <c r="DV133" s="774"/>
      <c r="DW133" s="774"/>
      <c r="DX133" s="774"/>
      <c r="DY133" s="774"/>
      <c r="DZ133" s="774"/>
      <c r="EA133" s="774"/>
      <c r="EB133" s="774"/>
      <c r="EC133" s="774"/>
      <c r="ED133" s="774"/>
      <c r="EE133" s="774"/>
      <c r="EF133" s="774"/>
      <c r="EG133" s="774"/>
      <c r="EH133" s="774"/>
      <c r="EI133" s="774"/>
      <c r="EJ133" s="774"/>
      <c r="EK133" s="774"/>
      <c r="EL133" s="774"/>
      <c r="EM133" s="774"/>
      <c r="EN133" s="774"/>
      <c r="EO133" s="774"/>
      <c r="EP133" s="774"/>
      <c r="EQ133" s="774"/>
      <c r="ER133" s="774"/>
      <c r="ES133" s="774"/>
      <c r="ET133" s="774"/>
      <c r="EU133" s="774"/>
      <c r="EV133" s="774"/>
      <c r="EW133" s="774"/>
      <c r="EX133" s="774"/>
      <c r="EY133" s="774"/>
      <c r="EZ133" s="774"/>
      <c r="FA133" s="774"/>
      <c r="FB133" s="774"/>
      <c r="FC133" s="774"/>
      <c r="FD133" s="774"/>
      <c r="FE133" s="774"/>
      <c r="FF133" s="774"/>
      <c r="FG133" s="774"/>
      <c r="FH133" s="774"/>
      <c r="FI133" s="774"/>
      <c r="FJ133" s="774"/>
      <c r="FK133" s="774"/>
      <c r="FL133" s="774"/>
      <c r="FM133" s="774"/>
      <c r="FN133" s="774"/>
      <c r="FO133" s="774"/>
      <c r="FP133" s="774"/>
      <c r="FQ133" s="774"/>
      <c r="FR133" s="774"/>
      <c r="FS133" s="774"/>
      <c r="FT133" s="774"/>
      <c r="FU133" s="774"/>
      <c r="FV133" s="774"/>
      <c r="FW133" s="774"/>
      <c r="FX133" s="774"/>
      <c r="FY133" s="774"/>
      <c r="FZ133" s="774"/>
      <c r="GA133" s="774"/>
      <c r="GB133" s="774"/>
      <c r="GC133" s="774"/>
      <c r="GD133" s="774"/>
      <c r="GE133" s="774"/>
      <c r="GF133" s="774"/>
      <c r="GG133" s="774"/>
      <c r="GH133" s="774"/>
      <c r="GI133" s="774"/>
      <c r="GJ133" s="774"/>
      <c r="GK133" s="774"/>
      <c r="GL133" s="774"/>
      <c r="GM133" s="774"/>
      <c r="GN133" s="774"/>
      <c r="GO133" s="774"/>
      <c r="GP133" s="774"/>
      <c r="GQ133" s="774"/>
      <c r="GR133" s="774"/>
      <c r="GS133" s="774"/>
      <c r="GT133" s="774"/>
      <c r="GU133" s="774"/>
      <c r="GV133" s="774"/>
      <c r="GW133" s="774"/>
      <c r="GX133" s="774"/>
      <c r="GY133" s="774"/>
      <c r="GZ133" s="774"/>
      <c r="HA133" s="774"/>
      <c r="HB133" s="774"/>
      <c r="HC133" s="774"/>
      <c r="HD133" s="774"/>
      <c r="HE133" s="774"/>
      <c r="HF133" s="774"/>
      <c r="HG133" s="774"/>
      <c r="HH133" s="774"/>
      <c r="HI133" s="774"/>
      <c r="HJ133" s="774"/>
      <c r="HK133" s="774"/>
      <c r="HL133" s="774"/>
      <c r="HM133" s="774"/>
      <c r="HN133" s="774"/>
      <c r="HO133" s="774"/>
      <c r="HP133" s="774"/>
      <c r="HQ133" s="774"/>
      <c r="HR133" s="774"/>
      <c r="HS133" s="774"/>
      <c r="HT133" s="774"/>
      <c r="HU133" s="774"/>
      <c r="HV133" s="774"/>
      <c r="HW133" s="774"/>
      <c r="HX133" s="774"/>
      <c r="HY133" s="774"/>
      <c r="HZ133" s="774"/>
      <c r="IA133" s="774"/>
      <c r="IB133" s="774"/>
      <c r="IC133" s="774"/>
      <c r="ID133" s="774"/>
      <c r="IE133" s="774"/>
      <c r="IF133" s="774"/>
      <c r="IG133" s="774"/>
      <c r="IH133" s="774"/>
      <c r="II133" s="774"/>
      <c r="IJ133" s="774"/>
      <c r="IK133" s="774"/>
      <c r="IL133" s="774"/>
      <c r="IM133" s="774"/>
      <c r="IN133" s="774"/>
      <c r="IO133" s="774"/>
      <c r="IP133" s="774"/>
      <c r="IQ133" s="774"/>
      <c r="IR133" s="774"/>
      <c r="IS133" s="774"/>
      <c r="IT133" s="774"/>
      <c r="IU133" s="774"/>
      <c r="IV133" s="774"/>
      <c r="IW133" s="774"/>
      <c r="IX133" s="774"/>
      <c r="IY133" s="774"/>
      <c r="IZ133" s="774"/>
      <c r="JA133" s="774"/>
      <c r="JB133" s="774"/>
      <c r="JC133" s="774"/>
      <c r="JD133" s="774"/>
      <c r="JE133" s="774"/>
      <c r="JF133" s="774"/>
      <c r="JG133" s="774"/>
      <c r="JH133" s="774"/>
      <c r="JI133" s="774"/>
      <c r="JJ133" s="774"/>
      <c r="JK133" s="774"/>
      <c r="JL133" s="774"/>
      <c r="JM133" s="774"/>
      <c r="JN133" s="774"/>
      <c r="JO133" s="774"/>
      <c r="JP133" s="774"/>
      <c r="JQ133" s="774"/>
      <c r="JR133" s="774"/>
      <c r="JS133" s="774"/>
      <c r="JT133" s="774"/>
      <c r="JU133" s="774"/>
      <c r="JV133" s="774"/>
      <c r="JW133" s="774"/>
      <c r="JX133" s="774"/>
      <c r="JY133" s="774"/>
      <c r="JZ133" s="774"/>
      <c r="KA133" s="774"/>
      <c r="KB133" s="774"/>
      <c r="KC133" s="774"/>
      <c r="KD133" s="774"/>
      <c r="KE133" s="774"/>
      <c r="KF133" s="774"/>
      <c r="KG133" s="774"/>
      <c r="KH133" s="774"/>
      <c r="KI133" s="774"/>
      <c r="KJ133" s="774"/>
      <c r="KK133" s="774"/>
      <c r="KL133" s="774"/>
      <c r="KM133" s="774"/>
      <c r="KN133" s="774"/>
      <c r="KO133" s="774"/>
      <c r="KP133" s="774"/>
      <c r="KQ133" s="774"/>
      <c r="KR133" s="774"/>
      <c r="KS133" s="774"/>
      <c r="KT133" s="774"/>
      <c r="KU133" s="774"/>
      <c r="KV133" s="774"/>
      <c r="KW133" s="774"/>
      <c r="KX133" s="774"/>
      <c r="KY133" s="774"/>
      <c r="KZ133" s="774"/>
      <c r="LA133" s="774"/>
      <c r="LB133" s="774"/>
      <c r="LC133" s="774"/>
      <c r="LD133" s="774"/>
      <c r="LE133" s="774"/>
      <c r="LF133" s="774"/>
      <c r="LG133" s="774"/>
      <c r="LH133" s="774"/>
      <c r="LI133" s="774"/>
      <c r="LJ133" s="774"/>
      <c r="LK133" s="774"/>
      <c r="LL133" s="774"/>
      <c r="LM133" s="774"/>
      <c r="LN133" s="774"/>
      <c r="LO133" s="774"/>
      <c r="LP133" s="774"/>
      <c r="LQ133" s="774"/>
      <c r="LR133" s="774"/>
      <c r="LS133" s="774"/>
      <c r="LT133" s="774"/>
      <c r="LU133" s="774"/>
      <c r="LV133" s="774"/>
      <c r="LW133" s="774"/>
      <c r="LX133" s="774"/>
      <c r="LY133" s="774"/>
      <c r="LZ133" s="774"/>
      <c r="MA133" s="774"/>
      <c r="MB133" s="774"/>
      <c r="MC133" s="774"/>
      <c r="MD133" s="774"/>
      <c r="ME133" s="774"/>
      <c r="MF133" s="774"/>
      <c r="MG133" s="774"/>
      <c r="MH133" s="774"/>
      <c r="MI133" s="774"/>
      <c r="MJ133" s="774"/>
      <c r="MK133" s="774"/>
      <c r="ML133" s="774"/>
      <c r="MM133" s="774"/>
      <c r="MN133" s="774"/>
      <c r="MO133" s="774"/>
      <c r="MP133" s="774"/>
      <c r="MQ133" s="774"/>
      <c r="MR133" s="774"/>
      <c r="MS133" s="774"/>
      <c r="MT133" s="774"/>
      <c r="MU133" s="774"/>
      <c r="MV133" s="774"/>
      <c r="MW133" s="774"/>
      <c r="MX133" s="774"/>
      <c r="MY133" s="774"/>
      <c r="MZ133" s="774"/>
      <c r="NA133" s="774"/>
      <c r="NB133" s="774"/>
      <c r="NC133" s="774"/>
      <c r="ND133" s="774"/>
      <c r="NE133" s="774"/>
      <c r="NF133" s="774"/>
      <c r="NG133" s="774"/>
      <c r="NH133" s="774"/>
      <c r="NI133" s="774"/>
      <c r="NJ133" s="774"/>
      <c r="NK133" s="774"/>
      <c r="NL133" s="774"/>
      <c r="NM133" s="774"/>
      <c r="NN133" s="774"/>
      <c r="NO133" s="774"/>
      <c r="NP133" s="774"/>
      <c r="NQ133" s="774"/>
      <c r="NR133" s="774"/>
      <c r="NS133" s="774"/>
      <c r="NT133" s="774"/>
      <c r="NU133" s="774"/>
      <c r="NV133" s="774"/>
      <c r="NW133" s="774"/>
      <c r="NX133" s="774"/>
      <c r="NY133" s="774"/>
      <c r="NZ133" s="774"/>
      <c r="OA133" s="774"/>
      <c r="OB133" s="774"/>
      <c r="OC133" s="774"/>
      <c r="OD133" s="774"/>
      <c r="OE133" s="774"/>
      <c r="OF133" s="774"/>
      <c r="OG133" s="774"/>
      <c r="OH133" s="774"/>
      <c r="OI133" s="774"/>
      <c r="OJ133" s="774"/>
      <c r="OK133" s="774"/>
      <c r="OL133" s="774"/>
      <c r="OM133" s="774"/>
      <c r="ON133" s="774"/>
      <c r="OO133" s="774"/>
      <c r="OP133" s="774"/>
      <c r="OQ133" s="774"/>
      <c r="OR133" s="774"/>
      <c r="OS133" s="774"/>
      <c r="OT133" s="774"/>
      <c r="OU133" s="774"/>
      <c r="OV133" s="774"/>
      <c r="OW133" s="774"/>
      <c r="OX133" s="774"/>
      <c r="OY133" s="774"/>
      <c r="OZ133" s="774"/>
      <c r="PA133" s="774"/>
      <c r="PB133" s="774"/>
      <c r="PC133" s="774"/>
      <c r="PD133" s="774"/>
      <c r="PE133" s="774"/>
      <c r="PF133" s="774"/>
      <c r="PG133" s="774"/>
      <c r="PH133" s="774"/>
      <c r="PI133" s="774"/>
      <c r="PJ133" s="774"/>
      <c r="PK133" s="774"/>
      <c r="PL133" s="774"/>
      <c r="PM133" s="774"/>
      <c r="PN133" s="774"/>
      <c r="PO133" s="774"/>
      <c r="PP133" s="774"/>
      <c r="PQ133" s="774"/>
      <c r="PR133" s="774"/>
      <c r="PS133" s="774"/>
      <c r="PT133" s="774"/>
      <c r="PU133" s="774"/>
      <c r="PV133" s="774"/>
      <c r="PW133" s="774"/>
      <c r="PX133" s="774"/>
      <c r="PY133" s="774"/>
      <c r="PZ133" s="774"/>
      <c r="QA133" s="774"/>
      <c r="QB133" s="774"/>
      <c r="QC133" s="774"/>
      <c r="QD133" s="774"/>
      <c r="QE133" s="774"/>
      <c r="QF133" s="774"/>
      <c r="QG133" s="774"/>
      <c r="QH133" s="774"/>
      <c r="QI133" s="774"/>
      <c r="QJ133" s="774"/>
      <c r="QK133" s="774"/>
      <c r="QL133" s="774"/>
      <c r="QM133" s="774"/>
      <c r="QN133" s="774"/>
      <c r="QO133" s="774"/>
      <c r="QP133" s="774"/>
      <c r="QQ133" s="774"/>
      <c r="QR133" s="774"/>
      <c r="QS133" s="774"/>
      <c r="QT133" s="774"/>
      <c r="QU133" s="774"/>
      <c r="QV133" s="774"/>
      <c r="QW133" s="774"/>
      <c r="QX133" s="774"/>
      <c r="QY133" s="774"/>
      <c r="QZ133" s="774"/>
      <c r="RA133" s="774"/>
      <c r="RB133" s="774"/>
      <c r="RC133" s="774"/>
      <c r="RD133" s="774"/>
      <c r="RE133" s="774"/>
      <c r="RF133" s="774"/>
      <c r="RG133" s="774"/>
      <c r="RH133" s="774"/>
      <c r="RI133" s="774"/>
      <c r="RJ133" s="774"/>
      <c r="RK133" s="774"/>
      <c r="RL133" s="774"/>
      <c r="RM133" s="774"/>
      <c r="RN133" s="774"/>
      <c r="RO133" s="774"/>
      <c r="RP133" s="774"/>
      <c r="RQ133" s="774"/>
      <c r="RR133" s="774"/>
      <c r="RS133" s="774"/>
      <c r="RT133" s="774"/>
      <c r="RU133" s="774"/>
      <c r="RV133" s="774"/>
      <c r="RW133" s="774"/>
      <c r="RX133" s="774"/>
      <c r="RY133" s="774"/>
      <c r="RZ133" s="774"/>
      <c r="SA133" s="774"/>
      <c r="SB133" s="774"/>
      <c r="SC133" s="774"/>
      <c r="SD133" s="774"/>
      <c r="SE133" s="774"/>
      <c r="SF133" s="774"/>
      <c r="SG133" s="774"/>
      <c r="SH133" s="774"/>
      <c r="SI133" s="774"/>
      <c r="SJ133" s="774"/>
      <c r="SK133" s="774"/>
      <c r="SL133" s="774"/>
      <c r="SM133" s="774"/>
      <c r="SN133" s="774"/>
      <c r="SO133" s="774"/>
      <c r="SP133" s="774"/>
      <c r="SQ133" s="774"/>
      <c r="SR133" s="774"/>
      <c r="SS133" s="774"/>
      <c r="ST133" s="774"/>
      <c r="SU133" s="774"/>
      <c r="SV133" s="774"/>
      <c r="SW133" s="774"/>
      <c r="SX133" s="774"/>
      <c r="SY133" s="774"/>
      <c r="SZ133" s="774"/>
      <c r="TA133" s="774"/>
      <c r="TB133" s="774"/>
      <c r="TC133" s="774"/>
      <c r="TD133" s="774"/>
      <c r="TE133" s="774"/>
      <c r="TF133" s="774"/>
      <c r="TG133" s="774"/>
      <c r="TH133" s="774"/>
      <c r="TI133" s="774"/>
      <c r="TJ133" s="774"/>
      <c r="TK133" s="774"/>
      <c r="TL133" s="774"/>
      <c r="TM133" s="774"/>
      <c r="TN133" s="774"/>
      <c r="TO133" s="774"/>
      <c r="TP133" s="774"/>
      <c r="TQ133" s="774"/>
      <c r="TR133" s="774"/>
      <c r="TS133" s="774"/>
      <c r="TT133" s="774"/>
      <c r="TU133" s="774"/>
      <c r="TV133" s="774"/>
      <c r="TW133" s="774"/>
      <c r="TX133" s="774"/>
      <c r="TY133" s="774"/>
      <c r="TZ133" s="774"/>
      <c r="UA133" s="774"/>
      <c r="UB133" s="774"/>
      <c r="UC133" s="774"/>
      <c r="UD133" s="774"/>
      <c r="UE133" s="774"/>
      <c r="UF133" s="774"/>
      <c r="UG133" s="774"/>
      <c r="UH133" s="774"/>
      <c r="UI133" s="774"/>
      <c r="UJ133" s="774"/>
      <c r="UK133" s="774"/>
      <c r="UL133" s="774"/>
      <c r="UM133" s="774"/>
      <c r="UN133" s="774"/>
      <c r="UO133" s="774"/>
      <c r="UP133" s="774"/>
      <c r="UQ133" s="774"/>
      <c r="UR133" s="774"/>
      <c r="US133" s="774"/>
      <c r="UT133" s="774"/>
      <c r="UU133" s="774"/>
      <c r="UV133" s="774"/>
      <c r="UW133" s="774"/>
      <c r="UX133" s="774"/>
      <c r="UY133" s="774"/>
      <c r="UZ133" s="774"/>
      <c r="VA133" s="774"/>
      <c r="VB133" s="774"/>
      <c r="VC133" s="774"/>
      <c r="VD133" s="774"/>
      <c r="VE133" s="774"/>
      <c r="VF133" s="774"/>
      <c r="VG133" s="774"/>
      <c r="VH133" s="774"/>
      <c r="VI133" s="774"/>
      <c r="VJ133" s="774"/>
      <c r="VK133" s="774"/>
      <c r="VL133" s="774"/>
      <c r="VM133" s="774"/>
      <c r="VN133" s="774"/>
      <c r="VO133" s="774"/>
      <c r="VP133" s="774"/>
      <c r="VQ133" s="774"/>
      <c r="VR133" s="774"/>
      <c r="VS133" s="774"/>
      <c r="VT133" s="774"/>
      <c r="VU133" s="774"/>
      <c r="VV133" s="774"/>
      <c r="VW133" s="774"/>
      <c r="VX133" s="774"/>
      <c r="VY133" s="774"/>
      <c r="VZ133" s="774"/>
      <c r="WA133" s="774"/>
      <c r="WB133" s="774"/>
      <c r="WC133" s="774"/>
      <c r="WD133" s="774"/>
      <c r="WE133" s="774"/>
      <c r="WF133" s="774"/>
      <c r="WG133" s="774"/>
      <c r="WH133" s="774"/>
      <c r="WI133" s="774"/>
      <c r="WJ133" s="774"/>
      <c r="WK133" s="774"/>
      <c r="WL133" s="774"/>
      <c r="WM133" s="774"/>
      <c r="WN133" s="774"/>
      <c r="WO133" s="774"/>
      <c r="WP133" s="774"/>
      <c r="WQ133" s="774"/>
      <c r="WR133" s="774"/>
      <c r="WS133" s="774"/>
      <c r="WT133" s="774"/>
      <c r="WU133" s="774"/>
      <c r="WV133" s="774"/>
      <c r="WW133" s="774"/>
      <c r="WX133" s="774"/>
      <c r="WY133" s="774"/>
      <c r="WZ133" s="774"/>
      <c r="XA133" s="774"/>
      <c r="XB133" s="774"/>
      <c r="XC133" s="774"/>
      <c r="XD133" s="774"/>
      <c r="XE133" s="774"/>
      <c r="XF133" s="774"/>
      <c r="XG133" s="774"/>
      <c r="XH133" s="774"/>
      <c r="XI133" s="774"/>
      <c r="XJ133" s="774"/>
      <c r="XK133" s="774"/>
      <c r="XL133" s="774"/>
      <c r="XM133" s="774"/>
      <c r="XN133" s="774"/>
      <c r="XO133" s="774"/>
      <c r="XP133" s="774"/>
      <c r="XQ133" s="774"/>
      <c r="XR133" s="774"/>
      <c r="XS133" s="774"/>
      <c r="XT133" s="774"/>
      <c r="XU133" s="774"/>
      <c r="XV133" s="774"/>
      <c r="XW133" s="774"/>
      <c r="XX133" s="774"/>
      <c r="XY133" s="774"/>
      <c r="XZ133" s="774"/>
      <c r="YA133" s="774"/>
      <c r="YB133" s="774"/>
      <c r="YC133" s="774"/>
      <c r="YD133" s="774"/>
      <c r="YE133" s="774"/>
      <c r="YF133" s="774"/>
      <c r="YG133" s="774"/>
      <c r="YH133" s="774"/>
      <c r="YI133" s="774"/>
      <c r="YJ133" s="774"/>
      <c r="YK133" s="774"/>
      <c r="YL133" s="774"/>
      <c r="YM133" s="774"/>
      <c r="YN133" s="774"/>
      <c r="YO133" s="774"/>
      <c r="YP133" s="774"/>
      <c r="YQ133" s="774"/>
      <c r="YR133" s="774"/>
      <c r="YS133" s="774"/>
      <c r="YT133" s="774"/>
      <c r="YU133" s="774"/>
      <c r="YV133" s="774"/>
      <c r="YW133" s="774"/>
      <c r="YX133" s="774"/>
      <c r="YY133" s="774"/>
      <c r="YZ133" s="774"/>
      <c r="ZA133" s="774"/>
      <c r="ZB133" s="774"/>
      <c r="ZC133" s="774"/>
      <c r="ZD133" s="774"/>
      <c r="ZE133" s="774"/>
      <c r="ZF133" s="774"/>
      <c r="ZG133" s="774"/>
      <c r="ZH133" s="774"/>
      <c r="ZI133" s="774"/>
      <c r="ZJ133" s="774"/>
      <c r="ZK133" s="774"/>
      <c r="ZL133" s="774"/>
      <c r="ZM133" s="774"/>
      <c r="ZN133" s="774"/>
      <c r="ZO133" s="774"/>
      <c r="ZP133" s="774"/>
      <c r="ZQ133" s="774"/>
      <c r="ZR133" s="774"/>
      <c r="ZS133" s="774"/>
      <c r="ZT133" s="774"/>
      <c r="ZU133" s="774"/>
      <c r="ZV133" s="774"/>
      <c r="ZW133" s="774"/>
      <c r="ZX133" s="774"/>
      <c r="ZY133" s="774"/>
      <c r="ZZ133" s="774"/>
      <c r="AAA133" s="774"/>
      <c r="AAB133" s="774"/>
      <c r="AAC133" s="774"/>
      <c r="AAD133" s="774"/>
      <c r="AAE133" s="774"/>
      <c r="AAF133" s="774"/>
      <c r="AAG133" s="774"/>
      <c r="AAH133" s="774"/>
      <c r="AAI133" s="774"/>
      <c r="AAJ133" s="774"/>
      <c r="AAK133" s="774"/>
      <c r="AAL133" s="774"/>
      <c r="AAM133" s="774"/>
      <c r="AAN133" s="774"/>
      <c r="AAO133" s="774"/>
      <c r="AAP133" s="774"/>
      <c r="AAQ133" s="774"/>
      <c r="AAR133" s="774"/>
      <c r="AAS133" s="774"/>
      <c r="AAT133" s="774"/>
      <c r="AAU133" s="774"/>
      <c r="AAV133" s="774"/>
      <c r="AAW133" s="774"/>
      <c r="AAX133" s="774"/>
      <c r="AAY133" s="774"/>
      <c r="AAZ133" s="774"/>
      <c r="ABA133" s="774"/>
      <c r="ABB133" s="774"/>
      <c r="ABC133" s="774"/>
      <c r="ABD133" s="774"/>
      <c r="ABE133" s="774"/>
      <c r="ABF133" s="774"/>
      <c r="ABG133" s="774"/>
      <c r="ABH133" s="774"/>
      <c r="ABI133" s="774"/>
      <c r="ABJ133" s="774"/>
      <c r="ABK133" s="774"/>
      <c r="ABL133" s="774"/>
      <c r="ABM133" s="774"/>
      <c r="ABN133" s="774"/>
      <c r="ABO133" s="774"/>
      <c r="ABP133" s="774"/>
      <c r="ABQ133" s="774"/>
      <c r="ABR133" s="774"/>
      <c r="ABS133" s="774"/>
      <c r="ABT133" s="774"/>
      <c r="ABU133" s="774"/>
      <c r="ABV133" s="774"/>
      <c r="ABW133" s="774"/>
      <c r="ABX133" s="774"/>
      <c r="ABY133" s="774"/>
      <c r="ABZ133" s="774"/>
      <c r="ACA133" s="774"/>
      <c r="ACB133" s="774"/>
      <c r="ACC133" s="774"/>
      <c r="ACD133" s="774"/>
      <c r="ACE133" s="774"/>
      <c r="ACF133" s="774"/>
      <c r="ACG133" s="774"/>
      <c r="ACH133" s="774"/>
      <c r="ACI133" s="774"/>
      <c r="ACJ133" s="774"/>
      <c r="ACK133" s="774"/>
      <c r="ACL133" s="774"/>
      <c r="ACM133" s="774"/>
      <c r="ACN133" s="774"/>
      <c r="ACO133" s="774"/>
      <c r="ACP133" s="774"/>
      <c r="ACQ133" s="774"/>
      <c r="ACR133" s="774"/>
      <c r="ACS133" s="774"/>
      <c r="ACT133" s="774"/>
      <c r="ACU133" s="774"/>
      <c r="ACV133" s="774"/>
      <c r="ACW133" s="774"/>
      <c r="ACX133" s="774"/>
      <c r="ACY133" s="774"/>
      <c r="ACZ133" s="774"/>
      <c r="ADA133" s="774"/>
      <c r="ADB133" s="774"/>
      <c r="ADC133" s="774"/>
      <c r="ADD133" s="774"/>
      <c r="ADE133" s="774"/>
      <c r="ADF133" s="774"/>
      <c r="ADG133" s="774"/>
      <c r="ADH133" s="774"/>
      <c r="ADI133" s="774"/>
      <c r="ADJ133" s="774"/>
      <c r="ADK133" s="774"/>
      <c r="ADL133" s="774"/>
      <c r="ADM133" s="774"/>
      <c r="ADN133" s="774"/>
      <c r="ADO133" s="774"/>
      <c r="ADP133" s="774"/>
      <c r="ADQ133" s="774"/>
      <c r="ADR133" s="774"/>
      <c r="ADS133" s="774"/>
      <c r="ADT133" s="774"/>
      <c r="ADU133" s="774"/>
      <c r="ADV133" s="774"/>
      <c r="ADW133" s="774"/>
      <c r="ADX133" s="774"/>
      <c r="ADY133" s="774"/>
      <c r="ADZ133" s="774"/>
      <c r="AEA133" s="774"/>
      <c r="AEB133" s="774"/>
      <c r="AEC133" s="774"/>
      <c r="AED133" s="774"/>
      <c r="AEE133" s="774"/>
      <c r="AEF133" s="774"/>
      <c r="AEG133" s="774"/>
      <c r="AEH133" s="774"/>
      <c r="AEI133" s="774"/>
      <c r="AEJ133" s="774"/>
      <c r="AEK133" s="774"/>
      <c r="AEL133" s="774"/>
      <c r="AEM133" s="774"/>
      <c r="AEN133" s="774"/>
      <c r="AEO133" s="774"/>
      <c r="AEP133" s="774"/>
      <c r="AEQ133" s="774"/>
      <c r="AER133" s="774"/>
      <c r="AES133" s="774"/>
      <c r="AET133" s="774"/>
      <c r="AEU133" s="774"/>
      <c r="AEV133" s="774"/>
      <c r="AEW133" s="774"/>
      <c r="AEX133" s="774"/>
      <c r="AEY133" s="774"/>
      <c r="AEZ133" s="774"/>
      <c r="AFA133" s="774"/>
      <c r="AFB133" s="774"/>
      <c r="AFC133" s="774"/>
      <c r="AFD133" s="774"/>
      <c r="AFE133" s="774"/>
      <c r="AFF133" s="774"/>
      <c r="AFG133" s="774"/>
      <c r="AFH133" s="774"/>
      <c r="AFI133" s="774"/>
      <c r="AFJ133" s="774"/>
      <c r="AFK133" s="774"/>
      <c r="AFL133" s="774"/>
      <c r="AFM133" s="774"/>
      <c r="AFN133" s="774"/>
      <c r="AFO133" s="774"/>
      <c r="AFP133" s="774"/>
      <c r="AFQ133" s="774"/>
      <c r="AFR133" s="774"/>
      <c r="AFS133" s="774"/>
      <c r="AFT133" s="774"/>
      <c r="AFU133" s="774"/>
      <c r="AFV133" s="774"/>
      <c r="AFW133" s="774"/>
      <c r="AFX133" s="774"/>
      <c r="AFY133" s="774"/>
      <c r="AFZ133" s="774"/>
      <c r="AGA133" s="774"/>
      <c r="AGB133" s="774"/>
      <c r="AGC133" s="774"/>
      <c r="AGD133" s="774"/>
      <c r="AGE133" s="774"/>
      <c r="AGF133" s="774"/>
      <c r="AGG133" s="774"/>
      <c r="AGH133" s="774"/>
      <c r="AGI133" s="774"/>
      <c r="AGJ133" s="774"/>
      <c r="AGK133" s="774"/>
      <c r="AGL133" s="774"/>
      <c r="AGM133" s="774"/>
      <c r="AGN133" s="774"/>
      <c r="AGO133" s="774"/>
      <c r="AGP133" s="774"/>
      <c r="AGQ133" s="774"/>
      <c r="AGR133" s="774"/>
      <c r="AGS133" s="774"/>
      <c r="AGT133" s="774"/>
      <c r="AGU133" s="774"/>
      <c r="AGV133" s="774"/>
      <c r="AGW133" s="774"/>
      <c r="AGX133" s="774"/>
      <c r="AGY133" s="774"/>
      <c r="AGZ133" s="774"/>
      <c r="AHA133" s="774"/>
      <c r="AHB133" s="774"/>
      <c r="AHC133" s="774"/>
      <c r="AHD133" s="774"/>
      <c r="AHE133" s="774"/>
      <c r="AHF133" s="774"/>
      <c r="AHG133" s="774"/>
      <c r="AHH133" s="774"/>
      <c r="AHI133" s="774"/>
      <c r="AHJ133" s="774"/>
      <c r="AHK133" s="774"/>
      <c r="AHL133" s="774"/>
      <c r="AHM133" s="774"/>
      <c r="AHN133" s="774"/>
      <c r="AHO133" s="774"/>
      <c r="AHP133" s="774"/>
      <c r="AHQ133" s="774"/>
      <c r="AHR133" s="774"/>
      <c r="AHS133" s="774"/>
      <c r="AHT133" s="774"/>
      <c r="AHU133" s="774"/>
      <c r="AHV133" s="774"/>
      <c r="AHW133" s="774"/>
      <c r="AHX133" s="774"/>
      <c r="AHY133" s="774"/>
      <c r="AHZ133" s="774"/>
      <c r="AIA133" s="774"/>
      <c r="AIB133" s="774"/>
      <c r="AIC133" s="774"/>
      <c r="AID133" s="774"/>
      <c r="AIE133" s="774"/>
      <c r="AIF133" s="774"/>
      <c r="AIG133" s="774"/>
      <c r="AIH133" s="774"/>
      <c r="AII133" s="774"/>
      <c r="AIJ133" s="774"/>
      <c r="AIK133" s="774"/>
      <c r="AIL133" s="774"/>
      <c r="AIM133" s="774"/>
      <c r="AIN133" s="774"/>
      <c r="AIO133" s="774"/>
      <c r="AIP133" s="774"/>
      <c r="AIQ133" s="774"/>
      <c r="AIR133" s="774"/>
      <c r="AIS133" s="774"/>
      <c r="AIT133" s="774"/>
      <c r="AIU133" s="774"/>
      <c r="AIV133" s="774"/>
      <c r="AIW133" s="774"/>
      <c r="AIX133" s="774"/>
      <c r="AIY133" s="774"/>
      <c r="AIZ133" s="774"/>
      <c r="AJA133" s="774"/>
      <c r="AJB133" s="774"/>
      <c r="AJC133" s="774"/>
      <c r="AJD133" s="774"/>
      <c r="AJE133" s="774"/>
      <c r="AJF133" s="774"/>
      <c r="AJG133" s="774"/>
      <c r="AJH133" s="774"/>
      <c r="AJI133" s="774"/>
      <c r="AJJ133" s="774"/>
      <c r="AJK133" s="774"/>
      <c r="AJL133" s="774"/>
      <c r="AJM133" s="774"/>
      <c r="AJN133" s="774"/>
      <c r="AJO133" s="774"/>
      <c r="AJP133" s="774"/>
      <c r="AJQ133" s="774"/>
      <c r="AJR133" s="774"/>
      <c r="AJS133" s="774"/>
      <c r="AJT133" s="774"/>
      <c r="AJU133" s="774"/>
      <c r="AJV133" s="774"/>
      <c r="AJW133" s="774"/>
      <c r="AJX133" s="774"/>
      <c r="AJY133" s="774"/>
      <c r="AJZ133" s="774"/>
      <c r="AKA133" s="774"/>
      <c r="AKB133" s="774"/>
      <c r="AKC133" s="774"/>
      <c r="AKD133" s="774"/>
      <c r="AKE133" s="774"/>
      <c r="AKF133" s="774"/>
      <c r="AKG133" s="774"/>
      <c r="AKH133" s="774"/>
      <c r="AKI133" s="774"/>
      <c r="AKJ133" s="774"/>
      <c r="AKK133" s="774"/>
      <c r="AKL133" s="774"/>
      <c r="AKM133" s="774"/>
      <c r="AKN133" s="774"/>
      <c r="AKO133" s="774"/>
      <c r="AKP133" s="774"/>
      <c r="AKQ133" s="774"/>
      <c r="AKR133" s="774"/>
      <c r="AKS133" s="774"/>
      <c r="AKT133" s="774"/>
      <c r="AKU133" s="774"/>
      <c r="AKV133" s="774"/>
      <c r="AKW133" s="774"/>
      <c r="AKX133" s="774"/>
      <c r="AKY133" s="774"/>
      <c r="AKZ133" s="774"/>
      <c r="ALA133" s="774"/>
      <c r="ALB133" s="774"/>
      <c r="ALC133" s="774"/>
      <c r="ALD133" s="774"/>
      <c r="ALE133" s="774"/>
      <c r="ALF133" s="774"/>
      <c r="ALG133" s="774"/>
      <c r="ALH133" s="774"/>
      <c r="ALI133" s="774"/>
      <c r="ALJ133" s="774"/>
      <c r="ALK133" s="774"/>
      <c r="ALL133" s="774"/>
      <c r="ALM133" s="774"/>
      <c r="ALN133" s="774"/>
      <c r="ALO133" s="774"/>
      <c r="ALP133" s="774"/>
      <c r="ALQ133" s="774"/>
      <c r="ALR133" s="774"/>
      <c r="ALS133" s="774"/>
      <c r="ALT133" s="774"/>
      <c r="ALU133" s="774"/>
      <c r="ALV133" s="774"/>
      <c r="ALW133" s="774"/>
      <c r="ALX133" s="774"/>
      <c r="ALY133" s="774"/>
      <c r="ALZ133" s="774"/>
      <c r="AMA133" s="774"/>
      <c r="AMB133" s="774"/>
      <c r="AMC133" s="774"/>
      <c r="AMD133" s="774"/>
      <c r="AME133" s="774"/>
      <c r="AMF133" s="774"/>
      <c r="AMG133" s="774"/>
      <c r="AMH133" s="774"/>
      <c r="AMI133" s="774"/>
      <c r="AMJ133" s="774"/>
      <c r="AMK133" s="774"/>
      <c r="AML133" s="774"/>
      <c r="AMM133" s="774"/>
      <c r="AMN133" s="774"/>
      <c r="AMO133" s="774"/>
      <c r="AMP133" s="774"/>
      <c r="AMQ133" s="774"/>
      <c r="AMR133" s="774"/>
      <c r="AMS133" s="774"/>
      <c r="AMT133" s="774"/>
      <c r="AMU133" s="774"/>
      <c r="AMV133" s="774"/>
      <c r="AMW133" s="774"/>
      <c r="AMX133" s="774"/>
      <c r="AMY133" s="774"/>
      <c r="AMZ133" s="774"/>
      <c r="ANA133" s="774"/>
      <c r="ANB133" s="774"/>
      <c r="ANC133" s="774"/>
      <c r="AND133" s="774"/>
      <c r="ANE133" s="774"/>
      <c r="ANF133" s="774"/>
      <c r="ANG133" s="774"/>
      <c r="ANH133" s="774"/>
      <c r="ANI133" s="774"/>
      <c r="ANJ133" s="774"/>
      <c r="ANK133" s="774"/>
      <c r="ANL133" s="774"/>
      <c r="ANM133" s="774"/>
      <c r="ANN133" s="774"/>
      <c r="ANO133" s="774"/>
      <c r="ANP133" s="774"/>
      <c r="ANQ133" s="774"/>
      <c r="ANR133" s="774"/>
      <c r="ANS133" s="774"/>
      <c r="ANT133" s="774"/>
      <c r="ANU133" s="774"/>
      <c r="ANV133" s="774"/>
      <c r="ANW133" s="774"/>
      <c r="ANX133" s="774"/>
      <c r="ANY133" s="774"/>
      <c r="ANZ133" s="774"/>
      <c r="AOA133" s="774"/>
      <c r="AOB133" s="774"/>
      <c r="AOC133" s="774"/>
      <c r="AOD133" s="774"/>
      <c r="AOE133" s="774"/>
      <c r="AOF133" s="774"/>
      <c r="AOG133" s="774"/>
      <c r="AOH133" s="774"/>
      <c r="AOI133" s="774"/>
      <c r="AOJ133" s="774"/>
      <c r="AOK133" s="774"/>
      <c r="AOL133" s="774"/>
      <c r="AOM133" s="774"/>
      <c r="AON133" s="774"/>
      <c r="AOO133" s="774"/>
      <c r="AOP133" s="774"/>
      <c r="AOQ133" s="774"/>
      <c r="AOR133" s="774"/>
      <c r="AOS133" s="774"/>
      <c r="AOT133" s="774"/>
      <c r="AOU133" s="774"/>
      <c r="AOV133" s="774"/>
      <c r="AOW133" s="774"/>
      <c r="AOX133" s="774"/>
      <c r="AOY133" s="774"/>
      <c r="AOZ133" s="774"/>
      <c r="APA133" s="774"/>
      <c r="APB133" s="774"/>
      <c r="APC133" s="774"/>
      <c r="APD133" s="774"/>
      <c r="APE133" s="774"/>
      <c r="APF133" s="774"/>
      <c r="APG133" s="774"/>
      <c r="APH133" s="774"/>
      <c r="API133" s="774"/>
      <c r="APJ133" s="774"/>
      <c r="APK133" s="774"/>
      <c r="APL133" s="774"/>
      <c r="APM133" s="774"/>
      <c r="APN133" s="774"/>
      <c r="APO133" s="774"/>
      <c r="APP133" s="774"/>
      <c r="APQ133" s="774"/>
      <c r="APR133" s="774"/>
      <c r="APS133" s="774"/>
      <c r="APT133" s="774"/>
      <c r="APU133" s="774"/>
      <c r="APV133" s="774"/>
      <c r="APW133" s="774"/>
      <c r="APX133" s="774"/>
      <c r="APY133" s="774"/>
      <c r="APZ133" s="774"/>
      <c r="AQA133" s="774"/>
      <c r="AQB133" s="774"/>
      <c r="AQC133" s="774"/>
      <c r="AQD133" s="774"/>
      <c r="AQE133" s="774"/>
      <c r="AQF133" s="774"/>
      <c r="AQG133" s="774"/>
      <c r="AQH133" s="774"/>
      <c r="AQI133" s="774"/>
      <c r="AQJ133" s="774"/>
      <c r="AQK133" s="774"/>
      <c r="AQL133" s="774"/>
      <c r="AQM133" s="774"/>
      <c r="AQN133" s="774"/>
      <c r="AQO133" s="774"/>
      <c r="AQP133" s="774"/>
      <c r="AQQ133" s="774"/>
      <c r="AQR133" s="774"/>
      <c r="AQS133" s="774"/>
      <c r="AQT133" s="774"/>
      <c r="AQU133" s="774"/>
      <c r="AQV133" s="774"/>
      <c r="AQW133" s="774"/>
      <c r="AQX133" s="774"/>
      <c r="AQY133" s="774"/>
      <c r="AQZ133" s="774"/>
      <c r="ARA133" s="774"/>
      <c r="ARB133" s="774"/>
      <c r="ARC133" s="774"/>
      <c r="ARD133" s="774"/>
      <c r="ARE133" s="774"/>
      <c r="ARF133" s="774"/>
      <c r="ARG133" s="774"/>
      <c r="ARH133" s="774"/>
      <c r="ARI133" s="774"/>
      <c r="ARJ133" s="774"/>
      <c r="ARK133" s="774"/>
      <c r="ARL133" s="774"/>
      <c r="ARM133" s="774"/>
      <c r="ARN133" s="774"/>
      <c r="ARO133" s="774"/>
      <c r="ARP133" s="774"/>
      <c r="ARQ133" s="774"/>
      <c r="ARR133" s="774"/>
      <c r="ARS133" s="774"/>
      <c r="ART133" s="774"/>
      <c r="ARU133" s="774"/>
      <c r="ARV133" s="774"/>
      <c r="ARW133" s="774"/>
      <c r="ARX133" s="774"/>
      <c r="ARY133" s="774"/>
      <c r="ARZ133" s="774"/>
      <c r="ASA133" s="774"/>
      <c r="ASB133" s="774"/>
      <c r="ASC133" s="774"/>
      <c r="ASD133" s="774"/>
      <c r="ASE133" s="774"/>
      <c r="ASF133" s="774"/>
      <c r="ASG133" s="774"/>
      <c r="ASH133" s="774"/>
      <c r="ASI133" s="774"/>
      <c r="ASJ133" s="774"/>
      <c r="ASK133" s="774"/>
      <c r="ASL133" s="774"/>
      <c r="ASM133" s="774"/>
      <c r="ASN133" s="774"/>
      <c r="ASO133" s="774"/>
      <c r="ASP133" s="774"/>
      <c r="ASQ133" s="774"/>
      <c r="ASR133" s="774"/>
      <c r="ASS133" s="774"/>
      <c r="AST133" s="774"/>
      <c r="ASU133" s="774"/>
      <c r="ASV133" s="774"/>
      <c r="ASW133" s="774"/>
      <c r="ASX133" s="774"/>
      <c r="ASY133" s="774"/>
      <c r="ASZ133" s="774"/>
      <c r="ATA133" s="774"/>
      <c r="ATB133" s="774"/>
      <c r="ATC133" s="774"/>
      <c r="ATD133" s="774"/>
      <c r="ATE133" s="774"/>
      <c r="ATF133" s="774"/>
      <c r="ATG133" s="774"/>
      <c r="ATH133" s="774"/>
      <c r="ATI133" s="774"/>
      <c r="ATJ133" s="774"/>
      <c r="ATK133" s="774"/>
      <c r="ATL133" s="774"/>
      <c r="ATM133" s="774"/>
      <c r="ATN133" s="774"/>
      <c r="ATO133" s="774"/>
      <c r="ATP133" s="774"/>
      <c r="ATQ133" s="774"/>
      <c r="ATR133" s="774"/>
      <c r="ATS133" s="774"/>
      <c r="ATT133" s="774"/>
      <c r="ATU133" s="774"/>
      <c r="ATV133" s="774"/>
      <c r="ATW133" s="774"/>
      <c r="ATX133" s="774"/>
      <c r="ATY133" s="774"/>
      <c r="ATZ133" s="774"/>
      <c r="AUA133" s="774"/>
      <c r="AUB133" s="774"/>
      <c r="AUC133" s="774"/>
      <c r="AUD133" s="774"/>
      <c r="AUE133" s="774"/>
      <c r="AUF133" s="774"/>
      <c r="AUG133" s="774"/>
      <c r="AUH133" s="774"/>
      <c r="AUI133" s="774"/>
      <c r="AUJ133" s="774"/>
      <c r="AUK133" s="774"/>
      <c r="AUL133" s="774"/>
      <c r="AUM133" s="774"/>
      <c r="AUN133" s="774"/>
      <c r="AUO133" s="774"/>
      <c r="AUP133" s="774"/>
      <c r="AUQ133" s="774"/>
      <c r="AUR133" s="774"/>
      <c r="AUS133" s="774"/>
      <c r="AUT133" s="774"/>
      <c r="AUU133" s="774"/>
      <c r="AUV133" s="774"/>
      <c r="AUW133" s="774"/>
      <c r="AUX133" s="774"/>
      <c r="AUY133" s="774"/>
      <c r="AUZ133" s="774"/>
      <c r="AVA133" s="774"/>
      <c r="AVB133" s="774"/>
      <c r="AVC133" s="774"/>
      <c r="AVD133" s="774"/>
      <c r="AVE133" s="774"/>
      <c r="AVF133" s="774"/>
      <c r="AVG133" s="774"/>
      <c r="AVH133" s="774"/>
      <c r="AVI133" s="774"/>
      <c r="AVJ133" s="774"/>
      <c r="AVK133" s="774"/>
      <c r="AVL133" s="774"/>
      <c r="AVM133" s="774"/>
      <c r="AVN133" s="774"/>
      <c r="AVO133" s="774"/>
      <c r="AVP133" s="774"/>
      <c r="AVQ133" s="774"/>
      <c r="AVR133" s="774"/>
      <c r="AVS133" s="774"/>
      <c r="AVT133" s="774"/>
      <c r="AVU133" s="774"/>
      <c r="AVV133" s="774"/>
      <c r="AVW133" s="774"/>
      <c r="AVX133" s="774"/>
      <c r="AVY133" s="774"/>
      <c r="AVZ133" s="774"/>
      <c r="AWA133" s="774"/>
      <c r="AWB133" s="774"/>
      <c r="AWC133" s="774"/>
      <c r="AWD133" s="774"/>
      <c r="AWE133" s="774"/>
      <c r="AWF133" s="774"/>
      <c r="AWG133" s="774"/>
      <c r="AWH133" s="774"/>
      <c r="AWI133" s="774"/>
      <c r="AWJ133" s="774"/>
      <c r="AWK133" s="774"/>
      <c r="AWL133" s="774"/>
      <c r="AWM133" s="774"/>
      <c r="AWN133" s="774"/>
      <c r="AWO133" s="774"/>
      <c r="AWP133" s="774"/>
      <c r="AWQ133" s="774"/>
      <c r="AWR133" s="774"/>
      <c r="AWS133" s="774"/>
      <c r="AWT133" s="774"/>
      <c r="AWU133" s="774"/>
      <c r="AWV133" s="774"/>
      <c r="AWW133" s="774"/>
      <c r="AWX133" s="774"/>
      <c r="AWY133" s="774"/>
      <c r="AWZ133" s="774"/>
      <c r="AXA133" s="774"/>
      <c r="AXB133" s="774"/>
      <c r="AXC133" s="774"/>
      <c r="AXD133" s="774"/>
      <c r="AXE133" s="774"/>
      <c r="AXF133" s="774"/>
      <c r="AXG133" s="774"/>
      <c r="AXH133" s="774"/>
      <c r="AXI133" s="774"/>
      <c r="AXJ133" s="774"/>
      <c r="AXK133" s="774"/>
      <c r="AXL133" s="774"/>
      <c r="AXM133" s="774"/>
      <c r="AXN133" s="774"/>
      <c r="AXO133" s="774"/>
      <c r="AXP133" s="774"/>
      <c r="AXQ133" s="774"/>
      <c r="AXR133" s="774"/>
      <c r="AXS133" s="774"/>
      <c r="AXT133" s="774"/>
      <c r="AXU133" s="774"/>
      <c r="AXV133" s="774"/>
      <c r="AXW133" s="774"/>
      <c r="AXX133" s="774"/>
      <c r="AXY133" s="774"/>
      <c r="AXZ133" s="774"/>
      <c r="AYA133" s="774"/>
      <c r="AYB133" s="774"/>
      <c r="AYC133" s="774"/>
      <c r="AYD133" s="774"/>
      <c r="AYE133" s="774"/>
      <c r="AYF133" s="774"/>
      <c r="AYG133" s="774"/>
      <c r="AYH133" s="774"/>
      <c r="AYI133" s="774"/>
      <c r="AYJ133" s="774"/>
      <c r="AYK133" s="774"/>
      <c r="AYL133" s="774"/>
      <c r="AYM133" s="774"/>
      <c r="AYN133" s="774"/>
      <c r="AYO133" s="774"/>
      <c r="AYP133" s="774"/>
      <c r="AYQ133" s="774"/>
      <c r="AYR133" s="774"/>
      <c r="AYS133" s="774"/>
      <c r="AYT133" s="774"/>
      <c r="AYU133" s="774"/>
      <c r="AYV133" s="774"/>
      <c r="AYW133" s="774"/>
      <c r="AYX133" s="774"/>
      <c r="AYY133" s="774"/>
      <c r="AYZ133" s="774"/>
      <c r="AZA133" s="774"/>
      <c r="AZB133" s="774"/>
      <c r="AZC133" s="774"/>
      <c r="AZD133" s="774"/>
      <c r="AZE133" s="774"/>
      <c r="AZF133" s="774"/>
      <c r="AZG133" s="774"/>
      <c r="AZH133" s="774"/>
      <c r="AZI133" s="774"/>
      <c r="AZJ133" s="774"/>
      <c r="AZK133" s="774"/>
      <c r="AZL133" s="774"/>
      <c r="AZM133" s="774"/>
      <c r="AZN133" s="774"/>
      <c r="AZO133" s="774"/>
      <c r="AZP133" s="774"/>
      <c r="AZQ133" s="774"/>
      <c r="AZR133" s="774"/>
      <c r="AZS133" s="774"/>
      <c r="AZT133" s="774"/>
      <c r="AZU133" s="774"/>
      <c r="AZV133" s="774"/>
      <c r="AZW133" s="774"/>
      <c r="AZX133" s="774"/>
      <c r="AZY133" s="774"/>
      <c r="AZZ133" s="774"/>
      <c r="BAA133" s="774"/>
      <c r="BAB133" s="774"/>
      <c r="BAC133" s="774"/>
      <c r="BAD133" s="774"/>
      <c r="BAE133" s="774"/>
      <c r="BAF133" s="774"/>
      <c r="BAG133" s="774"/>
      <c r="BAH133" s="774"/>
      <c r="BAI133" s="774"/>
      <c r="BAJ133" s="774"/>
      <c r="BAK133" s="774"/>
      <c r="BAL133" s="774"/>
      <c r="BAM133" s="774"/>
      <c r="BAN133" s="774"/>
      <c r="BAO133" s="774"/>
      <c r="BAP133" s="774"/>
      <c r="BAQ133" s="774"/>
      <c r="BAR133" s="774"/>
      <c r="BAS133" s="774"/>
      <c r="BAT133" s="774"/>
      <c r="BAU133" s="774"/>
      <c r="BAV133" s="774"/>
      <c r="BAW133" s="774"/>
      <c r="BAX133" s="774"/>
      <c r="BAY133" s="774"/>
      <c r="BAZ133" s="774"/>
      <c r="BBA133" s="774"/>
      <c r="BBB133" s="774"/>
      <c r="BBC133" s="774"/>
      <c r="BBD133" s="774"/>
      <c r="BBE133" s="774"/>
      <c r="BBF133" s="774"/>
      <c r="BBG133" s="774"/>
      <c r="BBH133" s="774"/>
      <c r="BBI133" s="774"/>
      <c r="BBJ133" s="774"/>
      <c r="BBK133" s="774"/>
      <c r="BBL133" s="774"/>
      <c r="BBM133" s="774"/>
      <c r="BBN133" s="774"/>
      <c r="BBO133" s="774"/>
      <c r="BBP133" s="774"/>
      <c r="BBQ133" s="774"/>
      <c r="BBR133" s="774"/>
      <c r="BBS133" s="774"/>
      <c r="BBT133" s="774"/>
      <c r="BBU133" s="774"/>
      <c r="BBV133" s="774"/>
      <c r="BBW133" s="774"/>
      <c r="BBX133" s="774"/>
      <c r="BBY133" s="774"/>
      <c r="BBZ133" s="774"/>
      <c r="BCA133" s="774"/>
      <c r="BCB133" s="774"/>
      <c r="BCC133" s="774"/>
      <c r="BCD133" s="774"/>
      <c r="BCE133" s="774"/>
      <c r="BCF133" s="774"/>
      <c r="BCG133" s="774"/>
      <c r="BCH133" s="774"/>
      <c r="BCI133" s="774"/>
      <c r="BCJ133" s="774"/>
      <c r="BCK133" s="774"/>
      <c r="BCL133" s="774"/>
      <c r="BCM133" s="774"/>
      <c r="BCN133" s="774"/>
      <c r="BCO133" s="774"/>
      <c r="BCP133" s="774"/>
      <c r="BCQ133" s="774"/>
      <c r="BCR133" s="774"/>
      <c r="BCS133" s="774"/>
      <c r="BCT133" s="774"/>
      <c r="BCU133" s="774"/>
      <c r="BCV133" s="774"/>
      <c r="BCW133" s="774"/>
      <c r="BCX133" s="774"/>
      <c r="BCY133" s="774"/>
      <c r="BCZ133" s="774"/>
      <c r="BDA133" s="774"/>
      <c r="BDB133" s="774"/>
      <c r="BDC133" s="774"/>
      <c r="BDD133" s="774"/>
      <c r="BDE133" s="774"/>
      <c r="BDF133" s="774"/>
      <c r="BDG133" s="774"/>
      <c r="BDH133" s="774"/>
      <c r="BDI133" s="774"/>
      <c r="BDJ133" s="774"/>
      <c r="BDK133" s="774"/>
      <c r="BDL133" s="774"/>
      <c r="BDM133" s="774"/>
      <c r="BDN133" s="774"/>
      <c r="BDO133" s="774"/>
      <c r="BDP133" s="774"/>
      <c r="BDQ133" s="774"/>
      <c r="BDR133" s="774"/>
      <c r="BDS133" s="774"/>
      <c r="BDT133" s="774"/>
      <c r="BDU133" s="774"/>
      <c r="BDV133" s="774"/>
      <c r="BDW133" s="774"/>
      <c r="BDX133" s="774"/>
      <c r="BDY133" s="774"/>
      <c r="BDZ133" s="774"/>
      <c r="BEA133" s="774"/>
      <c r="BEB133" s="774"/>
      <c r="BEC133" s="774"/>
      <c r="BED133" s="774"/>
      <c r="BEE133" s="774"/>
      <c r="BEF133" s="774"/>
      <c r="BEG133" s="774"/>
      <c r="BEH133" s="774"/>
      <c r="BEI133" s="774"/>
      <c r="BEJ133" s="774"/>
      <c r="BEK133" s="774"/>
      <c r="BEL133" s="774"/>
      <c r="BEM133" s="774"/>
      <c r="BEN133" s="774"/>
      <c r="BEO133" s="774"/>
      <c r="BEP133" s="774"/>
      <c r="BEQ133" s="774"/>
      <c r="BER133" s="774"/>
      <c r="BES133" s="774"/>
      <c r="BET133" s="774"/>
      <c r="BEU133" s="774"/>
      <c r="BEV133" s="774"/>
      <c r="BEW133" s="774"/>
      <c r="BEX133" s="774"/>
      <c r="BEY133" s="774"/>
      <c r="BEZ133" s="774"/>
      <c r="BFA133" s="774"/>
      <c r="BFB133" s="774"/>
      <c r="BFC133" s="774"/>
      <c r="BFD133" s="774"/>
      <c r="BFE133" s="774"/>
      <c r="BFF133" s="774"/>
      <c r="BFG133" s="774"/>
      <c r="BFH133" s="774"/>
      <c r="BFI133" s="774"/>
      <c r="BFJ133" s="774"/>
      <c r="BFK133" s="774"/>
      <c r="BFL133" s="774"/>
      <c r="BFM133" s="774"/>
      <c r="BFN133" s="774"/>
      <c r="BFO133" s="774"/>
      <c r="BFP133" s="774"/>
      <c r="BFQ133" s="774"/>
      <c r="BFR133" s="774"/>
      <c r="BFS133" s="774"/>
      <c r="BFT133" s="774"/>
      <c r="BFU133" s="774"/>
      <c r="BFV133" s="774"/>
      <c r="BFW133" s="774"/>
      <c r="BFX133" s="774"/>
      <c r="BFY133" s="774"/>
      <c r="BFZ133" s="774"/>
      <c r="BGA133" s="774"/>
      <c r="BGB133" s="774"/>
      <c r="BGC133" s="774"/>
      <c r="BGD133" s="774"/>
      <c r="BGE133" s="774"/>
      <c r="BGF133" s="774"/>
      <c r="BGG133" s="774"/>
      <c r="BGH133" s="774"/>
      <c r="BGI133" s="774"/>
      <c r="BGJ133" s="774"/>
      <c r="BGK133" s="774"/>
      <c r="BGL133" s="774"/>
      <c r="BGM133" s="774"/>
      <c r="BGN133" s="774"/>
      <c r="BGO133" s="774"/>
      <c r="BGP133" s="774"/>
      <c r="BGQ133" s="774"/>
      <c r="BGR133" s="774"/>
      <c r="BGS133" s="774"/>
      <c r="BGT133" s="774"/>
      <c r="BGU133" s="774"/>
      <c r="BGV133" s="774"/>
      <c r="BGW133" s="774"/>
      <c r="BGX133" s="774"/>
      <c r="BGY133" s="774"/>
      <c r="BGZ133" s="774"/>
      <c r="BHA133" s="774"/>
      <c r="BHB133" s="774"/>
      <c r="BHC133" s="774"/>
      <c r="BHD133" s="774"/>
      <c r="BHE133" s="774"/>
      <c r="BHF133" s="774"/>
      <c r="BHG133" s="774"/>
      <c r="BHH133" s="774"/>
      <c r="BHI133" s="774"/>
      <c r="BHJ133" s="774"/>
      <c r="BHK133" s="774"/>
      <c r="BHL133" s="774"/>
      <c r="BHM133" s="774"/>
      <c r="BHN133" s="774"/>
      <c r="BHO133" s="774"/>
      <c r="BHP133" s="774"/>
      <c r="BHQ133" s="774"/>
      <c r="BHR133" s="774"/>
      <c r="BHS133" s="774"/>
      <c r="BHT133" s="774"/>
      <c r="BHU133" s="774"/>
      <c r="BHV133" s="774"/>
      <c r="BHW133" s="774"/>
      <c r="BHX133" s="774"/>
      <c r="BHY133" s="774"/>
      <c r="BHZ133" s="774"/>
      <c r="BIA133" s="774"/>
      <c r="BIB133" s="774"/>
      <c r="BIC133" s="774"/>
      <c r="BID133" s="774"/>
      <c r="BIE133" s="774"/>
      <c r="BIF133" s="774"/>
      <c r="BIG133" s="774"/>
      <c r="BIH133" s="774"/>
      <c r="BII133" s="774"/>
      <c r="BIJ133" s="774"/>
      <c r="BIK133" s="774"/>
      <c r="BIL133" s="774"/>
      <c r="BIM133" s="774"/>
      <c r="BIN133" s="774"/>
      <c r="BIO133" s="774"/>
      <c r="BIP133" s="774"/>
      <c r="BIQ133" s="774"/>
      <c r="BIR133" s="774"/>
      <c r="BIS133" s="774"/>
      <c r="BIT133" s="774"/>
      <c r="BIU133" s="774"/>
      <c r="BIV133" s="774"/>
      <c r="BIW133" s="774"/>
      <c r="BIX133" s="774"/>
      <c r="BIY133" s="774"/>
      <c r="BIZ133" s="774"/>
      <c r="BJA133" s="774"/>
      <c r="BJB133" s="774"/>
      <c r="BJC133" s="774"/>
      <c r="BJD133" s="774"/>
      <c r="BJE133" s="774"/>
      <c r="BJF133" s="774"/>
      <c r="BJG133" s="774"/>
      <c r="BJH133" s="774"/>
      <c r="BJI133" s="774"/>
      <c r="BJJ133" s="774"/>
      <c r="BJK133" s="774"/>
      <c r="BJL133" s="774"/>
      <c r="BJM133" s="774"/>
      <c r="BJN133" s="774"/>
      <c r="BJO133" s="774"/>
      <c r="BJP133" s="774"/>
      <c r="BJQ133" s="774"/>
      <c r="BJR133" s="774"/>
      <c r="BJS133" s="774"/>
      <c r="BJT133" s="774"/>
      <c r="BJU133" s="774"/>
      <c r="BJV133" s="774"/>
      <c r="BJW133" s="774"/>
      <c r="BJX133" s="774"/>
      <c r="BJY133" s="774"/>
      <c r="BJZ133" s="774"/>
      <c r="BKA133" s="774"/>
      <c r="BKB133" s="774"/>
      <c r="BKC133" s="774"/>
      <c r="BKD133" s="774"/>
      <c r="BKE133" s="774"/>
      <c r="BKF133" s="774"/>
      <c r="BKG133" s="774"/>
      <c r="BKH133" s="774"/>
      <c r="BKI133" s="774"/>
      <c r="BKJ133" s="774"/>
      <c r="BKK133" s="774"/>
      <c r="BKL133" s="774"/>
      <c r="BKM133" s="774"/>
      <c r="BKN133" s="774"/>
      <c r="BKO133" s="774"/>
      <c r="BKP133" s="774"/>
      <c r="BKQ133" s="774"/>
      <c r="BKR133" s="774"/>
      <c r="BKS133" s="774"/>
      <c r="BKT133" s="774"/>
      <c r="BKU133" s="774"/>
      <c r="BKV133" s="774"/>
      <c r="BKW133" s="774"/>
      <c r="BKX133" s="774"/>
      <c r="BKY133" s="774"/>
      <c r="BKZ133" s="774"/>
      <c r="BLA133" s="774"/>
      <c r="BLB133" s="774"/>
      <c r="BLC133" s="774"/>
      <c r="BLD133" s="774"/>
      <c r="BLE133" s="774"/>
      <c r="BLF133" s="774"/>
      <c r="BLG133" s="774"/>
      <c r="BLH133" s="774"/>
      <c r="BLI133" s="774"/>
      <c r="BLJ133" s="774"/>
      <c r="BLK133" s="774"/>
      <c r="BLL133" s="774"/>
      <c r="BLM133" s="774"/>
      <c r="BLN133" s="774"/>
      <c r="BLO133" s="774"/>
      <c r="BLP133" s="774"/>
      <c r="BLQ133" s="774"/>
      <c r="BLR133" s="774"/>
      <c r="BLS133" s="774"/>
      <c r="BLT133" s="774"/>
      <c r="BLU133" s="774"/>
      <c r="BLV133" s="774"/>
      <c r="BLW133" s="774"/>
      <c r="BLX133" s="774"/>
      <c r="BLY133" s="774"/>
      <c r="BLZ133" s="774"/>
      <c r="BMA133" s="774"/>
      <c r="BMB133" s="774"/>
      <c r="BMC133" s="774"/>
      <c r="BMD133" s="774"/>
      <c r="BME133" s="774"/>
      <c r="BMF133" s="774"/>
      <c r="BMG133" s="774"/>
      <c r="BMH133" s="774"/>
      <c r="BMI133" s="774"/>
      <c r="BMJ133" s="774"/>
      <c r="BMK133" s="774"/>
      <c r="BML133" s="774"/>
      <c r="BMM133" s="774"/>
      <c r="BMN133" s="774"/>
      <c r="BMO133" s="774"/>
      <c r="BMP133" s="774"/>
      <c r="BMQ133" s="774"/>
      <c r="BMR133" s="774"/>
      <c r="BMS133" s="774"/>
      <c r="BMT133" s="774"/>
      <c r="BMU133" s="774"/>
      <c r="BMV133" s="774"/>
      <c r="BMW133" s="774"/>
      <c r="BMX133" s="774"/>
      <c r="BMY133" s="774"/>
      <c r="BMZ133" s="774"/>
      <c r="BNA133" s="774"/>
      <c r="BNB133" s="774"/>
      <c r="BNC133" s="774"/>
      <c r="BND133" s="774"/>
      <c r="BNE133" s="774"/>
      <c r="BNF133" s="774"/>
      <c r="BNG133" s="774"/>
      <c r="BNH133" s="774"/>
      <c r="BNI133" s="774"/>
      <c r="BNJ133" s="774"/>
      <c r="BNK133" s="774"/>
      <c r="BNL133" s="774"/>
      <c r="BNM133" s="774"/>
      <c r="BNN133" s="774"/>
      <c r="BNO133" s="774"/>
      <c r="BNP133" s="774"/>
      <c r="BNQ133" s="774"/>
      <c r="BNR133" s="774"/>
      <c r="BNS133" s="774"/>
      <c r="BNT133" s="774"/>
      <c r="BNU133" s="774"/>
      <c r="BNV133" s="774"/>
      <c r="BNW133" s="774"/>
      <c r="BNX133" s="774"/>
      <c r="BNY133" s="774"/>
      <c r="BNZ133" s="774"/>
      <c r="BOA133" s="774"/>
      <c r="BOB133" s="774"/>
      <c r="BOC133" s="774"/>
      <c r="BOD133" s="774"/>
      <c r="BOE133" s="774"/>
      <c r="BOF133" s="774"/>
      <c r="BOG133" s="774"/>
      <c r="BOH133" s="774"/>
      <c r="BOI133" s="774"/>
      <c r="BOJ133" s="774"/>
      <c r="BOK133" s="774"/>
      <c r="BOL133" s="774"/>
      <c r="BOM133" s="774"/>
      <c r="BON133" s="774"/>
      <c r="BOO133" s="774"/>
      <c r="BOP133" s="774"/>
      <c r="BOQ133" s="774"/>
      <c r="BOR133" s="774"/>
      <c r="BOS133" s="774"/>
      <c r="BOT133" s="774"/>
      <c r="BOU133" s="774"/>
      <c r="BOV133" s="774"/>
      <c r="BOW133" s="774"/>
      <c r="BOX133" s="774"/>
      <c r="BOY133" s="774"/>
      <c r="BOZ133" s="774"/>
      <c r="BPA133" s="774"/>
      <c r="BPB133" s="774"/>
      <c r="BPC133" s="774"/>
      <c r="BPD133" s="774"/>
      <c r="BPE133" s="774"/>
      <c r="BPF133" s="774"/>
      <c r="BPG133" s="774"/>
      <c r="BPH133" s="774"/>
      <c r="BPI133" s="774"/>
      <c r="BPJ133" s="774"/>
      <c r="BPK133" s="774"/>
      <c r="BPL133" s="774"/>
      <c r="BPM133" s="774"/>
      <c r="BPN133" s="774"/>
      <c r="BPO133" s="774"/>
      <c r="BPP133" s="774"/>
      <c r="BPQ133" s="774"/>
      <c r="BPR133" s="774"/>
      <c r="BPS133" s="774"/>
      <c r="BPT133" s="774"/>
      <c r="BPU133" s="774"/>
      <c r="BPV133" s="774"/>
      <c r="BPW133" s="774"/>
      <c r="BPX133" s="774"/>
      <c r="BPY133" s="774"/>
      <c r="BPZ133" s="774"/>
      <c r="BQA133" s="774"/>
      <c r="BQB133" s="774"/>
      <c r="BQC133" s="774"/>
      <c r="BQD133" s="774"/>
      <c r="BQE133" s="774"/>
      <c r="BQF133" s="774"/>
      <c r="BQG133" s="774"/>
      <c r="BQH133" s="774"/>
      <c r="BQI133" s="774"/>
      <c r="BQJ133" s="774"/>
      <c r="BQK133" s="774"/>
      <c r="BQL133" s="774"/>
      <c r="BQM133" s="774"/>
      <c r="BQN133" s="774"/>
      <c r="BQO133" s="774"/>
      <c r="BQP133" s="774"/>
      <c r="BQQ133" s="774"/>
      <c r="BQR133" s="774"/>
      <c r="BQS133" s="774"/>
      <c r="BQT133" s="774"/>
      <c r="BQU133" s="774"/>
      <c r="BQV133" s="774"/>
      <c r="BQW133" s="774"/>
      <c r="BQX133" s="774"/>
      <c r="BQY133" s="774"/>
      <c r="BQZ133" s="774"/>
      <c r="BRA133" s="774"/>
      <c r="BRB133" s="774"/>
      <c r="BRC133" s="774"/>
      <c r="BRD133" s="774"/>
      <c r="BRE133" s="774"/>
      <c r="BRF133" s="774"/>
      <c r="BRG133" s="774"/>
      <c r="BRH133" s="774"/>
      <c r="BRI133" s="774"/>
      <c r="BRJ133" s="774"/>
      <c r="BRK133" s="774"/>
      <c r="BRL133" s="774"/>
      <c r="BRM133" s="774"/>
      <c r="BRN133" s="774"/>
      <c r="BRO133" s="774"/>
      <c r="BRP133" s="774"/>
      <c r="BRQ133" s="774"/>
      <c r="BRR133" s="774"/>
      <c r="BRS133" s="774"/>
      <c r="BRT133" s="774"/>
      <c r="BRU133" s="774"/>
      <c r="BRV133" s="774"/>
      <c r="BRW133" s="774"/>
      <c r="BRX133" s="774"/>
      <c r="BRY133" s="774"/>
      <c r="BRZ133" s="774"/>
      <c r="BSA133" s="774"/>
      <c r="BSB133" s="774"/>
      <c r="BSC133" s="774"/>
      <c r="BSD133" s="774"/>
      <c r="BSE133" s="774"/>
      <c r="BSF133" s="774"/>
      <c r="BSG133" s="774"/>
      <c r="BSH133" s="774"/>
      <c r="BSI133" s="774"/>
      <c r="BSJ133" s="774"/>
      <c r="BSK133" s="774"/>
      <c r="BSL133" s="774"/>
      <c r="BSM133" s="774"/>
      <c r="BSN133" s="774"/>
      <c r="BSO133" s="774"/>
      <c r="BSP133" s="774"/>
      <c r="BSQ133" s="774"/>
      <c r="BSR133" s="774"/>
      <c r="BSS133" s="774"/>
      <c r="BST133" s="774"/>
      <c r="BSU133" s="774"/>
      <c r="BSV133" s="774"/>
      <c r="BSW133" s="774"/>
      <c r="BSX133" s="774"/>
      <c r="BSY133" s="774"/>
      <c r="BSZ133" s="774"/>
      <c r="BTA133" s="774"/>
      <c r="BTB133" s="774"/>
      <c r="BTC133" s="774"/>
      <c r="BTD133" s="774"/>
      <c r="BTE133" s="774"/>
      <c r="BTF133" s="774"/>
      <c r="BTG133" s="774"/>
      <c r="BTH133" s="774"/>
      <c r="BTI133" s="774"/>
      <c r="BTJ133" s="774"/>
      <c r="BTK133" s="774"/>
      <c r="BTL133" s="774"/>
      <c r="BTM133" s="774"/>
      <c r="BTN133" s="774"/>
      <c r="BTO133" s="774"/>
      <c r="BTP133" s="774"/>
      <c r="BTQ133" s="774"/>
      <c r="BTR133" s="774"/>
      <c r="BTS133" s="774"/>
      <c r="BTT133" s="774"/>
      <c r="BTU133" s="774"/>
      <c r="BTV133" s="774"/>
      <c r="BTW133" s="774"/>
      <c r="BTX133" s="774"/>
      <c r="BTY133" s="774"/>
      <c r="BTZ133" s="774"/>
      <c r="BUA133" s="774"/>
      <c r="BUB133" s="774"/>
      <c r="BUC133" s="774"/>
      <c r="BUD133" s="774"/>
      <c r="BUE133" s="774"/>
      <c r="BUF133" s="774"/>
      <c r="BUG133" s="774"/>
      <c r="BUH133" s="774"/>
      <c r="BUI133" s="774"/>
      <c r="BUJ133" s="774"/>
      <c r="BUK133" s="774"/>
      <c r="BUL133" s="774"/>
      <c r="BUM133" s="774"/>
      <c r="BUN133" s="774"/>
      <c r="BUO133" s="774"/>
      <c r="BUP133" s="774"/>
      <c r="BUQ133" s="774"/>
      <c r="BUR133" s="774"/>
      <c r="BUS133" s="774"/>
      <c r="BUT133" s="774"/>
      <c r="BUU133" s="774"/>
      <c r="BUV133" s="774"/>
      <c r="BUW133" s="774"/>
      <c r="BUX133" s="774"/>
      <c r="BUY133" s="774"/>
      <c r="BUZ133" s="774"/>
      <c r="BVA133" s="774"/>
      <c r="BVB133" s="774"/>
      <c r="BVC133" s="774"/>
      <c r="BVD133" s="774"/>
      <c r="BVE133" s="774"/>
      <c r="BVF133" s="774"/>
      <c r="BVG133" s="774"/>
      <c r="BVH133" s="774"/>
      <c r="BVI133" s="774"/>
      <c r="BVJ133" s="774"/>
      <c r="BVK133" s="774"/>
      <c r="BVL133" s="774"/>
      <c r="BVM133" s="774"/>
      <c r="BVN133" s="774"/>
      <c r="BVO133" s="774"/>
      <c r="BVP133" s="774"/>
      <c r="BVQ133" s="774"/>
      <c r="BVR133" s="774"/>
      <c r="BVS133" s="774"/>
      <c r="BVT133" s="774"/>
      <c r="BVU133" s="774"/>
      <c r="BVV133" s="774"/>
      <c r="BVW133" s="774"/>
      <c r="BVX133" s="774"/>
      <c r="BVY133" s="774"/>
      <c r="BVZ133" s="774"/>
      <c r="BWA133" s="774"/>
      <c r="BWB133" s="774"/>
      <c r="BWC133" s="774"/>
      <c r="BWD133" s="774"/>
      <c r="BWE133" s="774"/>
      <c r="BWF133" s="774"/>
      <c r="BWG133" s="774"/>
      <c r="BWH133" s="774"/>
      <c r="BWI133" s="774"/>
      <c r="BWJ133" s="774"/>
      <c r="BWK133" s="774"/>
      <c r="BWL133" s="774"/>
      <c r="BWM133" s="774"/>
      <c r="BWN133" s="774"/>
      <c r="BWO133" s="774"/>
      <c r="BWP133" s="774"/>
      <c r="BWQ133" s="774"/>
      <c r="BWR133" s="774"/>
      <c r="BWS133" s="774"/>
      <c r="BWT133" s="774"/>
      <c r="BWU133" s="774"/>
      <c r="BWV133" s="774"/>
      <c r="BWW133" s="774"/>
      <c r="BWX133" s="774"/>
      <c r="BWY133" s="774"/>
      <c r="BWZ133" s="774"/>
      <c r="BXA133" s="774"/>
      <c r="BXB133" s="774"/>
      <c r="BXC133" s="774"/>
      <c r="BXD133" s="774"/>
      <c r="BXE133" s="774"/>
      <c r="BXF133" s="774"/>
      <c r="BXG133" s="774"/>
      <c r="BXH133" s="774"/>
      <c r="BXI133" s="774"/>
      <c r="BXJ133" s="774"/>
      <c r="BXK133" s="774"/>
      <c r="BXL133" s="774"/>
      <c r="BXM133" s="774"/>
      <c r="BXN133" s="774"/>
      <c r="BXO133" s="774"/>
      <c r="BXP133" s="774"/>
      <c r="BXQ133" s="774"/>
      <c r="BXR133" s="774"/>
      <c r="BXS133" s="774"/>
      <c r="BXT133" s="774"/>
      <c r="BXU133" s="774"/>
      <c r="BXV133" s="774"/>
      <c r="BXW133" s="774"/>
      <c r="BXX133" s="774"/>
      <c r="BXY133" s="774"/>
      <c r="BXZ133" s="774"/>
      <c r="BYA133" s="774"/>
      <c r="BYB133" s="774"/>
      <c r="BYC133" s="774"/>
      <c r="BYD133" s="774"/>
      <c r="BYE133" s="774"/>
      <c r="BYF133" s="774"/>
      <c r="BYG133" s="774"/>
      <c r="BYH133" s="774"/>
      <c r="BYI133" s="774"/>
      <c r="BYJ133" s="774"/>
      <c r="BYK133" s="774"/>
      <c r="BYL133" s="774"/>
      <c r="BYM133" s="774"/>
      <c r="BYN133" s="774"/>
      <c r="BYO133" s="774"/>
      <c r="BYP133" s="774"/>
      <c r="BYQ133" s="774"/>
      <c r="BYR133" s="774"/>
      <c r="BYS133" s="774"/>
      <c r="BYT133" s="774"/>
      <c r="BYU133" s="774"/>
      <c r="BYV133" s="774"/>
      <c r="BYW133" s="774"/>
      <c r="BYX133" s="774"/>
      <c r="BYY133" s="774"/>
      <c r="BYZ133" s="774"/>
      <c r="BZA133" s="774"/>
      <c r="BZB133" s="774"/>
      <c r="BZC133" s="774"/>
      <c r="BZD133" s="774"/>
      <c r="BZE133" s="774"/>
      <c r="BZF133" s="774"/>
      <c r="BZG133" s="774"/>
      <c r="BZH133" s="774"/>
      <c r="BZI133" s="774"/>
      <c r="BZJ133" s="774"/>
      <c r="BZK133" s="774"/>
      <c r="BZL133" s="774"/>
      <c r="BZM133" s="774"/>
      <c r="BZN133" s="774"/>
      <c r="BZO133" s="774"/>
      <c r="BZP133" s="774"/>
      <c r="BZQ133" s="774"/>
      <c r="BZR133" s="774"/>
      <c r="BZS133" s="774"/>
      <c r="BZT133" s="774"/>
      <c r="BZU133" s="774"/>
      <c r="BZV133" s="774"/>
      <c r="BZW133" s="774"/>
      <c r="BZX133" s="774"/>
      <c r="BZY133" s="774"/>
      <c r="BZZ133" s="774"/>
      <c r="CAA133" s="774"/>
      <c r="CAB133" s="774"/>
      <c r="CAC133" s="774"/>
      <c r="CAD133" s="774"/>
      <c r="CAE133" s="774"/>
      <c r="CAF133" s="774"/>
      <c r="CAG133" s="774"/>
      <c r="CAH133" s="774"/>
      <c r="CAI133" s="774"/>
      <c r="CAJ133" s="774"/>
      <c r="CAK133" s="774"/>
      <c r="CAL133" s="774"/>
      <c r="CAM133" s="774"/>
      <c r="CAN133" s="774"/>
      <c r="CAO133" s="774"/>
      <c r="CAP133" s="774"/>
      <c r="CAQ133" s="774"/>
      <c r="CAR133" s="774"/>
      <c r="CAS133" s="774"/>
      <c r="CAT133" s="774"/>
      <c r="CAU133" s="774"/>
      <c r="CAV133" s="774"/>
      <c r="CAW133" s="774"/>
      <c r="CAX133" s="774"/>
      <c r="CAY133" s="774"/>
      <c r="CAZ133" s="774"/>
      <c r="CBA133" s="774"/>
      <c r="CBB133" s="774"/>
      <c r="CBC133" s="774"/>
      <c r="CBD133" s="774"/>
      <c r="CBE133" s="774"/>
      <c r="CBF133" s="774"/>
      <c r="CBG133" s="774"/>
      <c r="CBH133" s="774"/>
      <c r="CBI133" s="774"/>
      <c r="CBJ133" s="774"/>
      <c r="CBK133" s="774"/>
      <c r="CBL133" s="774"/>
      <c r="CBM133" s="774"/>
      <c r="CBN133" s="774"/>
      <c r="CBO133" s="774"/>
      <c r="CBP133" s="774"/>
      <c r="CBQ133" s="774"/>
      <c r="CBR133" s="774"/>
      <c r="CBS133" s="774"/>
      <c r="CBT133" s="774"/>
      <c r="CBU133" s="774"/>
      <c r="CBV133" s="774"/>
      <c r="CBW133" s="774"/>
      <c r="CBX133" s="774"/>
      <c r="CBY133" s="774"/>
      <c r="CBZ133" s="774"/>
      <c r="CCA133" s="774"/>
      <c r="CCB133" s="774"/>
      <c r="CCC133" s="774"/>
      <c r="CCD133" s="774"/>
      <c r="CCE133" s="774"/>
      <c r="CCF133" s="774"/>
      <c r="CCG133" s="774"/>
      <c r="CCH133" s="774"/>
      <c r="CCI133" s="774"/>
      <c r="CCJ133" s="774"/>
      <c r="CCK133" s="774"/>
      <c r="CCL133" s="774"/>
      <c r="CCM133" s="774"/>
      <c r="CCN133" s="774"/>
      <c r="CCO133" s="774"/>
      <c r="CCP133" s="774"/>
      <c r="CCQ133" s="774"/>
      <c r="CCR133" s="774"/>
      <c r="CCS133" s="774"/>
      <c r="CCT133" s="774"/>
      <c r="CCU133" s="774"/>
      <c r="CCV133" s="774"/>
      <c r="CCW133" s="774"/>
      <c r="CCX133" s="774"/>
      <c r="CCY133" s="774"/>
      <c r="CCZ133" s="774"/>
      <c r="CDA133" s="774"/>
      <c r="CDB133" s="774"/>
      <c r="CDC133" s="774"/>
      <c r="CDD133" s="774"/>
      <c r="CDE133" s="774"/>
      <c r="CDF133" s="774"/>
      <c r="CDG133" s="774"/>
      <c r="CDH133" s="774"/>
      <c r="CDI133" s="774"/>
      <c r="CDJ133" s="774"/>
      <c r="CDK133" s="774"/>
      <c r="CDL133" s="774"/>
      <c r="CDM133" s="774"/>
      <c r="CDN133" s="774"/>
      <c r="CDO133" s="774"/>
      <c r="CDP133" s="774"/>
      <c r="CDQ133" s="774"/>
      <c r="CDR133" s="774"/>
      <c r="CDS133" s="774"/>
      <c r="CDT133" s="774"/>
      <c r="CDU133" s="774"/>
      <c r="CDV133" s="774"/>
      <c r="CDW133" s="774"/>
      <c r="CDX133" s="774"/>
      <c r="CDY133" s="774"/>
      <c r="CDZ133" s="774"/>
      <c r="CEA133" s="774"/>
      <c r="CEB133" s="774"/>
      <c r="CEC133" s="774"/>
      <c r="CED133" s="774"/>
      <c r="CEE133" s="774"/>
      <c r="CEF133" s="774"/>
      <c r="CEG133" s="774"/>
      <c r="CEH133" s="774"/>
      <c r="CEI133" s="774"/>
      <c r="CEJ133" s="774"/>
      <c r="CEK133" s="774"/>
      <c r="CEL133" s="774"/>
      <c r="CEM133" s="774"/>
      <c r="CEN133" s="774"/>
      <c r="CEO133" s="774"/>
      <c r="CEP133" s="774"/>
      <c r="CEQ133" s="774"/>
      <c r="CER133" s="774"/>
      <c r="CES133" s="774"/>
      <c r="CET133" s="774"/>
      <c r="CEU133" s="774"/>
      <c r="CEV133" s="774"/>
      <c r="CEW133" s="774"/>
      <c r="CEX133" s="774"/>
      <c r="CEY133" s="774"/>
      <c r="CEZ133" s="774"/>
      <c r="CFA133" s="774"/>
      <c r="CFB133" s="774"/>
      <c r="CFC133" s="774"/>
      <c r="CFD133" s="774"/>
      <c r="CFE133" s="774"/>
      <c r="CFF133" s="774"/>
      <c r="CFG133" s="774"/>
      <c r="CFH133" s="774"/>
      <c r="CFI133" s="774"/>
      <c r="CFJ133" s="774"/>
      <c r="CFK133" s="774"/>
      <c r="CFL133" s="774"/>
      <c r="CFM133" s="774"/>
      <c r="CFN133" s="774"/>
      <c r="CFO133" s="774"/>
      <c r="CFP133" s="774"/>
      <c r="CFQ133" s="774"/>
      <c r="CFR133" s="774"/>
      <c r="CFS133" s="774"/>
      <c r="CFT133" s="774"/>
      <c r="CFU133" s="774"/>
      <c r="CFV133" s="774"/>
      <c r="CFW133" s="774"/>
      <c r="CFX133" s="774"/>
      <c r="CFY133" s="774"/>
      <c r="CFZ133" s="774"/>
      <c r="CGA133" s="774"/>
      <c r="CGB133" s="774"/>
      <c r="CGC133" s="774"/>
      <c r="CGD133" s="774"/>
      <c r="CGE133" s="774"/>
      <c r="CGF133" s="774"/>
      <c r="CGG133" s="774"/>
      <c r="CGH133" s="774"/>
      <c r="CGI133" s="774"/>
      <c r="CGJ133" s="774"/>
      <c r="CGK133" s="774"/>
      <c r="CGL133" s="774"/>
      <c r="CGM133" s="774"/>
      <c r="CGN133" s="774"/>
      <c r="CGO133" s="774"/>
      <c r="CGP133" s="774"/>
      <c r="CGQ133" s="774"/>
      <c r="CGR133" s="774"/>
      <c r="CGS133" s="774"/>
      <c r="CGT133" s="774"/>
      <c r="CGU133" s="774"/>
      <c r="CGV133" s="774"/>
      <c r="CGW133" s="774"/>
      <c r="CGX133" s="774"/>
      <c r="CGY133" s="774"/>
      <c r="CGZ133" s="774"/>
      <c r="CHA133" s="774"/>
      <c r="CHB133" s="774"/>
      <c r="CHC133" s="774"/>
      <c r="CHD133" s="774"/>
      <c r="CHE133" s="774"/>
      <c r="CHF133" s="774"/>
      <c r="CHG133" s="774"/>
      <c r="CHH133" s="774"/>
      <c r="CHI133" s="774"/>
      <c r="CHJ133" s="774"/>
      <c r="CHK133" s="774"/>
      <c r="CHL133" s="774"/>
      <c r="CHM133" s="774"/>
      <c r="CHN133" s="774"/>
      <c r="CHO133" s="774"/>
      <c r="CHP133" s="774"/>
      <c r="CHQ133" s="774"/>
      <c r="CHR133" s="774"/>
      <c r="CHS133" s="774"/>
      <c r="CHT133" s="774"/>
      <c r="CHU133" s="774"/>
      <c r="CHV133" s="774"/>
      <c r="CHW133" s="774"/>
      <c r="CHX133" s="774"/>
      <c r="CHY133" s="774"/>
      <c r="CHZ133" s="774"/>
      <c r="CIA133" s="774"/>
      <c r="CIB133" s="774"/>
      <c r="CIC133" s="774"/>
      <c r="CID133" s="774"/>
      <c r="CIE133" s="774"/>
      <c r="CIF133" s="774"/>
      <c r="CIG133" s="774"/>
      <c r="CIH133" s="774"/>
      <c r="CII133" s="774"/>
      <c r="CIJ133" s="774"/>
      <c r="CIK133" s="774"/>
      <c r="CIL133" s="774"/>
      <c r="CIM133" s="774"/>
      <c r="CIN133" s="774"/>
      <c r="CIO133" s="774"/>
      <c r="CIP133" s="774"/>
      <c r="CIQ133" s="774"/>
      <c r="CIR133" s="774"/>
      <c r="CIS133" s="774"/>
      <c r="CIT133" s="774"/>
      <c r="CIU133" s="774"/>
      <c r="CIV133" s="774"/>
      <c r="CIW133" s="774"/>
      <c r="CIX133" s="774"/>
      <c r="CIY133" s="774"/>
      <c r="CIZ133" s="774"/>
      <c r="CJA133" s="774"/>
      <c r="CJB133" s="774"/>
      <c r="CJC133" s="774"/>
      <c r="CJD133" s="774"/>
      <c r="CJE133" s="774"/>
      <c r="CJF133" s="774"/>
      <c r="CJG133" s="774"/>
      <c r="CJH133" s="774"/>
      <c r="CJI133" s="774"/>
      <c r="CJJ133" s="774"/>
      <c r="CJK133" s="774"/>
      <c r="CJL133" s="774"/>
      <c r="CJM133" s="774"/>
      <c r="CJN133" s="774"/>
      <c r="CJO133" s="774"/>
      <c r="CJP133" s="774"/>
      <c r="CJQ133" s="774"/>
      <c r="CJR133" s="774"/>
      <c r="CJS133" s="774"/>
      <c r="CJT133" s="774"/>
      <c r="CJU133" s="774"/>
      <c r="CJV133" s="774"/>
      <c r="CJW133" s="774"/>
      <c r="CJX133" s="774"/>
      <c r="CJY133" s="774"/>
      <c r="CJZ133" s="774"/>
      <c r="CKA133" s="774"/>
      <c r="CKB133" s="774"/>
      <c r="CKC133" s="774"/>
      <c r="CKD133" s="774"/>
      <c r="CKE133" s="774"/>
      <c r="CKF133" s="774"/>
      <c r="CKG133" s="774"/>
      <c r="CKH133" s="774"/>
      <c r="CKI133" s="774"/>
      <c r="CKJ133" s="774"/>
      <c r="CKK133" s="774"/>
      <c r="CKL133" s="774"/>
      <c r="CKM133" s="774"/>
      <c r="CKN133" s="774"/>
      <c r="CKO133" s="774"/>
      <c r="CKP133" s="774"/>
      <c r="CKQ133" s="774"/>
      <c r="CKR133" s="774"/>
      <c r="CKS133" s="774"/>
      <c r="CKT133" s="774"/>
      <c r="CKU133" s="774"/>
      <c r="CKV133" s="774"/>
      <c r="CKW133" s="774"/>
      <c r="CKX133" s="774"/>
      <c r="CKY133" s="774"/>
      <c r="CKZ133" s="774"/>
      <c r="CLA133" s="774"/>
      <c r="CLB133" s="774"/>
      <c r="CLC133" s="774"/>
      <c r="CLD133" s="774"/>
      <c r="CLE133" s="774"/>
      <c r="CLF133" s="774"/>
      <c r="CLG133" s="774"/>
      <c r="CLH133" s="774"/>
      <c r="CLI133" s="774"/>
      <c r="CLJ133" s="774"/>
      <c r="CLK133" s="774"/>
      <c r="CLL133" s="774"/>
      <c r="CLM133" s="774"/>
      <c r="CLN133" s="774"/>
      <c r="CLO133" s="774"/>
      <c r="CLP133" s="774"/>
      <c r="CLQ133" s="774"/>
      <c r="CLR133" s="774"/>
      <c r="CLS133" s="774"/>
      <c r="CLT133" s="774"/>
      <c r="CLU133" s="774"/>
      <c r="CLV133" s="774"/>
      <c r="CLW133" s="774"/>
      <c r="CLX133" s="774"/>
      <c r="CLY133" s="774"/>
      <c r="CLZ133" s="774"/>
      <c r="CMA133" s="774"/>
      <c r="CMB133" s="774"/>
      <c r="CMC133" s="774"/>
      <c r="CMD133" s="774"/>
      <c r="CME133" s="774"/>
      <c r="CMF133" s="774"/>
      <c r="CMG133" s="774"/>
      <c r="CMH133" s="774"/>
      <c r="CMI133" s="774"/>
      <c r="CMJ133" s="774"/>
      <c r="CMK133" s="774"/>
      <c r="CML133" s="774"/>
      <c r="CMM133" s="774"/>
      <c r="CMN133" s="774"/>
      <c r="CMO133" s="774"/>
      <c r="CMP133" s="774"/>
      <c r="CMQ133" s="774"/>
      <c r="CMR133" s="774"/>
      <c r="CMS133" s="774"/>
      <c r="CMT133" s="774"/>
      <c r="CMU133" s="774"/>
      <c r="CMV133" s="774"/>
      <c r="CMW133" s="774"/>
      <c r="CMX133" s="774"/>
      <c r="CMY133" s="774"/>
      <c r="CMZ133" s="774"/>
      <c r="CNA133" s="774"/>
      <c r="CNB133" s="774"/>
      <c r="CNC133" s="774"/>
      <c r="CND133" s="774"/>
      <c r="CNE133" s="774"/>
      <c r="CNF133" s="774"/>
      <c r="CNG133" s="774"/>
      <c r="CNH133" s="774"/>
      <c r="CNI133" s="774"/>
      <c r="CNJ133" s="774"/>
      <c r="CNK133" s="774"/>
      <c r="CNL133" s="774"/>
      <c r="CNM133" s="774"/>
      <c r="CNN133" s="774"/>
      <c r="CNO133" s="774"/>
      <c r="CNP133" s="774"/>
      <c r="CNQ133" s="774"/>
      <c r="CNR133" s="774"/>
      <c r="CNS133" s="774"/>
      <c r="CNT133" s="774"/>
      <c r="CNU133" s="774"/>
      <c r="CNV133" s="774"/>
      <c r="CNW133" s="774"/>
      <c r="CNX133" s="774"/>
      <c r="CNY133" s="774"/>
      <c r="CNZ133" s="774"/>
      <c r="COA133" s="774"/>
      <c r="COB133" s="774"/>
      <c r="COC133" s="774"/>
      <c r="COD133" s="774"/>
      <c r="COE133" s="774"/>
      <c r="COF133" s="774"/>
      <c r="COG133" s="774"/>
      <c r="COH133" s="774"/>
      <c r="COI133" s="774"/>
      <c r="COJ133" s="774"/>
      <c r="COK133" s="774"/>
      <c r="COL133" s="774"/>
      <c r="COM133" s="774"/>
      <c r="CON133" s="774"/>
      <c r="COO133" s="774"/>
      <c r="COP133" s="774"/>
      <c r="COQ133" s="774"/>
      <c r="COR133" s="774"/>
      <c r="COS133" s="774"/>
      <c r="COT133" s="774"/>
      <c r="COU133" s="774"/>
      <c r="COV133" s="774"/>
      <c r="COW133" s="774"/>
      <c r="COX133" s="774"/>
      <c r="COY133" s="774"/>
      <c r="COZ133" s="774"/>
      <c r="CPA133" s="774"/>
      <c r="CPB133" s="774"/>
      <c r="CPC133" s="774"/>
      <c r="CPD133" s="774"/>
      <c r="CPE133" s="774"/>
      <c r="CPF133" s="774"/>
      <c r="CPG133" s="774"/>
      <c r="CPH133" s="774"/>
      <c r="CPI133" s="774"/>
      <c r="CPJ133" s="774"/>
      <c r="CPK133" s="774"/>
      <c r="CPL133" s="774"/>
      <c r="CPM133" s="774"/>
      <c r="CPN133" s="774"/>
      <c r="CPO133" s="774"/>
      <c r="CPP133" s="774"/>
      <c r="CPQ133" s="774"/>
      <c r="CPR133" s="774"/>
      <c r="CPS133" s="774"/>
      <c r="CPT133" s="774"/>
      <c r="CPU133" s="774"/>
      <c r="CPV133" s="774"/>
      <c r="CPW133" s="774"/>
      <c r="CPX133" s="774"/>
      <c r="CPY133" s="774"/>
      <c r="CPZ133" s="774"/>
      <c r="CQA133" s="774"/>
      <c r="CQB133" s="774"/>
      <c r="CQC133" s="774"/>
      <c r="CQD133" s="774"/>
      <c r="CQE133" s="774"/>
      <c r="CQF133" s="774"/>
      <c r="CQG133" s="774"/>
      <c r="CQH133" s="774"/>
      <c r="CQI133" s="774"/>
      <c r="CQJ133" s="774"/>
      <c r="CQK133" s="774"/>
      <c r="CQL133" s="774"/>
      <c r="CQM133" s="774"/>
      <c r="CQN133" s="774"/>
      <c r="CQO133" s="774"/>
      <c r="CQP133" s="774"/>
      <c r="CQQ133" s="774"/>
      <c r="CQR133" s="774"/>
      <c r="CQS133" s="774"/>
      <c r="CQT133" s="774"/>
      <c r="CQU133" s="774"/>
      <c r="CQV133" s="774"/>
      <c r="CQW133" s="774"/>
      <c r="CQX133" s="774"/>
      <c r="CQY133" s="774"/>
      <c r="CQZ133" s="774"/>
      <c r="CRA133" s="774"/>
      <c r="CRB133" s="774"/>
      <c r="CRC133" s="774"/>
      <c r="CRD133" s="774"/>
      <c r="CRE133" s="774"/>
      <c r="CRF133" s="774"/>
      <c r="CRG133" s="774"/>
      <c r="CRH133" s="774"/>
      <c r="CRI133" s="774"/>
      <c r="CRJ133" s="774"/>
      <c r="CRK133" s="774"/>
      <c r="CRL133" s="774"/>
      <c r="CRM133" s="774"/>
      <c r="CRN133" s="774"/>
      <c r="CRO133" s="774"/>
      <c r="CRP133" s="774"/>
      <c r="CRQ133" s="774"/>
      <c r="CRR133" s="774"/>
      <c r="CRS133" s="774"/>
      <c r="CRT133" s="774"/>
      <c r="CRU133" s="774"/>
      <c r="CRV133" s="774"/>
      <c r="CRW133" s="774"/>
      <c r="CRX133" s="774"/>
      <c r="CRY133" s="774"/>
      <c r="CRZ133" s="774"/>
      <c r="CSA133" s="774"/>
      <c r="CSB133" s="774"/>
      <c r="CSC133" s="774"/>
      <c r="CSD133" s="774"/>
      <c r="CSE133" s="774"/>
      <c r="CSF133" s="774"/>
      <c r="CSG133" s="774"/>
      <c r="CSH133" s="774"/>
      <c r="CSI133" s="774"/>
      <c r="CSJ133" s="774"/>
      <c r="CSK133" s="774"/>
      <c r="CSL133" s="774"/>
      <c r="CSM133" s="774"/>
      <c r="CSN133" s="774"/>
      <c r="CSO133" s="774"/>
      <c r="CSP133" s="774"/>
      <c r="CSQ133" s="774"/>
      <c r="CSR133" s="774"/>
      <c r="CSS133" s="774"/>
      <c r="CST133" s="774"/>
      <c r="CSU133" s="774"/>
      <c r="CSV133" s="774"/>
      <c r="CSW133" s="774"/>
      <c r="CSX133" s="774"/>
      <c r="CSY133" s="774"/>
      <c r="CSZ133" s="774"/>
      <c r="CTA133" s="774"/>
      <c r="CTB133" s="774"/>
      <c r="CTC133" s="774"/>
      <c r="CTD133" s="774"/>
      <c r="CTE133" s="774"/>
      <c r="CTF133" s="774"/>
      <c r="CTG133" s="774"/>
      <c r="CTH133" s="774"/>
      <c r="CTI133" s="774"/>
      <c r="CTJ133" s="774"/>
      <c r="CTK133" s="774"/>
      <c r="CTL133" s="774"/>
      <c r="CTM133" s="774"/>
      <c r="CTN133" s="774"/>
      <c r="CTO133" s="774"/>
      <c r="CTP133" s="774"/>
      <c r="CTQ133" s="774"/>
      <c r="CTR133" s="774"/>
      <c r="CTS133" s="774"/>
      <c r="CTT133" s="774"/>
      <c r="CTU133" s="774"/>
      <c r="CTV133" s="774"/>
      <c r="CTW133" s="774"/>
      <c r="CTX133" s="774"/>
      <c r="CTY133" s="774"/>
      <c r="CTZ133" s="774"/>
      <c r="CUA133" s="774"/>
      <c r="CUB133" s="774"/>
      <c r="CUC133" s="774"/>
      <c r="CUD133" s="774"/>
      <c r="CUE133" s="774"/>
      <c r="CUF133" s="774"/>
      <c r="CUG133" s="774"/>
      <c r="CUH133" s="774"/>
      <c r="CUI133" s="774"/>
      <c r="CUJ133" s="774"/>
      <c r="CUK133" s="774"/>
      <c r="CUL133" s="774"/>
      <c r="CUM133" s="774"/>
      <c r="CUN133" s="774"/>
      <c r="CUO133" s="774"/>
      <c r="CUP133" s="774"/>
      <c r="CUQ133" s="774"/>
      <c r="CUR133" s="774"/>
      <c r="CUS133" s="774"/>
      <c r="CUT133" s="774"/>
      <c r="CUU133" s="774"/>
      <c r="CUV133" s="774"/>
      <c r="CUW133" s="774"/>
      <c r="CUX133" s="774"/>
      <c r="CUY133" s="774"/>
      <c r="CUZ133" s="774"/>
      <c r="CVA133" s="774"/>
      <c r="CVB133" s="774"/>
      <c r="CVC133" s="774"/>
      <c r="CVD133" s="774"/>
      <c r="CVE133" s="774"/>
      <c r="CVF133" s="774"/>
      <c r="CVG133" s="774"/>
      <c r="CVH133" s="774"/>
      <c r="CVI133" s="774"/>
      <c r="CVJ133" s="774"/>
      <c r="CVK133" s="774"/>
      <c r="CVL133" s="774"/>
      <c r="CVM133" s="774"/>
      <c r="CVN133" s="774"/>
      <c r="CVO133" s="774"/>
      <c r="CVP133" s="774"/>
      <c r="CVQ133" s="774"/>
      <c r="CVR133" s="774"/>
      <c r="CVS133" s="774"/>
      <c r="CVT133" s="774"/>
      <c r="CVU133" s="774"/>
      <c r="CVV133" s="774"/>
      <c r="CVW133" s="774"/>
      <c r="CVX133" s="774"/>
      <c r="CVY133" s="774"/>
      <c r="CVZ133" s="774"/>
      <c r="CWA133" s="774"/>
      <c r="CWB133" s="774"/>
      <c r="CWC133" s="774"/>
      <c r="CWD133" s="774"/>
      <c r="CWE133" s="774"/>
      <c r="CWF133" s="774"/>
      <c r="CWG133" s="774"/>
      <c r="CWH133" s="774"/>
      <c r="CWI133" s="774"/>
      <c r="CWJ133" s="774"/>
      <c r="CWK133" s="774"/>
      <c r="CWL133" s="774"/>
      <c r="CWM133" s="774"/>
      <c r="CWN133" s="774"/>
      <c r="CWO133" s="774"/>
      <c r="CWP133" s="774"/>
      <c r="CWQ133" s="774"/>
      <c r="CWR133" s="774"/>
      <c r="CWS133" s="774"/>
      <c r="CWT133" s="774"/>
      <c r="CWU133" s="774"/>
      <c r="CWV133" s="774"/>
      <c r="CWW133" s="774"/>
      <c r="CWX133" s="774"/>
      <c r="CWY133" s="774"/>
      <c r="CWZ133" s="774"/>
      <c r="CXA133" s="774"/>
      <c r="CXB133" s="774"/>
      <c r="CXC133" s="774"/>
      <c r="CXD133" s="774"/>
      <c r="CXE133" s="774"/>
      <c r="CXF133" s="774"/>
      <c r="CXG133" s="774"/>
      <c r="CXH133" s="774"/>
      <c r="CXI133" s="774"/>
      <c r="CXJ133" s="774"/>
      <c r="CXK133" s="774"/>
      <c r="CXL133" s="774"/>
      <c r="CXM133" s="774"/>
      <c r="CXN133" s="774"/>
      <c r="CXO133" s="774"/>
      <c r="CXP133" s="774"/>
      <c r="CXQ133" s="774"/>
      <c r="CXR133" s="774"/>
      <c r="CXS133" s="774"/>
      <c r="CXT133" s="774"/>
      <c r="CXU133" s="774"/>
      <c r="CXV133" s="774"/>
      <c r="CXW133" s="774"/>
      <c r="CXX133" s="774"/>
      <c r="CXY133" s="774"/>
      <c r="CXZ133" s="774"/>
      <c r="CYA133" s="774"/>
      <c r="CYB133" s="774"/>
      <c r="CYC133" s="774"/>
      <c r="CYD133" s="774"/>
      <c r="CYE133" s="774"/>
      <c r="CYF133" s="774"/>
      <c r="CYG133" s="774"/>
      <c r="CYH133" s="774"/>
      <c r="CYI133" s="774"/>
      <c r="CYJ133" s="774"/>
      <c r="CYK133" s="774"/>
      <c r="CYL133" s="774"/>
      <c r="CYM133" s="774"/>
      <c r="CYN133" s="774"/>
      <c r="CYO133" s="774"/>
      <c r="CYP133" s="774"/>
      <c r="CYQ133" s="774"/>
      <c r="CYR133" s="774"/>
      <c r="CYS133" s="774"/>
      <c r="CYT133" s="774"/>
      <c r="CYU133" s="774"/>
      <c r="CYV133" s="774"/>
      <c r="CYW133" s="774"/>
      <c r="CYX133" s="774"/>
      <c r="CYY133" s="774"/>
      <c r="CYZ133" s="774"/>
      <c r="CZA133" s="774"/>
      <c r="CZB133" s="774"/>
      <c r="CZC133" s="774"/>
      <c r="CZD133" s="774"/>
      <c r="CZE133" s="774"/>
      <c r="CZF133" s="774"/>
      <c r="CZG133" s="774"/>
      <c r="CZH133" s="774"/>
      <c r="CZI133" s="774"/>
      <c r="CZJ133" s="774"/>
      <c r="CZK133" s="774"/>
      <c r="CZL133" s="774"/>
      <c r="CZM133" s="774"/>
      <c r="CZN133" s="774"/>
      <c r="CZO133" s="774"/>
      <c r="CZP133" s="774"/>
      <c r="CZQ133" s="774"/>
      <c r="CZR133" s="774"/>
      <c r="CZS133" s="774"/>
      <c r="CZT133" s="774"/>
      <c r="CZU133" s="774"/>
      <c r="CZV133" s="774"/>
      <c r="CZW133" s="774"/>
      <c r="CZX133" s="774"/>
      <c r="CZY133" s="774"/>
      <c r="CZZ133" s="774"/>
      <c r="DAA133" s="774"/>
      <c r="DAB133" s="774"/>
      <c r="DAC133" s="774"/>
      <c r="DAD133" s="774"/>
      <c r="DAE133" s="774"/>
      <c r="DAF133" s="774"/>
      <c r="DAG133" s="774"/>
      <c r="DAH133" s="774"/>
      <c r="DAI133" s="774"/>
      <c r="DAJ133" s="774"/>
      <c r="DAK133" s="774"/>
      <c r="DAL133" s="774"/>
      <c r="DAM133" s="774"/>
      <c r="DAN133" s="774"/>
      <c r="DAO133" s="774"/>
      <c r="DAP133" s="774"/>
      <c r="DAQ133" s="774"/>
      <c r="DAR133" s="774"/>
      <c r="DAS133" s="774"/>
      <c r="DAT133" s="774"/>
      <c r="DAU133" s="774"/>
      <c r="DAV133" s="774"/>
      <c r="DAW133" s="774"/>
      <c r="DAX133" s="774"/>
      <c r="DAY133" s="774"/>
      <c r="DAZ133" s="774"/>
      <c r="DBA133" s="774"/>
      <c r="DBB133" s="774"/>
      <c r="DBC133" s="774"/>
      <c r="DBD133" s="774"/>
      <c r="DBE133" s="774"/>
      <c r="DBF133" s="774"/>
      <c r="DBG133" s="774"/>
      <c r="DBH133" s="774"/>
      <c r="DBI133" s="774"/>
      <c r="DBJ133" s="774"/>
      <c r="DBK133" s="774"/>
      <c r="DBL133" s="774"/>
      <c r="DBM133" s="774"/>
      <c r="DBN133" s="774"/>
      <c r="DBO133" s="774"/>
      <c r="DBP133" s="774"/>
      <c r="DBQ133" s="774"/>
      <c r="DBR133" s="774"/>
      <c r="DBS133" s="774"/>
      <c r="DBT133" s="774"/>
      <c r="DBU133" s="774"/>
      <c r="DBV133" s="774"/>
      <c r="DBW133" s="774"/>
      <c r="DBX133" s="774"/>
      <c r="DBY133" s="774"/>
      <c r="DBZ133" s="774"/>
      <c r="DCA133" s="774"/>
      <c r="DCB133" s="774"/>
      <c r="DCC133" s="774"/>
      <c r="DCD133" s="774"/>
      <c r="DCE133" s="774"/>
      <c r="DCF133" s="774"/>
      <c r="DCG133" s="774"/>
      <c r="DCH133" s="774"/>
      <c r="DCI133" s="774"/>
      <c r="DCJ133" s="774"/>
      <c r="DCK133" s="774"/>
      <c r="DCL133" s="774"/>
      <c r="DCM133" s="774"/>
      <c r="DCN133" s="774"/>
      <c r="DCO133" s="774"/>
      <c r="DCP133" s="774"/>
      <c r="DCQ133" s="774"/>
      <c r="DCR133" s="774"/>
      <c r="DCS133" s="774"/>
      <c r="DCT133" s="774"/>
      <c r="DCU133" s="774"/>
      <c r="DCV133" s="774"/>
      <c r="DCW133" s="774"/>
      <c r="DCX133" s="774"/>
      <c r="DCY133" s="774"/>
      <c r="DCZ133" s="774"/>
      <c r="DDA133" s="774"/>
      <c r="DDB133" s="774"/>
      <c r="DDC133" s="774"/>
      <c r="DDD133" s="774"/>
      <c r="DDE133" s="774"/>
      <c r="DDF133" s="774"/>
      <c r="DDG133" s="774"/>
      <c r="DDH133" s="774"/>
      <c r="DDI133" s="774"/>
      <c r="DDJ133" s="774"/>
      <c r="DDK133" s="774"/>
      <c r="DDL133" s="774"/>
      <c r="DDM133" s="774"/>
      <c r="DDN133" s="774"/>
      <c r="DDO133" s="774"/>
      <c r="DDP133" s="774"/>
      <c r="DDQ133" s="774"/>
      <c r="DDR133" s="774"/>
      <c r="DDS133" s="774"/>
      <c r="DDT133" s="774"/>
      <c r="DDU133" s="774"/>
      <c r="DDV133" s="774"/>
      <c r="DDW133" s="774"/>
      <c r="DDX133" s="774"/>
      <c r="DDY133" s="774"/>
      <c r="DDZ133" s="774"/>
      <c r="DEA133" s="774"/>
      <c r="DEB133" s="774"/>
      <c r="DEC133" s="774"/>
      <c r="DED133" s="774"/>
      <c r="DEE133" s="774"/>
      <c r="DEF133" s="774"/>
      <c r="DEG133" s="774"/>
      <c r="DEH133" s="774"/>
      <c r="DEI133" s="774"/>
      <c r="DEJ133" s="774"/>
      <c r="DEK133" s="774"/>
      <c r="DEL133" s="774"/>
      <c r="DEM133" s="774"/>
      <c r="DEN133" s="774"/>
      <c r="DEO133" s="774"/>
      <c r="DEP133" s="774"/>
      <c r="DEQ133" s="774"/>
      <c r="DER133" s="774"/>
      <c r="DES133" s="774"/>
      <c r="DET133" s="774"/>
      <c r="DEU133" s="774"/>
      <c r="DEV133" s="774"/>
      <c r="DEW133" s="774"/>
      <c r="DEX133" s="774"/>
      <c r="DEY133" s="774"/>
      <c r="DEZ133" s="774"/>
      <c r="DFA133" s="774"/>
      <c r="DFB133" s="774"/>
      <c r="DFC133" s="774"/>
      <c r="DFD133" s="774"/>
      <c r="DFE133" s="774"/>
      <c r="DFF133" s="774"/>
      <c r="DFG133" s="774"/>
      <c r="DFH133" s="774"/>
      <c r="DFI133" s="774"/>
      <c r="DFJ133" s="774"/>
      <c r="DFK133" s="774"/>
      <c r="DFL133" s="774"/>
      <c r="DFM133" s="774"/>
      <c r="DFN133" s="774"/>
      <c r="DFO133" s="774"/>
      <c r="DFP133" s="774"/>
      <c r="DFQ133" s="774"/>
      <c r="DFR133" s="774"/>
      <c r="DFS133" s="774"/>
      <c r="DFT133" s="774"/>
      <c r="DFU133" s="774"/>
      <c r="DFV133" s="774"/>
      <c r="DFW133" s="774"/>
      <c r="DFX133" s="774"/>
      <c r="DFY133" s="774"/>
      <c r="DFZ133" s="774"/>
      <c r="DGA133" s="774"/>
      <c r="DGB133" s="774"/>
      <c r="DGC133" s="774"/>
      <c r="DGD133" s="774"/>
      <c r="DGE133" s="774"/>
      <c r="DGF133" s="774"/>
      <c r="DGG133" s="774"/>
      <c r="DGH133" s="774"/>
      <c r="DGI133" s="774"/>
      <c r="DGJ133" s="774"/>
      <c r="DGK133" s="774"/>
      <c r="DGL133" s="774"/>
      <c r="DGM133" s="774"/>
      <c r="DGN133" s="774"/>
      <c r="DGO133" s="774"/>
      <c r="DGP133" s="774"/>
      <c r="DGQ133" s="774"/>
      <c r="DGR133" s="774"/>
      <c r="DGS133" s="774"/>
      <c r="DGT133" s="774"/>
      <c r="DGU133" s="774"/>
      <c r="DGV133" s="774"/>
      <c r="DGW133" s="774"/>
      <c r="DGX133" s="774"/>
      <c r="DGY133" s="774"/>
      <c r="DGZ133" s="774"/>
      <c r="DHA133" s="774"/>
      <c r="DHB133" s="774"/>
      <c r="DHC133" s="774"/>
      <c r="DHD133" s="774"/>
      <c r="DHE133" s="774"/>
      <c r="DHF133" s="774"/>
      <c r="DHG133" s="774"/>
      <c r="DHH133" s="774"/>
      <c r="DHI133" s="774"/>
      <c r="DHJ133" s="774"/>
      <c r="DHK133" s="774"/>
      <c r="DHL133" s="774"/>
      <c r="DHM133" s="774"/>
      <c r="DHN133" s="774"/>
      <c r="DHO133" s="774"/>
      <c r="DHP133" s="774"/>
      <c r="DHQ133" s="774"/>
      <c r="DHR133" s="774"/>
      <c r="DHS133" s="774"/>
      <c r="DHT133" s="774"/>
      <c r="DHU133" s="774"/>
      <c r="DHV133" s="774"/>
      <c r="DHW133" s="774"/>
      <c r="DHX133" s="774"/>
      <c r="DHY133" s="774"/>
      <c r="DHZ133" s="774"/>
      <c r="DIA133" s="774"/>
      <c r="DIB133" s="774"/>
      <c r="DIC133" s="774"/>
      <c r="DID133" s="774"/>
      <c r="DIE133" s="774"/>
      <c r="DIF133" s="774"/>
      <c r="DIG133" s="774"/>
      <c r="DIH133" s="774"/>
      <c r="DII133" s="774"/>
      <c r="DIJ133" s="774"/>
      <c r="DIK133" s="774"/>
      <c r="DIL133" s="774"/>
      <c r="DIM133" s="774"/>
      <c r="DIN133" s="774"/>
      <c r="DIO133" s="774"/>
      <c r="DIP133" s="774"/>
      <c r="DIQ133" s="774"/>
      <c r="DIR133" s="774"/>
      <c r="DIS133" s="774"/>
      <c r="DIT133" s="774"/>
      <c r="DIU133" s="774"/>
      <c r="DIV133" s="774"/>
      <c r="DIW133" s="774"/>
      <c r="DIX133" s="774"/>
      <c r="DIY133" s="774"/>
      <c r="DIZ133" s="774"/>
      <c r="DJA133" s="774"/>
      <c r="DJB133" s="774"/>
      <c r="DJC133" s="774"/>
      <c r="DJD133" s="774"/>
      <c r="DJE133" s="774"/>
      <c r="DJF133" s="774"/>
      <c r="DJG133" s="774"/>
      <c r="DJH133" s="774"/>
      <c r="DJI133" s="774"/>
      <c r="DJJ133" s="774"/>
      <c r="DJK133" s="774"/>
      <c r="DJL133" s="774"/>
      <c r="DJM133" s="774"/>
      <c r="DJN133" s="774"/>
      <c r="DJO133" s="774"/>
      <c r="DJP133" s="774"/>
      <c r="DJQ133" s="774"/>
      <c r="DJR133" s="774"/>
      <c r="DJS133" s="774"/>
      <c r="DJT133" s="774"/>
      <c r="DJU133" s="774"/>
      <c r="DJV133" s="774"/>
      <c r="DJW133" s="774"/>
      <c r="DJX133" s="774"/>
      <c r="DJY133" s="774"/>
      <c r="DJZ133" s="774"/>
      <c r="DKA133" s="774"/>
      <c r="DKB133" s="774"/>
      <c r="DKC133" s="774"/>
      <c r="DKD133" s="774"/>
      <c r="DKE133" s="774"/>
      <c r="DKF133" s="774"/>
      <c r="DKG133" s="774"/>
      <c r="DKH133" s="774"/>
      <c r="DKI133" s="774"/>
      <c r="DKJ133" s="774"/>
      <c r="DKK133" s="774"/>
      <c r="DKL133" s="774"/>
      <c r="DKM133" s="774"/>
      <c r="DKN133" s="774"/>
      <c r="DKO133" s="774"/>
      <c r="DKP133" s="774"/>
      <c r="DKQ133" s="774"/>
      <c r="DKR133" s="774"/>
      <c r="DKS133" s="774"/>
      <c r="DKT133" s="774"/>
      <c r="DKU133" s="774"/>
      <c r="DKV133" s="774"/>
      <c r="DKW133" s="774"/>
      <c r="DKX133" s="774"/>
      <c r="DKY133" s="774"/>
      <c r="DKZ133" s="774"/>
      <c r="DLA133" s="774"/>
      <c r="DLB133" s="774"/>
      <c r="DLC133" s="774"/>
      <c r="DLD133" s="774"/>
      <c r="DLE133" s="774"/>
      <c r="DLF133" s="774"/>
      <c r="DLG133" s="774"/>
      <c r="DLH133" s="774"/>
      <c r="DLI133" s="774"/>
      <c r="DLJ133" s="774"/>
      <c r="DLK133" s="774"/>
      <c r="DLL133" s="774"/>
      <c r="DLM133" s="774"/>
      <c r="DLN133" s="774"/>
      <c r="DLO133" s="774"/>
      <c r="DLP133" s="774"/>
      <c r="DLQ133" s="774"/>
      <c r="DLR133" s="774"/>
      <c r="DLS133" s="774"/>
      <c r="DLT133" s="774"/>
      <c r="DLU133" s="774"/>
      <c r="DLV133" s="774"/>
      <c r="DLW133" s="774"/>
      <c r="DLX133" s="774"/>
      <c r="DLY133" s="774"/>
      <c r="DLZ133" s="774"/>
      <c r="DMA133" s="774"/>
      <c r="DMB133" s="774"/>
      <c r="DMC133" s="774"/>
      <c r="DMD133" s="774"/>
      <c r="DME133" s="774"/>
      <c r="DMF133" s="774"/>
      <c r="DMG133" s="774"/>
      <c r="DMH133" s="774"/>
      <c r="DMI133" s="774"/>
      <c r="DMJ133" s="774"/>
      <c r="DMK133" s="774"/>
      <c r="DML133" s="774"/>
      <c r="DMM133" s="774"/>
      <c r="DMN133" s="774"/>
      <c r="DMO133" s="774"/>
      <c r="DMP133" s="774"/>
      <c r="DMQ133" s="774"/>
      <c r="DMR133" s="774"/>
      <c r="DMS133" s="774"/>
      <c r="DMT133" s="774"/>
      <c r="DMU133" s="774"/>
      <c r="DMV133" s="774"/>
      <c r="DMW133" s="774"/>
      <c r="DMX133" s="774"/>
      <c r="DMY133" s="774"/>
      <c r="DMZ133" s="774"/>
      <c r="DNA133" s="774"/>
      <c r="DNB133" s="774"/>
      <c r="DNC133" s="774"/>
      <c r="DND133" s="774"/>
      <c r="DNE133" s="774"/>
      <c r="DNF133" s="774"/>
      <c r="DNG133" s="774"/>
      <c r="DNH133" s="774"/>
      <c r="DNI133" s="774"/>
      <c r="DNJ133" s="774"/>
      <c r="DNK133" s="774"/>
      <c r="DNL133" s="774"/>
      <c r="DNM133" s="774"/>
      <c r="DNN133" s="774"/>
      <c r="DNO133" s="774"/>
      <c r="DNP133" s="774"/>
      <c r="DNQ133" s="774"/>
      <c r="DNR133" s="774"/>
      <c r="DNS133" s="774"/>
      <c r="DNT133" s="774"/>
      <c r="DNU133" s="774"/>
      <c r="DNV133" s="774"/>
      <c r="DNW133" s="774"/>
      <c r="DNX133" s="774"/>
      <c r="DNY133" s="774"/>
      <c r="DNZ133" s="774"/>
      <c r="DOA133" s="774"/>
      <c r="DOB133" s="774"/>
      <c r="DOC133" s="774"/>
      <c r="DOD133" s="774"/>
      <c r="DOE133" s="774"/>
      <c r="DOF133" s="774"/>
      <c r="DOG133" s="774"/>
      <c r="DOH133" s="774"/>
      <c r="DOI133" s="774"/>
      <c r="DOJ133" s="774"/>
      <c r="DOK133" s="774"/>
      <c r="DOL133" s="774"/>
      <c r="DOM133" s="774"/>
      <c r="DON133" s="774"/>
      <c r="DOO133" s="774"/>
      <c r="DOP133" s="774"/>
      <c r="DOQ133" s="774"/>
      <c r="DOR133" s="774"/>
      <c r="DOS133" s="774"/>
      <c r="DOT133" s="774"/>
      <c r="DOU133" s="774"/>
      <c r="DOV133" s="774"/>
      <c r="DOW133" s="774"/>
      <c r="DOX133" s="774"/>
      <c r="DOY133" s="774"/>
      <c r="DOZ133" s="774"/>
      <c r="DPA133" s="774"/>
      <c r="DPB133" s="774"/>
      <c r="DPC133" s="774"/>
      <c r="DPD133" s="774"/>
      <c r="DPE133" s="774"/>
      <c r="DPF133" s="774"/>
      <c r="DPG133" s="774"/>
      <c r="DPH133" s="774"/>
      <c r="DPI133" s="774"/>
      <c r="DPJ133" s="774"/>
      <c r="DPK133" s="774"/>
      <c r="DPL133" s="774"/>
      <c r="DPM133" s="774"/>
      <c r="DPN133" s="774"/>
      <c r="DPO133" s="774"/>
      <c r="DPP133" s="774"/>
      <c r="DPQ133" s="774"/>
      <c r="DPR133" s="774"/>
      <c r="DPS133" s="774"/>
      <c r="DPT133" s="774"/>
      <c r="DPU133" s="774"/>
      <c r="DPV133" s="774"/>
      <c r="DPW133" s="774"/>
      <c r="DPX133" s="774"/>
      <c r="DPY133" s="774"/>
      <c r="DPZ133" s="774"/>
      <c r="DQA133" s="774"/>
      <c r="DQB133" s="774"/>
      <c r="DQC133" s="774"/>
      <c r="DQD133" s="774"/>
      <c r="DQE133" s="774"/>
      <c r="DQF133" s="774"/>
      <c r="DQG133" s="774"/>
      <c r="DQH133" s="774"/>
      <c r="DQI133" s="774"/>
      <c r="DQJ133" s="774"/>
      <c r="DQK133" s="774"/>
      <c r="DQL133" s="774"/>
      <c r="DQM133" s="774"/>
      <c r="DQN133" s="774"/>
      <c r="DQO133" s="774"/>
      <c r="DQP133" s="774"/>
      <c r="DQQ133" s="774"/>
      <c r="DQR133" s="774"/>
      <c r="DQS133" s="774"/>
      <c r="DQT133" s="774"/>
      <c r="DQU133" s="774"/>
      <c r="DQV133" s="774"/>
      <c r="DQW133" s="774"/>
      <c r="DQX133" s="774"/>
      <c r="DQY133" s="774"/>
      <c r="DQZ133" s="774"/>
      <c r="DRA133" s="774"/>
      <c r="DRB133" s="774"/>
      <c r="DRC133" s="774"/>
      <c r="DRD133" s="774"/>
      <c r="DRE133" s="774"/>
      <c r="DRF133" s="774"/>
      <c r="DRG133" s="774"/>
      <c r="DRH133" s="774"/>
      <c r="DRI133" s="774"/>
      <c r="DRJ133" s="774"/>
      <c r="DRK133" s="774"/>
      <c r="DRL133" s="774"/>
      <c r="DRM133" s="774"/>
      <c r="DRN133" s="774"/>
      <c r="DRO133" s="774"/>
      <c r="DRP133" s="774"/>
      <c r="DRQ133" s="774"/>
      <c r="DRR133" s="774"/>
      <c r="DRS133" s="774"/>
      <c r="DRT133" s="774"/>
      <c r="DRU133" s="774"/>
      <c r="DRV133" s="774"/>
      <c r="DRW133" s="774"/>
      <c r="DRX133" s="774"/>
      <c r="DRY133" s="774"/>
      <c r="DRZ133" s="774"/>
      <c r="DSA133" s="774"/>
      <c r="DSB133" s="774"/>
      <c r="DSC133" s="774"/>
      <c r="DSD133" s="774"/>
      <c r="DSE133" s="774"/>
      <c r="DSF133" s="774"/>
      <c r="DSG133" s="774"/>
      <c r="DSH133" s="774"/>
      <c r="DSI133" s="774"/>
      <c r="DSJ133" s="774"/>
      <c r="DSK133" s="774"/>
      <c r="DSL133" s="774"/>
      <c r="DSM133" s="774"/>
      <c r="DSN133" s="774"/>
      <c r="DSO133" s="774"/>
      <c r="DSP133" s="774"/>
      <c r="DSQ133" s="774"/>
      <c r="DSR133" s="774"/>
      <c r="DSS133" s="774"/>
      <c r="DST133" s="774"/>
      <c r="DSU133" s="774"/>
      <c r="DSV133" s="774"/>
      <c r="DSW133" s="774"/>
      <c r="DSX133" s="774"/>
      <c r="DSY133" s="774"/>
      <c r="DSZ133" s="774"/>
      <c r="DTA133" s="774"/>
      <c r="DTB133" s="774"/>
      <c r="DTC133" s="774"/>
      <c r="DTD133" s="774"/>
      <c r="DTE133" s="774"/>
      <c r="DTF133" s="774"/>
      <c r="DTG133" s="774"/>
      <c r="DTH133" s="774"/>
      <c r="DTI133" s="774"/>
      <c r="DTJ133" s="774"/>
      <c r="DTK133" s="774"/>
      <c r="DTL133" s="774"/>
      <c r="DTM133" s="774"/>
      <c r="DTN133" s="774"/>
      <c r="DTO133" s="774"/>
      <c r="DTP133" s="774"/>
      <c r="DTQ133" s="774"/>
      <c r="DTR133" s="774"/>
      <c r="DTS133" s="774"/>
      <c r="DTT133" s="774"/>
      <c r="DTU133" s="774"/>
      <c r="DTV133" s="774"/>
      <c r="DTW133" s="774"/>
      <c r="DTX133" s="774"/>
      <c r="DTY133" s="774"/>
      <c r="DTZ133" s="774"/>
      <c r="DUA133" s="774"/>
      <c r="DUB133" s="774"/>
      <c r="DUC133" s="774"/>
      <c r="DUD133" s="774"/>
      <c r="DUE133" s="774"/>
      <c r="DUF133" s="774"/>
      <c r="DUG133" s="774"/>
      <c r="DUH133" s="774"/>
      <c r="DUI133" s="774"/>
      <c r="DUJ133" s="774"/>
      <c r="DUK133" s="774"/>
      <c r="DUL133" s="774"/>
      <c r="DUM133" s="774"/>
      <c r="DUN133" s="774"/>
      <c r="DUO133" s="774"/>
      <c r="DUP133" s="774"/>
      <c r="DUQ133" s="774"/>
      <c r="DUR133" s="774"/>
      <c r="DUS133" s="774"/>
      <c r="DUT133" s="774"/>
      <c r="DUU133" s="774"/>
      <c r="DUV133" s="774"/>
      <c r="DUW133" s="774"/>
      <c r="DUX133" s="774"/>
      <c r="DUY133" s="774"/>
      <c r="DUZ133" s="774"/>
      <c r="DVA133" s="774"/>
      <c r="DVB133" s="774"/>
      <c r="DVC133" s="774"/>
      <c r="DVD133" s="774"/>
      <c r="DVE133" s="774"/>
      <c r="DVF133" s="774"/>
      <c r="DVG133" s="774"/>
      <c r="DVH133" s="774"/>
      <c r="DVI133" s="774"/>
      <c r="DVJ133" s="774"/>
      <c r="DVK133" s="774"/>
      <c r="DVL133" s="774"/>
      <c r="DVM133" s="774"/>
      <c r="DVN133" s="774"/>
      <c r="DVO133" s="774"/>
      <c r="DVP133" s="774"/>
      <c r="DVQ133" s="774"/>
      <c r="DVR133" s="774"/>
      <c r="DVS133" s="774"/>
      <c r="DVT133" s="774"/>
      <c r="DVU133" s="774"/>
      <c r="DVV133" s="774"/>
      <c r="DVW133" s="774"/>
      <c r="DVX133" s="774"/>
      <c r="DVY133" s="774"/>
      <c r="DVZ133" s="774"/>
      <c r="DWA133" s="774"/>
      <c r="DWB133" s="774"/>
      <c r="DWC133" s="774"/>
      <c r="DWD133" s="774"/>
      <c r="DWE133" s="774"/>
      <c r="DWF133" s="774"/>
      <c r="DWG133" s="774"/>
      <c r="DWH133" s="774"/>
      <c r="DWI133" s="774"/>
      <c r="DWJ133" s="774"/>
      <c r="DWK133" s="774"/>
      <c r="DWL133" s="774"/>
      <c r="DWM133" s="774"/>
      <c r="DWN133" s="774"/>
      <c r="DWO133" s="774"/>
      <c r="DWP133" s="774"/>
      <c r="DWQ133" s="774"/>
      <c r="DWR133" s="774"/>
      <c r="DWS133" s="774"/>
      <c r="DWT133" s="774"/>
      <c r="DWU133" s="774"/>
      <c r="DWV133" s="774"/>
      <c r="DWW133" s="774"/>
      <c r="DWX133" s="774"/>
      <c r="DWY133" s="774"/>
      <c r="DWZ133" s="774"/>
      <c r="DXA133" s="774"/>
      <c r="DXB133" s="774"/>
      <c r="DXC133" s="774"/>
      <c r="DXD133" s="774"/>
      <c r="DXE133" s="774"/>
      <c r="DXF133" s="774"/>
      <c r="DXG133" s="774"/>
      <c r="DXH133" s="774"/>
      <c r="DXI133" s="774"/>
      <c r="DXJ133" s="774"/>
      <c r="DXK133" s="774"/>
      <c r="DXL133" s="774"/>
      <c r="DXM133" s="774"/>
      <c r="DXN133" s="774"/>
      <c r="DXO133" s="774"/>
      <c r="DXP133" s="774"/>
      <c r="DXQ133" s="774"/>
      <c r="DXR133" s="774"/>
      <c r="DXS133" s="774"/>
      <c r="DXT133" s="774"/>
      <c r="DXU133" s="774"/>
      <c r="DXV133" s="774"/>
      <c r="DXW133" s="774"/>
      <c r="DXX133" s="774"/>
      <c r="DXY133" s="774"/>
      <c r="DXZ133" s="774"/>
      <c r="DYA133" s="774"/>
      <c r="DYB133" s="774"/>
      <c r="DYC133" s="774"/>
      <c r="DYD133" s="774"/>
      <c r="DYE133" s="774"/>
      <c r="DYF133" s="774"/>
      <c r="DYG133" s="774"/>
      <c r="DYH133" s="774"/>
      <c r="DYI133" s="774"/>
      <c r="DYJ133" s="774"/>
      <c r="DYK133" s="774"/>
      <c r="DYL133" s="774"/>
      <c r="DYM133" s="774"/>
      <c r="DYN133" s="774"/>
      <c r="DYO133" s="774"/>
      <c r="DYP133" s="774"/>
      <c r="DYQ133" s="774"/>
      <c r="DYR133" s="774"/>
      <c r="DYS133" s="774"/>
      <c r="DYT133" s="774"/>
      <c r="DYU133" s="774"/>
      <c r="DYV133" s="774"/>
      <c r="DYW133" s="774"/>
      <c r="DYX133" s="774"/>
      <c r="DYY133" s="774"/>
      <c r="DYZ133" s="774"/>
      <c r="DZA133" s="774"/>
      <c r="DZB133" s="774"/>
      <c r="DZC133" s="774"/>
      <c r="DZD133" s="774"/>
      <c r="DZE133" s="774"/>
      <c r="DZF133" s="774"/>
      <c r="DZG133" s="774"/>
      <c r="DZH133" s="774"/>
      <c r="DZI133" s="774"/>
      <c r="DZJ133" s="774"/>
      <c r="DZK133" s="774"/>
      <c r="DZL133" s="774"/>
      <c r="DZM133" s="774"/>
      <c r="DZN133" s="774"/>
      <c r="DZO133" s="774"/>
      <c r="DZP133" s="774"/>
      <c r="DZQ133" s="774"/>
      <c r="DZR133" s="774"/>
      <c r="DZS133" s="774"/>
      <c r="DZT133" s="774"/>
      <c r="DZU133" s="774"/>
      <c r="DZV133" s="774"/>
      <c r="DZW133" s="774"/>
      <c r="DZX133" s="774"/>
      <c r="DZY133" s="774"/>
      <c r="DZZ133" s="774"/>
      <c r="EAA133" s="774"/>
      <c r="EAB133" s="774"/>
      <c r="EAC133" s="774"/>
      <c r="EAD133" s="774"/>
      <c r="EAE133" s="774"/>
      <c r="EAF133" s="774"/>
      <c r="EAG133" s="774"/>
      <c r="EAH133" s="774"/>
      <c r="EAI133" s="774"/>
      <c r="EAJ133" s="774"/>
      <c r="EAK133" s="774"/>
      <c r="EAL133" s="774"/>
      <c r="EAM133" s="774"/>
      <c r="EAN133" s="774"/>
      <c r="EAO133" s="774"/>
      <c r="EAP133" s="774"/>
      <c r="EAQ133" s="774"/>
      <c r="EAR133" s="774"/>
      <c r="EAS133" s="774"/>
      <c r="EAT133" s="774"/>
      <c r="EAU133" s="774"/>
      <c r="EAV133" s="774"/>
      <c r="EAW133" s="774"/>
      <c r="EAX133" s="774"/>
      <c r="EAY133" s="774"/>
      <c r="EAZ133" s="774"/>
      <c r="EBA133" s="774"/>
      <c r="EBB133" s="774"/>
      <c r="EBC133" s="774"/>
      <c r="EBD133" s="774"/>
      <c r="EBE133" s="774"/>
      <c r="EBF133" s="774"/>
      <c r="EBG133" s="774"/>
      <c r="EBH133" s="774"/>
      <c r="EBI133" s="774"/>
      <c r="EBJ133" s="774"/>
      <c r="EBK133" s="774"/>
      <c r="EBL133" s="774"/>
      <c r="EBM133" s="774"/>
      <c r="EBN133" s="774"/>
      <c r="EBO133" s="774"/>
      <c r="EBP133" s="774"/>
      <c r="EBQ133" s="774"/>
      <c r="EBR133" s="774"/>
      <c r="EBS133" s="774"/>
      <c r="EBT133" s="774"/>
      <c r="EBU133" s="774"/>
      <c r="EBV133" s="774"/>
      <c r="EBW133" s="774"/>
      <c r="EBX133" s="774"/>
      <c r="EBY133" s="774"/>
      <c r="EBZ133" s="774"/>
      <c r="ECA133" s="774"/>
      <c r="ECB133" s="774"/>
      <c r="ECC133" s="774"/>
      <c r="ECD133" s="774"/>
      <c r="ECE133" s="774"/>
      <c r="ECF133" s="774"/>
      <c r="ECG133" s="774"/>
      <c r="ECH133" s="774"/>
      <c r="ECI133" s="774"/>
      <c r="ECJ133" s="774"/>
      <c r="ECK133" s="774"/>
      <c r="ECL133" s="774"/>
      <c r="ECM133" s="774"/>
      <c r="ECN133" s="774"/>
      <c r="ECO133" s="774"/>
      <c r="ECP133" s="774"/>
      <c r="ECQ133" s="774"/>
      <c r="ECR133" s="774"/>
      <c r="ECS133" s="774"/>
      <c r="ECT133" s="774"/>
      <c r="ECU133" s="774"/>
      <c r="ECV133" s="774"/>
      <c r="ECW133" s="774"/>
      <c r="ECX133" s="774"/>
      <c r="ECY133" s="774"/>
      <c r="ECZ133" s="774"/>
      <c r="EDA133" s="774"/>
      <c r="EDB133" s="774"/>
      <c r="EDC133" s="774"/>
      <c r="EDD133" s="774"/>
      <c r="EDE133" s="774"/>
      <c r="EDF133" s="774"/>
      <c r="EDG133" s="774"/>
      <c r="EDH133" s="774"/>
      <c r="EDI133" s="774"/>
      <c r="EDJ133" s="774"/>
      <c r="EDK133" s="774"/>
      <c r="EDL133" s="774"/>
      <c r="EDM133" s="774"/>
      <c r="EDN133" s="774"/>
      <c r="EDO133" s="774"/>
      <c r="EDP133" s="774"/>
      <c r="EDQ133" s="774"/>
      <c r="EDR133" s="774"/>
      <c r="EDS133" s="774"/>
      <c r="EDT133" s="774"/>
      <c r="EDU133" s="774"/>
      <c r="EDV133" s="774"/>
      <c r="EDW133" s="774"/>
      <c r="EDX133" s="774"/>
      <c r="EDY133" s="774"/>
      <c r="EDZ133" s="774"/>
      <c r="EEA133" s="774"/>
      <c r="EEB133" s="774"/>
      <c r="EEC133" s="774"/>
      <c r="EED133" s="774"/>
      <c r="EEE133" s="774"/>
      <c r="EEF133" s="774"/>
      <c r="EEG133" s="774"/>
      <c r="EEH133" s="774"/>
      <c r="EEI133" s="774"/>
      <c r="EEJ133" s="774"/>
      <c r="EEK133" s="774"/>
      <c r="EEL133" s="774"/>
      <c r="EEM133" s="774"/>
      <c r="EEN133" s="774"/>
      <c r="EEO133" s="774"/>
      <c r="EEP133" s="774"/>
      <c r="EEQ133" s="774"/>
      <c r="EER133" s="774"/>
      <c r="EES133" s="774"/>
      <c r="EET133" s="774"/>
      <c r="EEU133" s="774"/>
      <c r="EEV133" s="774"/>
      <c r="EEW133" s="774"/>
      <c r="EEX133" s="774"/>
      <c r="EEY133" s="774"/>
      <c r="EEZ133" s="774"/>
      <c r="EFA133" s="774"/>
      <c r="EFB133" s="774"/>
      <c r="EFC133" s="774"/>
      <c r="EFD133" s="774"/>
      <c r="EFE133" s="774"/>
      <c r="EFF133" s="774"/>
      <c r="EFG133" s="774"/>
      <c r="EFH133" s="774"/>
      <c r="EFI133" s="774"/>
      <c r="EFJ133" s="774"/>
      <c r="EFK133" s="774"/>
      <c r="EFL133" s="774"/>
      <c r="EFM133" s="774"/>
      <c r="EFN133" s="774"/>
      <c r="EFO133" s="774"/>
      <c r="EFP133" s="774"/>
      <c r="EFQ133" s="774"/>
      <c r="EFR133" s="774"/>
      <c r="EFS133" s="774"/>
      <c r="EFT133" s="774"/>
      <c r="EFU133" s="774"/>
      <c r="EFV133" s="774"/>
      <c r="EFW133" s="774"/>
      <c r="EFX133" s="774"/>
      <c r="EFY133" s="774"/>
      <c r="EFZ133" s="774"/>
      <c r="EGA133" s="774"/>
      <c r="EGB133" s="774"/>
      <c r="EGC133" s="774"/>
      <c r="EGD133" s="774"/>
      <c r="EGE133" s="774"/>
      <c r="EGF133" s="774"/>
      <c r="EGG133" s="774"/>
      <c r="EGH133" s="774"/>
      <c r="EGI133" s="774"/>
      <c r="EGJ133" s="774"/>
      <c r="EGK133" s="774"/>
      <c r="EGL133" s="774"/>
      <c r="EGM133" s="774"/>
      <c r="EGN133" s="774"/>
      <c r="EGO133" s="774"/>
      <c r="EGP133" s="774"/>
      <c r="EGQ133" s="774"/>
      <c r="EGR133" s="774"/>
      <c r="EGS133" s="774"/>
      <c r="EGT133" s="774"/>
      <c r="EGU133" s="774"/>
      <c r="EGV133" s="774"/>
      <c r="EGW133" s="774"/>
      <c r="EGX133" s="774"/>
      <c r="EGY133" s="774"/>
      <c r="EGZ133" s="774"/>
      <c r="EHA133" s="774"/>
      <c r="EHB133" s="774"/>
      <c r="EHC133" s="774"/>
      <c r="EHD133" s="774"/>
      <c r="EHE133" s="774"/>
      <c r="EHF133" s="774"/>
      <c r="EHG133" s="774"/>
      <c r="EHH133" s="774"/>
      <c r="EHI133" s="774"/>
      <c r="EHJ133" s="774"/>
      <c r="EHK133" s="774"/>
      <c r="EHL133" s="774"/>
      <c r="EHM133" s="774"/>
      <c r="EHN133" s="774"/>
      <c r="EHO133" s="774"/>
      <c r="EHP133" s="774"/>
      <c r="EHQ133" s="774"/>
      <c r="EHR133" s="774"/>
      <c r="EHS133" s="774"/>
      <c r="EHT133" s="774"/>
      <c r="EHU133" s="774"/>
      <c r="EHV133" s="774"/>
      <c r="EHW133" s="774"/>
      <c r="EHX133" s="774"/>
      <c r="EHY133" s="774"/>
      <c r="EHZ133" s="774"/>
      <c r="EIA133" s="774"/>
      <c r="EIB133" s="774"/>
      <c r="EIC133" s="774"/>
      <c r="EID133" s="774"/>
      <c r="EIE133" s="774"/>
      <c r="EIF133" s="774"/>
      <c r="EIG133" s="774"/>
      <c r="EIH133" s="774"/>
      <c r="EII133" s="774"/>
      <c r="EIJ133" s="774"/>
      <c r="EIK133" s="774"/>
      <c r="EIL133" s="774"/>
      <c r="EIM133" s="774"/>
      <c r="EIN133" s="774"/>
      <c r="EIO133" s="774"/>
      <c r="EIP133" s="774"/>
      <c r="EIQ133" s="774"/>
      <c r="EIR133" s="774"/>
      <c r="EIS133" s="774"/>
      <c r="EIT133" s="774"/>
      <c r="EIU133" s="774"/>
      <c r="EIV133" s="774"/>
      <c r="EIW133" s="774"/>
      <c r="EIX133" s="774"/>
      <c r="EIY133" s="774"/>
      <c r="EIZ133" s="774"/>
      <c r="EJA133" s="774"/>
      <c r="EJB133" s="774"/>
      <c r="EJC133" s="774"/>
      <c r="EJD133" s="774"/>
      <c r="EJE133" s="774"/>
      <c r="EJF133" s="774"/>
      <c r="EJG133" s="774"/>
      <c r="EJH133" s="774"/>
      <c r="EJI133" s="774"/>
      <c r="EJJ133" s="774"/>
      <c r="EJK133" s="774"/>
      <c r="EJL133" s="774"/>
      <c r="EJM133" s="774"/>
      <c r="EJN133" s="774"/>
      <c r="EJO133" s="774"/>
      <c r="EJP133" s="774"/>
      <c r="EJQ133" s="774"/>
      <c r="EJR133" s="774"/>
      <c r="EJS133" s="774"/>
      <c r="EJT133" s="774"/>
      <c r="EJU133" s="774"/>
      <c r="EJV133" s="774"/>
      <c r="EJW133" s="774"/>
      <c r="EJX133" s="774"/>
      <c r="EJY133" s="774"/>
      <c r="EJZ133" s="774"/>
      <c r="EKA133" s="774"/>
      <c r="EKB133" s="774"/>
      <c r="EKC133" s="774"/>
      <c r="EKD133" s="774"/>
      <c r="EKE133" s="774"/>
      <c r="EKF133" s="774"/>
      <c r="EKG133" s="774"/>
      <c r="EKH133" s="774"/>
      <c r="EKI133" s="774"/>
      <c r="EKJ133" s="774"/>
      <c r="EKK133" s="774"/>
      <c r="EKL133" s="774"/>
      <c r="EKM133" s="774"/>
      <c r="EKN133" s="774"/>
      <c r="EKO133" s="774"/>
      <c r="EKP133" s="774"/>
      <c r="EKQ133" s="774"/>
      <c r="EKR133" s="774"/>
      <c r="EKS133" s="774"/>
      <c r="EKT133" s="774"/>
      <c r="EKU133" s="774"/>
      <c r="EKV133" s="774"/>
      <c r="EKW133" s="774"/>
      <c r="EKX133" s="774"/>
      <c r="EKY133" s="774"/>
      <c r="EKZ133" s="774"/>
      <c r="ELA133" s="774"/>
      <c r="ELB133" s="774"/>
      <c r="ELC133" s="774"/>
      <c r="ELD133" s="774"/>
      <c r="ELE133" s="774"/>
      <c r="ELF133" s="774"/>
      <c r="ELG133" s="774"/>
      <c r="ELH133" s="774"/>
      <c r="ELI133" s="774"/>
      <c r="ELJ133" s="774"/>
      <c r="ELK133" s="774"/>
      <c r="ELL133" s="774"/>
      <c r="ELM133" s="774"/>
      <c r="ELN133" s="774"/>
      <c r="ELO133" s="774"/>
      <c r="ELP133" s="774"/>
      <c r="ELQ133" s="774"/>
      <c r="ELR133" s="774"/>
      <c r="ELS133" s="774"/>
      <c r="ELT133" s="774"/>
      <c r="ELU133" s="774"/>
      <c r="ELV133" s="774"/>
      <c r="ELW133" s="774"/>
      <c r="ELX133" s="774"/>
      <c r="ELY133" s="774"/>
      <c r="ELZ133" s="774"/>
      <c r="EMA133" s="774"/>
      <c r="EMB133" s="774"/>
      <c r="EMC133" s="774"/>
      <c r="EMD133" s="774"/>
      <c r="EME133" s="774"/>
      <c r="EMF133" s="774"/>
      <c r="EMG133" s="774"/>
      <c r="EMH133" s="774"/>
      <c r="EMI133" s="774"/>
      <c r="EMJ133" s="774"/>
      <c r="EMK133" s="774"/>
      <c r="EML133" s="774"/>
      <c r="EMM133" s="774"/>
      <c r="EMN133" s="774"/>
      <c r="EMO133" s="774"/>
      <c r="EMP133" s="774"/>
      <c r="EMQ133" s="774"/>
      <c r="EMR133" s="774"/>
      <c r="EMS133" s="774"/>
      <c r="EMT133" s="774"/>
      <c r="EMU133" s="774"/>
      <c r="EMV133" s="774"/>
      <c r="EMW133" s="774"/>
      <c r="EMX133" s="774"/>
      <c r="EMY133" s="774"/>
      <c r="EMZ133" s="774"/>
      <c r="ENA133" s="774"/>
      <c r="ENB133" s="774"/>
      <c r="ENC133" s="774"/>
      <c r="END133" s="774"/>
      <c r="ENE133" s="774"/>
      <c r="ENF133" s="774"/>
      <c r="ENG133" s="774"/>
      <c r="ENH133" s="774"/>
      <c r="ENI133" s="774"/>
      <c r="ENJ133" s="774"/>
      <c r="ENK133" s="774"/>
      <c r="ENL133" s="774"/>
      <c r="ENM133" s="774"/>
      <c r="ENN133" s="774"/>
      <c r="ENO133" s="774"/>
      <c r="ENP133" s="774"/>
      <c r="ENQ133" s="774"/>
      <c r="ENR133" s="774"/>
      <c r="ENS133" s="774"/>
      <c r="ENT133" s="774"/>
      <c r="ENU133" s="774"/>
      <c r="ENV133" s="774"/>
      <c r="ENW133" s="774"/>
      <c r="ENX133" s="774"/>
      <c r="ENY133" s="774"/>
      <c r="ENZ133" s="774"/>
      <c r="EOA133" s="774"/>
      <c r="EOB133" s="774"/>
      <c r="EOC133" s="774"/>
      <c r="EOD133" s="774"/>
      <c r="EOE133" s="774"/>
      <c r="EOF133" s="774"/>
      <c r="EOG133" s="774"/>
      <c r="EOH133" s="774"/>
      <c r="EOI133" s="774"/>
      <c r="EOJ133" s="774"/>
      <c r="EOK133" s="774"/>
      <c r="EOL133" s="774"/>
      <c r="EOM133" s="774"/>
      <c r="EON133" s="774"/>
      <c r="EOO133" s="774"/>
      <c r="EOP133" s="774"/>
      <c r="EOQ133" s="774"/>
      <c r="EOR133" s="774"/>
      <c r="EOS133" s="774"/>
      <c r="EOT133" s="774"/>
      <c r="EOU133" s="774"/>
      <c r="EOV133" s="774"/>
      <c r="EOW133" s="774"/>
      <c r="EOX133" s="774"/>
      <c r="EOY133" s="774"/>
      <c r="EOZ133" s="774"/>
      <c r="EPA133" s="774"/>
      <c r="EPB133" s="774"/>
      <c r="EPC133" s="774"/>
      <c r="EPD133" s="774"/>
      <c r="EPE133" s="774"/>
      <c r="EPF133" s="774"/>
      <c r="EPG133" s="774"/>
      <c r="EPH133" s="774"/>
      <c r="EPI133" s="774"/>
      <c r="EPJ133" s="774"/>
      <c r="EPK133" s="774"/>
      <c r="EPL133" s="774"/>
      <c r="EPM133" s="774"/>
      <c r="EPN133" s="774"/>
      <c r="EPO133" s="774"/>
      <c r="EPP133" s="774"/>
      <c r="EPQ133" s="774"/>
      <c r="EPR133" s="774"/>
      <c r="EPS133" s="774"/>
      <c r="EPT133" s="774"/>
      <c r="EPU133" s="774"/>
      <c r="EPV133" s="774"/>
      <c r="EPW133" s="774"/>
      <c r="EPX133" s="774"/>
      <c r="EPY133" s="774"/>
      <c r="EPZ133" s="774"/>
      <c r="EQA133" s="774"/>
      <c r="EQB133" s="774"/>
      <c r="EQC133" s="774"/>
      <c r="EQD133" s="774"/>
      <c r="EQE133" s="774"/>
      <c r="EQF133" s="774"/>
      <c r="EQG133" s="774"/>
      <c r="EQH133" s="774"/>
      <c r="EQI133" s="774"/>
      <c r="EQJ133" s="774"/>
      <c r="EQK133" s="774"/>
      <c r="EQL133" s="774"/>
      <c r="EQM133" s="774"/>
      <c r="EQN133" s="774"/>
      <c r="EQO133" s="774"/>
      <c r="EQP133" s="774"/>
      <c r="EQQ133" s="774"/>
      <c r="EQR133" s="774"/>
      <c r="EQS133" s="774"/>
      <c r="EQT133" s="774"/>
      <c r="EQU133" s="774"/>
      <c r="EQV133" s="774"/>
      <c r="EQW133" s="774"/>
      <c r="EQX133" s="774"/>
      <c r="EQY133" s="774"/>
      <c r="EQZ133" s="774"/>
      <c r="ERA133" s="774"/>
      <c r="ERB133" s="774"/>
      <c r="ERC133" s="774"/>
      <c r="ERD133" s="774"/>
      <c r="ERE133" s="774"/>
      <c r="ERF133" s="774"/>
      <c r="ERG133" s="774"/>
      <c r="ERH133" s="774"/>
      <c r="ERI133" s="774"/>
      <c r="ERJ133" s="774"/>
      <c r="ERK133" s="774"/>
      <c r="ERL133" s="774"/>
      <c r="ERM133" s="774"/>
      <c r="ERN133" s="774"/>
      <c r="ERO133" s="774"/>
      <c r="ERP133" s="774"/>
      <c r="ERQ133" s="774"/>
      <c r="ERR133" s="774"/>
      <c r="ERS133" s="774"/>
      <c r="ERT133" s="774"/>
      <c r="ERU133" s="774"/>
      <c r="ERV133" s="774"/>
      <c r="ERW133" s="774"/>
      <c r="ERX133" s="774"/>
      <c r="ERY133" s="774"/>
      <c r="ERZ133" s="774"/>
      <c r="ESA133" s="774"/>
      <c r="ESB133" s="774"/>
      <c r="ESC133" s="774"/>
      <c r="ESD133" s="774"/>
      <c r="ESE133" s="774"/>
      <c r="ESF133" s="774"/>
      <c r="ESG133" s="774"/>
      <c r="ESH133" s="774"/>
      <c r="ESI133" s="774"/>
      <c r="ESJ133" s="774"/>
      <c r="ESK133" s="774"/>
      <c r="ESL133" s="774"/>
      <c r="ESM133" s="774"/>
      <c r="ESN133" s="774"/>
      <c r="ESO133" s="774"/>
      <c r="ESP133" s="774"/>
      <c r="ESQ133" s="774"/>
      <c r="ESR133" s="774"/>
      <c r="ESS133" s="774"/>
      <c r="EST133" s="774"/>
      <c r="ESU133" s="774"/>
      <c r="ESV133" s="774"/>
      <c r="ESW133" s="774"/>
      <c r="ESX133" s="774"/>
      <c r="ESY133" s="774"/>
      <c r="ESZ133" s="774"/>
      <c r="ETA133" s="774"/>
      <c r="ETB133" s="774"/>
      <c r="ETC133" s="774"/>
      <c r="ETD133" s="774"/>
      <c r="ETE133" s="774"/>
      <c r="ETF133" s="774"/>
      <c r="ETG133" s="774"/>
      <c r="ETH133" s="774"/>
      <c r="ETI133" s="774"/>
      <c r="ETJ133" s="774"/>
      <c r="ETK133" s="774"/>
      <c r="ETL133" s="774"/>
      <c r="ETM133" s="774"/>
      <c r="ETN133" s="774"/>
      <c r="ETO133" s="774"/>
      <c r="ETP133" s="774"/>
      <c r="ETQ133" s="774"/>
      <c r="ETR133" s="774"/>
      <c r="ETS133" s="774"/>
      <c r="ETT133" s="774"/>
      <c r="ETU133" s="774"/>
      <c r="ETV133" s="774"/>
      <c r="ETW133" s="774"/>
      <c r="ETX133" s="774"/>
      <c r="ETY133" s="774"/>
      <c r="ETZ133" s="774"/>
      <c r="EUA133" s="774"/>
      <c r="EUB133" s="774"/>
      <c r="EUC133" s="774"/>
      <c r="EUD133" s="774"/>
      <c r="EUE133" s="774"/>
      <c r="EUF133" s="774"/>
      <c r="EUG133" s="774"/>
      <c r="EUH133" s="774"/>
      <c r="EUI133" s="774"/>
      <c r="EUJ133" s="774"/>
      <c r="EUK133" s="774"/>
      <c r="EUL133" s="774"/>
      <c r="EUM133" s="774"/>
      <c r="EUN133" s="774"/>
      <c r="EUO133" s="774"/>
      <c r="EUP133" s="774"/>
      <c r="EUQ133" s="774"/>
      <c r="EUR133" s="774"/>
      <c r="EUS133" s="774"/>
      <c r="EUT133" s="774"/>
      <c r="EUU133" s="774"/>
      <c r="EUV133" s="774"/>
      <c r="EUW133" s="774"/>
      <c r="EUX133" s="774"/>
      <c r="EUY133" s="774"/>
      <c r="EUZ133" s="774"/>
      <c r="EVA133" s="774"/>
      <c r="EVB133" s="774"/>
      <c r="EVC133" s="774"/>
      <c r="EVD133" s="774"/>
      <c r="EVE133" s="774"/>
      <c r="EVF133" s="774"/>
      <c r="EVG133" s="774"/>
      <c r="EVH133" s="774"/>
      <c r="EVI133" s="774"/>
      <c r="EVJ133" s="774"/>
      <c r="EVK133" s="774"/>
      <c r="EVL133" s="774"/>
      <c r="EVM133" s="774"/>
      <c r="EVN133" s="774"/>
      <c r="EVO133" s="774"/>
      <c r="EVP133" s="774"/>
      <c r="EVQ133" s="774"/>
      <c r="EVR133" s="774"/>
      <c r="EVS133" s="774"/>
      <c r="EVT133" s="774"/>
      <c r="EVU133" s="774"/>
      <c r="EVV133" s="774"/>
      <c r="EVW133" s="774"/>
      <c r="EVX133" s="774"/>
      <c r="EVY133" s="774"/>
      <c r="EVZ133" s="774"/>
      <c r="EWA133" s="774"/>
      <c r="EWB133" s="774"/>
      <c r="EWC133" s="774"/>
      <c r="EWD133" s="774"/>
      <c r="EWE133" s="774"/>
      <c r="EWF133" s="774"/>
      <c r="EWG133" s="774"/>
      <c r="EWH133" s="774"/>
      <c r="EWI133" s="774"/>
      <c r="EWJ133" s="774"/>
      <c r="EWK133" s="774"/>
      <c r="EWL133" s="774"/>
      <c r="EWM133" s="774"/>
      <c r="EWN133" s="774"/>
      <c r="EWO133" s="774"/>
      <c r="EWP133" s="774"/>
      <c r="EWQ133" s="774"/>
      <c r="EWR133" s="774"/>
      <c r="EWS133" s="774"/>
      <c r="EWT133" s="774"/>
      <c r="EWU133" s="774"/>
      <c r="EWV133" s="774"/>
      <c r="EWW133" s="774"/>
      <c r="EWX133" s="774"/>
      <c r="EWY133" s="774"/>
      <c r="EWZ133" s="774"/>
      <c r="EXA133" s="774"/>
      <c r="EXB133" s="774"/>
      <c r="EXC133" s="774"/>
      <c r="EXD133" s="774"/>
      <c r="EXE133" s="774"/>
      <c r="EXF133" s="774"/>
      <c r="EXG133" s="774"/>
      <c r="EXH133" s="774"/>
      <c r="EXI133" s="774"/>
      <c r="EXJ133" s="774"/>
      <c r="EXK133" s="774"/>
      <c r="EXL133" s="774"/>
      <c r="EXM133" s="774"/>
      <c r="EXN133" s="774"/>
      <c r="EXO133" s="774"/>
      <c r="EXP133" s="774"/>
      <c r="EXQ133" s="774"/>
      <c r="EXR133" s="774"/>
      <c r="EXS133" s="774"/>
      <c r="EXT133" s="774"/>
      <c r="EXU133" s="774"/>
      <c r="EXV133" s="774"/>
      <c r="EXW133" s="774"/>
      <c r="EXX133" s="774"/>
      <c r="EXY133" s="774"/>
      <c r="EXZ133" s="774"/>
      <c r="EYA133" s="774"/>
      <c r="EYB133" s="774"/>
      <c r="EYC133" s="774"/>
      <c r="EYD133" s="774"/>
      <c r="EYE133" s="774"/>
      <c r="EYF133" s="774"/>
      <c r="EYG133" s="774"/>
      <c r="EYH133" s="774"/>
      <c r="EYI133" s="774"/>
      <c r="EYJ133" s="774"/>
      <c r="EYK133" s="774"/>
      <c r="EYL133" s="774"/>
      <c r="EYM133" s="774"/>
      <c r="EYN133" s="774"/>
      <c r="EYO133" s="774"/>
      <c r="EYP133" s="774"/>
      <c r="EYQ133" s="774"/>
      <c r="EYR133" s="774"/>
      <c r="EYS133" s="774"/>
      <c r="EYT133" s="774"/>
      <c r="EYU133" s="774"/>
      <c r="EYV133" s="774"/>
      <c r="EYW133" s="774"/>
      <c r="EYX133" s="774"/>
      <c r="EYY133" s="774"/>
      <c r="EYZ133" s="774"/>
      <c r="EZA133" s="774"/>
      <c r="EZB133" s="774"/>
      <c r="EZC133" s="774"/>
      <c r="EZD133" s="774"/>
      <c r="EZE133" s="774"/>
      <c r="EZF133" s="774"/>
      <c r="EZG133" s="774"/>
      <c r="EZH133" s="774"/>
      <c r="EZI133" s="774"/>
      <c r="EZJ133" s="774"/>
      <c r="EZK133" s="774"/>
      <c r="EZL133" s="774"/>
      <c r="EZM133" s="774"/>
      <c r="EZN133" s="774"/>
      <c r="EZO133" s="774"/>
      <c r="EZP133" s="774"/>
      <c r="EZQ133" s="774"/>
      <c r="EZR133" s="774"/>
      <c r="EZS133" s="774"/>
      <c r="EZT133" s="774"/>
      <c r="EZU133" s="774"/>
      <c r="EZV133" s="774"/>
      <c r="EZW133" s="774"/>
      <c r="EZX133" s="774"/>
      <c r="EZY133" s="774"/>
      <c r="EZZ133" s="774"/>
      <c r="FAA133" s="774"/>
      <c r="FAB133" s="774"/>
      <c r="FAC133" s="774"/>
      <c r="FAD133" s="774"/>
      <c r="FAE133" s="774"/>
      <c r="FAF133" s="774"/>
      <c r="FAG133" s="774"/>
      <c r="FAH133" s="774"/>
      <c r="FAI133" s="774"/>
      <c r="FAJ133" s="774"/>
      <c r="FAK133" s="774"/>
      <c r="FAL133" s="774"/>
      <c r="FAM133" s="774"/>
      <c r="FAN133" s="774"/>
      <c r="FAO133" s="774"/>
      <c r="FAP133" s="774"/>
      <c r="FAQ133" s="774"/>
      <c r="FAR133" s="774"/>
      <c r="FAS133" s="774"/>
      <c r="FAT133" s="774"/>
      <c r="FAU133" s="774"/>
      <c r="FAV133" s="774"/>
      <c r="FAW133" s="774"/>
      <c r="FAX133" s="774"/>
      <c r="FAY133" s="774"/>
      <c r="FAZ133" s="774"/>
      <c r="FBA133" s="774"/>
      <c r="FBB133" s="774"/>
      <c r="FBC133" s="774"/>
      <c r="FBD133" s="774"/>
      <c r="FBE133" s="774"/>
      <c r="FBF133" s="774"/>
      <c r="FBG133" s="774"/>
      <c r="FBH133" s="774"/>
      <c r="FBI133" s="774"/>
      <c r="FBJ133" s="774"/>
      <c r="FBK133" s="774"/>
      <c r="FBL133" s="774"/>
      <c r="FBM133" s="774"/>
      <c r="FBN133" s="774"/>
      <c r="FBO133" s="774"/>
      <c r="FBP133" s="774"/>
      <c r="FBQ133" s="774"/>
      <c r="FBR133" s="774"/>
      <c r="FBS133" s="774"/>
      <c r="FBT133" s="774"/>
      <c r="FBU133" s="774"/>
      <c r="FBV133" s="774"/>
      <c r="FBW133" s="774"/>
      <c r="FBX133" s="774"/>
      <c r="FBY133" s="774"/>
      <c r="FBZ133" s="774"/>
      <c r="FCA133" s="774"/>
      <c r="FCB133" s="774"/>
      <c r="FCC133" s="774"/>
      <c r="FCD133" s="774"/>
      <c r="FCE133" s="774"/>
      <c r="FCF133" s="774"/>
      <c r="FCG133" s="774"/>
      <c r="FCH133" s="774"/>
      <c r="FCI133" s="774"/>
      <c r="FCJ133" s="774"/>
      <c r="FCK133" s="774"/>
      <c r="FCL133" s="774"/>
      <c r="FCM133" s="774"/>
      <c r="FCN133" s="774"/>
      <c r="FCO133" s="774"/>
      <c r="FCP133" s="774"/>
      <c r="FCQ133" s="774"/>
      <c r="FCR133" s="774"/>
      <c r="FCS133" s="774"/>
      <c r="FCT133" s="774"/>
      <c r="FCU133" s="774"/>
      <c r="FCV133" s="774"/>
      <c r="FCW133" s="774"/>
      <c r="FCX133" s="774"/>
      <c r="FCY133" s="774"/>
      <c r="FCZ133" s="774"/>
      <c r="FDA133" s="774"/>
      <c r="FDB133" s="774"/>
      <c r="FDC133" s="774"/>
      <c r="FDD133" s="774"/>
      <c r="FDE133" s="774"/>
      <c r="FDF133" s="774"/>
      <c r="FDG133" s="774"/>
      <c r="FDH133" s="774"/>
      <c r="FDI133" s="774"/>
      <c r="FDJ133" s="774"/>
      <c r="FDK133" s="774"/>
      <c r="FDL133" s="774"/>
      <c r="FDM133" s="774"/>
      <c r="FDN133" s="774"/>
      <c r="FDO133" s="774"/>
      <c r="FDP133" s="774"/>
      <c r="FDQ133" s="774"/>
      <c r="FDR133" s="774"/>
      <c r="FDS133" s="774"/>
      <c r="FDT133" s="774"/>
      <c r="FDU133" s="774"/>
      <c r="FDV133" s="774"/>
      <c r="FDW133" s="774"/>
      <c r="FDX133" s="774"/>
      <c r="FDY133" s="774"/>
      <c r="FDZ133" s="774"/>
      <c r="FEA133" s="774"/>
      <c r="FEB133" s="774"/>
      <c r="FEC133" s="774"/>
      <c r="FED133" s="774"/>
      <c r="FEE133" s="774"/>
      <c r="FEF133" s="774"/>
      <c r="FEG133" s="774"/>
      <c r="FEH133" s="774"/>
      <c r="FEI133" s="774"/>
      <c r="FEJ133" s="774"/>
      <c r="FEK133" s="774"/>
      <c r="FEL133" s="774"/>
      <c r="FEM133" s="774"/>
      <c r="FEN133" s="774"/>
      <c r="FEO133" s="774"/>
      <c r="FEP133" s="774"/>
      <c r="FEQ133" s="774"/>
      <c r="FER133" s="774"/>
      <c r="FES133" s="774"/>
      <c r="FET133" s="774"/>
      <c r="FEU133" s="774"/>
      <c r="FEV133" s="774"/>
      <c r="FEW133" s="774"/>
      <c r="FEX133" s="774"/>
      <c r="FEY133" s="774"/>
      <c r="FEZ133" s="774"/>
      <c r="FFA133" s="774"/>
      <c r="FFB133" s="774"/>
      <c r="FFC133" s="774"/>
      <c r="FFD133" s="774"/>
      <c r="FFE133" s="774"/>
      <c r="FFF133" s="774"/>
      <c r="FFG133" s="774"/>
      <c r="FFH133" s="774"/>
      <c r="FFI133" s="774"/>
      <c r="FFJ133" s="774"/>
      <c r="FFK133" s="774"/>
      <c r="FFL133" s="774"/>
      <c r="FFM133" s="774"/>
      <c r="FFN133" s="774"/>
      <c r="FFO133" s="774"/>
      <c r="FFP133" s="774"/>
      <c r="FFQ133" s="774"/>
      <c r="FFR133" s="774"/>
      <c r="FFS133" s="774"/>
      <c r="FFT133" s="774"/>
      <c r="FFU133" s="774"/>
      <c r="FFV133" s="774"/>
      <c r="FFW133" s="774"/>
      <c r="FFX133" s="774"/>
      <c r="FFY133" s="774"/>
      <c r="FFZ133" s="774"/>
      <c r="FGA133" s="774"/>
      <c r="FGB133" s="774"/>
      <c r="FGC133" s="774"/>
      <c r="FGD133" s="774"/>
      <c r="FGE133" s="774"/>
      <c r="FGF133" s="774"/>
      <c r="FGG133" s="774"/>
      <c r="FGH133" s="774"/>
      <c r="FGI133" s="774"/>
      <c r="FGJ133" s="774"/>
      <c r="FGK133" s="774"/>
      <c r="FGL133" s="774"/>
      <c r="FGM133" s="774"/>
      <c r="FGN133" s="774"/>
      <c r="FGO133" s="774"/>
      <c r="FGP133" s="774"/>
      <c r="FGQ133" s="774"/>
      <c r="FGR133" s="774"/>
      <c r="FGS133" s="774"/>
      <c r="FGT133" s="774"/>
      <c r="FGU133" s="774"/>
      <c r="FGV133" s="774"/>
      <c r="FGW133" s="774"/>
      <c r="FGX133" s="774"/>
      <c r="FGY133" s="774"/>
      <c r="FGZ133" s="774"/>
      <c r="FHA133" s="774"/>
      <c r="FHB133" s="774"/>
      <c r="FHC133" s="774"/>
      <c r="FHD133" s="774"/>
      <c r="FHE133" s="774"/>
      <c r="FHF133" s="774"/>
      <c r="FHG133" s="774"/>
      <c r="FHH133" s="774"/>
      <c r="FHI133" s="774"/>
      <c r="FHJ133" s="774"/>
      <c r="FHK133" s="774"/>
      <c r="FHL133" s="774"/>
      <c r="FHM133" s="774"/>
      <c r="FHN133" s="774"/>
      <c r="FHO133" s="774"/>
      <c r="FHP133" s="774"/>
      <c r="FHQ133" s="774"/>
      <c r="FHR133" s="774"/>
      <c r="FHS133" s="774"/>
      <c r="FHT133" s="774"/>
      <c r="FHU133" s="774"/>
      <c r="FHV133" s="774"/>
      <c r="FHW133" s="774"/>
      <c r="FHX133" s="774"/>
      <c r="FHY133" s="774"/>
      <c r="FHZ133" s="774"/>
      <c r="FIA133" s="774"/>
      <c r="FIB133" s="774"/>
      <c r="FIC133" s="774"/>
      <c r="FID133" s="774"/>
      <c r="FIE133" s="774"/>
      <c r="FIF133" s="774"/>
      <c r="FIG133" s="774"/>
      <c r="FIH133" s="774"/>
      <c r="FII133" s="774"/>
      <c r="FIJ133" s="774"/>
      <c r="FIK133" s="774"/>
      <c r="FIL133" s="774"/>
      <c r="FIM133" s="774"/>
      <c r="FIN133" s="774"/>
      <c r="FIO133" s="774"/>
      <c r="FIP133" s="774"/>
      <c r="FIQ133" s="774"/>
      <c r="FIR133" s="774"/>
      <c r="FIS133" s="774"/>
      <c r="FIT133" s="774"/>
      <c r="FIU133" s="774"/>
      <c r="FIV133" s="774"/>
      <c r="FIW133" s="774"/>
      <c r="FIX133" s="774"/>
      <c r="FIY133" s="774"/>
      <c r="FIZ133" s="774"/>
      <c r="FJA133" s="774"/>
      <c r="FJB133" s="774"/>
      <c r="FJC133" s="774"/>
      <c r="FJD133" s="774"/>
      <c r="FJE133" s="774"/>
      <c r="FJF133" s="774"/>
      <c r="FJG133" s="774"/>
      <c r="FJH133" s="774"/>
      <c r="FJI133" s="774"/>
      <c r="FJJ133" s="774"/>
      <c r="FJK133" s="774"/>
      <c r="FJL133" s="774"/>
      <c r="FJM133" s="774"/>
      <c r="FJN133" s="774"/>
      <c r="FJO133" s="774"/>
      <c r="FJP133" s="774"/>
      <c r="FJQ133" s="774"/>
      <c r="FJR133" s="774"/>
      <c r="FJS133" s="774"/>
      <c r="FJT133" s="774"/>
      <c r="FJU133" s="774"/>
      <c r="FJV133" s="774"/>
      <c r="FJW133" s="774"/>
      <c r="FJX133" s="774"/>
      <c r="FJY133" s="774"/>
      <c r="FJZ133" s="774"/>
      <c r="FKA133" s="774"/>
      <c r="FKB133" s="774"/>
      <c r="FKC133" s="774"/>
      <c r="FKD133" s="774"/>
      <c r="FKE133" s="774"/>
      <c r="FKF133" s="774"/>
      <c r="FKG133" s="774"/>
      <c r="FKH133" s="774"/>
      <c r="FKI133" s="774"/>
      <c r="FKJ133" s="774"/>
      <c r="FKK133" s="774"/>
      <c r="FKL133" s="774"/>
      <c r="FKM133" s="774"/>
      <c r="FKN133" s="774"/>
      <c r="FKO133" s="774"/>
      <c r="FKP133" s="774"/>
      <c r="FKQ133" s="774"/>
      <c r="FKR133" s="774"/>
      <c r="FKS133" s="774"/>
      <c r="FKT133" s="774"/>
      <c r="FKU133" s="774"/>
      <c r="FKV133" s="774"/>
      <c r="FKW133" s="774"/>
      <c r="FKX133" s="774"/>
      <c r="FKY133" s="774"/>
      <c r="FKZ133" s="774"/>
      <c r="FLA133" s="774"/>
      <c r="FLB133" s="774"/>
      <c r="FLC133" s="774"/>
      <c r="FLD133" s="774"/>
      <c r="FLE133" s="774"/>
      <c r="FLF133" s="774"/>
      <c r="FLG133" s="774"/>
      <c r="FLH133" s="774"/>
      <c r="FLI133" s="774"/>
      <c r="FLJ133" s="774"/>
      <c r="FLK133" s="774"/>
      <c r="FLL133" s="774"/>
      <c r="FLM133" s="774"/>
      <c r="FLN133" s="774"/>
      <c r="FLO133" s="774"/>
      <c r="FLP133" s="774"/>
      <c r="FLQ133" s="774"/>
      <c r="FLR133" s="774"/>
      <c r="FLS133" s="774"/>
      <c r="FLT133" s="774"/>
      <c r="FLU133" s="774"/>
      <c r="FLV133" s="774"/>
      <c r="FLW133" s="774"/>
      <c r="FLX133" s="774"/>
      <c r="FLY133" s="774"/>
      <c r="FLZ133" s="774"/>
      <c r="FMA133" s="774"/>
      <c r="FMB133" s="774"/>
      <c r="FMC133" s="774"/>
      <c r="FMD133" s="774"/>
      <c r="FME133" s="774"/>
      <c r="FMF133" s="774"/>
      <c r="FMG133" s="774"/>
      <c r="FMH133" s="774"/>
      <c r="FMI133" s="774"/>
      <c r="FMJ133" s="774"/>
      <c r="FMK133" s="774"/>
      <c r="FML133" s="774"/>
      <c r="FMM133" s="774"/>
      <c r="FMN133" s="774"/>
      <c r="FMO133" s="774"/>
      <c r="FMP133" s="774"/>
      <c r="FMQ133" s="774"/>
      <c r="FMR133" s="774"/>
      <c r="FMS133" s="774"/>
      <c r="FMT133" s="774"/>
      <c r="FMU133" s="774"/>
      <c r="FMV133" s="774"/>
      <c r="FMW133" s="774"/>
      <c r="FMX133" s="774"/>
      <c r="FMY133" s="774"/>
      <c r="FMZ133" s="774"/>
      <c r="FNA133" s="774"/>
      <c r="FNB133" s="774"/>
      <c r="FNC133" s="774"/>
      <c r="FND133" s="774"/>
      <c r="FNE133" s="774"/>
      <c r="FNF133" s="774"/>
      <c r="FNG133" s="774"/>
      <c r="FNH133" s="774"/>
      <c r="FNI133" s="774"/>
      <c r="FNJ133" s="774"/>
      <c r="FNK133" s="774"/>
      <c r="FNL133" s="774"/>
      <c r="FNM133" s="774"/>
      <c r="FNN133" s="774"/>
      <c r="FNO133" s="774"/>
      <c r="FNP133" s="774"/>
      <c r="FNQ133" s="774"/>
      <c r="FNR133" s="774"/>
      <c r="FNS133" s="774"/>
      <c r="FNT133" s="774"/>
      <c r="FNU133" s="774"/>
      <c r="FNV133" s="774"/>
      <c r="FNW133" s="774"/>
      <c r="FNX133" s="774"/>
      <c r="FNY133" s="774"/>
      <c r="FNZ133" s="774"/>
      <c r="FOA133" s="774"/>
      <c r="FOB133" s="774"/>
      <c r="FOC133" s="774"/>
      <c r="FOD133" s="774"/>
      <c r="FOE133" s="774"/>
      <c r="FOF133" s="774"/>
      <c r="FOG133" s="774"/>
      <c r="FOH133" s="774"/>
      <c r="FOI133" s="774"/>
      <c r="FOJ133" s="774"/>
      <c r="FOK133" s="774"/>
      <c r="FOL133" s="774"/>
      <c r="FOM133" s="774"/>
      <c r="FON133" s="774"/>
      <c r="FOO133" s="774"/>
      <c r="FOP133" s="774"/>
      <c r="FOQ133" s="774"/>
      <c r="FOR133" s="774"/>
      <c r="FOS133" s="774"/>
      <c r="FOT133" s="774"/>
      <c r="FOU133" s="774"/>
      <c r="FOV133" s="774"/>
      <c r="FOW133" s="774"/>
      <c r="FOX133" s="774"/>
      <c r="FOY133" s="774"/>
      <c r="FOZ133" s="774"/>
      <c r="FPA133" s="774"/>
      <c r="FPB133" s="774"/>
      <c r="FPC133" s="774"/>
      <c r="FPD133" s="774"/>
      <c r="FPE133" s="774"/>
      <c r="FPF133" s="774"/>
      <c r="FPG133" s="774"/>
      <c r="FPH133" s="774"/>
      <c r="FPI133" s="774"/>
      <c r="FPJ133" s="774"/>
      <c r="FPK133" s="774"/>
      <c r="FPL133" s="774"/>
      <c r="FPM133" s="774"/>
      <c r="FPN133" s="774"/>
      <c r="FPO133" s="774"/>
      <c r="FPP133" s="774"/>
      <c r="FPQ133" s="774"/>
      <c r="FPR133" s="774"/>
      <c r="FPS133" s="774"/>
      <c r="FPT133" s="774"/>
      <c r="FPU133" s="774"/>
      <c r="FPV133" s="774"/>
      <c r="FPW133" s="774"/>
      <c r="FPX133" s="774"/>
      <c r="FPY133" s="774"/>
      <c r="FPZ133" s="774"/>
      <c r="FQA133" s="774"/>
      <c r="FQB133" s="774"/>
      <c r="FQC133" s="774"/>
      <c r="FQD133" s="774"/>
      <c r="FQE133" s="774"/>
      <c r="FQF133" s="774"/>
      <c r="FQG133" s="774"/>
      <c r="FQH133" s="774"/>
      <c r="FQI133" s="774"/>
      <c r="FQJ133" s="774"/>
      <c r="FQK133" s="774"/>
      <c r="FQL133" s="774"/>
      <c r="FQM133" s="774"/>
      <c r="FQN133" s="774"/>
      <c r="FQO133" s="774"/>
      <c r="FQP133" s="774"/>
      <c r="FQQ133" s="774"/>
      <c r="FQR133" s="774"/>
      <c r="FQS133" s="774"/>
      <c r="FQT133" s="774"/>
      <c r="FQU133" s="774"/>
      <c r="FQV133" s="774"/>
      <c r="FQW133" s="774"/>
      <c r="FQX133" s="774"/>
      <c r="FQY133" s="774"/>
      <c r="FQZ133" s="774"/>
      <c r="FRA133" s="774"/>
      <c r="FRB133" s="774"/>
      <c r="FRC133" s="774"/>
      <c r="FRD133" s="774"/>
      <c r="FRE133" s="774"/>
      <c r="FRF133" s="774"/>
      <c r="FRG133" s="774"/>
      <c r="FRH133" s="774"/>
      <c r="FRI133" s="774"/>
      <c r="FRJ133" s="774"/>
      <c r="FRK133" s="774"/>
      <c r="FRL133" s="774"/>
      <c r="FRM133" s="774"/>
      <c r="FRN133" s="774"/>
      <c r="FRO133" s="774"/>
      <c r="FRP133" s="774"/>
      <c r="FRQ133" s="774"/>
      <c r="FRR133" s="774"/>
      <c r="FRS133" s="774"/>
      <c r="FRT133" s="774"/>
      <c r="FRU133" s="774"/>
      <c r="FRV133" s="774"/>
      <c r="FRW133" s="774"/>
      <c r="FRX133" s="774"/>
      <c r="FRY133" s="774"/>
      <c r="FRZ133" s="774"/>
      <c r="FSA133" s="774"/>
      <c r="FSB133" s="774"/>
      <c r="FSC133" s="774"/>
      <c r="FSD133" s="774"/>
      <c r="FSE133" s="774"/>
      <c r="FSF133" s="774"/>
      <c r="FSG133" s="774"/>
      <c r="FSH133" s="774"/>
      <c r="FSI133" s="774"/>
      <c r="FSJ133" s="774"/>
      <c r="FSK133" s="774"/>
      <c r="FSL133" s="774"/>
      <c r="FSM133" s="774"/>
      <c r="FSN133" s="774"/>
      <c r="FSO133" s="774"/>
      <c r="FSP133" s="774"/>
      <c r="FSQ133" s="774"/>
      <c r="FSR133" s="774"/>
      <c r="FSS133" s="774"/>
      <c r="FST133" s="774"/>
      <c r="FSU133" s="774"/>
      <c r="FSV133" s="774"/>
      <c r="FSW133" s="774"/>
      <c r="FSX133" s="774"/>
      <c r="FSY133" s="774"/>
      <c r="FSZ133" s="774"/>
      <c r="FTA133" s="774"/>
      <c r="FTB133" s="774"/>
      <c r="FTC133" s="774"/>
      <c r="FTD133" s="774"/>
      <c r="FTE133" s="774"/>
      <c r="FTF133" s="774"/>
      <c r="FTG133" s="774"/>
      <c r="FTH133" s="774"/>
      <c r="FTI133" s="774"/>
      <c r="FTJ133" s="774"/>
      <c r="FTK133" s="774"/>
      <c r="FTL133" s="774"/>
      <c r="FTM133" s="774"/>
      <c r="FTN133" s="774"/>
      <c r="FTO133" s="774"/>
      <c r="FTP133" s="774"/>
      <c r="FTQ133" s="774"/>
      <c r="FTR133" s="774"/>
      <c r="FTS133" s="774"/>
      <c r="FTT133" s="774"/>
      <c r="FTU133" s="774"/>
      <c r="FTV133" s="774"/>
      <c r="FTW133" s="774"/>
      <c r="FTX133" s="774"/>
      <c r="FTY133" s="774"/>
      <c r="FTZ133" s="774"/>
      <c r="FUA133" s="774"/>
      <c r="FUB133" s="774"/>
      <c r="FUC133" s="774"/>
      <c r="FUD133" s="774"/>
      <c r="FUE133" s="774"/>
      <c r="FUF133" s="774"/>
      <c r="FUG133" s="774"/>
      <c r="FUH133" s="774"/>
      <c r="FUI133" s="774"/>
      <c r="FUJ133" s="774"/>
      <c r="FUK133" s="774"/>
      <c r="FUL133" s="774"/>
      <c r="FUM133" s="774"/>
      <c r="FUN133" s="774"/>
      <c r="FUO133" s="774"/>
      <c r="FUP133" s="774"/>
      <c r="FUQ133" s="774"/>
      <c r="FUR133" s="774"/>
      <c r="FUS133" s="774"/>
      <c r="FUT133" s="774"/>
      <c r="FUU133" s="774"/>
      <c r="FUV133" s="774"/>
      <c r="FUW133" s="774"/>
      <c r="FUX133" s="774"/>
      <c r="FUY133" s="774"/>
      <c r="FUZ133" s="774"/>
      <c r="FVA133" s="774"/>
      <c r="FVB133" s="774"/>
      <c r="FVC133" s="774"/>
      <c r="FVD133" s="774"/>
      <c r="FVE133" s="774"/>
      <c r="FVF133" s="774"/>
      <c r="FVG133" s="774"/>
      <c r="FVH133" s="774"/>
      <c r="FVI133" s="774"/>
      <c r="FVJ133" s="774"/>
      <c r="FVK133" s="774"/>
      <c r="FVL133" s="774"/>
      <c r="FVM133" s="774"/>
      <c r="FVN133" s="774"/>
      <c r="FVO133" s="774"/>
      <c r="FVP133" s="774"/>
      <c r="FVQ133" s="774"/>
      <c r="FVR133" s="774"/>
      <c r="FVS133" s="774"/>
      <c r="FVT133" s="774"/>
      <c r="FVU133" s="774"/>
      <c r="FVV133" s="774"/>
      <c r="FVW133" s="774"/>
      <c r="FVX133" s="774"/>
      <c r="FVY133" s="774"/>
      <c r="FVZ133" s="774"/>
      <c r="FWA133" s="774"/>
      <c r="FWB133" s="774"/>
      <c r="FWC133" s="774"/>
      <c r="FWD133" s="774"/>
      <c r="FWE133" s="774"/>
      <c r="FWF133" s="774"/>
      <c r="FWG133" s="774"/>
      <c r="FWH133" s="774"/>
      <c r="FWI133" s="774"/>
      <c r="FWJ133" s="774"/>
      <c r="FWK133" s="774"/>
      <c r="FWL133" s="774"/>
      <c r="FWM133" s="774"/>
      <c r="FWN133" s="774"/>
      <c r="FWO133" s="774"/>
      <c r="FWP133" s="774"/>
      <c r="FWQ133" s="774"/>
      <c r="FWR133" s="774"/>
      <c r="FWS133" s="774"/>
      <c r="FWT133" s="774"/>
      <c r="FWU133" s="774"/>
      <c r="FWV133" s="774"/>
      <c r="FWW133" s="774"/>
      <c r="FWX133" s="774"/>
      <c r="FWY133" s="774"/>
      <c r="FWZ133" s="774"/>
      <c r="FXA133" s="774"/>
      <c r="FXB133" s="774"/>
      <c r="FXC133" s="774"/>
      <c r="FXD133" s="774"/>
      <c r="FXE133" s="774"/>
      <c r="FXF133" s="774"/>
      <c r="FXG133" s="774"/>
      <c r="FXH133" s="774"/>
      <c r="FXI133" s="774"/>
      <c r="FXJ133" s="774"/>
      <c r="FXK133" s="774"/>
      <c r="FXL133" s="774"/>
      <c r="FXM133" s="774"/>
      <c r="FXN133" s="774"/>
      <c r="FXO133" s="774"/>
      <c r="FXP133" s="774"/>
      <c r="FXQ133" s="774"/>
      <c r="FXR133" s="774"/>
      <c r="FXS133" s="774"/>
      <c r="FXT133" s="774"/>
      <c r="FXU133" s="774"/>
      <c r="FXV133" s="774"/>
      <c r="FXW133" s="774"/>
      <c r="FXX133" s="774"/>
      <c r="FXY133" s="774"/>
      <c r="FXZ133" s="774"/>
      <c r="FYA133" s="774"/>
      <c r="FYB133" s="774"/>
      <c r="FYC133" s="774"/>
      <c r="FYD133" s="774"/>
      <c r="FYE133" s="774"/>
      <c r="FYF133" s="774"/>
      <c r="FYG133" s="774"/>
      <c r="FYH133" s="774"/>
      <c r="FYI133" s="774"/>
      <c r="FYJ133" s="774"/>
      <c r="FYK133" s="774"/>
      <c r="FYL133" s="774"/>
      <c r="FYM133" s="774"/>
      <c r="FYN133" s="774"/>
      <c r="FYO133" s="774"/>
      <c r="FYP133" s="774"/>
      <c r="FYQ133" s="774"/>
      <c r="FYR133" s="774"/>
      <c r="FYS133" s="774"/>
      <c r="FYT133" s="774"/>
      <c r="FYU133" s="774"/>
      <c r="FYV133" s="774"/>
      <c r="FYW133" s="774"/>
      <c r="FYX133" s="774"/>
      <c r="FYY133" s="774"/>
      <c r="FYZ133" s="774"/>
      <c r="FZA133" s="774"/>
      <c r="FZB133" s="774"/>
      <c r="FZC133" s="774"/>
      <c r="FZD133" s="774"/>
      <c r="FZE133" s="774"/>
      <c r="FZF133" s="774"/>
      <c r="FZG133" s="774"/>
      <c r="FZH133" s="774"/>
      <c r="FZI133" s="774"/>
      <c r="FZJ133" s="774"/>
      <c r="FZK133" s="774"/>
      <c r="FZL133" s="774"/>
      <c r="FZM133" s="774"/>
      <c r="FZN133" s="774"/>
      <c r="FZO133" s="774"/>
      <c r="FZP133" s="774"/>
      <c r="FZQ133" s="774"/>
      <c r="FZR133" s="774"/>
      <c r="FZS133" s="774"/>
      <c r="FZT133" s="774"/>
      <c r="FZU133" s="774"/>
      <c r="FZV133" s="774"/>
      <c r="FZW133" s="774"/>
      <c r="FZX133" s="774"/>
      <c r="FZY133" s="774"/>
      <c r="FZZ133" s="774"/>
      <c r="GAA133" s="774"/>
      <c r="GAB133" s="774"/>
      <c r="GAC133" s="774"/>
      <c r="GAD133" s="774"/>
      <c r="GAE133" s="774"/>
      <c r="GAF133" s="774"/>
      <c r="GAG133" s="774"/>
      <c r="GAH133" s="774"/>
      <c r="GAI133" s="774"/>
      <c r="GAJ133" s="774"/>
      <c r="GAK133" s="774"/>
      <c r="GAL133" s="774"/>
      <c r="GAM133" s="774"/>
      <c r="GAN133" s="774"/>
      <c r="GAO133" s="774"/>
      <c r="GAP133" s="774"/>
      <c r="GAQ133" s="774"/>
      <c r="GAR133" s="774"/>
      <c r="GAS133" s="774"/>
      <c r="GAT133" s="774"/>
      <c r="GAU133" s="774"/>
      <c r="GAV133" s="774"/>
      <c r="GAW133" s="774"/>
      <c r="GAX133" s="774"/>
      <c r="GAY133" s="774"/>
      <c r="GAZ133" s="774"/>
      <c r="GBA133" s="774"/>
      <c r="GBB133" s="774"/>
      <c r="GBC133" s="774"/>
      <c r="GBD133" s="774"/>
      <c r="GBE133" s="774"/>
      <c r="GBF133" s="774"/>
      <c r="GBG133" s="774"/>
      <c r="GBH133" s="774"/>
      <c r="GBI133" s="774"/>
      <c r="GBJ133" s="774"/>
      <c r="GBK133" s="774"/>
      <c r="GBL133" s="774"/>
      <c r="GBM133" s="774"/>
      <c r="GBN133" s="774"/>
      <c r="GBO133" s="774"/>
      <c r="GBP133" s="774"/>
      <c r="GBQ133" s="774"/>
      <c r="GBR133" s="774"/>
      <c r="GBS133" s="774"/>
      <c r="GBT133" s="774"/>
      <c r="GBU133" s="774"/>
      <c r="GBV133" s="774"/>
      <c r="GBW133" s="774"/>
      <c r="GBX133" s="774"/>
      <c r="GBY133" s="774"/>
      <c r="GBZ133" s="774"/>
      <c r="GCA133" s="774"/>
      <c r="GCB133" s="774"/>
      <c r="GCC133" s="774"/>
      <c r="GCD133" s="774"/>
      <c r="GCE133" s="774"/>
      <c r="GCF133" s="774"/>
      <c r="GCG133" s="774"/>
      <c r="GCH133" s="774"/>
      <c r="GCI133" s="774"/>
      <c r="GCJ133" s="774"/>
      <c r="GCK133" s="774"/>
      <c r="GCL133" s="774"/>
      <c r="GCM133" s="774"/>
      <c r="GCN133" s="774"/>
      <c r="GCO133" s="774"/>
      <c r="GCP133" s="774"/>
      <c r="GCQ133" s="774"/>
      <c r="GCR133" s="774"/>
      <c r="GCS133" s="774"/>
      <c r="GCT133" s="774"/>
      <c r="GCU133" s="774"/>
      <c r="GCV133" s="774"/>
      <c r="GCW133" s="774"/>
      <c r="GCX133" s="774"/>
      <c r="GCY133" s="774"/>
      <c r="GCZ133" s="774"/>
      <c r="GDA133" s="774"/>
      <c r="GDB133" s="774"/>
      <c r="GDC133" s="774"/>
      <c r="GDD133" s="774"/>
      <c r="GDE133" s="774"/>
      <c r="GDF133" s="774"/>
      <c r="GDG133" s="774"/>
      <c r="GDH133" s="774"/>
      <c r="GDI133" s="774"/>
      <c r="GDJ133" s="774"/>
      <c r="GDK133" s="774"/>
      <c r="GDL133" s="774"/>
      <c r="GDM133" s="774"/>
      <c r="GDN133" s="774"/>
      <c r="GDO133" s="774"/>
      <c r="GDP133" s="774"/>
      <c r="GDQ133" s="774"/>
      <c r="GDR133" s="774"/>
      <c r="GDS133" s="774"/>
      <c r="GDT133" s="774"/>
      <c r="GDU133" s="774"/>
      <c r="GDV133" s="774"/>
      <c r="GDW133" s="774"/>
      <c r="GDX133" s="774"/>
      <c r="GDY133" s="774"/>
      <c r="GDZ133" s="774"/>
      <c r="GEA133" s="774"/>
      <c r="GEB133" s="774"/>
      <c r="GEC133" s="774"/>
      <c r="GED133" s="774"/>
      <c r="GEE133" s="774"/>
      <c r="GEF133" s="774"/>
      <c r="GEG133" s="774"/>
      <c r="GEH133" s="774"/>
      <c r="GEI133" s="774"/>
      <c r="GEJ133" s="774"/>
      <c r="GEK133" s="774"/>
      <c r="GEL133" s="774"/>
      <c r="GEM133" s="774"/>
      <c r="GEN133" s="774"/>
      <c r="GEO133" s="774"/>
      <c r="GEP133" s="774"/>
      <c r="GEQ133" s="774"/>
      <c r="GER133" s="774"/>
      <c r="GES133" s="774"/>
      <c r="GET133" s="774"/>
      <c r="GEU133" s="774"/>
      <c r="GEV133" s="774"/>
      <c r="GEW133" s="774"/>
      <c r="GEX133" s="774"/>
      <c r="GEY133" s="774"/>
      <c r="GEZ133" s="774"/>
      <c r="GFA133" s="774"/>
      <c r="GFB133" s="774"/>
      <c r="GFC133" s="774"/>
      <c r="GFD133" s="774"/>
      <c r="GFE133" s="774"/>
      <c r="GFF133" s="774"/>
      <c r="GFG133" s="774"/>
      <c r="GFH133" s="774"/>
      <c r="GFI133" s="774"/>
      <c r="GFJ133" s="774"/>
      <c r="GFK133" s="774"/>
      <c r="GFL133" s="774"/>
      <c r="GFM133" s="774"/>
      <c r="GFN133" s="774"/>
      <c r="GFO133" s="774"/>
      <c r="GFP133" s="774"/>
      <c r="GFQ133" s="774"/>
      <c r="GFR133" s="774"/>
      <c r="GFS133" s="774"/>
      <c r="GFT133" s="774"/>
      <c r="GFU133" s="774"/>
      <c r="GFV133" s="774"/>
      <c r="GFW133" s="774"/>
      <c r="GFX133" s="774"/>
      <c r="GFY133" s="774"/>
      <c r="GFZ133" s="774"/>
      <c r="GGA133" s="774"/>
      <c r="GGB133" s="774"/>
      <c r="GGC133" s="774"/>
      <c r="GGD133" s="774"/>
      <c r="GGE133" s="774"/>
      <c r="GGF133" s="774"/>
      <c r="GGG133" s="774"/>
      <c r="GGH133" s="774"/>
      <c r="GGI133" s="774"/>
      <c r="GGJ133" s="774"/>
      <c r="GGK133" s="774"/>
      <c r="GGL133" s="774"/>
      <c r="GGM133" s="774"/>
      <c r="GGN133" s="774"/>
      <c r="GGO133" s="774"/>
      <c r="GGP133" s="774"/>
      <c r="GGQ133" s="774"/>
      <c r="GGR133" s="774"/>
      <c r="GGS133" s="774"/>
      <c r="GGT133" s="774"/>
      <c r="GGU133" s="774"/>
      <c r="GGV133" s="774"/>
      <c r="GGW133" s="774"/>
      <c r="GGX133" s="774"/>
      <c r="GGY133" s="774"/>
      <c r="GGZ133" s="774"/>
      <c r="GHA133" s="774"/>
      <c r="GHB133" s="774"/>
      <c r="GHC133" s="774"/>
      <c r="GHD133" s="774"/>
      <c r="GHE133" s="774"/>
      <c r="GHF133" s="774"/>
      <c r="GHG133" s="774"/>
      <c r="GHH133" s="774"/>
      <c r="GHI133" s="774"/>
      <c r="GHJ133" s="774"/>
      <c r="GHK133" s="774"/>
      <c r="GHL133" s="774"/>
      <c r="GHM133" s="774"/>
      <c r="GHN133" s="774"/>
      <c r="GHO133" s="774"/>
      <c r="GHP133" s="774"/>
      <c r="GHQ133" s="774"/>
      <c r="GHR133" s="774"/>
      <c r="GHS133" s="774"/>
      <c r="GHT133" s="774"/>
      <c r="GHU133" s="774"/>
      <c r="GHV133" s="774"/>
      <c r="GHW133" s="774"/>
      <c r="GHX133" s="774"/>
      <c r="GHY133" s="774"/>
      <c r="GHZ133" s="774"/>
      <c r="GIA133" s="774"/>
      <c r="GIB133" s="774"/>
      <c r="GIC133" s="774"/>
      <c r="GID133" s="774"/>
      <c r="GIE133" s="774"/>
      <c r="GIF133" s="774"/>
      <c r="GIG133" s="774"/>
      <c r="GIH133" s="774"/>
      <c r="GII133" s="774"/>
      <c r="GIJ133" s="774"/>
      <c r="GIK133" s="774"/>
      <c r="GIL133" s="774"/>
      <c r="GIM133" s="774"/>
      <c r="GIN133" s="774"/>
      <c r="GIO133" s="774"/>
      <c r="GIP133" s="774"/>
      <c r="GIQ133" s="774"/>
      <c r="GIR133" s="774"/>
      <c r="GIS133" s="774"/>
      <c r="GIT133" s="774"/>
      <c r="GIU133" s="774"/>
      <c r="GIV133" s="774"/>
      <c r="GIW133" s="774"/>
      <c r="GIX133" s="774"/>
      <c r="GIY133" s="774"/>
      <c r="GIZ133" s="774"/>
      <c r="GJA133" s="774"/>
      <c r="GJB133" s="774"/>
      <c r="GJC133" s="774"/>
      <c r="GJD133" s="774"/>
      <c r="GJE133" s="774"/>
      <c r="GJF133" s="774"/>
      <c r="GJG133" s="774"/>
      <c r="GJH133" s="774"/>
      <c r="GJI133" s="774"/>
      <c r="GJJ133" s="774"/>
      <c r="GJK133" s="774"/>
      <c r="GJL133" s="774"/>
      <c r="GJM133" s="774"/>
      <c r="GJN133" s="774"/>
      <c r="GJO133" s="774"/>
      <c r="GJP133" s="774"/>
      <c r="GJQ133" s="774"/>
      <c r="GJR133" s="774"/>
      <c r="GJS133" s="774"/>
      <c r="GJT133" s="774"/>
      <c r="GJU133" s="774"/>
      <c r="GJV133" s="774"/>
      <c r="GJW133" s="774"/>
      <c r="GJX133" s="774"/>
      <c r="GJY133" s="774"/>
      <c r="GJZ133" s="774"/>
      <c r="GKA133" s="774"/>
      <c r="GKB133" s="774"/>
      <c r="GKC133" s="774"/>
      <c r="GKD133" s="774"/>
      <c r="GKE133" s="774"/>
      <c r="GKF133" s="774"/>
      <c r="GKG133" s="774"/>
      <c r="GKH133" s="774"/>
      <c r="GKI133" s="774"/>
      <c r="GKJ133" s="774"/>
      <c r="GKK133" s="774"/>
      <c r="GKL133" s="774"/>
      <c r="GKM133" s="774"/>
      <c r="GKN133" s="774"/>
      <c r="GKO133" s="774"/>
      <c r="GKP133" s="774"/>
      <c r="GKQ133" s="774"/>
      <c r="GKR133" s="774"/>
      <c r="GKS133" s="774"/>
      <c r="GKT133" s="774"/>
      <c r="GKU133" s="774"/>
      <c r="GKV133" s="774"/>
      <c r="GKW133" s="774"/>
      <c r="GKX133" s="774"/>
      <c r="GKY133" s="774"/>
      <c r="GKZ133" s="774"/>
      <c r="GLA133" s="774"/>
      <c r="GLB133" s="774"/>
      <c r="GLC133" s="774"/>
      <c r="GLD133" s="774"/>
      <c r="GLE133" s="774"/>
      <c r="GLF133" s="774"/>
      <c r="GLG133" s="774"/>
      <c r="GLH133" s="774"/>
      <c r="GLI133" s="774"/>
      <c r="GLJ133" s="774"/>
      <c r="GLK133" s="774"/>
      <c r="GLL133" s="774"/>
      <c r="GLM133" s="774"/>
      <c r="GLN133" s="774"/>
      <c r="GLO133" s="774"/>
      <c r="GLP133" s="774"/>
      <c r="GLQ133" s="774"/>
      <c r="GLR133" s="774"/>
      <c r="GLS133" s="774"/>
      <c r="GLT133" s="774"/>
      <c r="GLU133" s="774"/>
      <c r="GLV133" s="774"/>
      <c r="GLW133" s="774"/>
      <c r="GLX133" s="774"/>
      <c r="GLY133" s="774"/>
      <c r="GLZ133" s="774"/>
      <c r="GMA133" s="774"/>
      <c r="GMB133" s="774"/>
      <c r="GMC133" s="774"/>
      <c r="GMD133" s="774"/>
      <c r="GME133" s="774"/>
      <c r="GMF133" s="774"/>
      <c r="GMG133" s="774"/>
      <c r="GMH133" s="774"/>
      <c r="GMI133" s="774"/>
      <c r="GMJ133" s="774"/>
      <c r="GMK133" s="774"/>
      <c r="GML133" s="774"/>
      <c r="GMM133" s="774"/>
      <c r="GMN133" s="774"/>
      <c r="GMO133" s="774"/>
      <c r="GMP133" s="774"/>
      <c r="GMQ133" s="774"/>
      <c r="GMR133" s="774"/>
      <c r="GMS133" s="774"/>
      <c r="GMT133" s="774"/>
      <c r="GMU133" s="774"/>
      <c r="GMV133" s="774"/>
      <c r="GMW133" s="774"/>
      <c r="GMX133" s="774"/>
      <c r="GMY133" s="774"/>
      <c r="GMZ133" s="774"/>
      <c r="GNA133" s="774"/>
      <c r="GNB133" s="774"/>
      <c r="GNC133" s="774"/>
      <c r="GND133" s="774"/>
      <c r="GNE133" s="774"/>
      <c r="GNF133" s="774"/>
      <c r="GNG133" s="774"/>
      <c r="GNH133" s="774"/>
      <c r="GNI133" s="774"/>
      <c r="GNJ133" s="774"/>
      <c r="GNK133" s="774"/>
      <c r="GNL133" s="774"/>
      <c r="GNM133" s="774"/>
      <c r="GNN133" s="774"/>
      <c r="GNO133" s="774"/>
      <c r="GNP133" s="774"/>
      <c r="GNQ133" s="774"/>
      <c r="GNR133" s="774"/>
      <c r="GNS133" s="774"/>
      <c r="GNT133" s="774"/>
      <c r="GNU133" s="774"/>
      <c r="GNV133" s="774"/>
      <c r="GNW133" s="774"/>
      <c r="GNX133" s="774"/>
      <c r="GNY133" s="774"/>
      <c r="GNZ133" s="774"/>
      <c r="GOA133" s="774"/>
      <c r="GOB133" s="774"/>
      <c r="GOC133" s="774"/>
      <c r="GOD133" s="774"/>
      <c r="GOE133" s="774"/>
      <c r="GOF133" s="774"/>
      <c r="GOG133" s="774"/>
      <c r="GOH133" s="774"/>
      <c r="GOI133" s="774"/>
      <c r="GOJ133" s="774"/>
      <c r="GOK133" s="774"/>
      <c r="GOL133" s="774"/>
      <c r="GOM133" s="774"/>
      <c r="GON133" s="774"/>
      <c r="GOO133" s="774"/>
      <c r="GOP133" s="774"/>
      <c r="GOQ133" s="774"/>
      <c r="GOR133" s="774"/>
      <c r="GOS133" s="774"/>
      <c r="GOT133" s="774"/>
      <c r="GOU133" s="774"/>
      <c r="GOV133" s="774"/>
      <c r="GOW133" s="774"/>
      <c r="GOX133" s="774"/>
      <c r="GOY133" s="774"/>
      <c r="GOZ133" s="774"/>
      <c r="GPA133" s="774"/>
      <c r="GPB133" s="774"/>
      <c r="GPC133" s="774"/>
      <c r="GPD133" s="774"/>
      <c r="GPE133" s="774"/>
      <c r="GPF133" s="774"/>
      <c r="GPG133" s="774"/>
      <c r="GPH133" s="774"/>
      <c r="GPI133" s="774"/>
      <c r="GPJ133" s="774"/>
      <c r="GPK133" s="774"/>
      <c r="GPL133" s="774"/>
      <c r="GPM133" s="774"/>
      <c r="GPN133" s="774"/>
      <c r="GPO133" s="774"/>
      <c r="GPP133" s="774"/>
      <c r="GPQ133" s="774"/>
      <c r="GPR133" s="774"/>
      <c r="GPS133" s="774"/>
      <c r="GPT133" s="774"/>
      <c r="GPU133" s="774"/>
      <c r="GPV133" s="774"/>
      <c r="GPW133" s="774"/>
      <c r="GPX133" s="774"/>
      <c r="GPY133" s="774"/>
      <c r="GPZ133" s="774"/>
      <c r="GQA133" s="774"/>
      <c r="GQB133" s="774"/>
      <c r="GQC133" s="774"/>
      <c r="GQD133" s="774"/>
      <c r="GQE133" s="774"/>
      <c r="GQF133" s="774"/>
      <c r="GQG133" s="774"/>
      <c r="GQH133" s="774"/>
      <c r="GQI133" s="774"/>
      <c r="GQJ133" s="774"/>
      <c r="GQK133" s="774"/>
      <c r="GQL133" s="774"/>
      <c r="GQM133" s="774"/>
      <c r="GQN133" s="774"/>
      <c r="GQO133" s="774"/>
      <c r="GQP133" s="774"/>
      <c r="GQQ133" s="774"/>
      <c r="GQR133" s="774"/>
      <c r="GQS133" s="774"/>
      <c r="GQT133" s="774"/>
      <c r="GQU133" s="774"/>
      <c r="GQV133" s="774"/>
      <c r="GQW133" s="774"/>
      <c r="GQX133" s="774"/>
      <c r="GQY133" s="774"/>
      <c r="GQZ133" s="774"/>
      <c r="GRA133" s="774"/>
      <c r="GRB133" s="774"/>
      <c r="GRC133" s="774"/>
      <c r="GRD133" s="774"/>
      <c r="GRE133" s="774"/>
      <c r="GRF133" s="774"/>
      <c r="GRG133" s="774"/>
      <c r="GRH133" s="774"/>
      <c r="GRI133" s="774"/>
      <c r="GRJ133" s="774"/>
      <c r="GRK133" s="774"/>
      <c r="GRL133" s="774"/>
      <c r="GRM133" s="774"/>
      <c r="GRN133" s="774"/>
      <c r="GRO133" s="774"/>
      <c r="GRP133" s="774"/>
      <c r="GRQ133" s="774"/>
      <c r="GRR133" s="774"/>
      <c r="GRS133" s="774"/>
      <c r="GRT133" s="774"/>
      <c r="GRU133" s="774"/>
      <c r="GRV133" s="774"/>
      <c r="GRW133" s="774"/>
      <c r="GRX133" s="774"/>
      <c r="GRY133" s="774"/>
      <c r="GRZ133" s="774"/>
      <c r="GSA133" s="774"/>
      <c r="GSB133" s="774"/>
      <c r="GSC133" s="774"/>
      <c r="GSD133" s="774"/>
      <c r="GSE133" s="774"/>
      <c r="GSF133" s="774"/>
      <c r="GSG133" s="774"/>
      <c r="GSH133" s="774"/>
      <c r="GSI133" s="774"/>
      <c r="GSJ133" s="774"/>
      <c r="GSK133" s="774"/>
      <c r="GSL133" s="774"/>
      <c r="GSM133" s="774"/>
      <c r="GSN133" s="774"/>
      <c r="GSO133" s="774"/>
      <c r="GSP133" s="774"/>
      <c r="GSQ133" s="774"/>
      <c r="GSR133" s="774"/>
      <c r="GSS133" s="774"/>
      <c r="GST133" s="774"/>
      <c r="GSU133" s="774"/>
      <c r="GSV133" s="774"/>
      <c r="GSW133" s="774"/>
      <c r="GSX133" s="774"/>
      <c r="GSY133" s="774"/>
      <c r="GSZ133" s="774"/>
      <c r="GTA133" s="774"/>
      <c r="GTB133" s="774"/>
      <c r="GTC133" s="774"/>
      <c r="GTD133" s="774"/>
      <c r="GTE133" s="774"/>
      <c r="GTF133" s="774"/>
      <c r="GTG133" s="774"/>
      <c r="GTH133" s="774"/>
      <c r="GTI133" s="774"/>
      <c r="GTJ133" s="774"/>
      <c r="GTK133" s="774"/>
      <c r="GTL133" s="774"/>
      <c r="GTM133" s="774"/>
      <c r="GTN133" s="774"/>
      <c r="GTO133" s="774"/>
      <c r="GTP133" s="774"/>
      <c r="GTQ133" s="774"/>
      <c r="GTR133" s="774"/>
      <c r="GTS133" s="774"/>
      <c r="GTT133" s="774"/>
      <c r="GTU133" s="774"/>
      <c r="GTV133" s="774"/>
      <c r="GTW133" s="774"/>
      <c r="GTX133" s="774"/>
      <c r="GTY133" s="774"/>
      <c r="GTZ133" s="774"/>
      <c r="GUA133" s="774"/>
      <c r="GUB133" s="774"/>
      <c r="GUC133" s="774"/>
      <c r="GUD133" s="774"/>
      <c r="GUE133" s="774"/>
      <c r="GUF133" s="774"/>
      <c r="GUG133" s="774"/>
      <c r="GUH133" s="774"/>
      <c r="GUI133" s="774"/>
      <c r="GUJ133" s="774"/>
      <c r="GUK133" s="774"/>
      <c r="GUL133" s="774"/>
      <c r="GUM133" s="774"/>
      <c r="GUN133" s="774"/>
      <c r="GUO133" s="774"/>
      <c r="GUP133" s="774"/>
      <c r="GUQ133" s="774"/>
      <c r="GUR133" s="774"/>
      <c r="GUS133" s="774"/>
      <c r="GUT133" s="774"/>
      <c r="GUU133" s="774"/>
      <c r="GUV133" s="774"/>
      <c r="GUW133" s="774"/>
      <c r="GUX133" s="774"/>
      <c r="GUY133" s="774"/>
      <c r="GUZ133" s="774"/>
      <c r="GVA133" s="774"/>
      <c r="GVB133" s="774"/>
      <c r="GVC133" s="774"/>
      <c r="GVD133" s="774"/>
      <c r="GVE133" s="774"/>
      <c r="GVF133" s="774"/>
      <c r="GVG133" s="774"/>
      <c r="GVH133" s="774"/>
      <c r="GVI133" s="774"/>
      <c r="GVJ133" s="774"/>
      <c r="GVK133" s="774"/>
      <c r="GVL133" s="774"/>
      <c r="GVM133" s="774"/>
      <c r="GVN133" s="774"/>
      <c r="GVO133" s="774"/>
      <c r="GVP133" s="774"/>
      <c r="GVQ133" s="774"/>
      <c r="GVR133" s="774"/>
      <c r="GVS133" s="774"/>
      <c r="GVT133" s="774"/>
      <c r="GVU133" s="774"/>
      <c r="GVV133" s="774"/>
      <c r="GVW133" s="774"/>
      <c r="GVX133" s="774"/>
      <c r="GVY133" s="774"/>
      <c r="GVZ133" s="774"/>
      <c r="GWA133" s="774"/>
      <c r="GWB133" s="774"/>
      <c r="GWC133" s="774"/>
      <c r="GWD133" s="774"/>
      <c r="GWE133" s="774"/>
      <c r="GWF133" s="774"/>
      <c r="GWG133" s="774"/>
      <c r="GWH133" s="774"/>
      <c r="GWI133" s="774"/>
      <c r="GWJ133" s="774"/>
      <c r="GWK133" s="774"/>
      <c r="GWL133" s="774"/>
      <c r="GWM133" s="774"/>
      <c r="GWN133" s="774"/>
      <c r="GWO133" s="774"/>
      <c r="GWP133" s="774"/>
      <c r="GWQ133" s="774"/>
      <c r="GWR133" s="774"/>
      <c r="GWS133" s="774"/>
      <c r="GWT133" s="774"/>
      <c r="GWU133" s="774"/>
      <c r="GWV133" s="774"/>
      <c r="GWW133" s="774"/>
      <c r="GWX133" s="774"/>
      <c r="GWY133" s="774"/>
      <c r="GWZ133" s="774"/>
      <c r="GXA133" s="774"/>
      <c r="GXB133" s="774"/>
      <c r="GXC133" s="774"/>
      <c r="GXD133" s="774"/>
      <c r="GXE133" s="774"/>
      <c r="GXF133" s="774"/>
      <c r="GXG133" s="774"/>
      <c r="GXH133" s="774"/>
      <c r="GXI133" s="774"/>
      <c r="GXJ133" s="774"/>
      <c r="GXK133" s="774"/>
      <c r="GXL133" s="774"/>
      <c r="GXM133" s="774"/>
      <c r="GXN133" s="774"/>
      <c r="GXO133" s="774"/>
      <c r="GXP133" s="774"/>
      <c r="GXQ133" s="774"/>
      <c r="GXR133" s="774"/>
      <c r="GXS133" s="774"/>
      <c r="GXT133" s="774"/>
      <c r="GXU133" s="774"/>
      <c r="GXV133" s="774"/>
      <c r="GXW133" s="774"/>
      <c r="GXX133" s="774"/>
      <c r="GXY133" s="774"/>
      <c r="GXZ133" s="774"/>
      <c r="GYA133" s="774"/>
      <c r="GYB133" s="774"/>
      <c r="GYC133" s="774"/>
      <c r="GYD133" s="774"/>
      <c r="GYE133" s="774"/>
      <c r="GYF133" s="774"/>
      <c r="GYG133" s="774"/>
      <c r="GYH133" s="774"/>
      <c r="GYI133" s="774"/>
      <c r="GYJ133" s="774"/>
      <c r="GYK133" s="774"/>
      <c r="GYL133" s="774"/>
      <c r="GYM133" s="774"/>
      <c r="GYN133" s="774"/>
      <c r="GYO133" s="774"/>
      <c r="GYP133" s="774"/>
      <c r="GYQ133" s="774"/>
      <c r="GYR133" s="774"/>
      <c r="GYS133" s="774"/>
      <c r="GYT133" s="774"/>
      <c r="GYU133" s="774"/>
      <c r="GYV133" s="774"/>
      <c r="GYW133" s="774"/>
      <c r="GYX133" s="774"/>
      <c r="GYY133" s="774"/>
      <c r="GYZ133" s="774"/>
      <c r="GZA133" s="774"/>
      <c r="GZB133" s="774"/>
      <c r="GZC133" s="774"/>
      <c r="GZD133" s="774"/>
      <c r="GZE133" s="774"/>
      <c r="GZF133" s="774"/>
      <c r="GZG133" s="774"/>
      <c r="GZH133" s="774"/>
      <c r="GZI133" s="774"/>
      <c r="GZJ133" s="774"/>
      <c r="GZK133" s="774"/>
      <c r="GZL133" s="774"/>
      <c r="GZM133" s="774"/>
      <c r="GZN133" s="774"/>
      <c r="GZO133" s="774"/>
      <c r="GZP133" s="774"/>
      <c r="GZQ133" s="774"/>
      <c r="GZR133" s="774"/>
      <c r="GZS133" s="774"/>
      <c r="GZT133" s="774"/>
      <c r="GZU133" s="774"/>
      <c r="GZV133" s="774"/>
      <c r="GZW133" s="774"/>
      <c r="GZX133" s="774"/>
      <c r="GZY133" s="774"/>
      <c r="GZZ133" s="774"/>
      <c r="HAA133" s="774"/>
      <c r="HAB133" s="774"/>
      <c r="HAC133" s="774"/>
      <c r="HAD133" s="774"/>
      <c r="HAE133" s="774"/>
      <c r="HAF133" s="774"/>
      <c r="HAG133" s="774"/>
      <c r="HAH133" s="774"/>
      <c r="HAI133" s="774"/>
      <c r="HAJ133" s="774"/>
      <c r="HAK133" s="774"/>
      <c r="HAL133" s="774"/>
      <c r="HAM133" s="774"/>
      <c r="HAN133" s="774"/>
      <c r="HAO133" s="774"/>
      <c r="HAP133" s="774"/>
      <c r="HAQ133" s="774"/>
      <c r="HAR133" s="774"/>
      <c r="HAS133" s="774"/>
      <c r="HAT133" s="774"/>
      <c r="HAU133" s="774"/>
      <c r="HAV133" s="774"/>
      <c r="HAW133" s="774"/>
      <c r="HAX133" s="774"/>
      <c r="HAY133" s="774"/>
      <c r="HAZ133" s="774"/>
      <c r="HBA133" s="774"/>
      <c r="HBB133" s="774"/>
      <c r="HBC133" s="774"/>
      <c r="HBD133" s="774"/>
      <c r="HBE133" s="774"/>
      <c r="HBF133" s="774"/>
      <c r="HBG133" s="774"/>
      <c r="HBH133" s="774"/>
      <c r="HBI133" s="774"/>
      <c r="HBJ133" s="774"/>
      <c r="HBK133" s="774"/>
      <c r="HBL133" s="774"/>
      <c r="HBM133" s="774"/>
      <c r="HBN133" s="774"/>
      <c r="HBO133" s="774"/>
      <c r="HBP133" s="774"/>
      <c r="HBQ133" s="774"/>
      <c r="HBR133" s="774"/>
      <c r="HBS133" s="774"/>
      <c r="HBT133" s="774"/>
      <c r="HBU133" s="774"/>
      <c r="HBV133" s="774"/>
      <c r="HBW133" s="774"/>
      <c r="HBX133" s="774"/>
      <c r="HBY133" s="774"/>
      <c r="HBZ133" s="774"/>
      <c r="HCA133" s="774"/>
      <c r="HCB133" s="774"/>
      <c r="HCC133" s="774"/>
      <c r="HCD133" s="774"/>
      <c r="HCE133" s="774"/>
      <c r="HCF133" s="774"/>
      <c r="HCG133" s="774"/>
      <c r="HCH133" s="774"/>
      <c r="HCI133" s="774"/>
      <c r="HCJ133" s="774"/>
      <c r="HCK133" s="774"/>
      <c r="HCL133" s="774"/>
      <c r="HCM133" s="774"/>
      <c r="HCN133" s="774"/>
      <c r="HCO133" s="774"/>
      <c r="HCP133" s="774"/>
      <c r="HCQ133" s="774"/>
      <c r="HCR133" s="774"/>
      <c r="HCS133" s="774"/>
      <c r="HCT133" s="774"/>
      <c r="HCU133" s="774"/>
      <c r="HCV133" s="774"/>
      <c r="HCW133" s="774"/>
      <c r="HCX133" s="774"/>
      <c r="HCY133" s="774"/>
      <c r="HCZ133" s="774"/>
      <c r="HDA133" s="774"/>
      <c r="HDB133" s="774"/>
      <c r="HDC133" s="774"/>
      <c r="HDD133" s="774"/>
      <c r="HDE133" s="774"/>
      <c r="HDF133" s="774"/>
      <c r="HDG133" s="774"/>
      <c r="HDH133" s="774"/>
      <c r="HDI133" s="774"/>
      <c r="HDJ133" s="774"/>
      <c r="HDK133" s="774"/>
      <c r="HDL133" s="774"/>
      <c r="HDM133" s="774"/>
      <c r="HDN133" s="774"/>
      <c r="HDO133" s="774"/>
      <c r="HDP133" s="774"/>
      <c r="HDQ133" s="774"/>
      <c r="HDR133" s="774"/>
      <c r="HDS133" s="774"/>
      <c r="HDT133" s="774"/>
      <c r="HDU133" s="774"/>
      <c r="HDV133" s="774"/>
      <c r="HDW133" s="774"/>
      <c r="HDX133" s="774"/>
      <c r="HDY133" s="774"/>
      <c r="HDZ133" s="774"/>
      <c r="HEA133" s="774"/>
      <c r="HEB133" s="774"/>
      <c r="HEC133" s="774"/>
      <c r="HED133" s="774"/>
      <c r="HEE133" s="774"/>
      <c r="HEF133" s="774"/>
      <c r="HEG133" s="774"/>
      <c r="HEH133" s="774"/>
      <c r="HEI133" s="774"/>
      <c r="HEJ133" s="774"/>
      <c r="HEK133" s="774"/>
      <c r="HEL133" s="774"/>
      <c r="HEM133" s="774"/>
      <c r="HEN133" s="774"/>
      <c r="HEO133" s="774"/>
      <c r="HEP133" s="774"/>
      <c r="HEQ133" s="774"/>
      <c r="HER133" s="774"/>
      <c r="HES133" s="774"/>
      <c r="HET133" s="774"/>
      <c r="HEU133" s="774"/>
      <c r="HEV133" s="774"/>
      <c r="HEW133" s="774"/>
      <c r="HEX133" s="774"/>
      <c r="HEY133" s="774"/>
      <c r="HEZ133" s="774"/>
      <c r="HFA133" s="774"/>
      <c r="HFB133" s="774"/>
      <c r="HFC133" s="774"/>
      <c r="HFD133" s="774"/>
      <c r="HFE133" s="774"/>
      <c r="HFF133" s="774"/>
      <c r="HFG133" s="774"/>
      <c r="HFH133" s="774"/>
      <c r="HFI133" s="774"/>
      <c r="HFJ133" s="774"/>
      <c r="HFK133" s="774"/>
      <c r="HFL133" s="774"/>
      <c r="HFM133" s="774"/>
      <c r="HFN133" s="774"/>
      <c r="HFO133" s="774"/>
      <c r="HFP133" s="774"/>
      <c r="HFQ133" s="774"/>
      <c r="HFR133" s="774"/>
      <c r="HFS133" s="774"/>
      <c r="HFT133" s="774"/>
      <c r="HFU133" s="774"/>
      <c r="HFV133" s="774"/>
      <c r="HFW133" s="774"/>
      <c r="HFX133" s="774"/>
      <c r="HFY133" s="774"/>
      <c r="HFZ133" s="774"/>
      <c r="HGA133" s="774"/>
      <c r="HGB133" s="774"/>
      <c r="HGC133" s="774"/>
      <c r="HGD133" s="774"/>
      <c r="HGE133" s="774"/>
      <c r="HGF133" s="774"/>
      <c r="HGG133" s="774"/>
      <c r="HGH133" s="774"/>
      <c r="HGI133" s="774"/>
      <c r="HGJ133" s="774"/>
      <c r="HGK133" s="774"/>
      <c r="HGL133" s="774"/>
      <c r="HGM133" s="774"/>
      <c r="HGN133" s="774"/>
      <c r="HGO133" s="774"/>
      <c r="HGP133" s="774"/>
      <c r="HGQ133" s="774"/>
      <c r="HGR133" s="774"/>
      <c r="HGS133" s="774"/>
      <c r="HGT133" s="774"/>
      <c r="HGU133" s="774"/>
      <c r="HGV133" s="774"/>
      <c r="HGW133" s="774"/>
      <c r="HGX133" s="774"/>
      <c r="HGY133" s="774"/>
      <c r="HGZ133" s="774"/>
      <c r="HHA133" s="774"/>
      <c r="HHB133" s="774"/>
      <c r="HHC133" s="774"/>
      <c r="HHD133" s="774"/>
      <c r="HHE133" s="774"/>
      <c r="HHF133" s="774"/>
      <c r="HHG133" s="774"/>
      <c r="HHH133" s="774"/>
      <c r="HHI133" s="774"/>
      <c r="HHJ133" s="774"/>
      <c r="HHK133" s="774"/>
      <c r="HHL133" s="774"/>
      <c r="HHM133" s="774"/>
      <c r="HHN133" s="774"/>
      <c r="HHO133" s="774"/>
      <c r="HHP133" s="774"/>
      <c r="HHQ133" s="774"/>
      <c r="HHR133" s="774"/>
      <c r="HHS133" s="774"/>
      <c r="HHT133" s="774"/>
      <c r="HHU133" s="774"/>
      <c r="HHV133" s="774"/>
      <c r="HHW133" s="774"/>
      <c r="HHX133" s="774"/>
      <c r="HHY133" s="774"/>
      <c r="HHZ133" s="774"/>
      <c r="HIA133" s="774"/>
      <c r="HIB133" s="774"/>
      <c r="HIC133" s="774"/>
      <c r="HID133" s="774"/>
      <c r="HIE133" s="774"/>
      <c r="HIF133" s="774"/>
      <c r="HIG133" s="774"/>
      <c r="HIH133" s="774"/>
      <c r="HII133" s="774"/>
      <c r="HIJ133" s="774"/>
      <c r="HIK133" s="774"/>
      <c r="HIL133" s="774"/>
      <c r="HIM133" s="774"/>
      <c r="HIN133" s="774"/>
      <c r="HIO133" s="774"/>
      <c r="HIP133" s="774"/>
      <c r="HIQ133" s="774"/>
      <c r="HIR133" s="774"/>
      <c r="HIS133" s="774"/>
      <c r="HIT133" s="774"/>
      <c r="HIU133" s="774"/>
      <c r="HIV133" s="774"/>
      <c r="HIW133" s="774"/>
      <c r="HIX133" s="774"/>
      <c r="HIY133" s="774"/>
      <c r="HIZ133" s="774"/>
      <c r="HJA133" s="774"/>
      <c r="HJB133" s="774"/>
      <c r="HJC133" s="774"/>
      <c r="HJD133" s="774"/>
      <c r="HJE133" s="774"/>
      <c r="HJF133" s="774"/>
      <c r="HJG133" s="774"/>
      <c r="HJH133" s="774"/>
      <c r="HJI133" s="774"/>
      <c r="HJJ133" s="774"/>
      <c r="HJK133" s="774"/>
      <c r="HJL133" s="774"/>
      <c r="HJM133" s="774"/>
      <c r="HJN133" s="774"/>
      <c r="HJO133" s="774"/>
      <c r="HJP133" s="774"/>
      <c r="HJQ133" s="774"/>
      <c r="HJR133" s="774"/>
      <c r="HJS133" s="774"/>
      <c r="HJT133" s="774"/>
      <c r="HJU133" s="774"/>
      <c r="HJV133" s="774"/>
      <c r="HJW133" s="774"/>
      <c r="HJX133" s="774"/>
      <c r="HJY133" s="774"/>
      <c r="HJZ133" s="774"/>
      <c r="HKA133" s="774"/>
      <c r="HKB133" s="774"/>
      <c r="HKC133" s="774"/>
      <c r="HKD133" s="774"/>
      <c r="HKE133" s="774"/>
      <c r="HKF133" s="774"/>
      <c r="HKG133" s="774"/>
      <c r="HKH133" s="774"/>
      <c r="HKI133" s="774"/>
      <c r="HKJ133" s="774"/>
      <c r="HKK133" s="774"/>
      <c r="HKL133" s="774"/>
      <c r="HKM133" s="774"/>
      <c r="HKN133" s="774"/>
      <c r="HKO133" s="774"/>
      <c r="HKP133" s="774"/>
      <c r="HKQ133" s="774"/>
      <c r="HKR133" s="774"/>
      <c r="HKS133" s="774"/>
      <c r="HKT133" s="774"/>
      <c r="HKU133" s="774"/>
      <c r="HKV133" s="774"/>
      <c r="HKW133" s="774"/>
      <c r="HKX133" s="774"/>
      <c r="HKY133" s="774"/>
      <c r="HKZ133" s="774"/>
      <c r="HLA133" s="774"/>
      <c r="HLB133" s="774"/>
      <c r="HLC133" s="774"/>
      <c r="HLD133" s="774"/>
      <c r="HLE133" s="774"/>
      <c r="HLF133" s="774"/>
      <c r="HLG133" s="774"/>
      <c r="HLH133" s="774"/>
      <c r="HLI133" s="774"/>
      <c r="HLJ133" s="774"/>
      <c r="HLK133" s="774"/>
      <c r="HLL133" s="774"/>
      <c r="HLM133" s="774"/>
      <c r="HLN133" s="774"/>
      <c r="HLO133" s="774"/>
      <c r="HLP133" s="774"/>
      <c r="HLQ133" s="774"/>
      <c r="HLR133" s="774"/>
      <c r="HLS133" s="774"/>
      <c r="HLT133" s="774"/>
      <c r="HLU133" s="774"/>
      <c r="HLV133" s="774"/>
      <c r="HLW133" s="774"/>
      <c r="HLX133" s="774"/>
      <c r="HLY133" s="774"/>
      <c r="HLZ133" s="774"/>
      <c r="HMA133" s="774"/>
      <c r="HMB133" s="774"/>
      <c r="HMC133" s="774"/>
      <c r="HMD133" s="774"/>
      <c r="HME133" s="774"/>
      <c r="HMF133" s="774"/>
      <c r="HMG133" s="774"/>
      <c r="HMH133" s="774"/>
      <c r="HMI133" s="774"/>
      <c r="HMJ133" s="774"/>
      <c r="HMK133" s="774"/>
      <c r="HML133" s="774"/>
      <c r="HMM133" s="774"/>
      <c r="HMN133" s="774"/>
      <c r="HMO133" s="774"/>
      <c r="HMP133" s="774"/>
      <c r="HMQ133" s="774"/>
      <c r="HMR133" s="774"/>
      <c r="HMS133" s="774"/>
      <c r="HMT133" s="774"/>
      <c r="HMU133" s="774"/>
      <c r="HMV133" s="774"/>
      <c r="HMW133" s="774"/>
      <c r="HMX133" s="774"/>
      <c r="HMY133" s="774"/>
      <c r="HMZ133" s="774"/>
      <c r="HNA133" s="774"/>
      <c r="HNB133" s="774"/>
      <c r="HNC133" s="774"/>
      <c r="HND133" s="774"/>
      <c r="HNE133" s="774"/>
      <c r="HNF133" s="774"/>
      <c r="HNG133" s="774"/>
      <c r="HNH133" s="774"/>
      <c r="HNI133" s="774"/>
      <c r="HNJ133" s="774"/>
      <c r="HNK133" s="774"/>
      <c r="HNL133" s="774"/>
      <c r="HNM133" s="774"/>
      <c r="HNN133" s="774"/>
      <c r="HNO133" s="774"/>
      <c r="HNP133" s="774"/>
      <c r="HNQ133" s="774"/>
      <c r="HNR133" s="774"/>
      <c r="HNS133" s="774"/>
      <c r="HNT133" s="774"/>
      <c r="HNU133" s="774"/>
      <c r="HNV133" s="774"/>
      <c r="HNW133" s="774"/>
      <c r="HNX133" s="774"/>
      <c r="HNY133" s="774"/>
      <c r="HNZ133" s="774"/>
      <c r="HOA133" s="774"/>
      <c r="HOB133" s="774"/>
      <c r="HOC133" s="774"/>
      <c r="HOD133" s="774"/>
      <c r="HOE133" s="774"/>
      <c r="HOF133" s="774"/>
      <c r="HOG133" s="774"/>
      <c r="HOH133" s="774"/>
      <c r="HOI133" s="774"/>
      <c r="HOJ133" s="774"/>
      <c r="HOK133" s="774"/>
      <c r="HOL133" s="774"/>
      <c r="HOM133" s="774"/>
      <c r="HON133" s="774"/>
      <c r="HOO133" s="774"/>
      <c r="HOP133" s="774"/>
      <c r="HOQ133" s="774"/>
      <c r="HOR133" s="774"/>
      <c r="HOS133" s="774"/>
      <c r="HOT133" s="774"/>
      <c r="HOU133" s="774"/>
      <c r="HOV133" s="774"/>
      <c r="HOW133" s="774"/>
      <c r="HOX133" s="774"/>
      <c r="HOY133" s="774"/>
      <c r="HOZ133" s="774"/>
      <c r="HPA133" s="774"/>
      <c r="HPB133" s="774"/>
      <c r="HPC133" s="774"/>
      <c r="HPD133" s="774"/>
      <c r="HPE133" s="774"/>
      <c r="HPF133" s="774"/>
      <c r="HPG133" s="774"/>
      <c r="HPH133" s="774"/>
      <c r="HPI133" s="774"/>
      <c r="HPJ133" s="774"/>
      <c r="HPK133" s="774"/>
      <c r="HPL133" s="774"/>
      <c r="HPM133" s="774"/>
      <c r="HPN133" s="774"/>
      <c r="HPO133" s="774"/>
      <c r="HPP133" s="774"/>
      <c r="HPQ133" s="774"/>
      <c r="HPR133" s="774"/>
      <c r="HPS133" s="774"/>
      <c r="HPT133" s="774"/>
      <c r="HPU133" s="774"/>
      <c r="HPV133" s="774"/>
      <c r="HPW133" s="774"/>
      <c r="HPX133" s="774"/>
      <c r="HPY133" s="774"/>
      <c r="HPZ133" s="774"/>
      <c r="HQA133" s="774"/>
      <c r="HQB133" s="774"/>
      <c r="HQC133" s="774"/>
      <c r="HQD133" s="774"/>
      <c r="HQE133" s="774"/>
      <c r="HQF133" s="774"/>
      <c r="HQG133" s="774"/>
      <c r="HQH133" s="774"/>
      <c r="HQI133" s="774"/>
      <c r="HQJ133" s="774"/>
      <c r="HQK133" s="774"/>
      <c r="HQL133" s="774"/>
      <c r="HQM133" s="774"/>
      <c r="HQN133" s="774"/>
      <c r="HQO133" s="774"/>
      <c r="HQP133" s="774"/>
      <c r="HQQ133" s="774"/>
      <c r="HQR133" s="774"/>
      <c r="HQS133" s="774"/>
      <c r="HQT133" s="774"/>
      <c r="HQU133" s="774"/>
      <c r="HQV133" s="774"/>
      <c r="HQW133" s="774"/>
      <c r="HQX133" s="774"/>
      <c r="HQY133" s="774"/>
      <c r="HQZ133" s="774"/>
      <c r="HRA133" s="774"/>
      <c r="HRB133" s="774"/>
      <c r="HRC133" s="774"/>
      <c r="HRD133" s="774"/>
      <c r="HRE133" s="774"/>
      <c r="HRF133" s="774"/>
      <c r="HRG133" s="774"/>
      <c r="HRH133" s="774"/>
      <c r="HRI133" s="774"/>
      <c r="HRJ133" s="774"/>
      <c r="HRK133" s="774"/>
      <c r="HRL133" s="774"/>
      <c r="HRM133" s="774"/>
      <c r="HRN133" s="774"/>
      <c r="HRO133" s="774"/>
      <c r="HRP133" s="774"/>
      <c r="HRQ133" s="774"/>
      <c r="HRR133" s="774"/>
      <c r="HRS133" s="774"/>
      <c r="HRT133" s="774"/>
      <c r="HRU133" s="774"/>
      <c r="HRV133" s="774"/>
      <c r="HRW133" s="774"/>
      <c r="HRX133" s="774"/>
      <c r="HRY133" s="774"/>
      <c r="HRZ133" s="774"/>
      <c r="HSA133" s="774"/>
      <c r="HSB133" s="774"/>
      <c r="HSC133" s="774"/>
      <c r="HSD133" s="774"/>
      <c r="HSE133" s="774"/>
      <c r="HSF133" s="774"/>
      <c r="HSG133" s="774"/>
      <c r="HSH133" s="774"/>
      <c r="HSI133" s="774"/>
      <c r="HSJ133" s="774"/>
      <c r="HSK133" s="774"/>
      <c r="HSL133" s="774"/>
      <c r="HSM133" s="774"/>
      <c r="HSN133" s="774"/>
      <c r="HSO133" s="774"/>
      <c r="HSP133" s="774"/>
      <c r="HSQ133" s="774"/>
      <c r="HSR133" s="774"/>
      <c r="HSS133" s="774"/>
      <c r="HST133" s="774"/>
      <c r="HSU133" s="774"/>
      <c r="HSV133" s="774"/>
      <c r="HSW133" s="774"/>
      <c r="HSX133" s="774"/>
      <c r="HSY133" s="774"/>
      <c r="HSZ133" s="774"/>
      <c r="HTA133" s="774"/>
      <c r="HTB133" s="774"/>
      <c r="HTC133" s="774"/>
      <c r="HTD133" s="774"/>
      <c r="HTE133" s="774"/>
      <c r="HTF133" s="774"/>
      <c r="HTG133" s="774"/>
      <c r="HTH133" s="774"/>
      <c r="HTI133" s="774"/>
      <c r="HTJ133" s="774"/>
      <c r="HTK133" s="774"/>
      <c r="HTL133" s="774"/>
      <c r="HTM133" s="774"/>
      <c r="HTN133" s="774"/>
      <c r="HTO133" s="774"/>
      <c r="HTP133" s="774"/>
      <c r="HTQ133" s="774"/>
      <c r="HTR133" s="774"/>
      <c r="HTS133" s="774"/>
      <c r="HTT133" s="774"/>
      <c r="HTU133" s="774"/>
      <c r="HTV133" s="774"/>
      <c r="HTW133" s="774"/>
      <c r="HTX133" s="774"/>
      <c r="HTY133" s="774"/>
      <c r="HTZ133" s="774"/>
      <c r="HUA133" s="774"/>
      <c r="HUB133" s="774"/>
      <c r="HUC133" s="774"/>
      <c r="HUD133" s="774"/>
      <c r="HUE133" s="774"/>
      <c r="HUF133" s="774"/>
      <c r="HUG133" s="774"/>
      <c r="HUH133" s="774"/>
      <c r="HUI133" s="774"/>
      <c r="HUJ133" s="774"/>
      <c r="HUK133" s="774"/>
      <c r="HUL133" s="774"/>
      <c r="HUM133" s="774"/>
      <c r="HUN133" s="774"/>
      <c r="HUO133" s="774"/>
      <c r="HUP133" s="774"/>
      <c r="HUQ133" s="774"/>
      <c r="HUR133" s="774"/>
      <c r="HUS133" s="774"/>
      <c r="HUT133" s="774"/>
      <c r="HUU133" s="774"/>
      <c r="HUV133" s="774"/>
      <c r="HUW133" s="774"/>
      <c r="HUX133" s="774"/>
      <c r="HUY133" s="774"/>
      <c r="HUZ133" s="774"/>
      <c r="HVA133" s="774"/>
      <c r="HVB133" s="774"/>
      <c r="HVC133" s="774"/>
      <c r="HVD133" s="774"/>
      <c r="HVE133" s="774"/>
      <c r="HVF133" s="774"/>
      <c r="HVG133" s="774"/>
      <c r="HVH133" s="774"/>
      <c r="HVI133" s="774"/>
      <c r="HVJ133" s="774"/>
      <c r="HVK133" s="774"/>
      <c r="HVL133" s="774"/>
      <c r="HVM133" s="774"/>
      <c r="HVN133" s="774"/>
      <c r="HVO133" s="774"/>
      <c r="HVP133" s="774"/>
      <c r="HVQ133" s="774"/>
      <c r="HVR133" s="774"/>
      <c r="HVS133" s="774"/>
      <c r="HVT133" s="774"/>
      <c r="HVU133" s="774"/>
      <c r="HVV133" s="774"/>
      <c r="HVW133" s="774"/>
      <c r="HVX133" s="774"/>
      <c r="HVY133" s="774"/>
      <c r="HVZ133" s="774"/>
      <c r="HWA133" s="774"/>
      <c r="HWB133" s="774"/>
      <c r="HWC133" s="774"/>
      <c r="HWD133" s="774"/>
      <c r="HWE133" s="774"/>
      <c r="HWF133" s="774"/>
      <c r="HWG133" s="774"/>
      <c r="HWH133" s="774"/>
      <c r="HWI133" s="774"/>
      <c r="HWJ133" s="774"/>
      <c r="HWK133" s="774"/>
      <c r="HWL133" s="774"/>
      <c r="HWM133" s="774"/>
      <c r="HWN133" s="774"/>
      <c r="HWO133" s="774"/>
      <c r="HWP133" s="774"/>
      <c r="HWQ133" s="774"/>
      <c r="HWR133" s="774"/>
      <c r="HWS133" s="774"/>
      <c r="HWT133" s="774"/>
      <c r="HWU133" s="774"/>
      <c r="HWV133" s="774"/>
      <c r="HWW133" s="774"/>
      <c r="HWX133" s="774"/>
      <c r="HWY133" s="774"/>
      <c r="HWZ133" s="774"/>
      <c r="HXA133" s="774"/>
      <c r="HXB133" s="774"/>
      <c r="HXC133" s="774"/>
      <c r="HXD133" s="774"/>
      <c r="HXE133" s="774"/>
      <c r="HXF133" s="774"/>
      <c r="HXG133" s="774"/>
      <c r="HXH133" s="774"/>
      <c r="HXI133" s="774"/>
      <c r="HXJ133" s="774"/>
      <c r="HXK133" s="774"/>
      <c r="HXL133" s="774"/>
      <c r="HXM133" s="774"/>
      <c r="HXN133" s="774"/>
      <c r="HXO133" s="774"/>
      <c r="HXP133" s="774"/>
      <c r="HXQ133" s="774"/>
      <c r="HXR133" s="774"/>
      <c r="HXS133" s="774"/>
      <c r="HXT133" s="774"/>
      <c r="HXU133" s="774"/>
      <c r="HXV133" s="774"/>
      <c r="HXW133" s="774"/>
      <c r="HXX133" s="774"/>
      <c r="HXY133" s="774"/>
      <c r="HXZ133" s="774"/>
      <c r="HYA133" s="774"/>
      <c r="HYB133" s="774"/>
      <c r="HYC133" s="774"/>
      <c r="HYD133" s="774"/>
      <c r="HYE133" s="774"/>
      <c r="HYF133" s="774"/>
      <c r="HYG133" s="774"/>
      <c r="HYH133" s="774"/>
      <c r="HYI133" s="774"/>
      <c r="HYJ133" s="774"/>
      <c r="HYK133" s="774"/>
      <c r="HYL133" s="774"/>
      <c r="HYM133" s="774"/>
      <c r="HYN133" s="774"/>
      <c r="HYO133" s="774"/>
      <c r="HYP133" s="774"/>
      <c r="HYQ133" s="774"/>
      <c r="HYR133" s="774"/>
      <c r="HYS133" s="774"/>
      <c r="HYT133" s="774"/>
      <c r="HYU133" s="774"/>
      <c r="HYV133" s="774"/>
      <c r="HYW133" s="774"/>
      <c r="HYX133" s="774"/>
      <c r="HYY133" s="774"/>
      <c r="HYZ133" s="774"/>
      <c r="HZA133" s="774"/>
      <c r="HZB133" s="774"/>
      <c r="HZC133" s="774"/>
      <c r="HZD133" s="774"/>
      <c r="HZE133" s="774"/>
      <c r="HZF133" s="774"/>
      <c r="HZG133" s="774"/>
      <c r="HZH133" s="774"/>
      <c r="HZI133" s="774"/>
      <c r="HZJ133" s="774"/>
      <c r="HZK133" s="774"/>
      <c r="HZL133" s="774"/>
      <c r="HZM133" s="774"/>
      <c r="HZN133" s="774"/>
      <c r="HZO133" s="774"/>
      <c r="HZP133" s="774"/>
      <c r="HZQ133" s="774"/>
      <c r="HZR133" s="774"/>
      <c r="HZS133" s="774"/>
      <c r="HZT133" s="774"/>
      <c r="HZU133" s="774"/>
      <c r="HZV133" s="774"/>
      <c r="HZW133" s="774"/>
      <c r="HZX133" s="774"/>
      <c r="HZY133" s="774"/>
      <c r="HZZ133" s="774"/>
      <c r="IAA133" s="774"/>
      <c r="IAB133" s="774"/>
      <c r="IAC133" s="774"/>
      <c r="IAD133" s="774"/>
      <c r="IAE133" s="774"/>
      <c r="IAF133" s="774"/>
      <c r="IAG133" s="774"/>
      <c r="IAH133" s="774"/>
      <c r="IAI133" s="774"/>
      <c r="IAJ133" s="774"/>
      <c r="IAK133" s="774"/>
      <c r="IAL133" s="774"/>
      <c r="IAM133" s="774"/>
      <c r="IAN133" s="774"/>
      <c r="IAO133" s="774"/>
      <c r="IAP133" s="774"/>
      <c r="IAQ133" s="774"/>
      <c r="IAR133" s="774"/>
      <c r="IAS133" s="774"/>
      <c r="IAT133" s="774"/>
      <c r="IAU133" s="774"/>
      <c r="IAV133" s="774"/>
      <c r="IAW133" s="774"/>
      <c r="IAX133" s="774"/>
      <c r="IAY133" s="774"/>
      <c r="IAZ133" s="774"/>
      <c r="IBA133" s="774"/>
      <c r="IBB133" s="774"/>
      <c r="IBC133" s="774"/>
      <c r="IBD133" s="774"/>
      <c r="IBE133" s="774"/>
      <c r="IBF133" s="774"/>
      <c r="IBG133" s="774"/>
      <c r="IBH133" s="774"/>
      <c r="IBI133" s="774"/>
      <c r="IBJ133" s="774"/>
      <c r="IBK133" s="774"/>
      <c r="IBL133" s="774"/>
      <c r="IBM133" s="774"/>
      <c r="IBN133" s="774"/>
      <c r="IBO133" s="774"/>
      <c r="IBP133" s="774"/>
      <c r="IBQ133" s="774"/>
      <c r="IBR133" s="774"/>
      <c r="IBS133" s="774"/>
      <c r="IBT133" s="774"/>
      <c r="IBU133" s="774"/>
      <c r="IBV133" s="774"/>
      <c r="IBW133" s="774"/>
      <c r="IBX133" s="774"/>
      <c r="IBY133" s="774"/>
      <c r="IBZ133" s="774"/>
      <c r="ICA133" s="774"/>
      <c r="ICB133" s="774"/>
      <c r="ICC133" s="774"/>
      <c r="ICD133" s="774"/>
      <c r="ICE133" s="774"/>
      <c r="ICF133" s="774"/>
      <c r="ICG133" s="774"/>
      <c r="ICH133" s="774"/>
      <c r="ICI133" s="774"/>
      <c r="ICJ133" s="774"/>
      <c r="ICK133" s="774"/>
      <c r="ICL133" s="774"/>
      <c r="ICM133" s="774"/>
      <c r="ICN133" s="774"/>
      <c r="ICO133" s="774"/>
      <c r="ICP133" s="774"/>
      <c r="ICQ133" s="774"/>
      <c r="ICR133" s="774"/>
      <c r="ICS133" s="774"/>
      <c r="ICT133" s="774"/>
      <c r="ICU133" s="774"/>
      <c r="ICV133" s="774"/>
      <c r="ICW133" s="774"/>
      <c r="ICX133" s="774"/>
      <c r="ICY133" s="774"/>
      <c r="ICZ133" s="774"/>
      <c r="IDA133" s="774"/>
      <c r="IDB133" s="774"/>
      <c r="IDC133" s="774"/>
      <c r="IDD133" s="774"/>
      <c r="IDE133" s="774"/>
      <c r="IDF133" s="774"/>
      <c r="IDG133" s="774"/>
      <c r="IDH133" s="774"/>
      <c r="IDI133" s="774"/>
      <c r="IDJ133" s="774"/>
      <c r="IDK133" s="774"/>
      <c r="IDL133" s="774"/>
      <c r="IDM133" s="774"/>
      <c r="IDN133" s="774"/>
      <c r="IDO133" s="774"/>
      <c r="IDP133" s="774"/>
      <c r="IDQ133" s="774"/>
      <c r="IDR133" s="774"/>
      <c r="IDS133" s="774"/>
      <c r="IDT133" s="774"/>
      <c r="IDU133" s="774"/>
      <c r="IDV133" s="774"/>
      <c r="IDW133" s="774"/>
      <c r="IDX133" s="774"/>
      <c r="IDY133" s="774"/>
      <c r="IDZ133" s="774"/>
      <c r="IEA133" s="774"/>
      <c r="IEB133" s="774"/>
      <c r="IEC133" s="774"/>
      <c r="IED133" s="774"/>
      <c r="IEE133" s="774"/>
      <c r="IEF133" s="774"/>
      <c r="IEG133" s="774"/>
      <c r="IEH133" s="774"/>
      <c r="IEI133" s="774"/>
      <c r="IEJ133" s="774"/>
      <c r="IEK133" s="774"/>
      <c r="IEL133" s="774"/>
      <c r="IEM133" s="774"/>
      <c r="IEN133" s="774"/>
      <c r="IEO133" s="774"/>
      <c r="IEP133" s="774"/>
      <c r="IEQ133" s="774"/>
      <c r="IER133" s="774"/>
      <c r="IES133" s="774"/>
      <c r="IET133" s="774"/>
      <c r="IEU133" s="774"/>
      <c r="IEV133" s="774"/>
      <c r="IEW133" s="774"/>
      <c r="IEX133" s="774"/>
      <c r="IEY133" s="774"/>
      <c r="IEZ133" s="774"/>
      <c r="IFA133" s="774"/>
      <c r="IFB133" s="774"/>
      <c r="IFC133" s="774"/>
      <c r="IFD133" s="774"/>
      <c r="IFE133" s="774"/>
      <c r="IFF133" s="774"/>
      <c r="IFG133" s="774"/>
      <c r="IFH133" s="774"/>
      <c r="IFI133" s="774"/>
      <c r="IFJ133" s="774"/>
      <c r="IFK133" s="774"/>
      <c r="IFL133" s="774"/>
      <c r="IFM133" s="774"/>
      <c r="IFN133" s="774"/>
      <c r="IFO133" s="774"/>
      <c r="IFP133" s="774"/>
      <c r="IFQ133" s="774"/>
      <c r="IFR133" s="774"/>
      <c r="IFS133" s="774"/>
      <c r="IFT133" s="774"/>
      <c r="IFU133" s="774"/>
      <c r="IFV133" s="774"/>
      <c r="IFW133" s="774"/>
      <c r="IFX133" s="774"/>
      <c r="IFY133" s="774"/>
      <c r="IFZ133" s="774"/>
      <c r="IGA133" s="774"/>
      <c r="IGB133" s="774"/>
      <c r="IGC133" s="774"/>
      <c r="IGD133" s="774"/>
      <c r="IGE133" s="774"/>
      <c r="IGF133" s="774"/>
      <c r="IGG133" s="774"/>
      <c r="IGH133" s="774"/>
      <c r="IGI133" s="774"/>
      <c r="IGJ133" s="774"/>
      <c r="IGK133" s="774"/>
      <c r="IGL133" s="774"/>
      <c r="IGM133" s="774"/>
      <c r="IGN133" s="774"/>
      <c r="IGO133" s="774"/>
      <c r="IGP133" s="774"/>
      <c r="IGQ133" s="774"/>
      <c r="IGR133" s="774"/>
      <c r="IGS133" s="774"/>
      <c r="IGT133" s="774"/>
      <c r="IGU133" s="774"/>
      <c r="IGV133" s="774"/>
      <c r="IGW133" s="774"/>
      <c r="IGX133" s="774"/>
      <c r="IGY133" s="774"/>
      <c r="IGZ133" s="774"/>
      <c r="IHA133" s="774"/>
      <c r="IHB133" s="774"/>
      <c r="IHC133" s="774"/>
      <c r="IHD133" s="774"/>
      <c r="IHE133" s="774"/>
      <c r="IHF133" s="774"/>
      <c r="IHG133" s="774"/>
      <c r="IHH133" s="774"/>
      <c r="IHI133" s="774"/>
      <c r="IHJ133" s="774"/>
      <c r="IHK133" s="774"/>
      <c r="IHL133" s="774"/>
      <c r="IHM133" s="774"/>
      <c r="IHN133" s="774"/>
      <c r="IHO133" s="774"/>
      <c r="IHP133" s="774"/>
      <c r="IHQ133" s="774"/>
      <c r="IHR133" s="774"/>
      <c r="IHS133" s="774"/>
      <c r="IHT133" s="774"/>
      <c r="IHU133" s="774"/>
      <c r="IHV133" s="774"/>
      <c r="IHW133" s="774"/>
      <c r="IHX133" s="774"/>
      <c r="IHY133" s="774"/>
      <c r="IHZ133" s="774"/>
      <c r="IIA133" s="774"/>
      <c r="IIB133" s="774"/>
      <c r="IIC133" s="774"/>
      <c r="IID133" s="774"/>
      <c r="IIE133" s="774"/>
      <c r="IIF133" s="774"/>
      <c r="IIG133" s="774"/>
      <c r="IIH133" s="774"/>
      <c r="III133" s="774"/>
      <c r="IIJ133" s="774"/>
      <c r="IIK133" s="774"/>
      <c r="IIL133" s="774"/>
      <c r="IIM133" s="774"/>
      <c r="IIN133" s="774"/>
      <c r="IIO133" s="774"/>
      <c r="IIP133" s="774"/>
      <c r="IIQ133" s="774"/>
      <c r="IIR133" s="774"/>
      <c r="IIS133" s="774"/>
      <c r="IIT133" s="774"/>
      <c r="IIU133" s="774"/>
      <c r="IIV133" s="774"/>
      <c r="IIW133" s="774"/>
      <c r="IIX133" s="774"/>
      <c r="IIY133" s="774"/>
      <c r="IIZ133" s="774"/>
      <c r="IJA133" s="774"/>
      <c r="IJB133" s="774"/>
      <c r="IJC133" s="774"/>
      <c r="IJD133" s="774"/>
      <c r="IJE133" s="774"/>
      <c r="IJF133" s="774"/>
      <c r="IJG133" s="774"/>
      <c r="IJH133" s="774"/>
      <c r="IJI133" s="774"/>
      <c r="IJJ133" s="774"/>
      <c r="IJK133" s="774"/>
      <c r="IJL133" s="774"/>
      <c r="IJM133" s="774"/>
      <c r="IJN133" s="774"/>
      <c r="IJO133" s="774"/>
      <c r="IJP133" s="774"/>
      <c r="IJQ133" s="774"/>
      <c r="IJR133" s="774"/>
      <c r="IJS133" s="774"/>
      <c r="IJT133" s="774"/>
      <c r="IJU133" s="774"/>
      <c r="IJV133" s="774"/>
      <c r="IJW133" s="774"/>
      <c r="IJX133" s="774"/>
      <c r="IJY133" s="774"/>
      <c r="IJZ133" s="774"/>
      <c r="IKA133" s="774"/>
      <c r="IKB133" s="774"/>
      <c r="IKC133" s="774"/>
      <c r="IKD133" s="774"/>
      <c r="IKE133" s="774"/>
      <c r="IKF133" s="774"/>
      <c r="IKG133" s="774"/>
      <c r="IKH133" s="774"/>
      <c r="IKI133" s="774"/>
      <c r="IKJ133" s="774"/>
      <c r="IKK133" s="774"/>
      <c r="IKL133" s="774"/>
      <c r="IKM133" s="774"/>
      <c r="IKN133" s="774"/>
      <c r="IKO133" s="774"/>
      <c r="IKP133" s="774"/>
      <c r="IKQ133" s="774"/>
      <c r="IKR133" s="774"/>
      <c r="IKS133" s="774"/>
      <c r="IKT133" s="774"/>
      <c r="IKU133" s="774"/>
      <c r="IKV133" s="774"/>
      <c r="IKW133" s="774"/>
      <c r="IKX133" s="774"/>
      <c r="IKY133" s="774"/>
      <c r="IKZ133" s="774"/>
      <c r="ILA133" s="774"/>
      <c r="ILB133" s="774"/>
      <c r="ILC133" s="774"/>
      <c r="ILD133" s="774"/>
      <c r="ILE133" s="774"/>
      <c r="ILF133" s="774"/>
      <c r="ILG133" s="774"/>
      <c r="ILH133" s="774"/>
      <c r="ILI133" s="774"/>
      <c r="ILJ133" s="774"/>
      <c r="ILK133" s="774"/>
      <c r="ILL133" s="774"/>
      <c r="ILM133" s="774"/>
      <c r="ILN133" s="774"/>
      <c r="ILO133" s="774"/>
      <c r="ILP133" s="774"/>
      <c r="ILQ133" s="774"/>
      <c r="ILR133" s="774"/>
      <c r="ILS133" s="774"/>
      <c r="ILT133" s="774"/>
      <c r="ILU133" s="774"/>
      <c r="ILV133" s="774"/>
      <c r="ILW133" s="774"/>
      <c r="ILX133" s="774"/>
      <c r="ILY133" s="774"/>
      <c r="ILZ133" s="774"/>
      <c r="IMA133" s="774"/>
      <c r="IMB133" s="774"/>
      <c r="IMC133" s="774"/>
      <c r="IMD133" s="774"/>
      <c r="IME133" s="774"/>
      <c r="IMF133" s="774"/>
      <c r="IMG133" s="774"/>
      <c r="IMH133" s="774"/>
      <c r="IMI133" s="774"/>
      <c r="IMJ133" s="774"/>
      <c r="IMK133" s="774"/>
      <c r="IML133" s="774"/>
      <c r="IMM133" s="774"/>
      <c r="IMN133" s="774"/>
      <c r="IMO133" s="774"/>
      <c r="IMP133" s="774"/>
      <c r="IMQ133" s="774"/>
      <c r="IMR133" s="774"/>
      <c r="IMS133" s="774"/>
      <c r="IMT133" s="774"/>
      <c r="IMU133" s="774"/>
      <c r="IMV133" s="774"/>
      <c r="IMW133" s="774"/>
      <c r="IMX133" s="774"/>
      <c r="IMY133" s="774"/>
      <c r="IMZ133" s="774"/>
      <c r="INA133" s="774"/>
      <c r="INB133" s="774"/>
      <c r="INC133" s="774"/>
      <c r="IND133" s="774"/>
      <c r="INE133" s="774"/>
      <c r="INF133" s="774"/>
      <c r="ING133" s="774"/>
      <c r="INH133" s="774"/>
      <c r="INI133" s="774"/>
      <c r="INJ133" s="774"/>
      <c r="INK133" s="774"/>
      <c r="INL133" s="774"/>
      <c r="INM133" s="774"/>
      <c r="INN133" s="774"/>
      <c r="INO133" s="774"/>
      <c r="INP133" s="774"/>
      <c r="INQ133" s="774"/>
      <c r="INR133" s="774"/>
      <c r="INS133" s="774"/>
      <c r="INT133" s="774"/>
      <c r="INU133" s="774"/>
      <c r="INV133" s="774"/>
      <c r="INW133" s="774"/>
      <c r="INX133" s="774"/>
      <c r="INY133" s="774"/>
      <c r="INZ133" s="774"/>
      <c r="IOA133" s="774"/>
      <c r="IOB133" s="774"/>
      <c r="IOC133" s="774"/>
      <c r="IOD133" s="774"/>
      <c r="IOE133" s="774"/>
      <c r="IOF133" s="774"/>
      <c r="IOG133" s="774"/>
      <c r="IOH133" s="774"/>
      <c r="IOI133" s="774"/>
      <c r="IOJ133" s="774"/>
      <c r="IOK133" s="774"/>
      <c r="IOL133" s="774"/>
      <c r="IOM133" s="774"/>
      <c r="ION133" s="774"/>
      <c r="IOO133" s="774"/>
      <c r="IOP133" s="774"/>
      <c r="IOQ133" s="774"/>
      <c r="IOR133" s="774"/>
      <c r="IOS133" s="774"/>
      <c r="IOT133" s="774"/>
      <c r="IOU133" s="774"/>
      <c r="IOV133" s="774"/>
      <c r="IOW133" s="774"/>
      <c r="IOX133" s="774"/>
      <c r="IOY133" s="774"/>
      <c r="IOZ133" s="774"/>
      <c r="IPA133" s="774"/>
      <c r="IPB133" s="774"/>
      <c r="IPC133" s="774"/>
      <c r="IPD133" s="774"/>
      <c r="IPE133" s="774"/>
      <c r="IPF133" s="774"/>
      <c r="IPG133" s="774"/>
      <c r="IPH133" s="774"/>
      <c r="IPI133" s="774"/>
      <c r="IPJ133" s="774"/>
      <c r="IPK133" s="774"/>
      <c r="IPL133" s="774"/>
      <c r="IPM133" s="774"/>
      <c r="IPN133" s="774"/>
      <c r="IPO133" s="774"/>
      <c r="IPP133" s="774"/>
      <c r="IPQ133" s="774"/>
      <c r="IPR133" s="774"/>
      <c r="IPS133" s="774"/>
      <c r="IPT133" s="774"/>
      <c r="IPU133" s="774"/>
      <c r="IPV133" s="774"/>
      <c r="IPW133" s="774"/>
      <c r="IPX133" s="774"/>
      <c r="IPY133" s="774"/>
      <c r="IPZ133" s="774"/>
      <c r="IQA133" s="774"/>
      <c r="IQB133" s="774"/>
      <c r="IQC133" s="774"/>
      <c r="IQD133" s="774"/>
      <c r="IQE133" s="774"/>
      <c r="IQF133" s="774"/>
      <c r="IQG133" s="774"/>
      <c r="IQH133" s="774"/>
      <c r="IQI133" s="774"/>
      <c r="IQJ133" s="774"/>
      <c r="IQK133" s="774"/>
      <c r="IQL133" s="774"/>
      <c r="IQM133" s="774"/>
      <c r="IQN133" s="774"/>
      <c r="IQO133" s="774"/>
      <c r="IQP133" s="774"/>
      <c r="IQQ133" s="774"/>
      <c r="IQR133" s="774"/>
      <c r="IQS133" s="774"/>
      <c r="IQT133" s="774"/>
      <c r="IQU133" s="774"/>
      <c r="IQV133" s="774"/>
      <c r="IQW133" s="774"/>
      <c r="IQX133" s="774"/>
      <c r="IQY133" s="774"/>
      <c r="IQZ133" s="774"/>
      <c r="IRA133" s="774"/>
      <c r="IRB133" s="774"/>
      <c r="IRC133" s="774"/>
      <c r="IRD133" s="774"/>
      <c r="IRE133" s="774"/>
      <c r="IRF133" s="774"/>
      <c r="IRG133" s="774"/>
      <c r="IRH133" s="774"/>
      <c r="IRI133" s="774"/>
      <c r="IRJ133" s="774"/>
      <c r="IRK133" s="774"/>
      <c r="IRL133" s="774"/>
      <c r="IRM133" s="774"/>
      <c r="IRN133" s="774"/>
      <c r="IRO133" s="774"/>
      <c r="IRP133" s="774"/>
      <c r="IRQ133" s="774"/>
      <c r="IRR133" s="774"/>
      <c r="IRS133" s="774"/>
      <c r="IRT133" s="774"/>
      <c r="IRU133" s="774"/>
      <c r="IRV133" s="774"/>
      <c r="IRW133" s="774"/>
      <c r="IRX133" s="774"/>
      <c r="IRY133" s="774"/>
      <c r="IRZ133" s="774"/>
      <c r="ISA133" s="774"/>
      <c r="ISB133" s="774"/>
      <c r="ISC133" s="774"/>
      <c r="ISD133" s="774"/>
      <c r="ISE133" s="774"/>
      <c r="ISF133" s="774"/>
      <c r="ISG133" s="774"/>
      <c r="ISH133" s="774"/>
      <c r="ISI133" s="774"/>
      <c r="ISJ133" s="774"/>
      <c r="ISK133" s="774"/>
      <c r="ISL133" s="774"/>
      <c r="ISM133" s="774"/>
      <c r="ISN133" s="774"/>
      <c r="ISO133" s="774"/>
      <c r="ISP133" s="774"/>
      <c r="ISQ133" s="774"/>
      <c r="ISR133" s="774"/>
      <c r="ISS133" s="774"/>
      <c r="IST133" s="774"/>
      <c r="ISU133" s="774"/>
      <c r="ISV133" s="774"/>
      <c r="ISW133" s="774"/>
      <c r="ISX133" s="774"/>
      <c r="ISY133" s="774"/>
      <c r="ISZ133" s="774"/>
      <c r="ITA133" s="774"/>
      <c r="ITB133" s="774"/>
      <c r="ITC133" s="774"/>
      <c r="ITD133" s="774"/>
      <c r="ITE133" s="774"/>
      <c r="ITF133" s="774"/>
      <c r="ITG133" s="774"/>
      <c r="ITH133" s="774"/>
      <c r="ITI133" s="774"/>
      <c r="ITJ133" s="774"/>
      <c r="ITK133" s="774"/>
      <c r="ITL133" s="774"/>
      <c r="ITM133" s="774"/>
      <c r="ITN133" s="774"/>
      <c r="ITO133" s="774"/>
      <c r="ITP133" s="774"/>
      <c r="ITQ133" s="774"/>
      <c r="ITR133" s="774"/>
      <c r="ITS133" s="774"/>
      <c r="ITT133" s="774"/>
      <c r="ITU133" s="774"/>
      <c r="ITV133" s="774"/>
      <c r="ITW133" s="774"/>
      <c r="ITX133" s="774"/>
      <c r="ITY133" s="774"/>
      <c r="ITZ133" s="774"/>
      <c r="IUA133" s="774"/>
      <c r="IUB133" s="774"/>
      <c r="IUC133" s="774"/>
      <c r="IUD133" s="774"/>
      <c r="IUE133" s="774"/>
      <c r="IUF133" s="774"/>
      <c r="IUG133" s="774"/>
      <c r="IUH133" s="774"/>
      <c r="IUI133" s="774"/>
      <c r="IUJ133" s="774"/>
      <c r="IUK133" s="774"/>
      <c r="IUL133" s="774"/>
      <c r="IUM133" s="774"/>
      <c r="IUN133" s="774"/>
      <c r="IUO133" s="774"/>
      <c r="IUP133" s="774"/>
      <c r="IUQ133" s="774"/>
      <c r="IUR133" s="774"/>
      <c r="IUS133" s="774"/>
      <c r="IUT133" s="774"/>
      <c r="IUU133" s="774"/>
      <c r="IUV133" s="774"/>
      <c r="IUW133" s="774"/>
      <c r="IUX133" s="774"/>
      <c r="IUY133" s="774"/>
      <c r="IUZ133" s="774"/>
      <c r="IVA133" s="774"/>
      <c r="IVB133" s="774"/>
      <c r="IVC133" s="774"/>
      <c r="IVD133" s="774"/>
      <c r="IVE133" s="774"/>
      <c r="IVF133" s="774"/>
      <c r="IVG133" s="774"/>
      <c r="IVH133" s="774"/>
      <c r="IVI133" s="774"/>
      <c r="IVJ133" s="774"/>
      <c r="IVK133" s="774"/>
      <c r="IVL133" s="774"/>
      <c r="IVM133" s="774"/>
      <c r="IVN133" s="774"/>
      <c r="IVO133" s="774"/>
      <c r="IVP133" s="774"/>
      <c r="IVQ133" s="774"/>
      <c r="IVR133" s="774"/>
      <c r="IVS133" s="774"/>
      <c r="IVT133" s="774"/>
      <c r="IVU133" s="774"/>
      <c r="IVV133" s="774"/>
      <c r="IVW133" s="774"/>
      <c r="IVX133" s="774"/>
      <c r="IVY133" s="774"/>
      <c r="IVZ133" s="774"/>
      <c r="IWA133" s="774"/>
      <c r="IWB133" s="774"/>
      <c r="IWC133" s="774"/>
      <c r="IWD133" s="774"/>
      <c r="IWE133" s="774"/>
      <c r="IWF133" s="774"/>
      <c r="IWG133" s="774"/>
      <c r="IWH133" s="774"/>
      <c r="IWI133" s="774"/>
      <c r="IWJ133" s="774"/>
      <c r="IWK133" s="774"/>
      <c r="IWL133" s="774"/>
      <c r="IWM133" s="774"/>
      <c r="IWN133" s="774"/>
      <c r="IWO133" s="774"/>
      <c r="IWP133" s="774"/>
      <c r="IWQ133" s="774"/>
      <c r="IWR133" s="774"/>
      <c r="IWS133" s="774"/>
      <c r="IWT133" s="774"/>
      <c r="IWU133" s="774"/>
      <c r="IWV133" s="774"/>
      <c r="IWW133" s="774"/>
      <c r="IWX133" s="774"/>
      <c r="IWY133" s="774"/>
      <c r="IWZ133" s="774"/>
      <c r="IXA133" s="774"/>
      <c r="IXB133" s="774"/>
      <c r="IXC133" s="774"/>
      <c r="IXD133" s="774"/>
      <c r="IXE133" s="774"/>
      <c r="IXF133" s="774"/>
      <c r="IXG133" s="774"/>
      <c r="IXH133" s="774"/>
      <c r="IXI133" s="774"/>
      <c r="IXJ133" s="774"/>
      <c r="IXK133" s="774"/>
      <c r="IXL133" s="774"/>
      <c r="IXM133" s="774"/>
      <c r="IXN133" s="774"/>
      <c r="IXO133" s="774"/>
      <c r="IXP133" s="774"/>
      <c r="IXQ133" s="774"/>
      <c r="IXR133" s="774"/>
      <c r="IXS133" s="774"/>
      <c r="IXT133" s="774"/>
      <c r="IXU133" s="774"/>
      <c r="IXV133" s="774"/>
      <c r="IXW133" s="774"/>
      <c r="IXX133" s="774"/>
      <c r="IXY133" s="774"/>
      <c r="IXZ133" s="774"/>
      <c r="IYA133" s="774"/>
      <c r="IYB133" s="774"/>
      <c r="IYC133" s="774"/>
      <c r="IYD133" s="774"/>
      <c r="IYE133" s="774"/>
      <c r="IYF133" s="774"/>
      <c r="IYG133" s="774"/>
      <c r="IYH133" s="774"/>
      <c r="IYI133" s="774"/>
      <c r="IYJ133" s="774"/>
      <c r="IYK133" s="774"/>
      <c r="IYL133" s="774"/>
      <c r="IYM133" s="774"/>
      <c r="IYN133" s="774"/>
      <c r="IYO133" s="774"/>
      <c r="IYP133" s="774"/>
      <c r="IYQ133" s="774"/>
      <c r="IYR133" s="774"/>
      <c r="IYS133" s="774"/>
      <c r="IYT133" s="774"/>
      <c r="IYU133" s="774"/>
      <c r="IYV133" s="774"/>
      <c r="IYW133" s="774"/>
      <c r="IYX133" s="774"/>
      <c r="IYY133" s="774"/>
      <c r="IYZ133" s="774"/>
      <c r="IZA133" s="774"/>
      <c r="IZB133" s="774"/>
      <c r="IZC133" s="774"/>
      <c r="IZD133" s="774"/>
      <c r="IZE133" s="774"/>
      <c r="IZF133" s="774"/>
      <c r="IZG133" s="774"/>
      <c r="IZH133" s="774"/>
      <c r="IZI133" s="774"/>
      <c r="IZJ133" s="774"/>
      <c r="IZK133" s="774"/>
      <c r="IZL133" s="774"/>
      <c r="IZM133" s="774"/>
      <c r="IZN133" s="774"/>
      <c r="IZO133" s="774"/>
      <c r="IZP133" s="774"/>
      <c r="IZQ133" s="774"/>
      <c r="IZR133" s="774"/>
      <c r="IZS133" s="774"/>
      <c r="IZT133" s="774"/>
      <c r="IZU133" s="774"/>
      <c r="IZV133" s="774"/>
      <c r="IZW133" s="774"/>
      <c r="IZX133" s="774"/>
      <c r="IZY133" s="774"/>
      <c r="IZZ133" s="774"/>
      <c r="JAA133" s="774"/>
      <c r="JAB133" s="774"/>
      <c r="JAC133" s="774"/>
      <c r="JAD133" s="774"/>
      <c r="JAE133" s="774"/>
      <c r="JAF133" s="774"/>
      <c r="JAG133" s="774"/>
      <c r="JAH133" s="774"/>
      <c r="JAI133" s="774"/>
      <c r="JAJ133" s="774"/>
      <c r="JAK133" s="774"/>
      <c r="JAL133" s="774"/>
      <c r="JAM133" s="774"/>
      <c r="JAN133" s="774"/>
      <c r="JAO133" s="774"/>
      <c r="JAP133" s="774"/>
      <c r="JAQ133" s="774"/>
      <c r="JAR133" s="774"/>
      <c r="JAS133" s="774"/>
      <c r="JAT133" s="774"/>
      <c r="JAU133" s="774"/>
      <c r="JAV133" s="774"/>
      <c r="JAW133" s="774"/>
      <c r="JAX133" s="774"/>
      <c r="JAY133" s="774"/>
      <c r="JAZ133" s="774"/>
      <c r="JBA133" s="774"/>
      <c r="JBB133" s="774"/>
      <c r="JBC133" s="774"/>
      <c r="JBD133" s="774"/>
      <c r="JBE133" s="774"/>
      <c r="JBF133" s="774"/>
      <c r="JBG133" s="774"/>
      <c r="JBH133" s="774"/>
      <c r="JBI133" s="774"/>
      <c r="JBJ133" s="774"/>
      <c r="JBK133" s="774"/>
      <c r="JBL133" s="774"/>
      <c r="JBM133" s="774"/>
      <c r="JBN133" s="774"/>
      <c r="JBO133" s="774"/>
      <c r="JBP133" s="774"/>
      <c r="JBQ133" s="774"/>
      <c r="JBR133" s="774"/>
      <c r="JBS133" s="774"/>
      <c r="JBT133" s="774"/>
      <c r="JBU133" s="774"/>
      <c r="JBV133" s="774"/>
      <c r="JBW133" s="774"/>
      <c r="JBX133" s="774"/>
      <c r="JBY133" s="774"/>
      <c r="JBZ133" s="774"/>
      <c r="JCA133" s="774"/>
      <c r="JCB133" s="774"/>
      <c r="JCC133" s="774"/>
      <c r="JCD133" s="774"/>
      <c r="JCE133" s="774"/>
      <c r="JCF133" s="774"/>
      <c r="JCG133" s="774"/>
      <c r="JCH133" s="774"/>
      <c r="JCI133" s="774"/>
      <c r="JCJ133" s="774"/>
      <c r="JCK133" s="774"/>
      <c r="JCL133" s="774"/>
      <c r="JCM133" s="774"/>
      <c r="JCN133" s="774"/>
      <c r="JCO133" s="774"/>
      <c r="JCP133" s="774"/>
      <c r="JCQ133" s="774"/>
      <c r="JCR133" s="774"/>
      <c r="JCS133" s="774"/>
      <c r="JCT133" s="774"/>
      <c r="JCU133" s="774"/>
      <c r="JCV133" s="774"/>
      <c r="JCW133" s="774"/>
      <c r="JCX133" s="774"/>
      <c r="JCY133" s="774"/>
      <c r="JCZ133" s="774"/>
      <c r="JDA133" s="774"/>
      <c r="JDB133" s="774"/>
      <c r="JDC133" s="774"/>
      <c r="JDD133" s="774"/>
      <c r="JDE133" s="774"/>
      <c r="JDF133" s="774"/>
      <c r="JDG133" s="774"/>
      <c r="JDH133" s="774"/>
      <c r="JDI133" s="774"/>
      <c r="JDJ133" s="774"/>
      <c r="JDK133" s="774"/>
      <c r="JDL133" s="774"/>
      <c r="JDM133" s="774"/>
      <c r="JDN133" s="774"/>
      <c r="JDO133" s="774"/>
      <c r="JDP133" s="774"/>
      <c r="JDQ133" s="774"/>
      <c r="JDR133" s="774"/>
      <c r="JDS133" s="774"/>
      <c r="JDT133" s="774"/>
      <c r="JDU133" s="774"/>
      <c r="JDV133" s="774"/>
      <c r="JDW133" s="774"/>
      <c r="JDX133" s="774"/>
      <c r="JDY133" s="774"/>
      <c r="JDZ133" s="774"/>
      <c r="JEA133" s="774"/>
      <c r="JEB133" s="774"/>
      <c r="JEC133" s="774"/>
      <c r="JED133" s="774"/>
      <c r="JEE133" s="774"/>
      <c r="JEF133" s="774"/>
      <c r="JEG133" s="774"/>
      <c r="JEH133" s="774"/>
      <c r="JEI133" s="774"/>
      <c r="JEJ133" s="774"/>
      <c r="JEK133" s="774"/>
      <c r="JEL133" s="774"/>
      <c r="JEM133" s="774"/>
      <c r="JEN133" s="774"/>
      <c r="JEO133" s="774"/>
      <c r="JEP133" s="774"/>
      <c r="JEQ133" s="774"/>
      <c r="JER133" s="774"/>
      <c r="JES133" s="774"/>
      <c r="JET133" s="774"/>
      <c r="JEU133" s="774"/>
      <c r="JEV133" s="774"/>
      <c r="JEW133" s="774"/>
      <c r="JEX133" s="774"/>
      <c r="JEY133" s="774"/>
      <c r="JEZ133" s="774"/>
      <c r="JFA133" s="774"/>
      <c r="JFB133" s="774"/>
      <c r="JFC133" s="774"/>
      <c r="JFD133" s="774"/>
      <c r="JFE133" s="774"/>
      <c r="JFF133" s="774"/>
      <c r="JFG133" s="774"/>
      <c r="JFH133" s="774"/>
      <c r="JFI133" s="774"/>
      <c r="JFJ133" s="774"/>
      <c r="JFK133" s="774"/>
      <c r="JFL133" s="774"/>
      <c r="JFM133" s="774"/>
      <c r="JFN133" s="774"/>
      <c r="JFO133" s="774"/>
      <c r="JFP133" s="774"/>
      <c r="JFQ133" s="774"/>
      <c r="JFR133" s="774"/>
      <c r="JFS133" s="774"/>
      <c r="JFT133" s="774"/>
      <c r="JFU133" s="774"/>
      <c r="JFV133" s="774"/>
      <c r="JFW133" s="774"/>
      <c r="JFX133" s="774"/>
      <c r="JFY133" s="774"/>
      <c r="JFZ133" s="774"/>
      <c r="JGA133" s="774"/>
      <c r="JGB133" s="774"/>
      <c r="JGC133" s="774"/>
      <c r="JGD133" s="774"/>
      <c r="JGE133" s="774"/>
      <c r="JGF133" s="774"/>
      <c r="JGG133" s="774"/>
      <c r="JGH133" s="774"/>
      <c r="JGI133" s="774"/>
      <c r="JGJ133" s="774"/>
      <c r="JGK133" s="774"/>
      <c r="JGL133" s="774"/>
      <c r="JGM133" s="774"/>
      <c r="JGN133" s="774"/>
      <c r="JGO133" s="774"/>
      <c r="JGP133" s="774"/>
      <c r="JGQ133" s="774"/>
      <c r="JGR133" s="774"/>
      <c r="JGS133" s="774"/>
      <c r="JGT133" s="774"/>
      <c r="JGU133" s="774"/>
      <c r="JGV133" s="774"/>
      <c r="JGW133" s="774"/>
      <c r="JGX133" s="774"/>
      <c r="JGY133" s="774"/>
      <c r="JGZ133" s="774"/>
      <c r="JHA133" s="774"/>
      <c r="JHB133" s="774"/>
      <c r="JHC133" s="774"/>
      <c r="JHD133" s="774"/>
      <c r="JHE133" s="774"/>
      <c r="JHF133" s="774"/>
      <c r="JHG133" s="774"/>
      <c r="JHH133" s="774"/>
      <c r="JHI133" s="774"/>
      <c r="JHJ133" s="774"/>
      <c r="JHK133" s="774"/>
      <c r="JHL133" s="774"/>
      <c r="JHM133" s="774"/>
      <c r="JHN133" s="774"/>
      <c r="JHO133" s="774"/>
      <c r="JHP133" s="774"/>
      <c r="JHQ133" s="774"/>
      <c r="JHR133" s="774"/>
      <c r="JHS133" s="774"/>
      <c r="JHT133" s="774"/>
      <c r="JHU133" s="774"/>
      <c r="JHV133" s="774"/>
      <c r="JHW133" s="774"/>
      <c r="JHX133" s="774"/>
      <c r="JHY133" s="774"/>
      <c r="JHZ133" s="774"/>
      <c r="JIA133" s="774"/>
      <c r="JIB133" s="774"/>
      <c r="JIC133" s="774"/>
      <c r="JID133" s="774"/>
      <c r="JIE133" s="774"/>
      <c r="JIF133" s="774"/>
      <c r="JIG133" s="774"/>
      <c r="JIH133" s="774"/>
      <c r="JII133" s="774"/>
      <c r="JIJ133" s="774"/>
      <c r="JIK133" s="774"/>
      <c r="JIL133" s="774"/>
      <c r="JIM133" s="774"/>
      <c r="JIN133" s="774"/>
      <c r="JIO133" s="774"/>
      <c r="JIP133" s="774"/>
      <c r="JIQ133" s="774"/>
      <c r="JIR133" s="774"/>
      <c r="JIS133" s="774"/>
      <c r="JIT133" s="774"/>
      <c r="JIU133" s="774"/>
      <c r="JIV133" s="774"/>
      <c r="JIW133" s="774"/>
      <c r="JIX133" s="774"/>
      <c r="JIY133" s="774"/>
      <c r="JIZ133" s="774"/>
      <c r="JJA133" s="774"/>
      <c r="JJB133" s="774"/>
      <c r="JJC133" s="774"/>
      <c r="JJD133" s="774"/>
      <c r="JJE133" s="774"/>
      <c r="JJF133" s="774"/>
      <c r="JJG133" s="774"/>
      <c r="JJH133" s="774"/>
      <c r="JJI133" s="774"/>
      <c r="JJJ133" s="774"/>
      <c r="JJK133" s="774"/>
      <c r="JJL133" s="774"/>
      <c r="JJM133" s="774"/>
      <c r="JJN133" s="774"/>
      <c r="JJO133" s="774"/>
      <c r="JJP133" s="774"/>
      <c r="JJQ133" s="774"/>
      <c r="JJR133" s="774"/>
      <c r="JJS133" s="774"/>
      <c r="JJT133" s="774"/>
      <c r="JJU133" s="774"/>
      <c r="JJV133" s="774"/>
      <c r="JJW133" s="774"/>
      <c r="JJX133" s="774"/>
      <c r="JJY133" s="774"/>
      <c r="JJZ133" s="774"/>
      <c r="JKA133" s="774"/>
      <c r="JKB133" s="774"/>
      <c r="JKC133" s="774"/>
      <c r="JKD133" s="774"/>
      <c r="JKE133" s="774"/>
      <c r="JKF133" s="774"/>
      <c r="JKG133" s="774"/>
      <c r="JKH133" s="774"/>
      <c r="JKI133" s="774"/>
      <c r="JKJ133" s="774"/>
      <c r="JKK133" s="774"/>
      <c r="JKL133" s="774"/>
      <c r="JKM133" s="774"/>
      <c r="JKN133" s="774"/>
      <c r="JKO133" s="774"/>
      <c r="JKP133" s="774"/>
      <c r="JKQ133" s="774"/>
      <c r="JKR133" s="774"/>
      <c r="JKS133" s="774"/>
      <c r="JKT133" s="774"/>
      <c r="JKU133" s="774"/>
      <c r="JKV133" s="774"/>
      <c r="JKW133" s="774"/>
      <c r="JKX133" s="774"/>
      <c r="JKY133" s="774"/>
      <c r="JKZ133" s="774"/>
      <c r="JLA133" s="774"/>
      <c r="JLB133" s="774"/>
      <c r="JLC133" s="774"/>
      <c r="JLD133" s="774"/>
      <c r="JLE133" s="774"/>
      <c r="JLF133" s="774"/>
      <c r="JLG133" s="774"/>
      <c r="JLH133" s="774"/>
      <c r="JLI133" s="774"/>
      <c r="JLJ133" s="774"/>
      <c r="JLK133" s="774"/>
      <c r="JLL133" s="774"/>
      <c r="JLM133" s="774"/>
      <c r="JLN133" s="774"/>
      <c r="JLO133" s="774"/>
      <c r="JLP133" s="774"/>
      <c r="JLQ133" s="774"/>
      <c r="JLR133" s="774"/>
      <c r="JLS133" s="774"/>
      <c r="JLT133" s="774"/>
      <c r="JLU133" s="774"/>
      <c r="JLV133" s="774"/>
      <c r="JLW133" s="774"/>
      <c r="JLX133" s="774"/>
      <c r="JLY133" s="774"/>
      <c r="JLZ133" s="774"/>
      <c r="JMA133" s="774"/>
      <c r="JMB133" s="774"/>
      <c r="JMC133" s="774"/>
      <c r="JMD133" s="774"/>
      <c r="JME133" s="774"/>
      <c r="JMF133" s="774"/>
      <c r="JMG133" s="774"/>
      <c r="JMH133" s="774"/>
      <c r="JMI133" s="774"/>
      <c r="JMJ133" s="774"/>
      <c r="JMK133" s="774"/>
      <c r="JML133" s="774"/>
      <c r="JMM133" s="774"/>
      <c r="JMN133" s="774"/>
      <c r="JMO133" s="774"/>
      <c r="JMP133" s="774"/>
      <c r="JMQ133" s="774"/>
      <c r="JMR133" s="774"/>
      <c r="JMS133" s="774"/>
      <c r="JMT133" s="774"/>
      <c r="JMU133" s="774"/>
      <c r="JMV133" s="774"/>
      <c r="JMW133" s="774"/>
      <c r="JMX133" s="774"/>
      <c r="JMY133" s="774"/>
      <c r="JMZ133" s="774"/>
      <c r="JNA133" s="774"/>
      <c r="JNB133" s="774"/>
      <c r="JNC133" s="774"/>
      <c r="JND133" s="774"/>
      <c r="JNE133" s="774"/>
      <c r="JNF133" s="774"/>
      <c r="JNG133" s="774"/>
      <c r="JNH133" s="774"/>
      <c r="JNI133" s="774"/>
      <c r="JNJ133" s="774"/>
      <c r="JNK133" s="774"/>
      <c r="JNL133" s="774"/>
      <c r="JNM133" s="774"/>
      <c r="JNN133" s="774"/>
      <c r="JNO133" s="774"/>
      <c r="JNP133" s="774"/>
      <c r="JNQ133" s="774"/>
      <c r="JNR133" s="774"/>
      <c r="JNS133" s="774"/>
      <c r="JNT133" s="774"/>
      <c r="JNU133" s="774"/>
      <c r="JNV133" s="774"/>
      <c r="JNW133" s="774"/>
      <c r="JNX133" s="774"/>
      <c r="JNY133" s="774"/>
      <c r="JNZ133" s="774"/>
      <c r="JOA133" s="774"/>
      <c r="JOB133" s="774"/>
      <c r="JOC133" s="774"/>
      <c r="JOD133" s="774"/>
      <c r="JOE133" s="774"/>
      <c r="JOF133" s="774"/>
      <c r="JOG133" s="774"/>
      <c r="JOH133" s="774"/>
      <c r="JOI133" s="774"/>
      <c r="JOJ133" s="774"/>
      <c r="JOK133" s="774"/>
      <c r="JOL133" s="774"/>
      <c r="JOM133" s="774"/>
      <c r="JON133" s="774"/>
      <c r="JOO133" s="774"/>
      <c r="JOP133" s="774"/>
      <c r="JOQ133" s="774"/>
      <c r="JOR133" s="774"/>
      <c r="JOS133" s="774"/>
      <c r="JOT133" s="774"/>
      <c r="JOU133" s="774"/>
      <c r="JOV133" s="774"/>
      <c r="JOW133" s="774"/>
      <c r="JOX133" s="774"/>
      <c r="JOY133" s="774"/>
      <c r="JOZ133" s="774"/>
      <c r="JPA133" s="774"/>
      <c r="JPB133" s="774"/>
      <c r="JPC133" s="774"/>
      <c r="JPD133" s="774"/>
      <c r="JPE133" s="774"/>
      <c r="JPF133" s="774"/>
      <c r="JPG133" s="774"/>
      <c r="JPH133" s="774"/>
      <c r="JPI133" s="774"/>
      <c r="JPJ133" s="774"/>
      <c r="JPK133" s="774"/>
      <c r="JPL133" s="774"/>
      <c r="JPM133" s="774"/>
      <c r="JPN133" s="774"/>
      <c r="JPO133" s="774"/>
      <c r="JPP133" s="774"/>
      <c r="JPQ133" s="774"/>
      <c r="JPR133" s="774"/>
      <c r="JPS133" s="774"/>
      <c r="JPT133" s="774"/>
      <c r="JPU133" s="774"/>
      <c r="JPV133" s="774"/>
      <c r="JPW133" s="774"/>
      <c r="JPX133" s="774"/>
      <c r="JPY133" s="774"/>
      <c r="JPZ133" s="774"/>
      <c r="JQA133" s="774"/>
      <c r="JQB133" s="774"/>
      <c r="JQC133" s="774"/>
      <c r="JQD133" s="774"/>
      <c r="JQE133" s="774"/>
      <c r="JQF133" s="774"/>
      <c r="JQG133" s="774"/>
      <c r="JQH133" s="774"/>
      <c r="JQI133" s="774"/>
      <c r="JQJ133" s="774"/>
      <c r="JQK133" s="774"/>
      <c r="JQL133" s="774"/>
      <c r="JQM133" s="774"/>
      <c r="JQN133" s="774"/>
      <c r="JQO133" s="774"/>
      <c r="JQP133" s="774"/>
      <c r="JQQ133" s="774"/>
      <c r="JQR133" s="774"/>
      <c r="JQS133" s="774"/>
      <c r="JQT133" s="774"/>
      <c r="JQU133" s="774"/>
      <c r="JQV133" s="774"/>
      <c r="JQW133" s="774"/>
      <c r="JQX133" s="774"/>
      <c r="JQY133" s="774"/>
      <c r="JQZ133" s="774"/>
      <c r="JRA133" s="774"/>
      <c r="JRB133" s="774"/>
      <c r="JRC133" s="774"/>
      <c r="JRD133" s="774"/>
      <c r="JRE133" s="774"/>
      <c r="JRF133" s="774"/>
      <c r="JRG133" s="774"/>
      <c r="JRH133" s="774"/>
      <c r="JRI133" s="774"/>
      <c r="JRJ133" s="774"/>
      <c r="JRK133" s="774"/>
      <c r="JRL133" s="774"/>
      <c r="JRM133" s="774"/>
      <c r="JRN133" s="774"/>
      <c r="JRO133" s="774"/>
      <c r="JRP133" s="774"/>
      <c r="JRQ133" s="774"/>
      <c r="JRR133" s="774"/>
      <c r="JRS133" s="774"/>
      <c r="JRT133" s="774"/>
      <c r="JRU133" s="774"/>
      <c r="JRV133" s="774"/>
      <c r="JRW133" s="774"/>
      <c r="JRX133" s="774"/>
      <c r="JRY133" s="774"/>
      <c r="JRZ133" s="774"/>
      <c r="JSA133" s="774"/>
      <c r="JSB133" s="774"/>
      <c r="JSC133" s="774"/>
      <c r="JSD133" s="774"/>
      <c r="JSE133" s="774"/>
      <c r="JSF133" s="774"/>
      <c r="JSG133" s="774"/>
      <c r="JSH133" s="774"/>
      <c r="JSI133" s="774"/>
      <c r="JSJ133" s="774"/>
      <c r="JSK133" s="774"/>
      <c r="JSL133" s="774"/>
      <c r="JSM133" s="774"/>
      <c r="JSN133" s="774"/>
      <c r="JSO133" s="774"/>
      <c r="JSP133" s="774"/>
      <c r="JSQ133" s="774"/>
      <c r="JSR133" s="774"/>
      <c r="JSS133" s="774"/>
      <c r="JST133" s="774"/>
      <c r="JSU133" s="774"/>
      <c r="JSV133" s="774"/>
      <c r="JSW133" s="774"/>
      <c r="JSX133" s="774"/>
      <c r="JSY133" s="774"/>
      <c r="JSZ133" s="774"/>
      <c r="JTA133" s="774"/>
      <c r="JTB133" s="774"/>
      <c r="JTC133" s="774"/>
      <c r="JTD133" s="774"/>
      <c r="JTE133" s="774"/>
      <c r="JTF133" s="774"/>
      <c r="JTG133" s="774"/>
      <c r="JTH133" s="774"/>
      <c r="JTI133" s="774"/>
      <c r="JTJ133" s="774"/>
      <c r="JTK133" s="774"/>
      <c r="JTL133" s="774"/>
      <c r="JTM133" s="774"/>
      <c r="JTN133" s="774"/>
      <c r="JTO133" s="774"/>
      <c r="JTP133" s="774"/>
      <c r="JTQ133" s="774"/>
      <c r="JTR133" s="774"/>
      <c r="JTS133" s="774"/>
      <c r="JTT133" s="774"/>
      <c r="JTU133" s="774"/>
      <c r="JTV133" s="774"/>
      <c r="JTW133" s="774"/>
      <c r="JTX133" s="774"/>
      <c r="JTY133" s="774"/>
      <c r="JTZ133" s="774"/>
      <c r="JUA133" s="774"/>
      <c r="JUB133" s="774"/>
      <c r="JUC133" s="774"/>
      <c r="JUD133" s="774"/>
      <c r="JUE133" s="774"/>
      <c r="JUF133" s="774"/>
      <c r="JUG133" s="774"/>
      <c r="JUH133" s="774"/>
      <c r="JUI133" s="774"/>
      <c r="JUJ133" s="774"/>
      <c r="JUK133" s="774"/>
      <c r="JUL133" s="774"/>
      <c r="JUM133" s="774"/>
      <c r="JUN133" s="774"/>
      <c r="JUO133" s="774"/>
      <c r="JUP133" s="774"/>
      <c r="JUQ133" s="774"/>
      <c r="JUR133" s="774"/>
      <c r="JUS133" s="774"/>
      <c r="JUT133" s="774"/>
      <c r="JUU133" s="774"/>
      <c r="JUV133" s="774"/>
      <c r="JUW133" s="774"/>
      <c r="JUX133" s="774"/>
      <c r="JUY133" s="774"/>
      <c r="JUZ133" s="774"/>
      <c r="JVA133" s="774"/>
      <c r="JVB133" s="774"/>
      <c r="JVC133" s="774"/>
      <c r="JVD133" s="774"/>
      <c r="JVE133" s="774"/>
      <c r="JVF133" s="774"/>
      <c r="JVG133" s="774"/>
      <c r="JVH133" s="774"/>
      <c r="JVI133" s="774"/>
      <c r="JVJ133" s="774"/>
      <c r="JVK133" s="774"/>
      <c r="JVL133" s="774"/>
      <c r="JVM133" s="774"/>
      <c r="JVN133" s="774"/>
      <c r="JVO133" s="774"/>
      <c r="JVP133" s="774"/>
      <c r="JVQ133" s="774"/>
      <c r="JVR133" s="774"/>
      <c r="JVS133" s="774"/>
      <c r="JVT133" s="774"/>
      <c r="JVU133" s="774"/>
      <c r="JVV133" s="774"/>
      <c r="JVW133" s="774"/>
      <c r="JVX133" s="774"/>
      <c r="JVY133" s="774"/>
      <c r="JVZ133" s="774"/>
      <c r="JWA133" s="774"/>
      <c r="JWB133" s="774"/>
      <c r="JWC133" s="774"/>
      <c r="JWD133" s="774"/>
      <c r="JWE133" s="774"/>
      <c r="JWF133" s="774"/>
      <c r="JWG133" s="774"/>
      <c r="JWH133" s="774"/>
      <c r="JWI133" s="774"/>
      <c r="JWJ133" s="774"/>
      <c r="JWK133" s="774"/>
      <c r="JWL133" s="774"/>
      <c r="JWM133" s="774"/>
      <c r="JWN133" s="774"/>
      <c r="JWO133" s="774"/>
      <c r="JWP133" s="774"/>
      <c r="JWQ133" s="774"/>
      <c r="JWR133" s="774"/>
      <c r="JWS133" s="774"/>
      <c r="JWT133" s="774"/>
      <c r="JWU133" s="774"/>
      <c r="JWV133" s="774"/>
      <c r="JWW133" s="774"/>
      <c r="JWX133" s="774"/>
      <c r="JWY133" s="774"/>
      <c r="JWZ133" s="774"/>
      <c r="JXA133" s="774"/>
      <c r="JXB133" s="774"/>
      <c r="JXC133" s="774"/>
      <c r="JXD133" s="774"/>
      <c r="JXE133" s="774"/>
      <c r="JXF133" s="774"/>
      <c r="JXG133" s="774"/>
      <c r="JXH133" s="774"/>
      <c r="JXI133" s="774"/>
      <c r="JXJ133" s="774"/>
      <c r="JXK133" s="774"/>
      <c r="JXL133" s="774"/>
      <c r="JXM133" s="774"/>
      <c r="JXN133" s="774"/>
      <c r="JXO133" s="774"/>
      <c r="JXP133" s="774"/>
      <c r="JXQ133" s="774"/>
      <c r="JXR133" s="774"/>
      <c r="JXS133" s="774"/>
      <c r="JXT133" s="774"/>
      <c r="JXU133" s="774"/>
      <c r="JXV133" s="774"/>
      <c r="JXW133" s="774"/>
      <c r="JXX133" s="774"/>
      <c r="JXY133" s="774"/>
      <c r="JXZ133" s="774"/>
      <c r="JYA133" s="774"/>
      <c r="JYB133" s="774"/>
      <c r="JYC133" s="774"/>
      <c r="JYD133" s="774"/>
      <c r="JYE133" s="774"/>
      <c r="JYF133" s="774"/>
      <c r="JYG133" s="774"/>
      <c r="JYH133" s="774"/>
      <c r="JYI133" s="774"/>
      <c r="JYJ133" s="774"/>
      <c r="JYK133" s="774"/>
      <c r="JYL133" s="774"/>
      <c r="JYM133" s="774"/>
      <c r="JYN133" s="774"/>
      <c r="JYO133" s="774"/>
      <c r="JYP133" s="774"/>
      <c r="JYQ133" s="774"/>
      <c r="JYR133" s="774"/>
      <c r="JYS133" s="774"/>
      <c r="JYT133" s="774"/>
      <c r="JYU133" s="774"/>
      <c r="JYV133" s="774"/>
      <c r="JYW133" s="774"/>
      <c r="JYX133" s="774"/>
      <c r="JYY133" s="774"/>
      <c r="JYZ133" s="774"/>
      <c r="JZA133" s="774"/>
      <c r="JZB133" s="774"/>
      <c r="JZC133" s="774"/>
      <c r="JZD133" s="774"/>
      <c r="JZE133" s="774"/>
      <c r="JZF133" s="774"/>
      <c r="JZG133" s="774"/>
      <c r="JZH133" s="774"/>
      <c r="JZI133" s="774"/>
      <c r="JZJ133" s="774"/>
      <c r="JZK133" s="774"/>
      <c r="JZL133" s="774"/>
      <c r="JZM133" s="774"/>
      <c r="JZN133" s="774"/>
      <c r="JZO133" s="774"/>
      <c r="JZP133" s="774"/>
      <c r="JZQ133" s="774"/>
      <c r="JZR133" s="774"/>
      <c r="JZS133" s="774"/>
      <c r="JZT133" s="774"/>
      <c r="JZU133" s="774"/>
      <c r="JZV133" s="774"/>
      <c r="JZW133" s="774"/>
      <c r="JZX133" s="774"/>
      <c r="JZY133" s="774"/>
      <c r="JZZ133" s="774"/>
      <c r="KAA133" s="774"/>
      <c r="KAB133" s="774"/>
      <c r="KAC133" s="774"/>
      <c r="KAD133" s="774"/>
      <c r="KAE133" s="774"/>
      <c r="KAF133" s="774"/>
      <c r="KAG133" s="774"/>
      <c r="KAH133" s="774"/>
      <c r="KAI133" s="774"/>
      <c r="KAJ133" s="774"/>
      <c r="KAK133" s="774"/>
      <c r="KAL133" s="774"/>
      <c r="KAM133" s="774"/>
      <c r="KAN133" s="774"/>
      <c r="KAO133" s="774"/>
      <c r="KAP133" s="774"/>
      <c r="KAQ133" s="774"/>
      <c r="KAR133" s="774"/>
      <c r="KAS133" s="774"/>
      <c r="KAT133" s="774"/>
      <c r="KAU133" s="774"/>
      <c r="KAV133" s="774"/>
      <c r="KAW133" s="774"/>
      <c r="KAX133" s="774"/>
      <c r="KAY133" s="774"/>
      <c r="KAZ133" s="774"/>
      <c r="KBA133" s="774"/>
      <c r="KBB133" s="774"/>
      <c r="KBC133" s="774"/>
      <c r="KBD133" s="774"/>
      <c r="KBE133" s="774"/>
      <c r="KBF133" s="774"/>
      <c r="KBG133" s="774"/>
      <c r="KBH133" s="774"/>
      <c r="KBI133" s="774"/>
      <c r="KBJ133" s="774"/>
      <c r="KBK133" s="774"/>
      <c r="KBL133" s="774"/>
      <c r="KBM133" s="774"/>
      <c r="KBN133" s="774"/>
      <c r="KBO133" s="774"/>
      <c r="KBP133" s="774"/>
      <c r="KBQ133" s="774"/>
      <c r="KBR133" s="774"/>
      <c r="KBS133" s="774"/>
      <c r="KBT133" s="774"/>
      <c r="KBU133" s="774"/>
      <c r="KBV133" s="774"/>
      <c r="KBW133" s="774"/>
      <c r="KBX133" s="774"/>
      <c r="KBY133" s="774"/>
      <c r="KBZ133" s="774"/>
      <c r="KCA133" s="774"/>
      <c r="KCB133" s="774"/>
      <c r="KCC133" s="774"/>
      <c r="KCD133" s="774"/>
      <c r="KCE133" s="774"/>
      <c r="KCF133" s="774"/>
      <c r="KCG133" s="774"/>
      <c r="KCH133" s="774"/>
      <c r="KCI133" s="774"/>
      <c r="KCJ133" s="774"/>
      <c r="KCK133" s="774"/>
      <c r="KCL133" s="774"/>
      <c r="KCM133" s="774"/>
      <c r="KCN133" s="774"/>
      <c r="KCO133" s="774"/>
      <c r="KCP133" s="774"/>
      <c r="KCQ133" s="774"/>
      <c r="KCR133" s="774"/>
      <c r="KCS133" s="774"/>
      <c r="KCT133" s="774"/>
      <c r="KCU133" s="774"/>
      <c r="KCV133" s="774"/>
      <c r="KCW133" s="774"/>
      <c r="KCX133" s="774"/>
      <c r="KCY133" s="774"/>
      <c r="KCZ133" s="774"/>
      <c r="KDA133" s="774"/>
      <c r="KDB133" s="774"/>
      <c r="KDC133" s="774"/>
      <c r="KDD133" s="774"/>
      <c r="KDE133" s="774"/>
      <c r="KDF133" s="774"/>
      <c r="KDG133" s="774"/>
      <c r="KDH133" s="774"/>
      <c r="KDI133" s="774"/>
      <c r="KDJ133" s="774"/>
      <c r="KDK133" s="774"/>
      <c r="KDL133" s="774"/>
      <c r="KDM133" s="774"/>
      <c r="KDN133" s="774"/>
      <c r="KDO133" s="774"/>
      <c r="KDP133" s="774"/>
      <c r="KDQ133" s="774"/>
      <c r="KDR133" s="774"/>
      <c r="KDS133" s="774"/>
      <c r="KDT133" s="774"/>
      <c r="KDU133" s="774"/>
      <c r="KDV133" s="774"/>
      <c r="KDW133" s="774"/>
      <c r="KDX133" s="774"/>
      <c r="KDY133" s="774"/>
      <c r="KDZ133" s="774"/>
      <c r="KEA133" s="774"/>
      <c r="KEB133" s="774"/>
      <c r="KEC133" s="774"/>
      <c r="KED133" s="774"/>
      <c r="KEE133" s="774"/>
      <c r="KEF133" s="774"/>
      <c r="KEG133" s="774"/>
      <c r="KEH133" s="774"/>
      <c r="KEI133" s="774"/>
      <c r="KEJ133" s="774"/>
      <c r="KEK133" s="774"/>
      <c r="KEL133" s="774"/>
      <c r="KEM133" s="774"/>
      <c r="KEN133" s="774"/>
      <c r="KEO133" s="774"/>
      <c r="KEP133" s="774"/>
      <c r="KEQ133" s="774"/>
      <c r="KER133" s="774"/>
      <c r="KES133" s="774"/>
      <c r="KET133" s="774"/>
      <c r="KEU133" s="774"/>
      <c r="KEV133" s="774"/>
      <c r="KEW133" s="774"/>
      <c r="KEX133" s="774"/>
      <c r="KEY133" s="774"/>
      <c r="KEZ133" s="774"/>
      <c r="KFA133" s="774"/>
      <c r="KFB133" s="774"/>
      <c r="KFC133" s="774"/>
      <c r="KFD133" s="774"/>
      <c r="KFE133" s="774"/>
      <c r="KFF133" s="774"/>
      <c r="KFG133" s="774"/>
      <c r="KFH133" s="774"/>
      <c r="KFI133" s="774"/>
      <c r="KFJ133" s="774"/>
      <c r="KFK133" s="774"/>
      <c r="KFL133" s="774"/>
      <c r="KFM133" s="774"/>
      <c r="KFN133" s="774"/>
      <c r="KFO133" s="774"/>
      <c r="KFP133" s="774"/>
      <c r="KFQ133" s="774"/>
      <c r="KFR133" s="774"/>
      <c r="KFS133" s="774"/>
      <c r="KFT133" s="774"/>
      <c r="KFU133" s="774"/>
      <c r="KFV133" s="774"/>
      <c r="KFW133" s="774"/>
      <c r="KFX133" s="774"/>
      <c r="KFY133" s="774"/>
      <c r="KFZ133" s="774"/>
      <c r="KGA133" s="774"/>
      <c r="KGB133" s="774"/>
      <c r="KGC133" s="774"/>
      <c r="KGD133" s="774"/>
      <c r="KGE133" s="774"/>
      <c r="KGF133" s="774"/>
      <c r="KGG133" s="774"/>
      <c r="KGH133" s="774"/>
      <c r="KGI133" s="774"/>
      <c r="KGJ133" s="774"/>
      <c r="KGK133" s="774"/>
      <c r="KGL133" s="774"/>
      <c r="KGM133" s="774"/>
      <c r="KGN133" s="774"/>
      <c r="KGO133" s="774"/>
      <c r="KGP133" s="774"/>
      <c r="KGQ133" s="774"/>
      <c r="KGR133" s="774"/>
      <c r="KGS133" s="774"/>
      <c r="KGT133" s="774"/>
      <c r="KGU133" s="774"/>
      <c r="KGV133" s="774"/>
      <c r="KGW133" s="774"/>
      <c r="KGX133" s="774"/>
      <c r="KGY133" s="774"/>
      <c r="KGZ133" s="774"/>
      <c r="KHA133" s="774"/>
      <c r="KHB133" s="774"/>
      <c r="KHC133" s="774"/>
      <c r="KHD133" s="774"/>
      <c r="KHE133" s="774"/>
      <c r="KHF133" s="774"/>
      <c r="KHG133" s="774"/>
      <c r="KHH133" s="774"/>
      <c r="KHI133" s="774"/>
      <c r="KHJ133" s="774"/>
      <c r="KHK133" s="774"/>
      <c r="KHL133" s="774"/>
      <c r="KHM133" s="774"/>
      <c r="KHN133" s="774"/>
      <c r="KHO133" s="774"/>
      <c r="KHP133" s="774"/>
      <c r="KHQ133" s="774"/>
      <c r="KHR133" s="774"/>
      <c r="KHS133" s="774"/>
      <c r="KHT133" s="774"/>
      <c r="KHU133" s="774"/>
      <c r="KHV133" s="774"/>
      <c r="KHW133" s="774"/>
      <c r="KHX133" s="774"/>
      <c r="KHY133" s="774"/>
      <c r="KHZ133" s="774"/>
      <c r="KIA133" s="774"/>
      <c r="KIB133" s="774"/>
      <c r="KIC133" s="774"/>
      <c r="KID133" s="774"/>
      <c r="KIE133" s="774"/>
      <c r="KIF133" s="774"/>
      <c r="KIG133" s="774"/>
      <c r="KIH133" s="774"/>
      <c r="KII133" s="774"/>
      <c r="KIJ133" s="774"/>
      <c r="KIK133" s="774"/>
      <c r="KIL133" s="774"/>
      <c r="KIM133" s="774"/>
      <c r="KIN133" s="774"/>
      <c r="KIO133" s="774"/>
      <c r="KIP133" s="774"/>
      <c r="KIQ133" s="774"/>
      <c r="KIR133" s="774"/>
      <c r="KIS133" s="774"/>
      <c r="KIT133" s="774"/>
      <c r="KIU133" s="774"/>
      <c r="KIV133" s="774"/>
      <c r="KIW133" s="774"/>
      <c r="KIX133" s="774"/>
      <c r="KIY133" s="774"/>
      <c r="KIZ133" s="774"/>
      <c r="KJA133" s="774"/>
      <c r="KJB133" s="774"/>
      <c r="KJC133" s="774"/>
      <c r="KJD133" s="774"/>
      <c r="KJE133" s="774"/>
      <c r="KJF133" s="774"/>
      <c r="KJG133" s="774"/>
      <c r="KJH133" s="774"/>
      <c r="KJI133" s="774"/>
      <c r="KJJ133" s="774"/>
      <c r="KJK133" s="774"/>
      <c r="KJL133" s="774"/>
      <c r="KJM133" s="774"/>
      <c r="KJN133" s="774"/>
      <c r="KJO133" s="774"/>
      <c r="KJP133" s="774"/>
      <c r="KJQ133" s="774"/>
      <c r="KJR133" s="774"/>
      <c r="KJS133" s="774"/>
      <c r="KJT133" s="774"/>
      <c r="KJU133" s="774"/>
      <c r="KJV133" s="774"/>
      <c r="KJW133" s="774"/>
      <c r="KJX133" s="774"/>
      <c r="KJY133" s="774"/>
      <c r="KJZ133" s="774"/>
      <c r="KKA133" s="774"/>
      <c r="KKB133" s="774"/>
      <c r="KKC133" s="774"/>
      <c r="KKD133" s="774"/>
      <c r="KKE133" s="774"/>
      <c r="KKF133" s="774"/>
      <c r="KKG133" s="774"/>
      <c r="KKH133" s="774"/>
      <c r="KKI133" s="774"/>
      <c r="KKJ133" s="774"/>
      <c r="KKK133" s="774"/>
      <c r="KKL133" s="774"/>
      <c r="KKM133" s="774"/>
      <c r="KKN133" s="774"/>
      <c r="KKO133" s="774"/>
      <c r="KKP133" s="774"/>
      <c r="KKQ133" s="774"/>
      <c r="KKR133" s="774"/>
      <c r="KKS133" s="774"/>
      <c r="KKT133" s="774"/>
      <c r="KKU133" s="774"/>
      <c r="KKV133" s="774"/>
      <c r="KKW133" s="774"/>
      <c r="KKX133" s="774"/>
      <c r="KKY133" s="774"/>
      <c r="KKZ133" s="774"/>
      <c r="KLA133" s="774"/>
      <c r="KLB133" s="774"/>
      <c r="KLC133" s="774"/>
      <c r="KLD133" s="774"/>
      <c r="KLE133" s="774"/>
      <c r="KLF133" s="774"/>
      <c r="KLG133" s="774"/>
      <c r="KLH133" s="774"/>
      <c r="KLI133" s="774"/>
      <c r="KLJ133" s="774"/>
      <c r="KLK133" s="774"/>
      <c r="KLL133" s="774"/>
      <c r="KLM133" s="774"/>
      <c r="KLN133" s="774"/>
      <c r="KLO133" s="774"/>
      <c r="KLP133" s="774"/>
      <c r="KLQ133" s="774"/>
      <c r="KLR133" s="774"/>
      <c r="KLS133" s="774"/>
      <c r="KLT133" s="774"/>
      <c r="KLU133" s="774"/>
      <c r="KLV133" s="774"/>
      <c r="KLW133" s="774"/>
      <c r="KLX133" s="774"/>
      <c r="KLY133" s="774"/>
      <c r="KLZ133" s="774"/>
      <c r="KMA133" s="774"/>
      <c r="KMB133" s="774"/>
      <c r="KMC133" s="774"/>
      <c r="KMD133" s="774"/>
      <c r="KME133" s="774"/>
      <c r="KMF133" s="774"/>
      <c r="KMG133" s="774"/>
      <c r="KMH133" s="774"/>
      <c r="KMI133" s="774"/>
      <c r="KMJ133" s="774"/>
      <c r="KMK133" s="774"/>
      <c r="KML133" s="774"/>
      <c r="KMM133" s="774"/>
      <c r="KMN133" s="774"/>
      <c r="KMO133" s="774"/>
      <c r="KMP133" s="774"/>
      <c r="KMQ133" s="774"/>
      <c r="KMR133" s="774"/>
      <c r="KMS133" s="774"/>
      <c r="KMT133" s="774"/>
      <c r="KMU133" s="774"/>
      <c r="KMV133" s="774"/>
      <c r="KMW133" s="774"/>
      <c r="KMX133" s="774"/>
      <c r="KMY133" s="774"/>
      <c r="KMZ133" s="774"/>
      <c r="KNA133" s="774"/>
      <c r="KNB133" s="774"/>
      <c r="KNC133" s="774"/>
      <c r="KND133" s="774"/>
      <c r="KNE133" s="774"/>
      <c r="KNF133" s="774"/>
      <c r="KNG133" s="774"/>
      <c r="KNH133" s="774"/>
      <c r="KNI133" s="774"/>
      <c r="KNJ133" s="774"/>
      <c r="KNK133" s="774"/>
      <c r="KNL133" s="774"/>
      <c r="KNM133" s="774"/>
      <c r="KNN133" s="774"/>
      <c r="KNO133" s="774"/>
      <c r="KNP133" s="774"/>
      <c r="KNQ133" s="774"/>
      <c r="KNR133" s="774"/>
      <c r="KNS133" s="774"/>
      <c r="KNT133" s="774"/>
      <c r="KNU133" s="774"/>
      <c r="KNV133" s="774"/>
      <c r="KNW133" s="774"/>
      <c r="KNX133" s="774"/>
      <c r="KNY133" s="774"/>
      <c r="KNZ133" s="774"/>
      <c r="KOA133" s="774"/>
      <c r="KOB133" s="774"/>
      <c r="KOC133" s="774"/>
      <c r="KOD133" s="774"/>
      <c r="KOE133" s="774"/>
      <c r="KOF133" s="774"/>
      <c r="KOG133" s="774"/>
      <c r="KOH133" s="774"/>
      <c r="KOI133" s="774"/>
      <c r="KOJ133" s="774"/>
      <c r="KOK133" s="774"/>
      <c r="KOL133" s="774"/>
      <c r="KOM133" s="774"/>
      <c r="KON133" s="774"/>
      <c r="KOO133" s="774"/>
      <c r="KOP133" s="774"/>
      <c r="KOQ133" s="774"/>
      <c r="KOR133" s="774"/>
      <c r="KOS133" s="774"/>
      <c r="KOT133" s="774"/>
      <c r="KOU133" s="774"/>
      <c r="KOV133" s="774"/>
      <c r="KOW133" s="774"/>
      <c r="KOX133" s="774"/>
      <c r="KOY133" s="774"/>
      <c r="KOZ133" s="774"/>
      <c r="KPA133" s="774"/>
      <c r="KPB133" s="774"/>
      <c r="KPC133" s="774"/>
      <c r="KPD133" s="774"/>
      <c r="KPE133" s="774"/>
      <c r="KPF133" s="774"/>
      <c r="KPG133" s="774"/>
      <c r="KPH133" s="774"/>
      <c r="KPI133" s="774"/>
      <c r="KPJ133" s="774"/>
      <c r="KPK133" s="774"/>
      <c r="KPL133" s="774"/>
      <c r="KPM133" s="774"/>
      <c r="KPN133" s="774"/>
      <c r="KPO133" s="774"/>
      <c r="KPP133" s="774"/>
      <c r="KPQ133" s="774"/>
      <c r="KPR133" s="774"/>
      <c r="KPS133" s="774"/>
      <c r="KPT133" s="774"/>
      <c r="KPU133" s="774"/>
      <c r="KPV133" s="774"/>
      <c r="KPW133" s="774"/>
      <c r="KPX133" s="774"/>
      <c r="KPY133" s="774"/>
      <c r="KPZ133" s="774"/>
      <c r="KQA133" s="774"/>
      <c r="KQB133" s="774"/>
      <c r="KQC133" s="774"/>
      <c r="KQD133" s="774"/>
      <c r="KQE133" s="774"/>
      <c r="KQF133" s="774"/>
      <c r="KQG133" s="774"/>
      <c r="KQH133" s="774"/>
      <c r="KQI133" s="774"/>
      <c r="KQJ133" s="774"/>
      <c r="KQK133" s="774"/>
      <c r="KQL133" s="774"/>
      <c r="KQM133" s="774"/>
      <c r="KQN133" s="774"/>
      <c r="KQO133" s="774"/>
      <c r="KQP133" s="774"/>
      <c r="KQQ133" s="774"/>
      <c r="KQR133" s="774"/>
      <c r="KQS133" s="774"/>
      <c r="KQT133" s="774"/>
      <c r="KQU133" s="774"/>
      <c r="KQV133" s="774"/>
      <c r="KQW133" s="774"/>
      <c r="KQX133" s="774"/>
      <c r="KQY133" s="774"/>
      <c r="KQZ133" s="774"/>
      <c r="KRA133" s="774"/>
      <c r="KRB133" s="774"/>
      <c r="KRC133" s="774"/>
      <c r="KRD133" s="774"/>
      <c r="KRE133" s="774"/>
      <c r="KRF133" s="774"/>
      <c r="KRG133" s="774"/>
      <c r="KRH133" s="774"/>
      <c r="KRI133" s="774"/>
      <c r="KRJ133" s="774"/>
      <c r="KRK133" s="774"/>
      <c r="KRL133" s="774"/>
      <c r="KRM133" s="774"/>
      <c r="KRN133" s="774"/>
      <c r="KRO133" s="774"/>
      <c r="KRP133" s="774"/>
      <c r="KRQ133" s="774"/>
      <c r="KRR133" s="774"/>
      <c r="KRS133" s="774"/>
      <c r="KRT133" s="774"/>
      <c r="KRU133" s="774"/>
      <c r="KRV133" s="774"/>
      <c r="KRW133" s="774"/>
      <c r="KRX133" s="774"/>
      <c r="KRY133" s="774"/>
      <c r="KRZ133" s="774"/>
      <c r="KSA133" s="774"/>
      <c r="KSB133" s="774"/>
      <c r="KSC133" s="774"/>
      <c r="KSD133" s="774"/>
      <c r="KSE133" s="774"/>
      <c r="KSF133" s="774"/>
      <c r="KSG133" s="774"/>
      <c r="KSH133" s="774"/>
      <c r="KSI133" s="774"/>
      <c r="KSJ133" s="774"/>
      <c r="KSK133" s="774"/>
      <c r="KSL133" s="774"/>
      <c r="KSM133" s="774"/>
      <c r="KSN133" s="774"/>
      <c r="KSO133" s="774"/>
      <c r="KSP133" s="774"/>
      <c r="KSQ133" s="774"/>
      <c r="KSR133" s="774"/>
      <c r="KSS133" s="774"/>
      <c r="KST133" s="774"/>
      <c r="KSU133" s="774"/>
      <c r="KSV133" s="774"/>
      <c r="KSW133" s="774"/>
      <c r="KSX133" s="774"/>
      <c r="KSY133" s="774"/>
      <c r="KSZ133" s="774"/>
      <c r="KTA133" s="774"/>
      <c r="KTB133" s="774"/>
      <c r="KTC133" s="774"/>
      <c r="KTD133" s="774"/>
      <c r="KTE133" s="774"/>
      <c r="KTF133" s="774"/>
      <c r="KTG133" s="774"/>
      <c r="KTH133" s="774"/>
      <c r="KTI133" s="774"/>
      <c r="KTJ133" s="774"/>
      <c r="KTK133" s="774"/>
      <c r="KTL133" s="774"/>
      <c r="KTM133" s="774"/>
      <c r="KTN133" s="774"/>
      <c r="KTO133" s="774"/>
      <c r="KTP133" s="774"/>
      <c r="KTQ133" s="774"/>
      <c r="KTR133" s="774"/>
      <c r="KTS133" s="774"/>
      <c r="KTT133" s="774"/>
      <c r="KTU133" s="774"/>
      <c r="KTV133" s="774"/>
      <c r="KTW133" s="774"/>
      <c r="KTX133" s="774"/>
      <c r="KTY133" s="774"/>
      <c r="KTZ133" s="774"/>
      <c r="KUA133" s="774"/>
      <c r="KUB133" s="774"/>
      <c r="KUC133" s="774"/>
      <c r="KUD133" s="774"/>
      <c r="KUE133" s="774"/>
      <c r="KUF133" s="774"/>
      <c r="KUG133" s="774"/>
      <c r="KUH133" s="774"/>
      <c r="KUI133" s="774"/>
      <c r="KUJ133" s="774"/>
      <c r="KUK133" s="774"/>
      <c r="KUL133" s="774"/>
      <c r="KUM133" s="774"/>
      <c r="KUN133" s="774"/>
      <c r="KUO133" s="774"/>
      <c r="KUP133" s="774"/>
      <c r="KUQ133" s="774"/>
      <c r="KUR133" s="774"/>
      <c r="KUS133" s="774"/>
      <c r="KUT133" s="774"/>
      <c r="KUU133" s="774"/>
      <c r="KUV133" s="774"/>
      <c r="KUW133" s="774"/>
      <c r="KUX133" s="774"/>
      <c r="KUY133" s="774"/>
      <c r="KUZ133" s="774"/>
      <c r="KVA133" s="774"/>
      <c r="KVB133" s="774"/>
      <c r="KVC133" s="774"/>
      <c r="KVD133" s="774"/>
      <c r="KVE133" s="774"/>
      <c r="KVF133" s="774"/>
      <c r="KVG133" s="774"/>
      <c r="KVH133" s="774"/>
      <c r="KVI133" s="774"/>
      <c r="KVJ133" s="774"/>
      <c r="KVK133" s="774"/>
      <c r="KVL133" s="774"/>
      <c r="KVM133" s="774"/>
      <c r="KVN133" s="774"/>
      <c r="KVO133" s="774"/>
      <c r="KVP133" s="774"/>
      <c r="KVQ133" s="774"/>
      <c r="KVR133" s="774"/>
      <c r="KVS133" s="774"/>
      <c r="KVT133" s="774"/>
      <c r="KVU133" s="774"/>
      <c r="KVV133" s="774"/>
      <c r="KVW133" s="774"/>
      <c r="KVX133" s="774"/>
      <c r="KVY133" s="774"/>
      <c r="KVZ133" s="774"/>
      <c r="KWA133" s="774"/>
      <c r="KWB133" s="774"/>
      <c r="KWC133" s="774"/>
      <c r="KWD133" s="774"/>
      <c r="KWE133" s="774"/>
      <c r="KWF133" s="774"/>
      <c r="KWG133" s="774"/>
      <c r="KWH133" s="774"/>
      <c r="KWI133" s="774"/>
      <c r="KWJ133" s="774"/>
      <c r="KWK133" s="774"/>
      <c r="KWL133" s="774"/>
      <c r="KWM133" s="774"/>
      <c r="KWN133" s="774"/>
      <c r="KWO133" s="774"/>
      <c r="KWP133" s="774"/>
      <c r="KWQ133" s="774"/>
      <c r="KWR133" s="774"/>
      <c r="KWS133" s="774"/>
      <c r="KWT133" s="774"/>
      <c r="KWU133" s="774"/>
      <c r="KWV133" s="774"/>
      <c r="KWW133" s="774"/>
      <c r="KWX133" s="774"/>
      <c r="KWY133" s="774"/>
      <c r="KWZ133" s="774"/>
      <c r="KXA133" s="774"/>
      <c r="KXB133" s="774"/>
      <c r="KXC133" s="774"/>
      <c r="KXD133" s="774"/>
      <c r="KXE133" s="774"/>
      <c r="KXF133" s="774"/>
      <c r="KXG133" s="774"/>
      <c r="KXH133" s="774"/>
      <c r="KXI133" s="774"/>
      <c r="KXJ133" s="774"/>
      <c r="KXK133" s="774"/>
      <c r="KXL133" s="774"/>
      <c r="KXM133" s="774"/>
      <c r="KXN133" s="774"/>
      <c r="KXO133" s="774"/>
      <c r="KXP133" s="774"/>
      <c r="KXQ133" s="774"/>
      <c r="KXR133" s="774"/>
      <c r="KXS133" s="774"/>
      <c r="KXT133" s="774"/>
      <c r="KXU133" s="774"/>
      <c r="KXV133" s="774"/>
      <c r="KXW133" s="774"/>
      <c r="KXX133" s="774"/>
      <c r="KXY133" s="774"/>
      <c r="KXZ133" s="774"/>
      <c r="KYA133" s="774"/>
      <c r="KYB133" s="774"/>
      <c r="KYC133" s="774"/>
      <c r="KYD133" s="774"/>
      <c r="KYE133" s="774"/>
      <c r="KYF133" s="774"/>
      <c r="KYG133" s="774"/>
      <c r="KYH133" s="774"/>
      <c r="KYI133" s="774"/>
      <c r="KYJ133" s="774"/>
      <c r="KYK133" s="774"/>
      <c r="KYL133" s="774"/>
      <c r="KYM133" s="774"/>
      <c r="KYN133" s="774"/>
      <c r="KYO133" s="774"/>
      <c r="KYP133" s="774"/>
      <c r="KYQ133" s="774"/>
      <c r="KYR133" s="774"/>
      <c r="KYS133" s="774"/>
      <c r="KYT133" s="774"/>
      <c r="KYU133" s="774"/>
      <c r="KYV133" s="774"/>
      <c r="KYW133" s="774"/>
      <c r="KYX133" s="774"/>
      <c r="KYY133" s="774"/>
      <c r="KYZ133" s="774"/>
      <c r="KZA133" s="774"/>
      <c r="KZB133" s="774"/>
      <c r="KZC133" s="774"/>
      <c r="KZD133" s="774"/>
      <c r="KZE133" s="774"/>
      <c r="KZF133" s="774"/>
      <c r="KZG133" s="774"/>
      <c r="KZH133" s="774"/>
      <c r="KZI133" s="774"/>
      <c r="KZJ133" s="774"/>
      <c r="KZK133" s="774"/>
      <c r="KZL133" s="774"/>
      <c r="KZM133" s="774"/>
      <c r="KZN133" s="774"/>
      <c r="KZO133" s="774"/>
      <c r="KZP133" s="774"/>
      <c r="KZQ133" s="774"/>
      <c r="KZR133" s="774"/>
      <c r="KZS133" s="774"/>
      <c r="KZT133" s="774"/>
      <c r="KZU133" s="774"/>
      <c r="KZV133" s="774"/>
      <c r="KZW133" s="774"/>
      <c r="KZX133" s="774"/>
      <c r="KZY133" s="774"/>
      <c r="KZZ133" s="774"/>
      <c r="LAA133" s="774"/>
      <c r="LAB133" s="774"/>
      <c r="LAC133" s="774"/>
      <c r="LAD133" s="774"/>
      <c r="LAE133" s="774"/>
      <c r="LAF133" s="774"/>
      <c r="LAG133" s="774"/>
      <c r="LAH133" s="774"/>
      <c r="LAI133" s="774"/>
      <c r="LAJ133" s="774"/>
      <c r="LAK133" s="774"/>
      <c r="LAL133" s="774"/>
      <c r="LAM133" s="774"/>
      <c r="LAN133" s="774"/>
      <c r="LAO133" s="774"/>
      <c r="LAP133" s="774"/>
      <c r="LAQ133" s="774"/>
      <c r="LAR133" s="774"/>
      <c r="LAS133" s="774"/>
      <c r="LAT133" s="774"/>
      <c r="LAU133" s="774"/>
      <c r="LAV133" s="774"/>
      <c r="LAW133" s="774"/>
      <c r="LAX133" s="774"/>
      <c r="LAY133" s="774"/>
      <c r="LAZ133" s="774"/>
      <c r="LBA133" s="774"/>
      <c r="LBB133" s="774"/>
      <c r="LBC133" s="774"/>
      <c r="LBD133" s="774"/>
      <c r="LBE133" s="774"/>
      <c r="LBF133" s="774"/>
      <c r="LBG133" s="774"/>
      <c r="LBH133" s="774"/>
      <c r="LBI133" s="774"/>
      <c r="LBJ133" s="774"/>
      <c r="LBK133" s="774"/>
      <c r="LBL133" s="774"/>
      <c r="LBM133" s="774"/>
      <c r="LBN133" s="774"/>
      <c r="LBO133" s="774"/>
      <c r="LBP133" s="774"/>
      <c r="LBQ133" s="774"/>
      <c r="LBR133" s="774"/>
      <c r="LBS133" s="774"/>
      <c r="LBT133" s="774"/>
      <c r="LBU133" s="774"/>
      <c r="LBV133" s="774"/>
      <c r="LBW133" s="774"/>
      <c r="LBX133" s="774"/>
      <c r="LBY133" s="774"/>
      <c r="LBZ133" s="774"/>
      <c r="LCA133" s="774"/>
      <c r="LCB133" s="774"/>
      <c r="LCC133" s="774"/>
      <c r="LCD133" s="774"/>
      <c r="LCE133" s="774"/>
      <c r="LCF133" s="774"/>
      <c r="LCG133" s="774"/>
      <c r="LCH133" s="774"/>
      <c r="LCI133" s="774"/>
      <c r="LCJ133" s="774"/>
      <c r="LCK133" s="774"/>
      <c r="LCL133" s="774"/>
      <c r="LCM133" s="774"/>
      <c r="LCN133" s="774"/>
      <c r="LCO133" s="774"/>
      <c r="LCP133" s="774"/>
      <c r="LCQ133" s="774"/>
      <c r="LCR133" s="774"/>
      <c r="LCS133" s="774"/>
      <c r="LCT133" s="774"/>
      <c r="LCU133" s="774"/>
      <c r="LCV133" s="774"/>
      <c r="LCW133" s="774"/>
      <c r="LCX133" s="774"/>
      <c r="LCY133" s="774"/>
      <c r="LCZ133" s="774"/>
      <c r="LDA133" s="774"/>
      <c r="LDB133" s="774"/>
      <c r="LDC133" s="774"/>
      <c r="LDD133" s="774"/>
      <c r="LDE133" s="774"/>
      <c r="LDF133" s="774"/>
      <c r="LDG133" s="774"/>
      <c r="LDH133" s="774"/>
      <c r="LDI133" s="774"/>
      <c r="LDJ133" s="774"/>
      <c r="LDK133" s="774"/>
      <c r="LDL133" s="774"/>
      <c r="LDM133" s="774"/>
      <c r="LDN133" s="774"/>
      <c r="LDO133" s="774"/>
      <c r="LDP133" s="774"/>
      <c r="LDQ133" s="774"/>
      <c r="LDR133" s="774"/>
      <c r="LDS133" s="774"/>
      <c r="LDT133" s="774"/>
      <c r="LDU133" s="774"/>
      <c r="LDV133" s="774"/>
      <c r="LDW133" s="774"/>
      <c r="LDX133" s="774"/>
      <c r="LDY133" s="774"/>
      <c r="LDZ133" s="774"/>
      <c r="LEA133" s="774"/>
      <c r="LEB133" s="774"/>
      <c r="LEC133" s="774"/>
      <c r="LED133" s="774"/>
      <c r="LEE133" s="774"/>
      <c r="LEF133" s="774"/>
      <c r="LEG133" s="774"/>
      <c r="LEH133" s="774"/>
      <c r="LEI133" s="774"/>
      <c r="LEJ133" s="774"/>
      <c r="LEK133" s="774"/>
      <c r="LEL133" s="774"/>
      <c r="LEM133" s="774"/>
      <c r="LEN133" s="774"/>
      <c r="LEO133" s="774"/>
      <c r="LEP133" s="774"/>
      <c r="LEQ133" s="774"/>
      <c r="LER133" s="774"/>
      <c r="LES133" s="774"/>
      <c r="LET133" s="774"/>
      <c r="LEU133" s="774"/>
      <c r="LEV133" s="774"/>
      <c r="LEW133" s="774"/>
      <c r="LEX133" s="774"/>
      <c r="LEY133" s="774"/>
      <c r="LEZ133" s="774"/>
      <c r="LFA133" s="774"/>
      <c r="LFB133" s="774"/>
      <c r="LFC133" s="774"/>
      <c r="LFD133" s="774"/>
      <c r="LFE133" s="774"/>
      <c r="LFF133" s="774"/>
      <c r="LFG133" s="774"/>
      <c r="LFH133" s="774"/>
      <c r="LFI133" s="774"/>
      <c r="LFJ133" s="774"/>
      <c r="LFK133" s="774"/>
      <c r="LFL133" s="774"/>
      <c r="LFM133" s="774"/>
      <c r="LFN133" s="774"/>
      <c r="LFO133" s="774"/>
      <c r="LFP133" s="774"/>
      <c r="LFQ133" s="774"/>
      <c r="LFR133" s="774"/>
      <c r="LFS133" s="774"/>
      <c r="LFT133" s="774"/>
      <c r="LFU133" s="774"/>
      <c r="LFV133" s="774"/>
      <c r="LFW133" s="774"/>
      <c r="LFX133" s="774"/>
      <c r="LFY133" s="774"/>
      <c r="LFZ133" s="774"/>
      <c r="LGA133" s="774"/>
      <c r="LGB133" s="774"/>
      <c r="LGC133" s="774"/>
      <c r="LGD133" s="774"/>
      <c r="LGE133" s="774"/>
      <c r="LGF133" s="774"/>
      <c r="LGG133" s="774"/>
      <c r="LGH133" s="774"/>
      <c r="LGI133" s="774"/>
      <c r="LGJ133" s="774"/>
      <c r="LGK133" s="774"/>
      <c r="LGL133" s="774"/>
      <c r="LGM133" s="774"/>
      <c r="LGN133" s="774"/>
      <c r="LGO133" s="774"/>
      <c r="LGP133" s="774"/>
      <c r="LGQ133" s="774"/>
      <c r="LGR133" s="774"/>
      <c r="LGS133" s="774"/>
      <c r="LGT133" s="774"/>
      <c r="LGU133" s="774"/>
      <c r="LGV133" s="774"/>
      <c r="LGW133" s="774"/>
      <c r="LGX133" s="774"/>
      <c r="LGY133" s="774"/>
      <c r="LGZ133" s="774"/>
      <c r="LHA133" s="774"/>
      <c r="LHB133" s="774"/>
      <c r="LHC133" s="774"/>
      <c r="LHD133" s="774"/>
      <c r="LHE133" s="774"/>
      <c r="LHF133" s="774"/>
      <c r="LHG133" s="774"/>
      <c r="LHH133" s="774"/>
      <c r="LHI133" s="774"/>
      <c r="LHJ133" s="774"/>
      <c r="LHK133" s="774"/>
      <c r="LHL133" s="774"/>
      <c r="LHM133" s="774"/>
      <c r="LHN133" s="774"/>
      <c r="LHO133" s="774"/>
      <c r="LHP133" s="774"/>
      <c r="LHQ133" s="774"/>
      <c r="LHR133" s="774"/>
      <c r="LHS133" s="774"/>
      <c r="LHT133" s="774"/>
      <c r="LHU133" s="774"/>
      <c r="LHV133" s="774"/>
      <c r="LHW133" s="774"/>
      <c r="LHX133" s="774"/>
      <c r="LHY133" s="774"/>
      <c r="LHZ133" s="774"/>
      <c r="LIA133" s="774"/>
      <c r="LIB133" s="774"/>
      <c r="LIC133" s="774"/>
      <c r="LID133" s="774"/>
      <c r="LIE133" s="774"/>
      <c r="LIF133" s="774"/>
      <c r="LIG133" s="774"/>
      <c r="LIH133" s="774"/>
      <c r="LII133" s="774"/>
      <c r="LIJ133" s="774"/>
      <c r="LIK133" s="774"/>
      <c r="LIL133" s="774"/>
      <c r="LIM133" s="774"/>
      <c r="LIN133" s="774"/>
      <c r="LIO133" s="774"/>
      <c r="LIP133" s="774"/>
      <c r="LIQ133" s="774"/>
      <c r="LIR133" s="774"/>
      <c r="LIS133" s="774"/>
      <c r="LIT133" s="774"/>
      <c r="LIU133" s="774"/>
      <c r="LIV133" s="774"/>
      <c r="LIW133" s="774"/>
      <c r="LIX133" s="774"/>
      <c r="LIY133" s="774"/>
      <c r="LIZ133" s="774"/>
      <c r="LJA133" s="774"/>
      <c r="LJB133" s="774"/>
      <c r="LJC133" s="774"/>
      <c r="LJD133" s="774"/>
      <c r="LJE133" s="774"/>
      <c r="LJF133" s="774"/>
      <c r="LJG133" s="774"/>
      <c r="LJH133" s="774"/>
      <c r="LJI133" s="774"/>
      <c r="LJJ133" s="774"/>
      <c r="LJK133" s="774"/>
      <c r="LJL133" s="774"/>
      <c r="LJM133" s="774"/>
      <c r="LJN133" s="774"/>
      <c r="LJO133" s="774"/>
      <c r="LJP133" s="774"/>
      <c r="LJQ133" s="774"/>
      <c r="LJR133" s="774"/>
      <c r="LJS133" s="774"/>
      <c r="LJT133" s="774"/>
      <c r="LJU133" s="774"/>
      <c r="LJV133" s="774"/>
      <c r="LJW133" s="774"/>
      <c r="LJX133" s="774"/>
      <c r="LJY133" s="774"/>
      <c r="LJZ133" s="774"/>
      <c r="LKA133" s="774"/>
      <c r="LKB133" s="774"/>
      <c r="LKC133" s="774"/>
      <c r="LKD133" s="774"/>
      <c r="LKE133" s="774"/>
      <c r="LKF133" s="774"/>
      <c r="LKG133" s="774"/>
      <c r="LKH133" s="774"/>
      <c r="LKI133" s="774"/>
      <c r="LKJ133" s="774"/>
      <c r="LKK133" s="774"/>
      <c r="LKL133" s="774"/>
      <c r="LKM133" s="774"/>
      <c r="LKN133" s="774"/>
      <c r="LKO133" s="774"/>
      <c r="LKP133" s="774"/>
      <c r="LKQ133" s="774"/>
      <c r="LKR133" s="774"/>
      <c r="LKS133" s="774"/>
      <c r="LKT133" s="774"/>
      <c r="LKU133" s="774"/>
      <c r="LKV133" s="774"/>
      <c r="LKW133" s="774"/>
      <c r="LKX133" s="774"/>
      <c r="LKY133" s="774"/>
      <c r="LKZ133" s="774"/>
      <c r="LLA133" s="774"/>
      <c r="LLB133" s="774"/>
      <c r="LLC133" s="774"/>
      <c r="LLD133" s="774"/>
      <c r="LLE133" s="774"/>
      <c r="LLF133" s="774"/>
      <c r="LLG133" s="774"/>
      <c r="LLH133" s="774"/>
      <c r="LLI133" s="774"/>
      <c r="LLJ133" s="774"/>
      <c r="LLK133" s="774"/>
      <c r="LLL133" s="774"/>
      <c r="LLM133" s="774"/>
      <c r="LLN133" s="774"/>
      <c r="LLO133" s="774"/>
      <c r="LLP133" s="774"/>
      <c r="LLQ133" s="774"/>
      <c r="LLR133" s="774"/>
      <c r="LLS133" s="774"/>
      <c r="LLT133" s="774"/>
      <c r="LLU133" s="774"/>
      <c r="LLV133" s="774"/>
      <c r="LLW133" s="774"/>
      <c r="LLX133" s="774"/>
      <c r="LLY133" s="774"/>
      <c r="LLZ133" s="774"/>
      <c r="LMA133" s="774"/>
      <c r="LMB133" s="774"/>
      <c r="LMC133" s="774"/>
      <c r="LMD133" s="774"/>
      <c r="LME133" s="774"/>
      <c r="LMF133" s="774"/>
      <c r="LMG133" s="774"/>
      <c r="LMH133" s="774"/>
      <c r="LMI133" s="774"/>
      <c r="LMJ133" s="774"/>
      <c r="LMK133" s="774"/>
      <c r="LML133" s="774"/>
      <c r="LMM133" s="774"/>
      <c r="LMN133" s="774"/>
      <c r="LMO133" s="774"/>
      <c r="LMP133" s="774"/>
      <c r="LMQ133" s="774"/>
      <c r="LMR133" s="774"/>
      <c r="LMS133" s="774"/>
      <c r="LMT133" s="774"/>
      <c r="LMU133" s="774"/>
      <c r="LMV133" s="774"/>
      <c r="LMW133" s="774"/>
      <c r="LMX133" s="774"/>
      <c r="LMY133" s="774"/>
      <c r="LMZ133" s="774"/>
      <c r="LNA133" s="774"/>
      <c r="LNB133" s="774"/>
      <c r="LNC133" s="774"/>
      <c r="LND133" s="774"/>
      <c r="LNE133" s="774"/>
      <c r="LNF133" s="774"/>
      <c r="LNG133" s="774"/>
      <c r="LNH133" s="774"/>
      <c r="LNI133" s="774"/>
      <c r="LNJ133" s="774"/>
      <c r="LNK133" s="774"/>
      <c r="LNL133" s="774"/>
      <c r="LNM133" s="774"/>
      <c r="LNN133" s="774"/>
      <c r="LNO133" s="774"/>
      <c r="LNP133" s="774"/>
      <c r="LNQ133" s="774"/>
      <c r="LNR133" s="774"/>
      <c r="LNS133" s="774"/>
      <c r="LNT133" s="774"/>
      <c r="LNU133" s="774"/>
      <c r="LNV133" s="774"/>
      <c r="LNW133" s="774"/>
      <c r="LNX133" s="774"/>
      <c r="LNY133" s="774"/>
      <c r="LNZ133" s="774"/>
      <c r="LOA133" s="774"/>
      <c r="LOB133" s="774"/>
      <c r="LOC133" s="774"/>
      <c r="LOD133" s="774"/>
      <c r="LOE133" s="774"/>
      <c r="LOF133" s="774"/>
      <c r="LOG133" s="774"/>
      <c r="LOH133" s="774"/>
      <c r="LOI133" s="774"/>
      <c r="LOJ133" s="774"/>
      <c r="LOK133" s="774"/>
      <c r="LOL133" s="774"/>
      <c r="LOM133" s="774"/>
      <c r="LON133" s="774"/>
      <c r="LOO133" s="774"/>
      <c r="LOP133" s="774"/>
      <c r="LOQ133" s="774"/>
      <c r="LOR133" s="774"/>
      <c r="LOS133" s="774"/>
      <c r="LOT133" s="774"/>
      <c r="LOU133" s="774"/>
      <c r="LOV133" s="774"/>
      <c r="LOW133" s="774"/>
      <c r="LOX133" s="774"/>
      <c r="LOY133" s="774"/>
      <c r="LOZ133" s="774"/>
      <c r="LPA133" s="774"/>
      <c r="LPB133" s="774"/>
      <c r="LPC133" s="774"/>
      <c r="LPD133" s="774"/>
      <c r="LPE133" s="774"/>
      <c r="LPF133" s="774"/>
      <c r="LPG133" s="774"/>
      <c r="LPH133" s="774"/>
      <c r="LPI133" s="774"/>
      <c r="LPJ133" s="774"/>
      <c r="LPK133" s="774"/>
      <c r="LPL133" s="774"/>
      <c r="LPM133" s="774"/>
      <c r="LPN133" s="774"/>
      <c r="LPO133" s="774"/>
      <c r="LPP133" s="774"/>
      <c r="LPQ133" s="774"/>
      <c r="LPR133" s="774"/>
      <c r="LPS133" s="774"/>
      <c r="LPT133" s="774"/>
      <c r="LPU133" s="774"/>
      <c r="LPV133" s="774"/>
      <c r="LPW133" s="774"/>
      <c r="LPX133" s="774"/>
      <c r="LPY133" s="774"/>
      <c r="LPZ133" s="774"/>
      <c r="LQA133" s="774"/>
      <c r="LQB133" s="774"/>
      <c r="LQC133" s="774"/>
      <c r="LQD133" s="774"/>
      <c r="LQE133" s="774"/>
      <c r="LQF133" s="774"/>
      <c r="LQG133" s="774"/>
      <c r="LQH133" s="774"/>
      <c r="LQI133" s="774"/>
      <c r="LQJ133" s="774"/>
      <c r="LQK133" s="774"/>
      <c r="LQL133" s="774"/>
      <c r="LQM133" s="774"/>
      <c r="LQN133" s="774"/>
      <c r="LQO133" s="774"/>
      <c r="LQP133" s="774"/>
      <c r="LQQ133" s="774"/>
      <c r="LQR133" s="774"/>
      <c r="LQS133" s="774"/>
      <c r="LQT133" s="774"/>
      <c r="LQU133" s="774"/>
      <c r="LQV133" s="774"/>
      <c r="LQW133" s="774"/>
      <c r="LQX133" s="774"/>
      <c r="LQY133" s="774"/>
      <c r="LQZ133" s="774"/>
      <c r="LRA133" s="774"/>
      <c r="LRB133" s="774"/>
      <c r="LRC133" s="774"/>
      <c r="LRD133" s="774"/>
      <c r="LRE133" s="774"/>
      <c r="LRF133" s="774"/>
      <c r="LRG133" s="774"/>
      <c r="LRH133" s="774"/>
      <c r="LRI133" s="774"/>
      <c r="LRJ133" s="774"/>
      <c r="LRK133" s="774"/>
      <c r="LRL133" s="774"/>
      <c r="LRM133" s="774"/>
      <c r="LRN133" s="774"/>
      <c r="LRO133" s="774"/>
      <c r="LRP133" s="774"/>
      <c r="LRQ133" s="774"/>
      <c r="LRR133" s="774"/>
      <c r="LRS133" s="774"/>
      <c r="LRT133" s="774"/>
      <c r="LRU133" s="774"/>
      <c r="LRV133" s="774"/>
      <c r="LRW133" s="774"/>
      <c r="LRX133" s="774"/>
      <c r="LRY133" s="774"/>
      <c r="LRZ133" s="774"/>
      <c r="LSA133" s="774"/>
      <c r="LSB133" s="774"/>
      <c r="LSC133" s="774"/>
      <c r="LSD133" s="774"/>
      <c r="LSE133" s="774"/>
      <c r="LSF133" s="774"/>
      <c r="LSG133" s="774"/>
      <c r="LSH133" s="774"/>
      <c r="LSI133" s="774"/>
      <c r="LSJ133" s="774"/>
      <c r="LSK133" s="774"/>
      <c r="LSL133" s="774"/>
      <c r="LSM133" s="774"/>
      <c r="LSN133" s="774"/>
      <c r="LSO133" s="774"/>
      <c r="LSP133" s="774"/>
      <c r="LSQ133" s="774"/>
      <c r="LSR133" s="774"/>
      <c r="LSS133" s="774"/>
      <c r="LST133" s="774"/>
      <c r="LSU133" s="774"/>
      <c r="LSV133" s="774"/>
      <c r="LSW133" s="774"/>
      <c r="LSX133" s="774"/>
      <c r="LSY133" s="774"/>
      <c r="LSZ133" s="774"/>
      <c r="LTA133" s="774"/>
      <c r="LTB133" s="774"/>
      <c r="LTC133" s="774"/>
      <c r="LTD133" s="774"/>
      <c r="LTE133" s="774"/>
      <c r="LTF133" s="774"/>
      <c r="LTG133" s="774"/>
      <c r="LTH133" s="774"/>
      <c r="LTI133" s="774"/>
      <c r="LTJ133" s="774"/>
      <c r="LTK133" s="774"/>
      <c r="LTL133" s="774"/>
      <c r="LTM133" s="774"/>
      <c r="LTN133" s="774"/>
      <c r="LTO133" s="774"/>
      <c r="LTP133" s="774"/>
      <c r="LTQ133" s="774"/>
      <c r="LTR133" s="774"/>
      <c r="LTS133" s="774"/>
      <c r="LTT133" s="774"/>
      <c r="LTU133" s="774"/>
      <c r="LTV133" s="774"/>
      <c r="LTW133" s="774"/>
      <c r="LTX133" s="774"/>
      <c r="LTY133" s="774"/>
      <c r="LTZ133" s="774"/>
      <c r="LUA133" s="774"/>
      <c r="LUB133" s="774"/>
      <c r="LUC133" s="774"/>
      <c r="LUD133" s="774"/>
      <c r="LUE133" s="774"/>
      <c r="LUF133" s="774"/>
      <c r="LUG133" s="774"/>
      <c r="LUH133" s="774"/>
      <c r="LUI133" s="774"/>
      <c r="LUJ133" s="774"/>
      <c r="LUK133" s="774"/>
      <c r="LUL133" s="774"/>
      <c r="LUM133" s="774"/>
      <c r="LUN133" s="774"/>
      <c r="LUO133" s="774"/>
      <c r="LUP133" s="774"/>
      <c r="LUQ133" s="774"/>
      <c r="LUR133" s="774"/>
      <c r="LUS133" s="774"/>
      <c r="LUT133" s="774"/>
      <c r="LUU133" s="774"/>
      <c r="LUV133" s="774"/>
      <c r="LUW133" s="774"/>
      <c r="LUX133" s="774"/>
      <c r="LUY133" s="774"/>
      <c r="LUZ133" s="774"/>
      <c r="LVA133" s="774"/>
      <c r="LVB133" s="774"/>
      <c r="LVC133" s="774"/>
      <c r="LVD133" s="774"/>
      <c r="LVE133" s="774"/>
      <c r="LVF133" s="774"/>
      <c r="LVG133" s="774"/>
      <c r="LVH133" s="774"/>
      <c r="LVI133" s="774"/>
      <c r="LVJ133" s="774"/>
      <c r="LVK133" s="774"/>
      <c r="LVL133" s="774"/>
      <c r="LVM133" s="774"/>
      <c r="LVN133" s="774"/>
      <c r="LVO133" s="774"/>
      <c r="LVP133" s="774"/>
      <c r="LVQ133" s="774"/>
      <c r="LVR133" s="774"/>
      <c r="LVS133" s="774"/>
      <c r="LVT133" s="774"/>
      <c r="LVU133" s="774"/>
      <c r="LVV133" s="774"/>
      <c r="LVW133" s="774"/>
      <c r="LVX133" s="774"/>
      <c r="LVY133" s="774"/>
      <c r="LVZ133" s="774"/>
      <c r="LWA133" s="774"/>
      <c r="LWB133" s="774"/>
      <c r="LWC133" s="774"/>
      <c r="LWD133" s="774"/>
      <c r="LWE133" s="774"/>
      <c r="LWF133" s="774"/>
      <c r="LWG133" s="774"/>
      <c r="LWH133" s="774"/>
      <c r="LWI133" s="774"/>
      <c r="LWJ133" s="774"/>
      <c r="LWK133" s="774"/>
      <c r="LWL133" s="774"/>
      <c r="LWM133" s="774"/>
      <c r="LWN133" s="774"/>
      <c r="LWO133" s="774"/>
      <c r="LWP133" s="774"/>
      <c r="LWQ133" s="774"/>
      <c r="LWR133" s="774"/>
      <c r="LWS133" s="774"/>
      <c r="LWT133" s="774"/>
      <c r="LWU133" s="774"/>
      <c r="LWV133" s="774"/>
      <c r="LWW133" s="774"/>
      <c r="LWX133" s="774"/>
      <c r="LWY133" s="774"/>
      <c r="LWZ133" s="774"/>
      <c r="LXA133" s="774"/>
      <c r="LXB133" s="774"/>
      <c r="LXC133" s="774"/>
      <c r="LXD133" s="774"/>
      <c r="LXE133" s="774"/>
      <c r="LXF133" s="774"/>
      <c r="LXG133" s="774"/>
      <c r="LXH133" s="774"/>
      <c r="LXI133" s="774"/>
      <c r="LXJ133" s="774"/>
      <c r="LXK133" s="774"/>
      <c r="LXL133" s="774"/>
      <c r="LXM133" s="774"/>
      <c r="LXN133" s="774"/>
      <c r="LXO133" s="774"/>
      <c r="LXP133" s="774"/>
      <c r="LXQ133" s="774"/>
      <c r="LXR133" s="774"/>
      <c r="LXS133" s="774"/>
      <c r="LXT133" s="774"/>
      <c r="LXU133" s="774"/>
      <c r="LXV133" s="774"/>
      <c r="LXW133" s="774"/>
      <c r="LXX133" s="774"/>
      <c r="LXY133" s="774"/>
      <c r="LXZ133" s="774"/>
      <c r="LYA133" s="774"/>
      <c r="LYB133" s="774"/>
      <c r="LYC133" s="774"/>
      <c r="LYD133" s="774"/>
      <c r="LYE133" s="774"/>
      <c r="LYF133" s="774"/>
      <c r="LYG133" s="774"/>
      <c r="LYH133" s="774"/>
      <c r="LYI133" s="774"/>
      <c r="LYJ133" s="774"/>
      <c r="LYK133" s="774"/>
      <c r="LYL133" s="774"/>
      <c r="LYM133" s="774"/>
      <c r="LYN133" s="774"/>
      <c r="LYO133" s="774"/>
      <c r="LYP133" s="774"/>
      <c r="LYQ133" s="774"/>
      <c r="LYR133" s="774"/>
      <c r="LYS133" s="774"/>
      <c r="LYT133" s="774"/>
      <c r="LYU133" s="774"/>
      <c r="LYV133" s="774"/>
      <c r="LYW133" s="774"/>
      <c r="LYX133" s="774"/>
      <c r="LYY133" s="774"/>
      <c r="LYZ133" s="774"/>
      <c r="LZA133" s="774"/>
      <c r="LZB133" s="774"/>
      <c r="LZC133" s="774"/>
      <c r="LZD133" s="774"/>
      <c r="LZE133" s="774"/>
      <c r="LZF133" s="774"/>
      <c r="LZG133" s="774"/>
      <c r="LZH133" s="774"/>
      <c r="LZI133" s="774"/>
      <c r="LZJ133" s="774"/>
      <c r="LZK133" s="774"/>
      <c r="LZL133" s="774"/>
      <c r="LZM133" s="774"/>
      <c r="LZN133" s="774"/>
      <c r="LZO133" s="774"/>
      <c r="LZP133" s="774"/>
      <c r="LZQ133" s="774"/>
      <c r="LZR133" s="774"/>
      <c r="LZS133" s="774"/>
      <c r="LZT133" s="774"/>
      <c r="LZU133" s="774"/>
      <c r="LZV133" s="774"/>
      <c r="LZW133" s="774"/>
      <c r="LZX133" s="774"/>
      <c r="LZY133" s="774"/>
      <c r="LZZ133" s="774"/>
      <c r="MAA133" s="774"/>
      <c r="MAB133" s="774"/>
      <c r="MAC133" s="774"/>
      <c r="MAD133" s="774"/>
      <c r="MAE133" s="774"/>
      <c r="MAF133" s="774"/>
      <c r="MAG133" s="774"/>
      <c r="MAH133" s="774"/>
      <c r="MAI133" s="774"/>
      <c r="MAJ133" s="774"/>
      <c r="MAK133" s="774"/>
      <c r="MAL133" s="774"/>
      <c r="MAM133" s="774"/>
      <c r="MAN133" s="774"/>
      <c r="MAO133" s="774"/>
      <c r="MAP133" s="774"/>
      <c r="MAQ133" s="774"/>
      <c r="MAR133" s="774"/>
      <c r="MAS133" s="774"/>
      <c r="MAT133" s="774"/>
      <c r="MAU133" s="774"/>
      <c r="MAV133" s="774"/>
      <c r="MAW133" s="774"/>
      <c r="MAX133" s="774"/>
      <c r="MAY133" s="774"/>
      <c r="MAZ133" s="774"/>
      <c r="MBA133" s="774"/>
      <c r="MBB133" s="774"/>
      <c r="MBC133" s="774"/>
      <c r="MBD133" s="774"/>
      <c r="MBE133" s="774"/>
      <c r="MBF133" s="774"/>
      <c r="MBG133" s="774"/>
      <c r="MBH133" s="774"/>
      <c r="MBI133" s="774"/>
      <c r="MBJ133" s="774"/>
      <c r="MBK133" s="774"/>
      <c r="MBL133" s="774"/>
      <c r="MBM133" s="774"/>
      <c r="MBN133" s="774"/>
      <c r="MBO133" s="774"/>
      <c r="MBP133" s="774"/>
      <c r="MBQ133" s="774"/>
      <c r="MBR133" s="774"/>
      <c r="MBS133" s="774"/>
      <c r="MBT133" s="774"/>
      <c r="MBU133" s="774"/>
      <c r="MBV133" s="774"/>
      <c r="MBW133" s="774"/>
      <c r="MBX133" s="774"/>
      <c r="MBY133" s="774"/>
      <c r="MBZ133" s="774"/>
      <c r="MCA133" s="774"/>
      <c r="MCB133" s="774"/>
      <c r="MCC133" s="774"/>
      <c r="MCD133" s="774"/>
      <c r="MCE133" s="774"/>
      <c r="MCF133" s="774"/>
      <c r="MCG133" s="774"/>
      <c r="MCH133" s="774"/>
      <c r="MCI133" s="774"/>
      <c r="MCJ133" s="774"/>
      <c r="MCK133" s="774"/>
      <c r="MCL133" s="774"/>
      <c r="MCM133" s="774"/>
      <c r="MCN133" s="774"/>
      <c r="MCO133" s="774"/>
      <c r="MCP133" s="774"/>
      <c r="MCQ133" s="774"/>
      <c r="MCR133" s="774"/>
      <c r="MCS133" s="774"/>
      <c r="MCT133" s="774"/>
      <c r="MCU133" s="774"/>
      <c r="MCV133" s="774"/>
      <c r="MCW133" s="774"/>
      <c r="MCX133" s="774"/>
      <c r="MCY133" s="774"/>
      <c r="MCZ133" s="774"/>
      <c r="MDA133" s="774"/>
      <c r="MDB133" s="774"/>
      <c r="MDC133" s="774"/>
      <c r="MDD133" s="774"/>
      <c r="MDE133" s="774"/>
      <c r="MDF133" s="774"/>
      <c r="MDG133" s="774"/>
      <c r="MDH133" s="774"/>
      <c r="MDI133" s="774"/>
      <c r="MDJ133" s="774"/>
      <c r="MDK133" s="774"/>
      <c r="MDL133" s="774"/>
      <c r="MDM133" s="774"/>
      <c r="MDN133" s="774"/>
      <c r="MDO133" s="774"/>
      <c r="MDP133" s="774"/>
      <c r="MDQ133" s="774"/>
      <c r="MDR133" s="774"/>
      <c r="MDS133" s="774"/>
      <c r="MDT133" s="774"/>
      <c r="MDU133" s="774"/>
      <c r="MDV133" s="774"/>
      <c r="MDW133" s="774"/>
      <c r="MDX133" s="774"/>
      <c r="MDY133" s="774"/>
      <c r="MDZ133" s="774"/>
      <c r="MEA133" s="774"/>
      <c r="MEB133" s="774"/>
      <c r="MEC133" s="774"/>
      <c r="MED133" s="774"/>
      <c r="MEE133" s="774"/>
      <c r="MEF133" s="774"/>
      <c r="MEG133" s="774"/>
      <c r="MEH133" s="774"/>
      <c r="MEI133" s="774"/>
      <c r="MEJ133" s="774"/>
      <c r="MEK133" s="774"/>
      <c r="MEL133" s="774"/>
      <c r="MEM133" s="774"/>
      <c r="MEN133" s="774"/>
      <c r="MEO133" s="774"/>
      <c r="MEP133" s="774"/>
      <c r="MEQ133" s="774"/>
      <c r="MER133" s="774"/>
      <c r="MES133" s="774"/>
      <c r="MET133" s="774"/>
      <c r="MEU133" s="774"/>
      <c r="MEV133" s="774"/>
      <c r="MEW133" s="774"/>
      <c r="MEX133" s="774"/>
      <c r="MEY133" s="774"/>
      <c r="MEZ133" s="774"/>
      <c r="MFA133" s="774"/>
      <c r="MFB133" s="774"/>
      <c r="MFC133" s="774"/>
      <c r="MFD133" s="774"/>
      <c r="MFE133" s="774"/>
      <c r="MFF133" s="774"/>
      <c r="MFG133" s="774"/>
      <c r="MFH133" s="774"/>
      <c r="MFI133" s="774"/>
      <c r="MFJ133" s="774"/>
      <c r="MFK133" s="774"/>
      <c r="MFL133" s="774"/>
      <c r="MFM133" s="774"/>
      <c r="MFN133" s="774"/>
      <c r="MFO133" s="774"/>
      <c r="MFP133" s="774"/>
      <c r="MFQ133" s="774"/>
      <c r="MFR133" s="774"/>
      <c r="MFS133" s="774"/>
      <c r="MFT133" s="774"/>
      <c r="MFU133" s="774"/>
      <c r="MFV133" s="774"/>
      <c r="MFW133" s="774"/>
      <c r="MFX133" s="774"/>
      <c r="MFY133" s="774"/>
      <c r="MFZ133" s="774"/>
      <c r="MGA133" s="774"/>
      <c r="MGB133" s="774"/>
      <c r="MGC133" s="774"/>
      <c r="MGD133" s="774"/>
      <c r="MGE133" s="774"/>
      <c r="MGF133" s="774"/>
      <c r="MGG133" s="774"/>
      <c r="MGH133" s="774"/>
      <c r="MGI133" s="774"/>
      <c r="MGJ133" s="774"/>
      <c r="MGK133" s="774"/>
      <c r="MGL133" s="774"/>
      <c r="MGM133" s="774"/>
      <c r="MGN133" s="774"/>
      <c r="MGO133" s="774"/>
      <c r="MGP133" s="774"/>
      <c r="MGQ133" s="774"/>
      <c r="MGR133" s="774"/>
      <c r="MGS133" s="774"/>
      <c r="MGT133" s="774"/>
      <c r="MGU133" s="774"/>
      <c r="MGV133" s="774"/>
      <c r="MGW133" s="774"/>
      <c r="MGX133" s="774"/>
      <c r="MGY133" s="774"/>
      <c r="MGZ133" s="774"/>
      <c r="MHA133" s="774"/>
      <c r="MHB133" s="774"/>
      <c r="MHC133" s="774"/>
      <c r="MHD133" s="774"/>
      <c r="MHE133" s="774"/>
      <c r="MHF133" s="774"/>
      <c r="MHG133" s="774"/>
      <c r="MHH133" s="774"/>
      <c r="MHI133" s="774"/>
      <c r="MHJ133" s="774"/>
      <c r="MHK133" s="774"/>
      <c r="MHL133" s="774"/>
      <c r="MHM133" s="774"/>
      <c r="MHN133" s="774"/>
      <c r="MHO133" s="774"/>
      <c r="MHP133" s="774"/>
      <c r="MHQ133" s="774"/>
      <c r="MHR133" s="774"/>
      <c r="MHS133" s="774"/>
      <c r="MHT133" s="774"/>
      <c r="MHU133" s="774"/>
      <c r="MHV133" s="774"/>
      <c r="MHW133" s="774"/>
      <c r="MHX133" s="774"/>
      <c r="MHY133" s="774"/>
      <c r="MHZ133" s="774"/>
      <c r="MIA133" s="774"/>
      <c r="MIB133" s="774"/>
      <c r="MIC133" s="774"/>
      <c r="MID133" s="774"/>
      <c r="MIE133" s="774"/>
      <c r="MIF133" s="774"/>
      <c r="MIG133" s="774"/>
      <c r="MIH133" s="774"/>
      <c r="MII133" s="774"/>
      <c r="MIJ133" s="774"/>
      <c r="MIK133" s="774"/>
      <c r="MIL133" s="774"/>
      <c r="MIM133" s="774"/>
      <c r="MIN133" s="774"/>
      <c r="MIO133" s="774"/>
      <c r="MIP133" s="774"/>
      <c r="MIQ133" s="774"/>
      <c r="MIR133" s="774"/>
      <c r="MIS133" s="774"/>
      <c r="MIT133" s="774"/>
      <c r="MIU133" s="774"/>
      <c r="MIV133" s="774"/>
      <c r="MIW133" s="774"/>
      <c r="MIX133" s="774"/>
      <c r="MIY133" s="774"/>
      <c r="MIZ133" s="774"/>
      <c r="MJA133" s="774"/>
      <c r="MJB133" s="774"/>
      <c r="MJC133" s="774"/>
      <c r="MJD133" s="774"/>
      <c r="MJE133" s="774"/>
      <c r="MJF133" s="774"/>
      <c r="MJG133" s="774"/>
      <c r="MJH133" s="774"/>
      <c r="MJI133" s="774"/>
      <c r="MJJ133" s="774"/>
      <c r="MJK133" s="774"/>
      <c r="MJL133" s="774"/>
      <c r="MJM133" s="774"/>
      <c r="MJN133" s="774"/>
      <c r="MJO133" s="774"/>
      <c r="MJP133" s="774"/>
      <c r="MJQ133" s="774"/>
      <c r="MJR133" s="774"/>
      <c r="MJS133" s="774"/>
      <c r="MJT133" s="774"/>
      <c r="MJU133" s="774"/>
      <c r="MJV133" s="774"/>
      <c r="MJW133" s="774"/>
      <c r="MJX133" s="774"/>
      <c r="MJY133" s="774"/>
      <c r="MJZ133" s="774"/>
      <c r="MKA133" s="774"/>
      <c r="MKB133" s="774"/>
      <c r="MKC133" s="774"/>
      <c r="MKD133" s="774"/>
      <c r="MKE133" s="774"/>
      <c r="MKF133" s="774"/>
      <c r="MKG133" s="774"/>
      <c r="MKH133" s="774"/>
      <c r="MKI133" s="774"/>
      <c r="MKJ133" s="774"/>
      <c r="MKK133" s="774"/>
      <c r="MKL133" s="774"/>
      <c r="MKM133" s="774"/>
      <c r="MKN133" s="774"/>
      <c r="MKO133" s="774"/>
      <c r="MKP133" s="774"/>
      <c r="MKQ133" s="774"/>
      <c r="MKR133" s="774"/>
      <c r="MKS133" s="774"/>
      <c r="MKT133" s="774"/>
      <c r="MKU133" s="774"/>
      <c r="MKV133" s="774"/>
      <c r="MKW133" s="774"/>
      <c r="MKX133" s="774"/>
      <c r="MKY133" s="774"/>
      <c r="MKZ133" s="774"/>
      <c r="MLA133" s="774"/>
      <c r="MLB133" s="774"/>
      <c r="MLC133" s="774"/>
      <c r="MLD133" s="774"/>
      <c r="MLE133" s="774"/>
      <c r="MLF133" s="774"/>
      <c r="MLG133" s="774"/>
      <c r="MLH133" s="774"/>
      <c r="MLI133" s="774"/>
      <c r="MLJ133" s="774"/>
      <c r="MLK133" s="774"/>
      <c r="MLL133" s="774"/>
      <c r="MLM133" s="774"/>
      <c r="MLN133" s="774"/>
      <c r="MLO133" s="774"/>
      <c r="MLP133" s="774"/>
      <c r="MLQ133" s="774"/>
      <c r="MLR133" s="774"/>
      <c r="MLS133" s="774"/>
      <c r="MLT133" s="774"/>
      <c r="MLU133" s="774"/>
      <c r="MLV133" s="774"/>
      <c r="MLW133" s="774"/>
      <c r="MLX133" s="774"/>
      <c r="MLY133" s="774"/>
      <c r="MLZ133" s="774"/>
      <c r="MMA133" s="774"/>
      <c r="MMB133" s="774"/>
      <c r="MMC133" s="774"/>
      <c r="MMD133" s="774"/>
      <c r="MME133" s="774"/>
      <c r="MMF133" s="774"/>
      <c r="MMG133" s="774"/>
      <c r="MMH133" s="774"/>
      <c r="MMI133" s="774"/>
      <c r="MMJ133" s="774"/>
      <c r="MMK133" s="774"/>
      <c r="MML133" s="774"/>
      <c r="MMM133" s="774"/>
      <c r="MMN133" s="774"/>
      <c r="MMO133" s="774"/>
      <c r="MMP133" s="774"/>
      <c r="MMQ133" s="774"/>
      <c r="MMR133" s="774"/>
      <c r="MMS133" s="774"/>
      <c r="MMT133" s="774"/>
      <c r="MMU133" s="774"/>
      <c r="MMV133" s="774"/>
      <c r="MMW133" s="774"/>
      <c r="MMX133" s="774"/>
      <c r="MMY133" s="774"/>
      <c r="MMZ133" s="774"/>
      <c r="MNA133" s="774"/>
      <c r="MNB133" s="774"/>
      <c r="MNC133" s="774"/>
      <c r="MND133" s="774"/>
      <c r="MNE133" s="774"/>
      <c r="MNF133" s="774"/>
      <c r="MNG133" s="774"/>
      <c r="MNH133" s="774"/>
      <c r="MNI133" s="774"/>
      <c r="MNJ133" s="774"/>
      <c r="MNK133" s="774"/>
      <c r="MNL133" s="774"/>
      <c r="MNM133" s="774"/>
      <c r="MNN133" s="774"/>
      <c r="MNO133" s="774"/>
      <c r="MNP133" s="774"/>
      <c r="MNQ133" s="774"/>
      <c r="MNR133" s="774"/>
      <c r="MNS133" s="774"/>
      <c r="MNT133" s="774"/>
      <c r="MNU133" s="774"/>
      <c r="MNV133" s="774"/>
      <c r="MNW133" s="774"/>
      <c r="MNX133" s="774"/>
      <c r="MNY133" s="774"/>
      <c r="MNZ133" s="774"/>
      <c r="MOA133" s="774"/>
      <c r="MOB133" s="774"/>
      <c r="MOC133" s="774"/>
      <c r="MOD133" s="774"/>
      <c r="MOE133" s="774"/>
      <c r="MOF133" s="774"/>
      <c r="MOG133" s="774"/>
      <c r="MOH133" s="774"/>
      <c r="MOI133" s="774"/>
      <c r="MOJ133" s="774"/>
      <c r="MOK133" s="774"/>
      <c r="MOL133" s="774"/>
      <c r="MOM133" s="774"/>
      <c r="MON133" s="774"/>
      <c r="MOO133" s="774"/>
      <c r="MOP133" s="774"/>
      <c r="MOQ133" s="774"/>
      <c r="MOR133" s="774"/>
      <c r="MOS133" s="774"/>
      <c r="MOT133" s="774"/>
      <c r="MOU133" s="774"/>
      <c r="MOV133" s="774"/>
      <c r="MOW133" s="774"/>
      <c r="MOX133" s="774"/>
      <c r="MOY133" s="774"/>
      <c r="MOZ133" s="774"/>
      <c r="MPA133" s="774"/>
      <c r="MPB133" s="774"/>
      <c r="MPC133" s="774"/>
      <c r="MPD133" s="774"/>
      <c r="MPE133" s="774"/>
      <c r="MPF133" s="774"/>
      <c r="MPG133" s="774"/>
      <c r="MPH133" s="774"/>
      <c r="MPI133" s="774"/>
      <c r="MPJ133" s="774"/>
      <c r="MPK133" s="774"/>
      <c r="MPL133" s="774"/>
      <c r="MPM133" s="774"/>
      <c r="MPN133" s="774"/>
      <c r="MPO133" s="774"/>
      <c r="MPP133" s="774"/>
      <c r="MPQ133" s="774"/>
      <c r="MPR133" s="774"/>
      <c r="MPS133" s="774"/>
      <c r="MPT133" s="774"/>
      <c r="MPU133" s="774"/>
      <c r="MPV133" s="774"/>
      <c r="MPW133" s="774"/>
      <c r="MPX133" s="774"/>
      <c r="MPY133" s="774"/>
      <c r="MPZ133" s="774"/>
      <c r="MQA133" s="774"/>
      <c r="MQB133" s="774"/>
      <c r="MQC133" s="774"/>
      <c r="MQD133" s="774"/>
      <c r="MQE133" s="774"/>
      <c r="MQF133" s="774"/>
      <c r="MQG133" s="774"/>
      <c r="MQH133" s="774"/>
      <c r="MQI133" s="774"/>
      <c r="MQJ133" s="774"/>
      <c r="MQK133" s="774"/>
      <c r="MQL133" s="774"/>
      <c r="MQM133" s="774"/>
      <c r="MQN133" s="774"/>
      <c r="MQO133" s="774"/>
      <c r="MQP133" s="774"/>
      <c r="MQQ133" s="774"/>
      <c r="MQR133" s="774"/>
      <c r="MQS133" s="774"/>
      <c r="MQT133" s="774"/>
      <c r="MQU133" s="774"/>
      <c r="MQV133" s="774"/>
      <c r="MQW133" s="774"/>
      <c r="MQX133" s="774"/>
      <c r="MQY133" s="774"/>
      <c r="MQZ133" s="774"/>
      <c r="MRA133" s="774"/>
      <c r="MRB133" s="774"/>
      <c r="MRC133" s="774"/>
      <c r="MRD133" s="774"/>
      <c r="MRE133" s="774"/>
      <c r="MRF133" s="774"/>
      <c r="MRG133" s="774"/>
      <c r="MRH133" s="774"/>
      <c r="MRI133" s="774"/>
      <c r="MRJ133" s="774"/>
      <c r="MRK133" s="774"/>
      <c r="MRL133" s="774"/>
      <c r="MRM133" s="774"/>
      <c r="MRN133" s="774"/>
      <c r="MRO133" s="774"/>
      <c r="MRP133" s="774"/>
      <c r="MRQ133" s="774"/>
      <c r="MRR133" s="774"/>
      <c r="MRS133" s="774"/>
      <c r="MRT133" s="774"/>
      <c r="MRU133" s="774"/>
      <c r="MRV133" s="774"/>
      <c r="MRW133" s="774"/>
      <c r="MRX133" s="774"/>
      <c r="MRY133" s="774"/>
      <c r="MRZ133" s="774"/>
      <c r="MSA133" s="774"/>
      <c r="MSB133" s="774"/>
      <c r="MSC133" s="774"/>
      <c r="MSD133" s="774"/>
      <c r="MSE133" s="774"/>
      <c r="MSF133" s="774"/>
      <c r="MSG133" s="774"/>
      <c r="MSH133" s="774"/>
      <c r="MSI133" s="774"/>
      <c r="MSJ133" s="774"/>
      <c r="MSK133" s="774"/>
      <c r="MSL133" s="774"/>
      <c r="MSM133" s="774"/>
      <c r="MSN133" s="774"/>
      <c r="MSO133" s="774"/>
      <c r="MSP133" s="774"/>
      <c r="MSQ133" s="774"/>
      <c r="MSR133" s="774"/>
      <c r="MSS133" s="774"/>
      <c r="MST133" s="774"/>
      <c r="MSU133" s="774"/>
      <c r="MSV133" s="774"/>
      <c r="MSW133" s="774"/>
      <c r="MSX133" s="774"/>
      <c r="MSY133" s="774"/>
      <c r="MSZ133" s="774"/>
      <c r="MTA133" s="774"/>
      <c r="MTB133" s="774"/>
      <c r="MTC133" s="774"/>
      <c r="MTD133" s="774"/>
      <c r="MTE133" s="774"/>
      <c r="MTF133" s="774"/>
      <c r="MTG133" s="774"/>
      <c r="MTH133" s="774"/>
      <c r="MTI133" s="774"/>
      <c r="MTJ133" s="774"/>
      <c r="MTK133" s="774"/>
      <c r="MTL133" s="774"/>
      <c r="MTM133" s="774"/>
      <c r="MTN133" s="774"/>
      <c r="MTO133" s="774"/>
      <c r="MTP133" s="774"/>
      <c r="MTQ133" s="774"/>
      <c r="MTR133" s="774"/>
      <c r="MTS133" s="774"/>
      <c r="MTT133" s="774"/>
      <c r="MTU133" s="774"/>
      <c r="MTV133" s="774"/>
      <c r="MTW133" s="774"/>
      <c r="MTX133" s="774"/>
      <c r="MTY133" s="774"/>
      <c r="MTZ133" s="774"/>
      <c r="MUA133" s="774"/>
      <c r="MUB133" s="774"/>
      <c r="MUC133" s="774"/>
      <c r="MUD133" s="774"/>
      <c r="MUE133" s="774"/>
      <c r="MUF133" s="774"/>
      <c r="MUG133" s="774"/>
      <c r="MUH133" s="774"/>
      <c r="MUI133" s="774"/>
      <c r="MUJ133" s="774"/>
      <c r="MUK133" s="774"/>
      <c r="MUL133" s="774"/>
      <c r="MUM133" s="774"/>
      <c r="MUN133" s="774"/>
      <c r="MUO133" s="774"/>
      <c r="MUP133" s="774"/>
      <c r="MUQ133" s="774"/>
      <c r="MUR133" s="774"/>
      <c r="MUS133" s="774"/>
      <c r="MUT133" s="774"/>
      <c r="MUU133" s="774"/>
      <c r="MUV133" s="774"/>
      <c r="MUW133" s="774"/>
      <c r="MUX133" s="774"/>
      <c r="MUY133" s="774"/>
      <c r="MUZ133" s="774"/>
      <c r="MVA133" s="774"/>
      <c r="MVB133" s="774"/>
      <c r="MVC133" s="774"/>
      <c r="MVD133" s="774"/>
      <c r="MVE133" s="774"/>
      <c r="MVF133" s="774"/>
      <c r="MVG133" s="774"/>
      <c r="MVH133" s="774"/>
      <c r="MVI133" s="774"/>
      <c r="MVJ133" s="774"/>
      <c r="MVK133" s="774"/>
      <c r="MVL133" s="774"/>
      <c r="MVM133" s="774"/>
      <c r="MVN133" s="774"/>
      <c r="MVO133" s="774"/>
      <c r="MVP133" s="774"/>
      <c r="MVQ133" s="774"/>
      <c r="MVR133" s="774"/>
      <c r="MVS133" s="774"/>
      <c r="MVT133" s="774"/>
      <c r="MVU133" s="774"/>
      <c r="MVV133" s="774"/>
      <c r="MVW133" s="774"/>
      <c r="MVX133" s="774"/>
      <c r="MVY133" s="774"/>
      <c r="MVZ133" s="774"/>
      <c r="MWA133" s="774"/>
      <c r="MWB133" s="774"/>
      <c r="MWC133" s="774"/>
      <c r="MWD133" s="774"/>
      <c r="MWE133" s="774"/>
      <c r="MWF133" s="774"/>
      <c r="MWG133" s="774"/>
      <c r="MWH133" s="774"/>
      <c r="MWI133" s="774"/>
      <c r="MWJ133" s="774"/>
      <c r="MWK133" s="774"/>
      <c r="MWL133" s="774"/>
      <c r="MWM133" s="774"/>
      <c r="MWN133" s="774"/>
      <c r="MWO133" s="774"/>
      <c r="MWP133" s="774"/>
      <c r="MWQ133" s="774"/>
      <c r="MWR133" s="774"/>
      <c r="MWS133" s="774"/>
      <c r="MWT133" s="774"/>
      <c r="MWU133" s="774"/>
      <c r="MWV133" s="774"/>
      <c r="MWW133" s="774"/>
      <c r="MWX133" s="774"/>
      <c r="MWY133" s="774"/>
      <c r="MWZ133" s="774"/>
      <c r="MXA133" s="774"/>
      <c r="MXB133" s="774"/>
      <c r="MXC133" s="774"/>
      <c r="MXD133" s="774"/>
      <c r="MXE133" s="774"/>
      <c r="MXF133" s="774"/>
      <c r="MXG133" s="774"/>
      <c r="MXH133" s="774"/>
      <c r="MXI133" s="774"/>
      <c r="MXJ133" s="774"/>
      <c r="MXK133" s="774"/>
      <c r="MXL133" s="774"/>
      <c r="MXM133" s="774"/>
      <c r="MXN133" s="774"/>
      <c r="MXO133" s="774"/>
      <c r="MXP133" s="774"/>
      <c r="MXQ133" s="774"/>
      <c r="MXR133" s="774"/>
      <c r="MXS133" s="774"/>
      <c r="MXT133" s="774"/>
      <c r="MXU133" s="774"/>
      <c r="MXV133" s="774"/>
      <c r="MXW133" s="774"/>
      <c r="MXX133" s="774"/>
      <c r="MXY133" s="774"/>
      <c r="MXZ133" s="774"/>
      <c r="MYA133" s="774"/>
      <c r="MYB133" s="774"/>
      <c r="MYC133" s="774"/>
      <c r="MYD133" s="774"/>
      <c r="MYE133" s="774"/>
      <c r="MYF133" s="774"/>
      <c r="MYG133" s="774"/>
      <c r="MYH133" s="774"/>
      <c r="MYI133" s="774"/>
      <c r="MYJ133" s="774"/>
      <c r="MYK133" s="774"/>
      <c r="MYL133" s="774"/>
      <c r="MYM133" s="774"/>
      <c r="MYN133" s="774"/>
      <c r="MYO133" s="774"/>
      <c r="MYP133" s="774"/>
      <c r="MYQ133" s="774"/>
      <c r="MYR133" s="774"/>
      <c r="MYS133" s="774"/>
      <c r="MYT133" s="774"/>
      <c r="MYU133" s="774"/>
      <c r="MYV133" s="774"/>
      <c r="MYW133" s="774"/>
      <c r="MYX133" s="774"/>
      <c r="MYY133" s="774"/>
      <c r="MYZ133" s="774"/>
      <c r="MZA133" s="774"/>
      <c r="MZB133" s="774"/>
      <c r="MZC133" s="774"/>
      <c r="MZD133" s="774"/>
      <c r="MZE133" s="774"/>
      <c r="MZF133" s="774"/>
      <c r="MZG133" s="774"/>
      <c r="MZH133" s="774"/>
      <c r="MZI133" s="774"/>
      <c r="MZJ133" s="774"/>
      <c r="MZK133" s="774"/>
      <c r="MZL133" s="774"/>
      <c r="MZM133" s="774"/>
      <c r="MZN133" s="774"/>
      <c r="MZO133" s="774"/>
      <c r="MZP133" s="774"/>
      <c r="MZQ133" s="774"/>
      <c r="MZR133" s="774"/>
      <c r="MZS133" s="774"/>
      <c r="MZT133" s="774"/>
      <c r="MZU133" s="774"/>
      <c r="MZV133" s="774"/>
      <c r="MZW133" s="774"/>
      <c r="MZX133" s="774"/>
      <c r="MZY133" s="774"/>
      <c r="MZZ133" s="774"/>
      <c r="NAA133" s="774"/>
      <c r="NAB133" s="774"/>
      <c r="NAC133" s="774"/>
      <c r="NAD133" s="774"/>
      <c r="NAE133" s="774"/>
      <c r="NAF133" s="774"/>
      <c r="NAG133" s="774"/>
      <c r="NAH133" s="774"/>
      <c r="NAI133" s="774"/>
      <c r="NAJ133" s="774"/>
      <c r="NAK133" s="774"/>
      <c r="NAL133" s="774"/>
      <c r="NAM133" s="774"/>
      <c r="NAN133" s="774"/>
      <c r="NAO133" s="774"/>
      <c r="NAP133" s="774"/>
      <c r="NAQ133" s="774"/>
      <c r="NAR133" s="774"/>
      <c r="NAS133" s="774"/>
      <c r="NAT133" s="774"/>
      <c r="NAU133" s="774"/>
      <c r="NAV133" s="774"/>
      <c r="NAW133" s="774"/>
      <c r="NAX133" s="774"/>
      <c r="NAY133" s="774"/>
      <c r="NAZ133" s="774"/>
      <c r="NBA133" s="774"/>
      <c r="NBB133" s="774"/>
      <c r="NBC133" s="774"/>
      <c r="NBD133" s="774"/>
      <c r="NBE133" s="774"/>
      <c r="NBF133" s="774"/>
      <c r="NBG133" s="774"/>
      <c r="NBH133" s="774"/>
      <c r="NBI133" s="774"/>
      <c r="NBJ133" s="774"/>
      <c r="NBK133" s="774"/>
      <c r="NBL133" s="774"/>
      <c r="NBM133" s="774"/>
      <c r="NBN133" s="774"/>
      <c r="NBO133" s="774"/>
      <c r="NBP133" s="774"/>
      <c r="NBQ133" s="774"/>
      <c r="NBR133" s="774"/>
      <c r="NBS133" s="774"/>
      <c r="NBT133" s="774"/>
      <c r="NBU133" s="774"/>
      <c r="NBV133" s="774"/>
      <c r="NBW133" s="774"/>
      <c r="NBX133" s="774"/>
      <c r="NBY133" s="774"/>
      <c r="NBZ133" s="774"/>
      <c r="NCA133" s="774"/>
      <c r="NCB133" s="774"/>
      <c r="NCC133" s="774"/>
      <c r="NCD133" s="774"/>
      <c r="NCE133" s="774"/>
      <c r="NCF133" s="774"/>
      <c r="NCG133" s="774"/>
      <c r="NCH133" s="774"/>
      <c r="NCI133" s="774"/>
      <c r="NCJ133" s="774"/>
      <c r="NCK133" s="774"/>
      <c r="NCL133" s="774"/>
      <c r="NCM133" s="774"/>
      <c r="NCN133" s="774"/>
      <c r="NCO133" s="774"/>
      <c r="NCP133" s="774"/>
      <c r="NCQ133" s="774"/>
      <c r="NCR133" s="774"/>
      <c r="NCS133" s="774"/>
      <c r="NCT133" s="774"/>
      <c r="NCU133" s="774"/>
      <c r="NCV133" s="774"/>
      <c r="NCW133" s="774"/>
      <c r="NCX133" s="774"/>
      <c r="NCY133" s="774"/>
      <c r="NCZ133" s="774"/>
      <c r="NDA133" s="774"/>
      <c r="NDB133" s="774"/>
      <c r="NDC133" s="774"/>
      <c r="NDD133" s="774"/>
      <c r="NDE133" s="774"/>
      <c r="NDF133" s="774"/>
      <c r="NDG133" s="774"/>
      <c r="NDH133" s="774"/>
      <c r="NDI133" s="774"/>
      <c r="NDJ133" s="774"/>
      <c r="NDK133" s="774"/>
      <c r="NDL133" s="774"/>
      <c r="NDM133" s="774"/>
      <c r="NDN133" s="774"/>
      <c r="NDO133" s="774"/>
      <c r="NDP133" s="774"/>
      <c r="NDQ133" s="774"/>
      <c r="NDR133" s="774"/>
      <c r="NDS133" s="774"/>
      <c r="NDT133" s="774"/>
      <c r="NDU133" s="774"/>
      <c r="NDV133" s="774"/>
      <c r="NDW133" s="774"/>
      <c r="NDX133" s="774"/>
      <c r="NDY133" s="774"/>
      <c r="NDZ133" s="774"/>
      <c r="NEA133" s="774"/>
      <c r="NEB133" s="774"/>
      <c r="NEC133" s="774"/>
      <c r="NED133" s="774"/>
      <c r="NEE133" s="774"/>
      <c r="NEF133" s="774"/>
      <c r="NEG133" s="774"/>
      <c r="NEH133" s="774"/>
      <c r="NEI133" s="774"/>
      <c r="NEJ133" s="774"/>
      <c r="NEK133" s="774"/>
      <c r="NEL133" s="774"/>
      <c r="NEM133" s="774"/>
      <c r="NEN133" s="774"/>
      <c r="NEO133" s="774"/>
      <c r="NEP133" s="774"/>
      <c r="NEQ133" s="774"/>
      <c r="NER133" s="774"/>
      <c r="NES133" s="774"/>
      <c r="NET133" s="774"/>
      <c r="NEU133" s="774"/>
      <c r="NEV133" s="774"/>
      <c r="NEW133" s="774"/>
      <c r="NEX133" s="774"/>
      <c r="NEY133" s="774"/>
      <c r="NEZ133" s="774"/>
      <c r="NFA133" s="774"/>
      <c r="NFB133" s="774"/>
      <c r="NFC133" s="774"/>
      <c r="NFD133" s="774"/>
      <c r="NFE133" s="774"/>
      <c r="NFF133" s="774"/>
      <c r="NFG133" s="774"/>
      <c r="NFH133" s="774"/>
      <c r="NFI133" s="774"/>
      <c r="NFJ133" s="774"/>
      <c r="NFK133" s="774"/>
      <c r="NFL133" s="774"/>
      <c r="NFM133" s="774"/>
      <c r="NFN133" s="774"/>
      <c r="NFO133" s="774"/>
      <c r="NFP133" s="774"/>
      <c r="NFQ133" s="774"/>
      <c r="NFR133" s="774"/>
      <c r="NFS133" s="774"/>
      <c r="NFT133" s="774"/>
      <c r="NFU133" s="774"/>
      <c r="NFV133" s="774"/>
      <c r="NFW133" s="774"/>
      <c r="NFX133" s="774"/>
      <c r="NFY133" s="774"/>
      <c r="NFZ133" s="774"/>
      <c r="NGA133" s="774"/>
      <c r="NGB133" s="774"/>
      <c r="NGC133" s="774"/>
      <c r="NGD133" s="774"/>
      <c r="NGE133" s="774"/>
      <c r="NGF133" s="774"/>
      <c r="NGG133" s="774"/>
      <c r="NGH133" s="774"/>
      <c r="NGI133" s="774"/>
      <c r="NGJ133" s="774"/>
      <c r="NGK133" s="774"/>
      <c r="NGL133" s="774"/>
      <c r="NGM133" s="774"/>
      <c r="NGN133" s="774"/>
      <c r="NGO133" s="774"/>
      <c r="NGP133" s="774"/>
      <c r="NGQ133" s="774"/>
      <c r="NGR133" s="774"/>
      <c r="NGS133" s="774"/>
      <c r="NGT133" s="774"/>
      <c r="NGU133" s="774"/>
      <c r="NGV133" s="774"/>
      <c r="NGW133" s="774"/>
      <c r="NGX133" s="774"/>
      <c r="NGY133" s="774"/>
      <c r="NGZ133" s="774"/>
      <c r="NHA133" s="774"/>
      <c r="NHB133" s="774"/>
      <c r="NHC133" s="774"/>
      <c r="NHD133" s="774"/>
      <c r="NHE133" s="774"/>
      <c r="NHF133" s="774"/>
      <c r="NHG133" s="774"/>
      <c r="NHH133" s="774"/>
      <c r="NHI133" s="774"/>
      <c r="NHJ133" s="774"/>
      <c r="NHK133" s="774"/>
      <c r="NHL133" s="774"/>
      <c r="NHM133" s="774"/>
      <c r="NHN133" s="774"/>
      <c r="NHO133" s="774"/>
      <c r="NHP133" s="774"/>
      <c r="NHQ133" s="774"/>
      <c r="NHR133" s="774"/>
      <c r="NHS133" s="774"/>
      <c r="NHT133" s="774"/>
      <c r="NHU133" s="774"/>
      <c r="NHV133" s="774"/>
      <c r="NHW133" s="774"/>
      <c r="NHX133" s="774"/>
      <c r="NHY133" s="774"/>
      <c r="NHZ133" s="774"/>
      <c r="NIA133" s="774"/>
      <c r="NIB133" s="774"/>
      <c r="NIC133" s="774"/>
      <c r="NID133" s="774"/>
      <c r="NIE133" s="774"/>
      <c r="NIF133" s="774"/>
      <c r="NIG133" s="774"/>
      <c r="NIH133" s="774"/>
      <c r="NII133" s="774"/>
      <c r="NIJ133" s="774"/>
      <c r="NIK133" s="774"/>
      <c r="NIL133" s="774"/>
      <c r="NIM133" s="774"/>
      <c r="NIN133" s="774"/>
      <c r="NIO133" s="774"/>
      <c r="NIP133" s="774"/>
      <c r="NIQ133" s="774"/>
      <c r="NIR133" s="774"/>
      <c r="NIS133" s="774"/>
      <c r="NIT133" s="774"/>
      <c r="NIU133" s="774"/>
      <c r="NIV133" s="774"/>
      <c r="NIW133" s="774"/>
      <c r="NIX133" s="774"/>
      <c r="NIY133" s="774"/>
      <c r="NIZ133" s="774"/>
      <c r="NJA133" s="774"/>
      <c r="NJB133" s="774"/>
      <c r="NJC133" s="774"/>
      <c r="NJD133" s="774"/>
      <c r="NJE133" s="774"/>
      <c r="NJF133" s="774"/>
      <c r="NJG133" s="774"/>
      <c r="NJH133" s="774"/>
      <c r="NJI133" s="774"/>
      <c r="NJJ133" s="774"/>
      <c r="NJK133" s="774"/>
      <c r="NJL133" s="774"/>
      <c r="NJM133" s="774"/>
      <c r="NJN133" s="774"/>
      <c r="NJO133" s="774"/>
      <c r="NJP133" s="774"/>
      <c r="NJQ133" s="774"/>
      <c r="NJR133" s="774"/>
      <c r="NJS133" s="774"/>
      <c r="NJT133" s="774"/>
      <c r="NJU133" s="774"/>
      <c r="NJV133" s="774"/>
      <c r="NJW133" s="774"/>
      <c r="NJX133" s="774"/>
      <c r="NJY133" s="774"/>
      <c r="NJZ133" s="774"/>
      <c r="NKA133" s="774"/>
      <c r="NKB133" s="774"/>
      <c r="NKC133" s="774"/>
      <c r="NKD133" s="774"/>
      <c r="NKE133" s="774"/>
      <c r="NKF133" s="774"/>
      <c r="NKG133" s="774"/>
      <c r="NKH133" s="774"/>
      <c r="NKI133" s="774"/>
      <c r="NKJ133" s="774"/>
      <c r="NKK133" s="774"/>
      <c r="NKL133" s="774"/>
      <c r="NKM133" s="774"/>
      <c r="NKN133" s="774"/>
      <c r="NKO133" s="774"/>
      <c r="NKP133" s="774"/>
      <c r="NKQ133" s="774"/>
      <c r="NKR133" s="774"/>
      <c r="NKS133" s="774"/>
      <c r="NKT133" s="774"/>
      <c r="NKU133" s="774"/>
      <c r="NKV133" s="774"/>
      <c r="NKW133" s="774"/>
      <c r="NKX133" s="774"/>
      <c r="NKY133" s="774"/>
      <c r="NKZ133" s="774"/>
      <c r="NLA133" s="774"/>
      <c r="NLB133" s="774"/>
      <c r="NLC133" s="774"/>
      <c r="NLD133" s="774"/>
      <c r="NLE133" s="774"/>
      <c r="NLF133" s="774"/>
      <c r="NLG133" s="774"/>
      <c r="NLH133" s="774"/>
      <c r="NLI133" s="774"/>
      <c r="NLJ133" s="774"/>
      <c r="NLK133" s="774"/>
      <c r="NLL133" s="774"/>
      <c r="NLM133" s="774"/>
      <c r="NLN133" s="774"/>
      <c r="NLO133" s="774"/>
      <c r="NLP133" s="774"/>
      <c r="NLQ133" s="774"/>
      <c r="NLR133" s="774"/>
      <c r="NLS133" s="774"/>
      <c r="NLT133" s="774"/>
      <c r="NLU133" s="774"/>
      <c r="NLV133" s="774"/>
      <c r="NLW133" s="774"/>
      <c r="NLX133" s="774"/>
      <c r="NLY133" s="774"/>
      <c r="NLZ133" s="774"/>
      <c r="NMA133" s="774"/>
      <c r="NMB133" s="774"/>
      <c r="NMC133" s="774"/>
      <c r="NMD133" s="774"/>
      <c r="NME133" s="774"/>
      <c r="NMF133" s="774"/>
      <c r="NMG133" s="774"/>
      <c r="NMH133" s="774"/>
      <c r="NMI133" s="774"/>
      <c r="NMJ133" s="774"/>
      <c r="NMK133" s="774"/>
      <c r="NML133" s="774"/>
      <c r="NMM133" s="774"/>
      <c r="NMN133" s="774"/>
      <c r="NMO133" s="774"/>
      <c r="NMP133" s="774"/>
      <c r="NMQ133" s="774"/>
      <c r="NMR133" s="774"/>
      <c r="NMS133" s="774"/>
      <c r="NMT133" s="774"/>
      <c r="NMU133" s="774"/>
      <c r="NMV133" s="774"/>
      <c r="NMW133" s="774"/>
      <c r="NMX133" s="774"/>
      <c r="NMY133" s="774"/>
      <c r="NMZ133" s="774"/>
      <c r="NNA133" s="774"/>
      <c r="NNB133" s="774"/>
      <c r="NNC133" s="774"/>
      <c r="NND133" s="774"/>
      <c r="NNE133" s="774"/>
      <c r="NNF133" s="774"/>
      <c r="NNG133" s="774"/>
      <c r="NNH133" s="774"/>
      <c r="NNI133" s="774"/>
      <c r="NNJ133" s="774"/>
      <c r="NNK133" s="774"/>
      <c r="NNL133" s="774"/>
      <c r="NNM133" s="774"/>
      <c r="NNN133" s="774"/>
      <c r="NNO133" s="774"/>
      <c r="NNP133" s="774"/>
      <c r="NNQ133" s="774"/>
      <c r="NNR133" s="774"/>
      <c r="NNS133" s="774"/>
      <c r="NNT133" s="774"/>
      <c r="NNU133" s="774"/>
      <c r="NNV133" s="774"/>
      <c r="NNW133" s="774"/>
      <c r="NNX133" s="774"/>
      <c r="NNY133" s="774"/>
      <c r="NNZ133" s="774"/>
      <c r="NOA133" s="774"/>
      <c r="NOB133" s="774"/>
      <c r="NOC133" s="774"/>
      <c r="NOD133" s="774"/>
      <c r="NOE133" s="774"/>
      <c r="NOF133" s="774"/>
      <c r="NOG133" s="774"/>
      <c r="NOH133" s="774"/>
      <c r="NOI133" s="774"/>
      <c r="NOJ133" s="774"/>
      <c r="NOK133" s="774"/>
      <c r="NOL133" s="774"/>
      <c r="NOM133" s="774"/>
      <c r="NON133" s="774"/>
      <c r="NOO133" s="774"/>
      <c r="NOP133" s="774"/>
      <c r="NOQ133" s="774"/>
      <c r="NOR133" s="774"/>
      <c r="NOS133" s="774"/>
      <c r="NOT133" s="774"/>
      <c r="NOU133" s="774"/>
      <c r="NOV133" s="774"/>
      <c r="NOW133" s="774"/>
      <c r="NOX133" s="774"/>
      <c r="NOY133" s="774"/>
      <c r="NOZ133" s="774"/>
      <c r="NPA133" s="774"/>
      <c r="NPB133" s="774"/>
      <c r="NPC133" s="774"/>
      <c r="NPD133" s="774"/>
      <c r="NPE133" s="774"/>
      <c r="NPF133" s="774"/>
      <c r="NPG133" s="774"/>
      <c r="NPH133" s="774"/>
      <c r="NPI133" s="774"/>
      <c r="NPJ133" s="774"/>
      <c r="NPK133" s="774"/>
      <c r="NPL133" s="774"/>
      <c r="NPM133" s="774"/>
      <c r="NPN133" s="774"/>
      <c r="NPO133" s="774"/>
      <c r="NPP133" s="774"/>
      <c r="NPQ133" s="774"/>
      <c r="NPR133" s="774"/>
      <c r="NPS133" s="774"/>
      <c r="NPT133" s="774"/>
      <c r="NPU133" s="774"/>
      <c r="NPV133" s="774"/>
      <c r="NPW133" s="774"/>
      <c r="NPX133" s="774"/>
      <c r="NPY133" s="774"/>
      <c r="NPZ133" s="774"/>
      <c r="NQA133" s="774"/>
      <c r="NQB133" s="774"/>
      <c r="NQC133" s="774"/>
      <c r="NQD133" s="774"/>
      <c r="NQE133" s="774"/>
      <c r="NQF133" s="774"/>
      <c r="NQG133" s="774"/>
      <c r="NQH133" s="774"/>
      <c r="NQI133" s="774"/>
      <c r="NQJ133" s="774"/>
      <c r="NQK133" s="774"/>
      <c r="NQL133" s="774"/>
      <c r="NQM133" s="774"/>
      <c r="NQN133" s="774"/>
      <c r="NQO133" s="774"/>
      <c r="NQP133" s="774"/>
      <c r="NQQ133" s="774"/>
      <c r="NQR133" s="774"/>
      <c r="NQS133" s="774"/>
      <c r="NQT133" s="774"/>
      <c r="NQU133" s="774"/>
      <c r="NQV133" s="774"/>
      <c r="NQW133" s="774"/>
      <c r="NQX133" s="774"/>
      <c r="NQY133" s="774"/>
      <c r="NQZ133" s="774"/>
      <c r="NRA133" s="774"/>
      <c r="NRB133" s="774"/>
      <c r="NRC133" s="774"/>
      <c r="NRD133" s="774"/>
      <c r="NRE133" s="774"/>
      <c r="NRF133" s="774"/>
      <c r="NRG133" s="774"/>
      <c r="NRH133" s="774"/>
      <c r="NRI133" s="774"/>
      <c r="NRJ133" s="774"/>
      <c r="NRK133" s="774"/>
      <c r="NRL133" s="774"/>
      <c r="NRM133" s="774"/>
      <c r="NRN133" s="774"/>
      <c r="NRO133" s="774"/>
      <c r="NRP133" s="774"/>
      <c r="NRQ133" s="774"/>
      <c r="NRR133" s="774"/>
      <c r="NRS133" s="774"/>
      <c r="NRT133" s="774"/>
      <c r="NRU133" s="774"/>
      <c r="NRV133" s="774"/>
      <c r="NRW133" s="774"/>
      <c r="NRX133" s="774"/>
      <c r="NRY133" s="774"/>
      <c r="NRZ133" s="774"/>
      <c r="NSA133" s="774"/>
      <c r="NSB133" s="774"/>
      <c r="NSC133" s="774"/>
      <c r="NSD133" s="774"/>
      <c r="NSE133" s="774"/>
      <c r="NSF133" s="774"/>
      <c r="NSG133" s="774"/>
      <c r="NSH133" s="774"/>
      <c r="NSI133" s="774"/>
      <c r="NSJ133" s="774"/>
      <c r="NSK133" s="774"/>
      <c r="NSL133" s="774"/>
      <c r="NSM133" s="774"/>
      <c r="NSN133" s="774"/>
      <c r="NSO133" s="774"/>
      <c r="NSP133" s="774"/>
      <c r="NSQ133" s="774"/>
      <c r="NSR133" s="774"/>
      <c r="NSS133" s="774"/>
      <c r="NST133" s="774"/>
      <c r="NSU133" s="774"/>
      <c r="NSV133" s="774"/>
      <c r="NSW133" s="774"/>
      <c r="NSX133" s="774"/>
      <c r="NSY133" s="774"/>
      <c r="NSZ133" s="774"/>
      <c r="NTA133" s="774"/>
      <c r="NTB133" s="774"/>
      <c r="NTC133" s="774"/>
      <c r="NTD133" s="774"/>
      <c r="NTE133" s="774"/>
      <c r="NTF133" s="774"/>
      <c r="NTG133" s="774"/>
      <c r="NTH133" s="774"/>
      <c r="NTI133" s="774"/>
      <c r="NTJ133" s="774"/>
      <c r="NTK133" s="774"/>
      <c r="NTL133" s="774"/>
      <c r="NTM133" s="774"/>
      <c r="NTN133" s="774"/>
      <c r="NTO133" s="774"/>
      <c r="NTP133" s="774"/>
      <c r="NTQ133" s="774"/>
      <c r="NTR133" s="774"/>
      <c r="NTS133" s="774"/>
      <c r="NTT133" s="774"/>
      <c r="NTU133" s="774"/>
      <c r="NTV133" s="774"/>
      <c r="NTW133" s="774"/>
      <c r="NTX133" s="774"/>
      <c r="NTY133" s="774"/>
      <c r="NTZ133" s="774"/>
      <c r="NUA133" s="774"/>
      <c r="NUB133" s="774"/>
      <c r="NUC133" s="774"/>
      <c r="NUD133" s="774"/>
      <c r="NUE133" s="774"/>
      <c r="NUF133" s="774"/>
      <c r="NUG133" s="774"/>
      <c r="NUH133" s="774"/>
      <c r="NUI133" s="774"/>
      <c r="NUJ133" s="774"/>
      <c r="NUK133" s="774"/>
      <c r="NUL133" s="774"/>
      <c r="NUM133" s="774"/>
      <c r="NUN133" s="774"/>
      <c r="NUO133" s="774"/>
      <c r="NUP133" s="774"/>
      <c r="NUQ133" s="774"/>
      <c r="NUR133" s="774"/>
      <c r="NUS133" s="774"/>
      <c r="NUT133" s="774"/>
      <c r="NUU133" s="774"/>
      <c r="NUV133" s="774"/>
      <c r="NUW133" s="774"/>
      <c r="NUX133" s="774"/>
      <c r="NUY133" s="774"/>
      <c r="NUZ133" s="774"/>
      <c r="NVA133" s="774"/>
      <c r="NVB133" s="774"/>
      <c r="NVC133" s="774"/>
      <c r="NVD133" s="774"/>
      <c r="NVE133" s="774"/>
      <c r="NVF133" s="774"/>
      <c r="NVG133" s="774"/>
      <c r="NVH133" s="774"/>
      <c r="NVI133" s="774"/>
      <c r="NVJ133" s="774"/>
      <c r="NVK133" s="774"/>
      <c r="NVL133" s="774"/>
      <c r="NVM133" s="774"/>
      <c r="NVN133" s="774"/>
      <c r="NVO133" s="774"/>
      <c r="NVP133" s="774"/>
      <c r="NVQ133" s="774"/>
      <c r="NVR133" s="774"/>
      <c r="NVS133" s="774"/>
      <c r="NVT133" s="774"/>
      <c r="NVU133" s="774"/>
      <c r="NVV133" s="774"/>
      <c r="NVW133" s="774"/>
      <c r="NVX133" s="774"/>
      <c r="NVY133" s="774"/>
      <c r="NVZ133" s="774"/>
      <c r="NWA133" s="774"/>
      <c r="NWB133" s="774"/>
      <c r="NWC133" s="774"/>
      <c r="NWD133" s="774"/>
      <c r="NWE133" s="774"/>
      <c r="NWF133" s="774"/>
      <c r="NWG133" s="774"/>
      <c r="NWH133" s="774"/>
      <c r="NWI133" s="774"/>
      <c r="NWJ133" s="774"/>
      <c r="NWK133" s="774"/>
      <c r="NWL133" s="774"/>
      <c r="NWM133" s="774"/>
      <c r="NWN133" s="774"/>
      <c r="NWO133" s="774"/>
      <c r="NWP133" s="774"/>
      <c r="NWQ133" s="774"/>
      <c r="NWR133" s="774"/>
      <c r="NWS133" s="774"/>
      <c r="NWT133" s="774"/>
      <c r="NWU133" s="774"/>
      <c r="NWV133" s="774"/>
      <c r="NWW133" s="774"/>
      <c r="NWX133" s="774"/>
      <c r="NWY133" s="774"/>
      <c r="NWZ133" s="774"/>
      <c r="NXA133" s="774"/>
      <c r="NXB133" s="774"/>
      <c r="NXC133" s="774"/>
      <c r="NXD133" s="774"/>
      <c r="NXE133" s="774"/>
      <c r="NXF133" s="774"/>
      <c r="NXG133" s="774"/>
      <c r="NXH133" s="774"/>
      <c r="NXI133" s="774"/>
      <c r="NXJ133" s="774"/>
      <c r="NXK133" s="774"/>
      <c r="NXL133" s="774"/>
      <c r="NXM133" s="774"/>
      <c r="NXN133" s="774"/>
      <c r="NXO133" s="774"/>
      <c r="NXP133" s="774"/>
      <c r="NXQ133" s="774"/>
      <c r="NXR133" s="774"/>
      <c r="NXS133" s="774"/>
      <c r="NXT133" s="774"/>
      <c r="NXU133" s="774"/>
      <c r="NXV133" s="774"/>
      <c r="NXW133" s="774"/>
      <c r="NXX133" s="774"/>
      <c r="NXY133" s="774"/>
      <c r="NXZ133" s="774"/>
      <c r="NYA133" s="774"/>
      <c r="NYB133" s="774"/>
      <c r="NYC133" s="774"/>
      <c r="NYD133" s="774"/>
      <c r="NYE133" s="774"/>
      <c r="NYF133" s="774"/>
      <c r="NYG133" s="774"/>
      <c r="NYH133" s="774"/>
      <c r="NYI133" s="774"/>
      <c r="NYJ133" s="774"/>
      <c r="NYK133" s="774"/>
      <c r="NYL133" s="774"/>
      <c r="NYM133" s="774"/>
      <c r="NYN133" s="774"/>
      <c r="NYO133" s="774"/>
      <c r="NYP133" s="774"/>
      <c r="NYQ133" s="774"/>
      <c r="NYR133" s="774"/>
      <c r="NYS133" s="774"/>
      <c r="NYT133" s="774"/>
      <c r="NYU133" s="774"/>
      <c r="NYV133" s="774"/>
      <c r="NYW133" s="774"/>
      <c r="NYX133" s="774"/>
      <c r="NYY133" s="774"/>
      <c r="NYZ133" s="774"/>
      <c r="NZA133" s="774"/>
      <c r="NZB133" s="774"/>
      <c r="NZC133" s="774"/>
      <c r="NZD133" s="774"/>
      <c r="NZE133" s="774"/>
      <c r="NZF133" s="774"/>
      <c r="NZG133" s="774"/>
      <c r="NZH133" s="774"/>
      <c r="NZI133" s="774"/>
      <c r="NZJ133" s="774"/>
      <c r="NZK133" s="774"/>
      <c r="NZL133" s="774"/>
      <c r="NZM133" s="774"/>
      <c r="NZN133" s="774"/>
      <c r="NZO133" s="774"/>
      <c r="NZP133" s="774"/>
      <c r="NZQ133" s="774"/>
      <c r="NZR133" s="774"/>
      <c r="NZS133" s="774"/>
      <c r="NZT133" s="774"/>
      <c r="NZU133" s="774"/>
      <c r="NZV133" s="774"/>
      <c r="NZW133" s="774"/>
      <c r="NZX133" s="774"/>
      <c r="NZY133" s="774"/>
      <c r="NZZ133" s="774"/>
      <c r="OAA133" s="774"/>
      <c r="OAB133" s="774"/>
      <c r="OAC133" s="774"/>
      <c r="OAD133" s="774"/>
      <c r="OAE133" s="774"/>
      <c r="OAF133" s="774"/>
      <c r="OAG133" s="774"/>
      <c r="OAH133" s="774"/>
      <c r="OAI133" s="774"/>
      <c r="OAJ133" s="774"/>
      <c r="OAK133" s="774"/>
      <c r="OAL133" s="774"/>
      <c r="OAM133" s="774"/>
      <c r="OAN133" s="774"/>
      <c r="OAO133" s="774"/>
      <c r="OAP133" s="774"/>
      <c r="OAQ133" s="774"/>
      <c r="OAR133" s="774"/>
      <c r="OAS133" s="774"/>
      <c r="OAT133" s="774"/>
      <c r="OAU133" s="774"/>
      <c r="OAV133" s="774"/>
      <c r="OAW133" s="774"/>
      <c r="OAX133" s="774"/>
      <c r="OAY133" s="774"/>
      <c r="OAZ133" s="774"/>
      <c r="OBA133" s="774"/>
      <c r="OBB133" s="774"/>
      <c r="OBC133" s="774"/>
      <c r="OBD133" s="774"/>
      <c r="OBE133" s="774"/>
      <c r="OBF133" s="774"/>
      <c r="OBG133" s="774"/>
      <c r="OBH133" s="774"/>
      <c r="OBI133" s="774"/>
      <c r="OBJ133" s="774"/>
      <c r="OBK133" s="774"/>
      <c r="OBL133" s="774"/>
      <c r="OBM133" s="774"/>
      <c r="OBN133" s="774"/>
      <c r="OBO133" s="774"/>
      <c r="OBP133" s="774"/>
      <c r="OBQ133" s="774"/>
      <c r="OBR133" s="774"/>
      <c r="OBS133" s="774"/>
      <c r="OBT133" s="774"/>
      <c r="OBU133" s="774"/>
      <c r="OBV133" s="774"/>
      <c r="OBW133" s="774"/>
      <c r="OBX133" s="774"/>
      <c r="OBY133" s="774"/>
      <c r="OBZ133" s="774"/>
      <c r="OCA133" s="774"/>
      <c r="OCB133" s="774"/>
      <c r="OCC133" s="774"/>
      <c r="OCD133" s="774"/>
      <c r="OCE133" s="774"/>
      <c r="OCF133" s="774"/>
      <c r="OCG133" s="774"/>
      <c r="OCH133" s="774"/>
      <c r="OCI133" s="774"/>
      <c r="OCJ133" s="774"/>
      <c r="OCK133" s="774"/>
      <c r="OCL133" s="774"/>
      <c r="OCM133" s="774"/>
      <c r="OCN133" s="774"/>
      <c r="OCO133" s="774"/>
      <c r="OCP133" s="774"/>
      <c r="OCQ133" s="774"/>
      <c r="OCR133" s="774"/>
      <c r="OCS133" s="774"/>
      <c r="OCT133" s="774"/>
      <c r="OCU133" s="774"/>
      <c r="OCV133" s="774"/>
      <c r="OCW133" s="774"/>
      <c r="OCX133" s="774"/>
      <c r="OCY133" s="774"/>
      <c r="OCZ133" s="774"/>
      <c r="ODA133" s="774"/>
      <c r="ODB133" s="774"/>
      <c r="ODC133" s="774"/>
      <c r="ODD133" s="774"/>
      <c r="ODE133" s="774"/>
      <c r="ODF133" s="774"/>
      <c r="ODG133" s="774"/>
      <c r="ODH133" s="774"/>
      <c r="ODI133" s="774"/>
      <c r="ODJ133" s="774"/>
      <c r="ODK133" s="774"/>
      <c r="ODL133" s="774"/>
      <c r="ODM133" s="774"/>
      <c r="ODN133" s="774"/>
      <c r="ODO133" s="774"/>
      <c r="ODP133" s="774"/>
      <c r="ODQ133" s="774"/>
      <c r="ODR133" s="774"/>
      <c r="ODS133" s="774"/>
      <c r="ODT133" s="774"/>
      <c r="ODU133" s="774"/>
      <c r="ODV133" s="774"/>
      <c r="ODW133" s="774"/>
      <c r="ODX133" s="774"/>
      <c r="ODY133" s="774"/>
      <c r="ODZ133" s="774"/>
      <c r="OEA133" s="774"/>
      <c r="OEB133" s="774"/>
      <c r="OEC133" s="774"/>
      <c r="OED133" s="774"/>
      <c r="OEE133" s="774"/>
      <c r="OEF133" s="774"/>
      <c r="OEG133" s="774"/>
      <c r="OEH133" s="774"/>
      <c r="OEI133" s="774"/>
      <c r="OEJ133" s="774"/>
      <c r="OEK133" s="774"/>
      <c r="OEL133" s="774"/>
      <c r="OEM133" s="774"/>
      <c r="OEN133" s="774"/>
      <c r="OEO133" s="774"/>
      <c r="OEP133" s="774"/>
      <c r="OEQ133" s="774"/>
      <c r="OER133" s="774"/>
      <c r="OES133" s="774"/>
      <c r="OET133" s="774"/>
      <c r="OEU133" s="774"/>
      <c r="OEV133" s="774"/>
      <c r="OEW133" s="774"/>
      <c r="OEX133" s="774"/>
      <c r="OEY133" s="774"/>
      <c r="OEZ133" s="774"/>
      <c r="OFA133" s="774"/>
      <c r="OFB133" s="774"/>
      <c r="OFC133" s="774"/>
      <c r="OFD133" s="774"/>
      <c r="OFE133" s="774"/>
      <c r="OFF133" s="774"/>
      <c r="OFG133" s="774"/>
      <c r="OFH133" s="774"/>
      <c r="OFI133" s="774"/>
      <c r="OFJ133" s="774"/>
      <c r="OFK133" s="774"/>
      <c r="OFL133" s="774"/>
      <c r="OFM133" s="774"/>
      <c r="OFN133" s="774"/>
      <c r="OFO133" s="774"/>
      <c r="OFP133" s="774"/>
      <c r="OFQ133" s="774"/>
      <c r="OFR133" s="774"/>
      <c r="OFS133" s="774"/>
      <c r="OFT133" s="774"/>
      <c r="OFU133" s="774"/>
      <c r="OFV133" s="774"/>
      <c r="OFW133" s="774"/>
      <c r="OFX133" s="774"/>
      <c r="OFY133" s="774"/>
      <c r="OFZ133" s="774"/>
      <c r="OGA133" s="774"/>
      <c r="OGB133" s="774"/>
      <c r="OGC133" s="774"/>
      <c r="OGD133" s="774"/>
      <c r="OGE133" s="774"/>
      <c r="OGF133" s="774"/>
      <c r="OGG133" s="774"/>
      <c r="OGH133" s="774"/>
      <c r="OGI133" s="774"/>
      <c r="OGJ133" s="774"/>
      <c r="OGK133" s="774"/>
      <c r="OGL133" s="774"/>
      <c r="OGM133" s="774"/>
      <c r="OGN133" s="774"/>
      <c r="OGO133" s="774"/>
      <c r="OGP133" s="774"/>
      <c r="OGQ133" s="774"/>
      <c r="OGR133" s="774"/>
      <c r="OGS133" s="774"/>
      <c r="OGT133" s="774"/>
      <c r="OGU133" s="774"/>
      <c r="OGV133" s="774"/>
      <c r="OGW133" s="774"/>
      <c r="OGX133" s="774"/>
      <c r="OGY133" s="774"/>
      <c r="OGZ133" s="774"/>
      <c r="OHA133" s="774"/>
      <c r="OHB133" s="774"/>
      <c r="OHC133" s="774"/>
      <c r="OHD133" s="774"/>
      <c r="OHE133" s="774"/>
      <c r="OHF133" s="774"/>
      <c r="OHG133" s="774"/>
      <c r="OHH133" s="774"/>
      <c r="OHI133" s="774"/>
      <c r="OHJ133" s="774"/>
      <c r="OHK133" s="774"/>
      <c r="OHL133" s="774"/>
      <c r="OHM133" s="774"/>
      <c r="OHN133" s="774"/>
      <c r="OHO133" s="774"/>
      <c r="OHP133" s="774"/>
      <c r="OHQ133" s="774"/>
      <c r="OHR133" s="774"/>
      <c r="OHS133" s="774"/>
      <c r="OHT133" s="774"/>
      <c r="OHU133" s="774"/>
      <c r="OHV133" s="774"/>
      <c r="OHW133" s="774"/>
      <c r="OHX133" s="774"/>
      <c r="OHY133" s="774"/>
      <c r="OHZ133" s="774"/>
      <c r="OIA133" s="774"/>
      <c r="OIB133" s="774"/>
      <c r="OIC133" s="774"/>
      <c r="OID133" s="774"/>
      <c r="OIE133" s="774"/>
      <c r="OIF133" s="774"/>
      <c r="OIG133" s="774"/>
      <c r="OIH133" s="774"/>
      <c r="OII133" s="774"/>
      <c r="OIJ133" s="774"/>
      <c r="OIK133" s="774"/>
      <c r="OIL133" s="774"/>
      <c r="OIM133" s="774"/>
      <c r="OIN133" s="774"/>
      <c r="OIO133" s="774"/>
      <c r="OIP133" s="774"/>
      <c r="OIQ133" s="774"/>
      <c r="OIR133" s="774"/>
      <c r="OIS133" s="774"/>
      <c r="OIT133" s="774"/>
      <c r="OIU133" s="774"/>
      <c r="OIV133" s="774"/>
      <c r="OIW133" s="774"/>
      <c r="OIX133" s="774"/>
      <c r="OIY133" s="774"/>
      <c r="OIZ133" s="774"/>
      <c r="OJA133" s="774"/>
      <c r="OJB133" s="774"/>
      <c r="OJC133" s="774"/>
      <c r="OJD133" s="774"/>
      <c r="OJE133" s="774"/>
      <c r="OJF133" s="774"/>
      <c r="OJG133" s="774"/>
      <c r="OJH133" s="774"/>
      <c r="OJI133" s="774"/>
      <c r="OJJ133" s="774"/>
      <c r="OJK133" s="774"/>
      <c r="OJL133" s="774"/>
      <c r="OJM133" s="774"/>
      <c r="OJN133" s="774"/>
      <c r="OJO133" s="774"/>
      <c r="OJP133" s="774"/>
      <c r="OJQ133" s="774"/>
      <c r="OJR133" s="774"/>
      <c r="OJS133" s="774"/>
      <c r="OJT133" s="774"/>
      <c r="OJU133" s="774"/>
      <c r="OJV133" s="774"/>
      <c r="OJW133" s="774"/>
      <c r="OJX133" s="774"/>
      <c r="OJY133" s="774"/>
      <c r="OJZ133" s="774"/>
      <c r="OKA133" s="774"/>
      <c r="OKB133" s="774"/>
      <c r="OKC133" s="774"/>
      <c r="OKD133" s="774"/>
      <c r="OKE133" s="774"/>
      <c r="OKF133" s="774"/>
      <c r="OKG133" s="774"/>
      <c r="OKH133" s="774"/>
      <c r="OKI133" s="774"/>
      <c r="OKJ133" s="774"/>
      <c r="OKK133" s="774"/>
      <c r="OKL133" s="774"/>
      <c r="OKM133" s="774"/>
      <c r="OKN133" s="774"/>
      <c r="OKO133" s="774"/>
      <c r="OKP133" s="774"/>
      <c r="OKQ133" s="774"/>
      <c r="OKR133" s="774"/>
      <c r="OKS133" s="774"/>
      <c r="OKT133" s="774"/>
      <c r="OKU133" s="774"/>
      <c r="OKV133" s="774"/>
      <c r="OKW133" s="774"/>
      <c r="OKX133" s="774"/>
      <c r="OKY133" s="774"/>
      <c r="OKZ133" s="774"/>
      <c r="OLA133" s="774"/>
      <c r="OLB133" s="774"/>
      <c r="OLC133" s="774"/>
      <c r="OLD133" s="774"/>
      <c r="OLE133" s="774"/>
      <c r="OLF133" s="774"/>
      <c r="OLG133" s="774"/>
      <c r="OLH133" s="774"/>
      <c r="OLI133" s="774"/>
      <c r="OLJ133" s="774"/>
      <c r="OLK133" s="774"/>
      <c r="OLL133" s="774"/>
      <c r="OLM133" s="774"/>
      <c r="OLN133" s="774"/>
      <c r="OLO133" s="774"/>
      <c r="OLP133" s="774"/>
      <c r="OLQ133" s="774"/>
      <c r="OLR133" s="774"/>
      <c r="OLS133" s="774"/>
      <c r="OLT133" s="774"/>
      <c r="OLU133" s="774"/>
      <c r="OLV133" s="774"/>
      <c r="OLW133" s="774"/>
      <c r="OLX133" s="774"/>
      <c r="OLY133" s="774"/>
      <c r="OLZ133" s="774"/>
      <c r="OMA133" s="774"/>
      <c r="OMB133" s="774"/>
      <c r="OMC133" s="774"/>
      <c r="OMD133" s="774"/>
      <c r="OME133" s="774"/>
      <c r="OMF133" s="774"/>
      <c r="OMG133" s="774"/>
      <c r="OMH133" s="774"/>
      <c r="OMI133" s="774"/>
      <c r="OMJ133" s="774"/>
      <c r="OMK133" s="774"/>
      <c r="OML133" s="774"/>
      <c r="OMM133" s="774"/>
      <c r="OMN133" s="774"/>
      <c r="OMO133" s="774"/>
      <c r="OMP133" s="774"/>
      <c r="OMQ133" s="774"/>
      <c r="OMR133" s="774"/>
      <c r="OMS133" s="774"/>
      <c r="OMT133" s="774"/>
      <c r="OMU133" s="774"/>
      <c r="OMV133" s="774"/>
      <c r="OMW133" s="774"/>
      <c r="OMX133" s="774"/>
      <c r="OMY133" s="774"/>
      <c r="OMZ133" s="774"/>
      <c r="ONA133" s="774"/>
      <c r="ONB133" s="774"/>
      <c r="ONC133" s="774"/>
      <c r="OND133" s="774"/>
      <c r="ONE133" s="774"/>
      <c r="ONF133" s="774"/>
      <c r="ONG133" s="774"/>
      <c r="ONH133" s="774"/>
      <c r="ONI133" s="774"/>
      <c r="ONJ133" s="774"/>
      <c r="ONK133" s="774"/>
      <c r="ONL133" s="774"/>
      <c r="ONM133" s="774"/>
      <c r="ONN133" s="774"/>
      <c r="ONO133" s="774"/>
      <c r="ONP133" s="774"/>
      <c r="ONQ133" s="774"/>
      <c r="ONR133" s="774"/>
      <c r="ONS133" s="774"/>
      <c r="ONT133" s="774"/>
      <c r="ONU133" s="774"/>
      <c r="ONV133" s="774"/>
      <c r="ONW133" s="774"/>
      <c r="ONX133" s="774"/>
      <c r="ONY133" s="774"/>
      <c r="ONZ133" s="774"/>
      <c r="OOA133" s="774"/>
      <c r="OOB133" s="774"/>
      <c r="OOC133" s="774"/>
      <c r="OOD133" s="774"/>
      <c r="OOE133" s="774"/>
      <c r="OOF133" s="774"/>
      <c r="OOG133" s="774"/>
      <c r="OOH133" s="774"/>
      <c r="OOI133" s="774"/>
      <c r="OOJ133" s="774"/>
      <c r="OOK133" s="774"/>
      <c r="OOL133" s="774"/>
      <c r="OOM133" s="774"/>
      <c r="OON133" s="774"/>
      <c r="OOO133" s="774"/>
      <c r="OOP133" s="774"/>
      <c r="OOQ133" s="774"/>
      <c r="OOR133" s="774"/>
      <c r="OOS133" s="774"/>
      <c r="OOT133" s="774"/>
      <c r="OOU133" s="774"/>
      <c r="OOV133" s="774"/>
      <c r="OOW133" s="774"/>
      <c r="OOX133" s="774"/>
      <c r="OOY133" s="774"/>
      <c r="OOZ133" s="774"/>
      <c r="OPA133" s="774"/>
      <c r="OPB133" s="774"/>
      <c r="OPC133" s="774"/>
      <c r="OPD133" s="774"/>
      <c r="OPE133" s="774"/>
      <c r="OPF133" s="774"/>
      <c r="OPG133" s="774"/>
      <c r="OPH133" s="774"/>
      <c r="OPI133" s="774"/>
      <c r="OPJ133" s="774"/>
      <c r="OPK133" s="774"/>
      <c r="OPL133" s="774"/>
      <c r="OPM133" s="774"/>
      <c r="OPN133" s="774"/>
      <c r="OPO133" s="774"/>
      <c r="OPP133" s="774"/>
      <c r="OPQ133" s="774"/>
      <c r="OPR133" s="774"/>
      <c r="OPS133" s="774"/>
      <c r="OPT133" s="774"/>
      <c r="OPU133" s="774"/>
      <c r="OPV133" s="774"/>
      <c r="OPW133" s="774"/>
      <c r="OPX133" s="774"/>
      <c r="OPY133" s="774"/>
      <c r="OPZ133" s="774"/>
      <c r="OQA133" s="774"/>
      <c r="OQB133" s="774"/>
      <c r="OQC133" s="774"/>
      <c r="OQD133" s="774"/>
      <c r="OQE133" s="774"/>
      <c r="OQF133" s="774"/>
      <c r="OQG133" s="774"/>
      <c r="OQH133" s="774"/>
      <c r="OQI133" s="774"/>
      <c r="OQJ133" s="774"/>
      <c r="OQK133" s="774"/>
      <c r="OQL133" s="774"/>
      <c r="OQM133" s="774"/>
      <c r="OQN133" s="774"/>
      <c r="OQO133" s="774"/>
      <c r="OQP133" s="774"/>
      <c r="OQQ133" s="774"/>
      <c r="OQR133" s="774"/>
      <c r="OQS133" s="774"/>
      <c r="OQT133" s="774"/>
      <c r="OQU133" s="774"/>
      <c r="OQV133" s="774"/>
      <c r="OQW133" s="774"/>
      <c r="OQX133" s="774"/>
      <c r="OQY133" s="774"/>
      <c r="OQZ133" s="774"/>
      <c r="ORA133" s="774"/>
      <c r="ORB133" s="774"/>
      <c r="ORC133" s="774"/>
      <c r="ORD133" s="774"/>
      <c r="ORE133" s="774"/>
      <c r="ORF133" s="774"/>
      <c r="ORG133" s="774"/>
      <c r="ORH133" s="774"/>
      <c r="ORI133" s="774"/>
      <c r="ORJ133" s="774"/>
      <c r="ORK133" s="774"/>
      <c r="ORL133" s="774"/>
      <c r="ORM133" s="774"/>
      <c r="ORN133" s="774"/>
      <c r="ORO133" s="774"/>
      <c r="ORP133" s="774"/>
      <c r="ORQ133" s="774"/>
      <c r="ORR133" s="774"/>
      <c r="ORS133" s="774"/>
      <c r="ORT133" s="774"/>
      <c r="ORU133" s="774"/>
      <c r="ORV133" s="774"/>
      <c r="ORW133" s="774"/>
      <c r="ORX133" s="774"/>
      <c r="ORY133" s="774"/>
      <c r="ORZ133" s="774"/>
      <c r="OSA133" s="774"/>
      <c r="OSB133" s="774"/>
      <c r="OSC133" s="774"/>
      <c r="OSD133" s="774"/>
      <c r="OSE133" s="774"/>
      <c r="OSF133" s="774"/>
      <c r="OSG133" s="774"/>
      <c r="OSH133" s="774"/>
      <c r="OSI133" s="774"/>
      <c r="OSJ133" s="774"/>
      <c r="OSK133" s="774"/>
      <c r="OSL133" s="774"/>
      <c r="OSM133" s="774"/>
      <c r="OSN133" s="774"/>
      <c r="OSO133" s="774"/>
      <c r="OSP133" s="774"/>
      <c r="OSQ133" s="774"/>
      <c r="OSR133" s="774"/>
      <c r="OSS133" s="774"/>
      <c r="OST133" s="774"/>
      <c r="OSU133" s="774"/>
      <c r="OSV133" s="774"/>
      <c r="OSW133" s="774"/>
      <c r="OSX133" s="774"/>
      <c r="OSY133" s="774"/>
      <c r="OSZ133" s="774"/>
      <c r="OTA133" s="774"/>
      <c r="OTB133" s="774"/>
      <c r="OTC133" s="774"/>
      <c r="OTD133" s="774"/>
      <c r="OTE133" s="774"/>
      <c r="OTF133" s="774"/>
      <c r="OTG133" s="774"/>
      <c r="OTH133" s="774"/>
      <c r="OTI133" s="774"/>
      <c r="OTJ133" s="774"/>
      <c r="OTK133" s="774"/>
      <c r="OTL133" s="774"/>
      <c r="OTM133" s="774"/>
      <c r="OTN133" s="774"/>
      <c r="OTO133" s="774"/>
      <c r="OTP133" s="774"/>
      <c r="OTQ133" s="774"/>
      <c r="OTR133" s="774"/>
      <c r="OTS133" s="774"/>
      <c r="OTT133" s="774"/>
      <c r="OTU133" s="774"/>
      <c r="OTV133" s="774"/>
      <c r="OTW133" s="774"/>
      <c r="OTX133" s="774"/>
      <c r="OTY133" s="774"/>
      <c r="OTZ133" s="774"/>
      <c r="OUA133" s="774"/>
      <c r="OUB133" s="774"/>
      <c r="OUC133" s="774"/>
      <c r="OUD133" s="774"/>
      <c r="OUE133" s="774"/>
      <c r="OUF133" s="774"/>
      <c r="OUG133" s="774"/>
      <c r="OUH133" s="774"/>
      <c r="OUI133" s="774"/>
      <c r="OUJ133" s="774"/>
      <c r="OUK133" s="774"/>
      <c r="OUL133" s="774"/>
      <c r="OUM133" s="774"/>
      <c r="OUN133" s="774"/>
      <c r="OUO133" s="774"/>
      <c r="OUP133" s="774"/>
      <c r="OUQ133" s="774"/>
      <c r="OUR133" s="774"/>
      <c r="OUS133" s="774"/>
      <c r="OUT133" s="774"/>
      <c r="OUU133" s="774"/>
      <c r="OUV133" s="774"/>
      <c r="OUW133" s="774"/>
      <c r="OUX133" s="774"/>
      <c r="OUY133" s="774"/>
      <c r="OUZ133" s="774"/>
      <c r="OVA133" s="774"/>
      <c r="OVB133" s="774"/>
      <c r="OVC133" s="774"/>
      <c r="OVD133" s="774"/>
      <c r="OVE133" s="774"/>
      <c r="OVF133" s="774"/>
      <c r="OVG133" s="774"/>
      <c r="OVH133" s="774"/>
      <c r="OVI133" s="774"/>
      <c r="OVJ133" s="774"/>
      <c r="OVK133" s="774"/>
      <c r="OVL133" s="774"/>
      <c r="OVM133" s="774"/>
      <c r="OVN133" s="774"/>
      <c r="OVO133" s="774"/>
      <c r="OVP133" s="774"/>
      <c r="OVQ133" s="774"/>
      <c r="OVR133" s="774"/>
      <c r="OVS133" s="774"/>
      <c r="OVT133" s="774"/>
      <c r="OVU133" s="774"/>
      <c r="OVV133" s="774"/>
      <c r="OVW133" s="774"/>
      <c r="OVX133" s="774"/>
      <c r="OVY133" s="774"/>
      <c r="OVZ133" s="774"/>
      <c r="OWA133" s="774"/>
      <c r="OWB133" s="774"/>
      <c r="OWC133" s="774"/>
      <c r="OWD133" s="774"/>
      <c r="OWE133" s="774"/>
      <c r="OWF133" s="774"/>
      <c r="OWG133" s="774"/>
      <c r="OWH133" s="774"/>
      <c r="OWI133" s="774"/>
      <c r="OWJ133" s="774"/>
      <c r="OWK133" s="774"/>
      <c r="OWL133" s="774"/>
      <c r="OWM133" s="774"/>
      <c r="OWN133" s="774"/>
      <c r="OWO133" s="774"/>
      <c r="OWP133" s="774"/>
      <c r="OWQ133" s="774"/>
      <c r="OWR133" s="774"/>
      <c r="OWS133" s="774"/>
      <c r="OWT133" s="774"/>
      <c r="OWU133" s="774"/>
      <c r="OWV133" s="774"/>
      <c r="OWW133" s="774"/>
      <c r="OWX133" s="774"/>
      <c r="OWY133" s="774"/>
      <c r="OWZ133" s="774"/>
      <c r="OXA133" s="774"/>
      <c r="OXB133" s="774"/>
      <c r="OXC133" s="774"/>
      <c r="OXD133" s="774"/>
      <c r="OXE133" s="774"/>
      <c r="OXF133" s="774"/>
      <c r="OXG133" s="774"/>
      <c r="OXH133" s="774"/>
      <c r="OXI133" s="774"/>
      <c r="OXJ133" s="774"/>
      <c r="OXK133" s="774"/>
      <c r="OXL133" s="774"/>
      <c r="OXM133" s="774"/>
      <c r="OXN133" s="774"/>
      <c r="OXO133" s="774"/>
      <c r="OXP133" s="774"/>
      <c r="OXQ133" s="774"/>
      <c r="OXR133" s="774"/>
      <c r="OXS133" s="774"/>
      <c r="OXT133" s="774"/>
      <c r="OXU133" s="774"/>
      <c r="OXV133" s="774"/>
      <c r="OXW133" s="774"/>
      <c r="OXX133" s="774"/>
      <c r="OXY133" s="774"/>
      <c r="OXZ133" s="774"/>
      <c r="OYA133" s="774"/>
      <c r="OYB133" s="774"/>
      <c r="OYC133" s="774"/>
      <c r="OYD133" s="774"/>
      <c r="OYE133" s="774"/>
      <c r="OYF133" s="774"/>
      <c r="OYG133" s="774"/>
      <c r="OYH133" s="774"/>
      <c r="OYI133" s="774"/>
      <c r="OYJ133" s="774"/>
      <c r="OYK133" s="774"/>
      <c r="OYL133" s="774"/>
      <c r="OYM133" s="774"/>
      <c r="OYN133" s="774"/>
      <c r="OYO133" s="774"/>
      <c r="OYP133" s="774"/>
      <c r="OYQ133" s="774"/>
      <c r="OYR133" s="774"/>
      <c r="OYS133" s="774"/>
      <c r="OYT133" s="774"/>
      <c r="OYU133" s="774"/>
      <c r="OYV133" s="774"/>
      <c r="OYW133" s="774"/>
      <c r="OYX133" s="774"/>
      <c r="OYY133" s="774"/>
      <c r="OYZ133" s="774"/>
      <c r="OZA133" s="774"/>
      <c r="OZB133" s="774"/>
      <c r="OZC133" s="774"/>
      <c r="OZD133" s="774"/>
      <c r="OZE133" s="774"/>
      <c r="OZF133" s="774"/>
      <c r="OZG133" s="774"/>
      <c r="OZH133" s="774"/>
      <c r="OZI133" s="774"/>
      <c r="OZJ133" s="774"/>
      <c r="OZK133" s="774"/>
      <c r="OZL133" s="774"/>
      <c r="OZM133" s="774"/>
      <c r="OZN133" s="774"/>
      <c r="OZO133" s="774"/>
      <c r="OZP133" s="774"/>
      <c r="OZQ133" s="774"/>
      <c r="OZR133" s="774"/>
      <c r="OZS133" s="774"/>
      <c r="OZT133" s="774"/>
      <c r="OZU133" s="774"/>
      <c r="OZV133" s="774"/>
      <c r="OZW133" s="774"/>
      <c r="OZX133" s="774"/>
      <c r="OZY133" s="774"/>
      <c r="OZZ133" s="774"/>
      <c r="PAA133" s="774"/>
      <c r="PAB133" s="774"/>
      <c r="PAC133" s="774"/>
      <c r="PAD133" s="774"/>
      <c r="PAE133" s="774"/>
      <c r="PAF133" s="774"/>
      <c r="PAG133" s="774"/>
      <c r="PAH133" s="774"/>
      <c r="PAI133" s="774"/>
      <c r="PAJ133" s="774"/>
      <c r="PAK133" s="774"/>
      <c r="PAL133" s="774"/>
      <c r="PAM133" s="774"/>
      <c r="PAN133" s="774"/>
      <c r="PAO133" s="774"/>
      <c r="PAP133" s="774"/>
      <c r="PAQ133" s="774"/>
      <c r="PAR133" s="774"/>
      <c r="PAS133" s="774"/>
      <c r="PAT133" s="774"/>
      <c r="PAU133" s="774"/>
      <c r="PAV133" s="774"/>
      <c r="PAW133" s="774"/>
      <c r="PAX133" s="774"/>
      <c r="PAY133" s="774"/>
      <c r="PAZ133" s="774"/>
      <c r="PBA133" s="774"/>
      <c r="PBB133" s="774"/>
      <c r="PBC133" s="774"/>
      <c r="PBD133" s="774"/>
      <c r="PBE133" s="774"/>
      <c r="PBF133" s="774"/>
      <c r="PBG133" s="774"/>
      <c r="PBH133" s="774"/>
      <c r="PBI133" s="774"/>
      <c r="PBJ133" s="774"/>
      <c r="PBK133" s="774"/>
      <c r="PBL133" s="774"/>
      <c r="PBM133" s="774"/>
      <c r="PBN133" s="774"/>
      <c r="PBO133" s="774"/>
      <c r="PBP133" s="774"/>
      <c r="PBQ133" s="774"/>
      <c r="PBR133" s="774"/>
      <c r="PBS133" s="774"/>
      <c r="PBT133" s="774"/>
      <c r="PBU133" s="774"/>
      <c r="PBV133" s="774"/>
      <c r="PBW133" s="774"/>
      <c r="PBX133" s="774"/>
      <c r="PBY133" s="774"/>
      <c r="PBZ133" s="774"/>
      <c r="PCA133" s="774"/>
      <c r="PCB133" s="774"/>
      <c r="PCC133" s="774"/>
      <c r="PCD133" s="774"/>
      <c r="PCE133" s="774"/>
      <c r="PCF133" s="774"/>
      <c r="PCG133" s="774"/>
      <c r="PCH133" s="774"/>
      <c r="PCI133" s="774"/>
      <c r="PCJ133" s="774"/>
      <c r="PCK133" s="774"/>
      <c r="PCL133" s="774"/>
      <c r="PCM133" s="774"/>
      <c r="PCN133" s="774"/>
      <c r="PCO133" s="774"/>
      <c r="PCP133" s="774"/>
      <c r="PCQ133" s="774"/>
      <c r="PCR133" s="774"/>
      <c r="PCS133" s="774"/>
      <c r="PCT133" s="774"/>
      <c r="PCU133" s="774"/>
      <c r="PCV133" s="774"/>
      <c r="PCW133" s="774"/>
      <c r="PCX133" s="774"/>
      <c r="PCY133" s="774"/>
      <c r="PCZ133" s="774"/>
      <c r="PDA133" s="774"/>
      <c r="PDB133" s="774"/>
      <c r="PDC133" s="774"/>
      <c r="PDD133" s="774"/>
      <c r="PDE133" s="774"/>
      <c r="PDF133" s="774"/>
      <c r="PDG133" s="774"/>
      <c r="PDH133" s="774"/>
      <c r="PDI133" s="774"/>
      <c r="PDJ133" s="774"/>
      <c r="PDK133" s="774"/>
      <c r="PDL133" s="774"/>
      <c r="PDM133" s="774"/>
      <c r="PDN133" s="774"/>
      <c r="PDO133" s="774"/>
      <c r="PDP133" s="774"/>
      <c r="PDQ133" s="774"/>
      <c r="PDR133" s="774"/>
      <c r="PDS133" s="774"/>
      <c r="PDT133" s="774"/>
      <c r="PDU133" s="774"/>
      <c r="PDV133" s="774"/>
      <c r="PDW133" s="774"/>
      <c r="PDX133" s="774"/>
      <c r="PDY133" s="774"/>
      <c r="PDZ133" s="774"/>
      <c r="PEA133" s="774"/>
      <c r="PEB133" s="774"/>
      <c r="PEC133" s="774"/>
      <c r="PED133" s="774"/>
      <c r="PEE133" s="774"/>
      <c r="PEF133" s="774"/>
      <c r="PEG133" s="774"/>
      <c r="PEH133" s="774"/>
      <c r="PEI133" s="774"/>
      <c r="PEJ133" s="774"/>
      <c r="PEK133" s="774"/>
      <c r="PEL133" s="774"/>
      <c r="PEM133" s="774"/>
      <c r="PEN133" s="774"/>
      <c r="PEO133" s="774"/>
      <c r="PEP133" s="774"/>
      <c r="PEQ133" s="774"/>
      <c r="PER133" s="774"/>
      <c r="PES133" s="774"/>
      <c r="PET133" s="774"/>
      <c r="PEU133" s="774"/>
      <c r="PEV133" s="774"/>
      <c r="PEW133" s="774"/>
      <c r="PEX133" s="774"/>
      <c r="PEY133" s="774"/>
      <c r="PEZ133" s="774"/>
      <c r="PFA133" s="774"/>
      <c r="PFB133" s="774"/>
      <c r="PFC133" s="774"/>
      <c r="PFD133" s="774"/>
      <c r="PFE133" s="774"/>
      <c r="PFF133" s="774"/>
      <c r="PFG133" s="774"/>
      <c r="PFH133" s="774"/>
      <c r="PFI133" s="774"/>
      <c r="PFJ133" s="774"/>
      <c r="PFK133" s="774"/>
      <c r="PFL133" s="774"/>
      <c r="PFM133" s="774"/>
      <c r="PFN133" s="774"/>
      <c r="PFO133" s="774"/>
      <c r="PFP133" s="774"/>
      <c r="PFQ133" s="774"/>
      <c r="PFR133" s="774"/>
      <c r="PFS133" s="774"/>
      <c r="PFT133" s="774"/>
      <c r="PFU133" s="774"/>
      <c r="PFV133" s="774"/>
      <c r="PFW133" s="774"/>
      <c r="PFX133" s="774"/>
      <c r="PFY133" s="774"/>
      <c r="PFZ133" s="774"/>
      <c r="PGA133" s="774"/>
      <c r="PGB133" s="774"/>
      <c r="PGC133" s="774"/>
      <c r="PGD133" s="774"/>
      <c r="PGE133" s="774"/>
      <c r="PGF133" s="774"/>
      <c r="PGG133" s="774"/>
      <c r="PGH133" s="774"/>
      <c r="PGI133" s="774"/>
      <c r="PGJ133" s="774"/>
      <c r="PGK133" s="774"/>
      <c r="PGL133" s="774"/>
      <c r="PGM133" s="774"/>
      <c r="PGN133" s="774"/>
      <c r="PGO133" s="774"/>
      <c r="PGP133" s="774"/>
      <c r="PGQ133" s="774"/>
      <c r="PGR133" s="774"/>
      <c r="PGS133" s="774"/>
      <c r="PGT133" s="774"/>
      <c r="PGU133" s="774"/>
      <c r="PGV133" s="774"/>
      <c r="PGW133" s="774"/>
      <c r="PGX133" s="774"/>
      <c r="PGY133" s="774"/>
      <c r="PGZ133" s="774"/>
      <c r="PHA133" s="774"/>
      <c r="PHB133" s="774"/>
      <c r="PHC133" s="774"/>
      <c r="PHD133" s="774"/>
      <c r="PHE133" s="774"/>
      <c r="PHF133" s="774"/>
      <c r="PHG133" s="774"/>
      <c r="PHH133" s="774"/>
      <c r="PHI133" s="774"/>
      <c r="PHJ133" s="774"/>
      <c r="PHK133" s="774"/>
      <c r="PHL133" s="774"/>
      <c r="PHM133" s="774"/>
      <c r="PHN133" s="774"/>
      <c r="PHO133" s="774"/>
      <c r="PHP133" s="774"/>
      <c r="PHQ133" s="774"/>
      <c r="PHR133" s="774"/>
      <c r="PHS133" s="774"/>
      <c r="PHT133" s="774"/>
      <c r="PHU133" s="774"/>
      <c r="PHV133" s="774"/>
      <c r="PHW133" s="774"/>
      <c r="PHX133" s="774"/>
      <c r="PHY133" s="774"/>
      <c r="PHZ133" s="774"/>
      <c r="PIA133" s="774"/>
      <c r="PIB133" s="774"/>
      <c r="PIC133" s="774"/>
      <c r="PID133" s="774"/>
      <c r="PIE133" s="774"/>
      <c r="PIF133" s="774"/>
      <c r="PIG133" s="774"/>
      <c r="PIH133" s="774"/>
      <c r="PII133" s="774"/>
      <c r="PIJ133" s="774"/>
      <c r="PIK133" s="774"/>
      <c r="PIL133" s="774"/>
      <c r="PIM133" s="774"/>
      <c r="PIN133" s="774"/>
      <c r="PIO133" s="774"/>
      <c r="PIP133" s="774"/>
      <c r="PIQ133" s="774"/>
      <c r="PIR133" s="774"/>
      <c r="PIS133" s="774"/>
      <c r="PIT133" s="774"/>
      <c r="PIU133" s="774"/>
      <c r="PIV133" s="774"/>
      <c r="PIW133" s="774"/>
      <c r="PIX133" s="774"/>
      <c r="PIY133" s="774"/>
      <c r="PIZ133" s="774"/>
      <c r="PJA133" s="774"/>
      <c r="PJB133" s="774"/>
      <c r="PJC133" s="774"/>
      <c r="PJD133" s="774"/>
      <c r="PJE133" s="774"/>
      <c r="PJF133" s="774"/>
      <c r="PJG133" s="774"/>
      <c r="PJH133" s="774"/>
      <c r="PJI133" s="774"/>
      <c r="PJJ133" s="774"/>
      <c r="PJK133" s="774"/>
      <c r="PJL133" s="774"/>
      <c r="PJM133" s="774"/>
      <c r="PJN133" s="774"/>
      <c r="PJO133" s="774"/>
      <c r="PJP133" s="774"/>
      <c r="PJQ133" s="774"/>
      <c r="PJR133" s="774"/>
      <c r="PJS133" s="774"/>
      <c r="PJT133" s="774"/>
      <c r="PJU133" s="774"/>
      <c r="PJV133" s="774"/>
      <c r="PJW133" s="774"/>
      <c r="PJX133" s="774"/>
      <c r="PJY133" s="774"/>
      <c r="PJZ133" s="774"/>
      <c r="PKA133" s="774"/>
      <c r="PKB133" s="774"/>
      <c r="PKC133" s="774"/>
      <c r="PKD133" s="774"/>
      <c r="PKE133" s="774"/>
      <c r="PKF133" s="774"/>
      <c r="PKG133" s="774"/>
      <c r="PKH133" s="774"/>
      <c r="PKI133" s="774"/>
      <c r="PKJ133" s="774"/>
      <c r="PKK133" s="774"/>
      <c r="PKL133" s="774"/>
      <c r="PKM133" s="774"/>
      <c r="PKN133" s="774"/>
      <c r="PKO133" s="774"/>
      <c r="PKP133" s="774"/>
      <c r="PKQ133" s="774"/>
      <c r="PKR133" s="774"/>
      <c r="PKS133" s="774"/>
      <c r="PKT133" s="774"/>
      <c r="PKU133" s="774"/>
      <c r="PKV133" s="774"/>
      <c r="PKW133" s="774"/>
      <c r="PKX133" s="774"/>
      <c r="PKY133" s="774"/>
      <c r="PKZ133" s="774"/>
      <c r="PLA133" s="774"/>
      <c r="PLB133" s="774"/>
      <c r="PLC133" s="774"/>
      <c r="PLD133" s="774"/>
      <c r="PLE133" s="774"/>
      <c r="PLF133" s="774"/>
      <c r="PLG133" s="774"/>
      <c r="PLH133" s="774"/>
      <c r="PLI133" s="774"/>
      <c r="PLJ133" s="774"/>
      <c r="PLK133" s="774"/>
      <c r="PLL133" s="774"/>
      <c r="PLM133" s="774"/>
      <c r="PLN133" s="774"/>
      <c r="PLO133" s="774"/>
      <c r="PLP133" s="774"/>
      <c r="PLQ133" s="774"/>
      <c r="PLR133" s="774"/>
      <c r="PLS133" s="774"/>
      <c r="PLT133" s="774"/>
      <c r="PLU133" s="774"/>
      <c r="PLV133" s="774"/>
      <c r="PLW133" s="774"/>
      <c r="PLX133" s="774"/>
      <c r="PLY133" s="774"/>
      <c r="PLZ133" s="774"/>
      <c r="PMA133" s="774"/>
      <c r="PMB133" s="774"/>
      <c r="PMC133" s="774"/>
      <c r="PMD133" s="774"/>
      <c r="PME133" s="774"/>
      <c r="PMF133" s="774"/>
      <c r="PMG133" s="774"/>
      <c r="PMH133" s="774"/>
      <c r="PMI133" s="774"/>
      <c r="PMJ133" s="774"/>
      <c r="PMK133" s="774"/>
      <c r="PML133" s="774"/>
      <c r="PMM133" s="774"/>
      <c r="PMN133" s="774"/>
      <c r="PMO133" s="774"/>
      <c r="PMP133" s="774"/>
      <c r="PMQ133" s="774"/>
      <c r="PMR133" s="774"/>
      <c r="PMS133" s="774"/>
      <c r="PMT133" s="774"/>
      <c r="PMU133" s="774"/>
      <c r="PMV133" s="774"/>
      <c r="PMW133" s="774"/>
      <c r="PMX133" s="774"/>
      <c r="PMY133" s="774"/>
      <c r="PMZ133" s="774"/>
      <c r="PNA133" s="774"/>
      <c r="PNB133" s="774"/>
      <c r="PNC133" s="774"/>
      <c r="PND133" s="774"/>
      <c r="PNE133" s="774"/>
      <c r="PNF133" s="774"/>
      <c r="PNG133" s="774"/>
      <c r="PNH133" s="774"/>
      <c r="PNI133" s="774"/>
      <c r="PNJ133" s="774"/>
      <c r="PNK133" s="774"/>
      <c r="PNL133" s="774"/>
      <c r="PNM133" s="774"/>
      <c r="PNN133" s="774"/>
      <c r="PNO133" s="774"/>
      <c r="PNP133" s="774"/>
      <c r="PNQ133" s="774"/>
      <c r="PNR133" s="774"/>
      <c r="PNS133" s="774"/>
      <c r="PNT133" s="774"/>
      <c r="PNU133" s="774"/>
      <c r="PNV133" s="774"/>
      <c r="PNW133" s="774"/>
      <c r="PNX133" s="774"/>
      <c r="PNY133" s="774"/>
      <c r="PNZ133" s="774"/>
      <c r="POA133" s="774"/>
      <c r="POB133" s="774"/>
      <c r="POC133" s="774"/>
      <c r="POD133" s="774"/>
      <c r="POE133" s="774"/>
      <c r="POF133" s="774"/>
      <c r="POG133" s="774"/>
      <c r="POH133" s="774"/>
      <c r="POI133" s="774"/>
      <c r="POJ133" s="774"/>
      <c r="POK133" s="774"/>
      <c r="POL133" s="774"/>
      <c r="POM133" s="774"/>
      <c r="PON133" s="774"/>
      <c r="POO133" s="774"/>
      <c r="POP133" s="774"/>
      <c r="POQ133" s="774"/>
      <c r="POR133" s="774"/>
      <c r="POS133" s="774"/>
      <c r="POT133" s="774"/>
      <c r="POU133" s="774"/>
      <c r="POV133" s="774"/>
      <c r="POW133" s="774"/>
      <c r="POX133" s="774"/>
      <c r="POY133" s="774"/>
      <c r="POZ133" s="774"/>
      <c r="PPA133" s="774"/>
      <c r="PPB133" s="774"/>
      <c r="PPC133" s="774"/>
      <c r="PPD133" s="774"/>
      <c r="PPE133" s="774"/>
      <c r="PPF133" s="774"/>
      <c r="PPG133" s="774"/>
      <c r="PPH133" s="774"/>
      <c r="PPI133" s="774"/>
      <c r="PPJ133" s="774"/>
      <c r="PPK133" s="774"/>
      <c r="PPL133" s="774"/>
      <c r="PPM133" s="774"/>
      <c r="PPN133" s="774"/>
      <c r="PPO133" s="774"/>
      <c r="PPP133" s="774"/>
      <c r="PPQ133" s="774"/>
      <c r="PPR133" s="774"/>
      <c r="PPS133" s="774"/>
      <c r="PPT133" s="774"/>
      <c r="PPU133" s="774"/>
      <c r="PPV133" s="774"/>
      <c r="PPW133" s="774"/>
      <c r="PPX133" s="774"/>
      <c r="PPY133" s="774"/>
      <c r="PPZ133" s="774"/>
      <c r="PQA133" s="774"/>
      <c r="PQB133" s="774"/>
      <c r="PQC133" s="774"/>
      <c r="PQD133" s="774"/>
      <c r="PQE133" s="774"/>
      <c r="PQF133" s="774"/>
      <c r="PQG133" s="774"/>
      <c r="PQH133" s="774"/>
      <c r="PQI133" s="774"/>
      <c r="PQJ133" s="774"/>
      <c r="PQK133" s="774"/>
      <c r="PQL133" s="774"/>
      <c r="PQM133" s="774"/>
      <c r="PQN133" s="774"/>
      <c r="PQO133" s="774"/>
      <c r="PQP133" s="774"/>
      <c r="PQQ133" s="774"/>
      <c r="PQR133" s="774"/>
      <c r="PQS133" s="774"/>
      <c r="PQT133" s="774"/>
      <c r="PQU133" s="774"/>
      <c r="PQV133" s="774"/>
      <c r="PQW133" s="774"/>
      <c r="PQX133" s="774"/>
      <c r="PQY133" s="774"/>
      <c r="PQZ133" s="774"/>
      <c r="PRA133" s="774"/>
      <c r="PRB133" s="774"/>
      <c r="PRC133" s="774"/>
      <c r="PRD133" s="774"/>
      <c r="PRE133" s="774"/>
      <c r="PRF133" s="774"/>
      <c r="PRG133" s="774"/>
      <c r="PRH133" s="774"/>
      <c r="PRI133" s="774"/>
      <c r="PRJ133" s="774"/>
      <c r="PRK133" s="774"/>
      <c r="PRL133" s="774"/>
      <c r="PRM133" s="774"/>
      <c r="PRN133" s="774"/>
      <c r="PRO133" s="774"/>
      <c r="PRP133" s="774"/>
      <c r="PRQ133" s="774"/>
      <c r="PRR133" s="774"/>
      <c r="PRS133" s="774"/>
      <c r="PRT133" s="774"/>
      <c r="PRU133" s="774"/>
      <c r="PRV133" s="774"/>
      <c r="PRW133" s="774"/>
      <c r="PRX133" s="774"/>
      <c r="PRY133" s="774"/>
      <c r="PRZ133" s="774"/>
      <c r="PSA133" s="774"/>
      <c r="PSB133" s="774"/>
      <c r="PSC133" s="774"/>
      <c r="PSD133" s="774"/>
      <c r="PSE133" s="774"/>
      <c r="PSF133" s="774"/>
      <c r="PSG133" s="774"/>
      <c r="PSH133" s="774"/>
      <c r="PSI133" s="774"/>
      <c r="PSJ133" s="774"/>
      <c r="PSK133" s="774"/>
      <c r="PSL133" s="774"/>
      <c r="PSM133" s="774"/>
      <c r="PSN133" s="774"/>
      <c r="PSO133" s="774"/>
      <c r="PSP133" s="774"/>
      <c r="PSQ133" s="774"/>
      <c r="PSR133" s="774"/>
      <c r="PSS133" s="774"/>
      <c r="PST133" s="774"/>
      <c r="PSU133" s="774"/>
      <c r="PSV133" s="774"/>
      <c r="PSW133" s="774"/>
      <c r="PSX133" s="774"/>
      <c r="PSY133" s="774"/>
      <c r="PSZ133" s="774"/>
      <c r="PTA133" s="774"/>
      <c r="PTB133" s="774"/>
      <c r="PTC133" s="774"/>
      <c r="PTD133" s="774"/>
      <c r="PTE133" s="774"/>
      <c r="PTF133" s="774"/>
      <c r="PTG133" s="774"/>
      <c r="PTH133" s="774"/>
      <c r="PTI133" s="774"/>
      <c r="PTJ133" s="774"/>
      <c r="PTK133" s="774"/>
      <c r="PTL133" s="774"/>
      <c r="PTM133" s="774"/>
      <c r="PTN133" s="774"/>
      <c r="PTO133" s="774"/>
      <c r="PTP133" s="774"/>
      <c r="PTQ133" s="774"/>
      <c r="PTR133" s="774"/>
      <c r="PTS133" s="774"/>
      <c r="PTT133" s="774"/>
      <c r="PTU133" s="774"/>
      <c r="PTV133" s="774"/>
      <c r="PTW133" s="774"/>
      <c r="PTX133" s="774"/>
      <c r="PTY133" s="774"/>
      <c r="PTZ133" s="774"/>
      <c r="PUA133" s="774"/>
      <c r="PUB133" s="774"/>
      <c r="PUC133" s="774"/>
      <c r="PUD133" s="774"/>
      <c r="PUE133" s="774"/>
      <c r="PUF133" s="774"/>
      <c r="PUG133" s="774"/>
      <c r="PUH133" s="774"/>
      <c r="PUI133" s="774"/>
      <c r="PUJ133" s="774"/>
      <c r="PUK133" s="774"/>
      <c r="PUL133" s="774"/>
      <c r="PUM133" s="774"/>
      <c r="PUN133" s="774"/>
      <c r="PUO133" s="774"/>
      <c r="PUP133" s="774"/>
      <c r="PUQ133" s="774"/>
      <c r="PUR133" s="774"/>
      <c r="PUS133" s="774"/>
      <c r="PUT133" s="774"/>
      <c r="PUU133" s="774"/>
      <c r="PUV133" s="774"/>
      <c r="PUW133" s="774"/>
      <c r="PUX133" s="774"/>
      <c r="PUY133" s="774"/>
      <c r="PUZ133" s="774"/>
      <c r="PVA133" s="774"/>
      <c r="PVB133" s="774"/>
      <c r="PVC133" s="774"/>
      <c r="PVD133" s="774"/>
      <c r="PVE133" s="774"/>
      <c r="PVF133" s="774"/>
      <c r="PVG133" s="774"/>
      <c r="PVH133" s="774"/>
      <c r="PVI133" s="774"/>
      <c r="PVJ133" s="774"/>
      <c r="PVK133" s="774"/>
      <c r="PVL133" s="774"/>
      <c r="PVM133" s="774"/>
      <c r="PVN133" s="774"/>
      <c r="PVO133" s="774"/>
      <c r="PVP133" s="774"/>
      <c r="PVQ133" s="774"/>
      <c r="PVR133" s="774"/>
      <c r="PVS133" s="774"/>
      <c r="PVT133" s="774"/>
      <c r="PVU133" s="774"/>
      <c r="PVV133" s="774"/>
      <c r="PVW133" s="774"/>
      <c r="PVX133" s="774"/>
      <c r="PVY133" s="774"/>
      <c r="PVZ133" s="774"/>
      <c r="PWA133" s="774"/>
      <c r="PWB133" s="774"/>
      <c r="PWC133" s="774"/>
      <c r="PWD133" s="774"/>
      <c r="PWE133" s="774"/>
      <c r="PWF133" s="774"/>
      <c r="PWG133" s="774"/>
      <c r="PWH133" s="774"/>
      <c r="PWI133" s="774"/>
      <c r="PWJ133" s="774"/>
      <c r="PWK133" s="774"/>
      <c r="PWL133" s="774"/>
      <c r="PWM133" s="774"/>
      <c r="PWN133" s="774"/>
      <c r="PWO133" s="774"/>
      <c r="PWP133" s="774"/>
      <c r="PWQ133" s="774"/>
      <c r="PWR133" s="774"/>
      <c r="PWS133" s="774"/>
      <c r="PWT133" s="774"/>
      <c r="PWU133" s="774"/>
      <c r="PWV133" s="774"/>
      <c r="PWW133" s="774"/>
      <c r="PWX133" s="774"/>
      <c r="PWY133" s="774"/>
      <c r="PWZ133" s="774"/>
      <c r="PXA133" s="774"/>
      <c r="PXB133" s="774"/>
      <c r="PXC133" s="774"/>
      <c r="PXD133" s="774"/>
      <c r="PXE133" s="774"/>
      <c r="PXF133" s="774"/>
      <c r="PXG133" s="774"/>
      <c r="PXH133" s="774"/>
      <c r="PXI133" s="774"/>
      <c r="PXJ133" s="774"/>
      <c r="PXK133" s="774"/>
      <c r="PXL133" s="774"/>
      <c r="PXM133" s="774"/>
      <c r="PXN133" s="774"/>
      <c r="PXO133" s="774"/>
      <c r="PXP133" s="774"/>
      <c r="PXQ133" s="774"/>
      <c r="PXR133" s="774"/>
      <c r="PXS133" s="774"/>
      <c r="PXT133" s="774"/>
      <c r="PXU133" s="774"/>
      <c r="PXV133" s="774"/>
      <c r="PXW133" s="774"/>
      <c r="PXX133" s="774"/>
      <c r="PXY133" s="774"/>
      <c r="PXZ133" s="774"/>
      <c r="PYA133" s="774"/>
      <c r="PYB133" s="774"/>
      <c r="PYC133" s="774"/>
      <c r="PYD133" s="774"/>
      <c r="PYE133" s="774"/>
      <c r="PYF133" s="774"/>
      <c r="PYG133" s="774"/>
      <c r="PYH133" s="774"/>
      <c r="PYI133" s="774"/>
      <c r="PYJ133" s="774"/>
      <c r="PYK133" s="774"/>
      <c r="PYL133" s="774"/>
      <c r="PYM133" s="774"/>
      <c r="PYN133" s="774"/>
      <c r="PYO133" s="774"/>
      <c r="PYP133" s="774"/>
      <c r="PYQ133" s="774"/>
      <c r="PYR133" s="774"/>
      <c r="PYS133" s="774"/>
      <c r="PYT133" s="774"/>
      <c r="PYU133" s="774"/>
      <c r="PYV133" s="774"/>
      <c r="PYW133" s="774"/>
      <c r="PYX133" s="774"/>
      <c r="PYY133" s="774"/>
      <c r="PYZ133" s="774"/>
      <c r="PZA133" s="774"/>
      <c r="PZB133" s="774"/>
      <c r="PZC133" s="774"/>
      <c r="PZD133" s="774"/>
      <c r="PZE133" s="774"/>
      <c r="PZF133" s="774"/>
      <c r="PZG133" s="774"/>
      <c r="PZH133" s="774"/>
      <c r="PZI133" s="774"/>
      <c r="PZJ133" s="774"/>
      <c r="PZK133" s="774"/>
      <c r="PZL133" s="774"/>
      <c r="PZM133" s="774"/>
      <c r="PZN133" s="774"/>
      <c r="PZO133" s="774"/>
      <c r="PZP133" s="774"/>
      <c r="PZQ133" s="774"/>
      <c r="PZR133" s="774"/>
      <c r="PZS133" s="774"/>
      <c r="PZT133" s="774"/>
      <c r="PZU133" s="774"/>
      <c r="PZV133" s="774"/>
      <c r="PZW133" s="774"/>
      <c r="PZX133" s="774"/>
      <c r="PZY133" s="774"/>
      <c r="PZZ133" s="774"/>
      <c r="QAA133" s="774"/>
      <c r="QAB133" s="774"/>
      <c r="QAC133" s="774"/>
      <c r="QAD133" s="774"/>
      <c r="QAE133" s="774"/>
      <c r="QAF133" s="774"/>
      <c r="QAG133" s="774"/>
      <c r="QAH133" s="774"/>
      <c r="QAI133" s="774"/>
      <c r="QAJ133" s="774"/>
      <c r="QAK133" s="774"/>
      <c r="QAL133" s="774"/>
      <c r="QAM133" s="774"/>
      <c r="QAN133" s="774"/>
      <c r="QAO133" s="774"/>
      <c r="QAP133" s="774"/>
      <c r="QAQ133" s="774"/>
      <c r="QAR133" s="774"/>
      <c r="QAS133" s="774"/>
      <c r="QAT133" s="774"/>
      <c r="QAU133" s="774"/>
      <c r="QAV133" s="774"/>
      <c r="QAW133" s="774"/>
      <c r="QAX133" s="774"/>
      <c r="QAY133" s="774"/>
      <c r="QAZ133" s="774"/>
      <c r="QBA133" s="774"/>
      <c r="QBB133" s="774"/>
      <c r="QBC133" s="774"/>
      <c r="QBD133" s="774"/>
      <c r="QBE133" s="774"/>
      <c r="QBF133" s="774"/>
      <c r="QBG133" s="774"/>
      <c r="QBH133" s="774"/>
      <c r="QBI133" s="774"/>
      <c r="QBJ133" s="774"/>
      <c r="QBK133" s="774"/>
      <c r="QBL133" s="774"/>
      <c r="QBM133" s="774"/>
      <c r="QBN133" s="774"/>
      <c r="QBO133" s="774"/>
      <c r="QBP133" s="774"/>
      <c r="QBQ133" s="774"/>
      <c r="QBR133" s="774"/>
      <c r="QBS133" s="774"/>
      <c r="QBT133" s="774"/>
      <c r="QBU133" s="774"/>
      <c r="QBV133" s="774"/>
      <c r="QBW133" s="774"/>
      <c r="QBX133" s="774"/>
      <c r="QBY133" s="774"/>
      <c r="QBZ133" s="774"/>
      <c r="QCA133" s="774"/>
      <c r="QCB133" s="774"/>
      <c r="QCC133" s="774"/>
      <c r="QCD133" s="774"/>
      <c r="QCE133" s="774"/>
      <c r="QCF133" s="774"/>
      <c r="QCG133" s="774"/>
      <c r="QCH133" s="774"/>
      <c r="QCI133" s="774"/>
      <c r="QCJ133" s="774"/>
      <c r="QCK133" s="774"/>
      <c r="QCL133" s="774"/>
      <c r="QCM133" s="774"/>
      <c r="QCN133" s="774"/>
      <c r="QCO133" s="774"/>
      <c r="QCP133" s="774"/>
      <c r="QCQ133" s="774"/>
      <c r="QCR133" s="774"/>
      <c r="QCS133" s="774"/>
      <c r="QCT133" s="774"/>
      <c r="QCU133" s="774"/>
      <c r="QCV133" s="774"/>
      <c r="QCW133" s="774"/>
      <c r="QCX133" s="774"/>
      <c r="QCY133" s="774"/>
      <c r="QCZ133" s="774"/>
      <c r="QDA133" s="774"/>
      <c r="QDB133" s="774"/>
      <c r="QDC133" s="774"/>
      <c r="QDD133" s="774"/>
      <c r="QDE133" s="774"/>
      <c r="QDF133" s="774"/>
      <c r="QDG133" s="774"/>
      <c r="QDH133" s="774"/>
      <c r="QDI133" s="774"/>
      <c r="QDJ133" s="774"/>
      <c r="QDK133" s="774"/>
      <c r="QDL133" s="774"/>
      <c r="QDM133" s="774"/>
      <c r="QDN133" s="774"/>
      <c r="QDO133" s="774"/>
      <c r="QDP133" s="774"/>
      <c r="QDQ133" s="774"/>
      <c r="QDR133" s="774"/>
      <c r="QDS133" s="774"/>
      <c r="QDT133" s="774"/>
      <c r="QDU133" s="774"/>
      <c r="QDV133" s="774"/>
      <c r="QDW133" s="774"/>
      <c r="QDX133" s="774"/>
      <c r="QDY133" s="774"/>
      <c r="QDZ133" s="774"/>
      <c r="QEA133" s="774"/>
      <c r="QEB133" s="774"/>
      <c r="QEC133" s="774"/>
      <c r="QED133" s="774"/>
      <c r="QEE133" s="774"/>
      <c r="QEF133" s="774"/>
      <c r="QEG133" s="774"/>
      <c r="QEH133" s="774"/>
      <c r="QEI133" s="774"/>
      <c r="QEJ133" s="774"/>
      <c r="QEK133" s="774"/>
      <c r="QEL133" s="774"/>
      <c r="QEM133" s="774"/>
      <c r="QEN133" s="774"/>
      <c r="QEO133" s="774"/>
      <c r="QEP133" s="774"/>
      <c r="QEQ133" s="774"/>
      <c r="QER133" s="774"/>
      <c r="QES133" s="774"/>
      <c r="QET133" s="774"/>
      <c r="QEU133" s="774"/>
      <c r="QEV133" s="774"/>
      <c r="QEW133" s="774"/>
      <c r="QEX133" s="774"/>
      <c r="QEY133" s="774"/>
      <c r="QEZ133" s="774"/>
      <c r="QFA133" s="774"/>
      <c r="QFB133" s="774"/>
      <c r="QFC133" s="774"/>
      <c r="QFD133" s="774"/>
      <c r="QFE133" s="774"/>
      <c r="QFF133" s="774"/>
      <c r="QFG133" s="774"/>
      <c r="QFH133" s="774"/>
      <c r="QFI133" s="774"/>
      <c r="QFJ133" s="774"/>
      <c r="QFK133" s="774"/>
      <c r="QFL133" s="774"/>
      <c r="QFM133" s="774"/>
      <c r="QFN133" s="774"/>
      <c r="QFO133" s="774"/>
      <c r="QFP133" s="774"/>
      <c r="QFQ133" s="774"/>
      <c r="QFR133" s="774"/>
      <c r="QFS133" s="774"/>
      <c r="QFT133" s="774"/>
      <c r="QFU133" s="774"/>
      <c r="QFV133" s="774"/>
      <c r="QFW133" s="774"/>
      <c r="QFX133" s="774"/>
      <c r="QFY133" s="774"/>
      <c r="QFZ133" s="774"/>
      <c r="QGA133" s="774"/>
      <c r="QGB133" s="774"/>
      <c r="QGC133" s="774"/>
      <c r="QGD133" s="774"/>
      <c r="QGE133" s="774"/>
      <c r="QGF133" s="774"/>
      <c r="QGG133" s="774"/>
      <c r="QGH133" s="774"/>
      <c r="QGI133" s="774"/>
      <c r="QGJ133" s="774"/>
      <c r="QGK133" s="774"/>
      <c r="QGL133" s="774"/>
      <c r="QGM133" s="774"/>
      <c r="QGN133" s="774"/>
      <c r="QGO133" s="774"/>
      <c r="QGP133" s="774"/>
      <c r="QGQ133" s="774"/>
      <c r="QGR133" s="774"/>
      <c r="QGS133" s="774"/>
      <c r="QGT133" s="774"/>
      <c r="QGU133" s="774"/>
      <c r="QGV133" s="774"/>
      <c r="QGW133" s="774"/>
      <c r="QGX133" s="774"/>
      <c r="QGY133" s="774"/>
      <c r="QGZ133" s="774"/>
      <c r="QHA133" s="774"/>
      <c r="QHB133" s="774"/>
      <c r="QHC133" s="774"/>
      <c r="QHD133" s="774"/>
      <c r="QHE133" s="774"/>
      <c r="QHF133" s="774"/>
      <c r="QHG133" s="774"/>
      <c r="QHH133" s="774"/>
      <c r="QHI133" s="774"/>
      <c r="QHJ133" s="774"/>
      <c r="QHK133" s="774"/>
      <c r="QHL133" s="774"/>
      <c r="QHM133" s="774"/>
      <c r="QHN133" s="774"/>
      <c r="QHO133" s="774"/>
      <c r="QHP133" s="774"/>
      <c r="QHQ133" s="774"/>
      <c r="QHR133" s="774"/>
      <c r="QHS133" s="774"/>
      <c r="QHT133" s="774"/>
      <c r="QHU133" s="774"/>
      <c r="QHV133" s="774"/>
      <c r="QHW133" s="774"/>
      <c r="QHX133" s="774"/>
      <c r="QHY133" s="774"/>
      <c r="QHZ133" s="774"/>
      <c r="QIA133" s="774"/>
      <c r="QIB133" s="774"/>
      <c r="QIC133" s="774"/>
      <c r="QID133" s="774"/>
      <c r="QIE133" s="774"/>
      <c r="QIF133" s="774"/>
      <c r="QIG133" s="774"/>
      <c r="QIH133" s="774"/>
      <c r="QII133" s="774"/>
      <c r="QIJ133" s="774"/>
      <c r="QIK133" s="774"/>
      <c r="QIL133" s="774"/>
      <c r="QIM133" s="774"/>
      <c r="QIN133" s="774"/>
      <c r="QIO133" s="774"/>
      <c r="QIP133" s="774"/>
      <c r="QIQ133" s="774"/>
      <c r="QIR133" s="774"/>
      <c r="QIS133" s="774"/>
      <c r="QIT133" s="774"/>
      <c r="QIU133" s="774"/>
      <c r="QIV133" s="774"/>
      <c r="QIW133" s="774"/>
      <c r="QIX133" s="774"/>
      <c r="QIY133" s="774"/>
      <c r="QIZ133" s="774"/>
      <c r="QJA133" s="774"/>
      <c r="QJB133" s="774"/>
      <c r="QJC133" s="774"/>
      <c r="QJD133" s="774"/>
      <c r="QJE133" s="774"/>
      <c r="QJF133" s="774"/>
      <c r="QJG133" s="774"/>
      <c r="QJH133" s="774"/>
      <c r="QJI133" s="774"/>
      <c r="QJJ133" s="774"/>
      <c r="QJK133" s="774"/>
      <c r="QJL133" s="774"/>
      <c r="QJM133" s="774"/>
      <c r="QJN133" s="774"/>
      <c r="QJO133" s="774"/>
      <c r="QJP133" s="774"/>
      <c r="QJQ133" s="774"/>
      <c r="QJR133" s="774"/>
      <c r="QJS133" s="774"/>
      <c r="QJT133" s="774"/>
      <c r="QJU133" s="774"/>
      <c r="QJV133" s="774"/>
      <c r="QJW133" s="774"/>
      <c r="QJX133" s="774"/>
      <c r="QJY133" s="774"/>
      <c r="QJZ133" s="774"/>
      <c r="QKA133" s="774"/>
      <c r="QKB133" s="774"/>
      <c r="QKC133" s="774"/>
      <c r="QKD133" s="774"/>
      <c r="QKE133" s="774"/>
      <c r="QKF133" s="774"/>
      <c r="QKG133" s="774"/>
      <c r="QKH133" s="774"/>
      <c r="QKI133" s="774"/>
      <c r="QKJ133" s="774"/>
      <c r="QKK133" s="774"/>
      <c r="QKL133" s="774"/>
      <c r="QKM133" s="774"/>
      <c r="QKN133" s="774"/>
      <c r="QKO133" s="774"/>
      <c r="QKP133" s="774"/>
      <c r="QKQ133" s="774"/>
      <c r="QKR133" s="774"/>
      <c r="QKS133" s="774"/>
      <c r="QKT133" s="774"/>
      <c r="QKU133" s="774"/>
      <c r="QKV133" s="774"/>
      <c r="QKW133" s="774"/>
      <c r="QKX133" s="774"/>
      <c r="QKY133" s="774"/>
      <c r="QKZ133" s="774"/>
      <c r="QLA133" s="774"/>
      <c r="QLB133" s="774"/>
      <c r="QLC133" s="774"/>
      <c r="QLD133" s="774"/>
      <c r="QLE133" s="774"/>
      <c r="QLF133" s="774"/>
      <c r="QLG133" s="774"/>
      <c r="QLH133" s="774"/>
      <c r="QLI133" s="774"/>
      <c r="QLJ133" s="774"/>
      <c r="QLK133" s="774"/>
      <c r="QLL133" s="774"/>
      <c r="QLM133" s="774"/>
      <c r="QLN133" s="774"/>
      <c r="QLO133" s="774"/>
      <c r="QLP133" s="774"/>
      <c r="QLQ133" s="774"/>
      <c r="QLR133" s="774"/>
      <c r="QLS133" s="774"/>
      <c r="QLT133" s="774"/>
      <c r="QLU133" s="774"/>
      <c r="QLV133" s="774"/>
      <c r="QLW133" s="774"/>
      <c r="QLX133" s="774"/>
      <c r="QLY133" s="774"/>
      <c r="QLZ133" s="774"/>
      <c r="QMA133" s="774"/>
      <c r="QMB133" s="774"/>
      <c r="QMC133" s="774"/>
      <c r="QMD133" s="774"/>
      <c r="QME133" s="774"/>
      <c r="QMF133" s="774"/>
      <c r="QMG133" s="774"/>
      <c r="QMH133" s="774"/>
      <c r="QMI133" s="774"/>
      <c r="QMJ133" s="774"/>
      <c r="QMK133" s="774"/>
      <c r="QML133" s="774"/>
      <c r="QMM133" s="774"/>
      <c r="QMN133" s="774"/>
      <c r="QMO133" s="774"/>
      <c r="QMP133" s="774"/>
      <c r="QMQ133" s="774"/>
      <c r="QMR133" s="774"/>
      <c r="QMS133" s="774"/>
      <c r="QMT133" s="774"/>
      <c r="QMU133" s="774"/>
      <c r="QMV133" s="774"/>
      <c r="QMW133" s="774"/>
      <c r="QMX133" s="774"/>
      <c r="QMY133" s="774"/>
      <c r="QMZ133" s="774"/>
      <c r="QNA133" s="774"/>
      <c r="QNB133" s="774"/>
      <c r="QNC133" s="774"/>
      <c r="QND133" s="774"/>
      <c r="QNE133" s="774"/>
      <c r="QNF133" s="774"/>
      <c r="QNG133" s="774"/>
      <c r="QNH133" s="774"/>
      <c r="QNI133" s="774"/>
      <c r="QNJ133" s="774"/>
      <c r="QNK133" s="774"/>
      <c r="QNL133" s="774"/>
      <c r="QNM133" s="774"/>
      <c r="QNN133" s="774"/>
      <c r="QNO133" s="774"/>
      <c r="QNP133" s="774"/>
      <c r="QNQ133" s="774"/>
      <c r="QNR133" s="774"/>
      <c r="QNS133" s="774"/>
      <c r="QNT133" s="774"/>
      <c r="QNU133" s="774"/>
      <c r="QNV133" s="774"/>
      <c r="QNW133" s="774"/>
      <c r="QNX133" s="774"/>
      <c r="QNY133" s="774"/>
      <c r="QNZ133" s="774"/>
      <c r="QOA133" s="774"/>
      <c r="QOB133" s="774"/>
      <c r="QOC133" s="774"/>
      <c r="QOD133" s="774"/>
      <c r="QOE133" s="774"/>
      <c r="QOF133" s="774"/>
      <c r="QOG133" s="774"/>
      <c r="QOH133" s="774"/>
      <c r="QOI133" s="774"/>
      <c r="QOJ133" s="774"/>
      <c r="QOK133" s="774"/>
      <c r="QOL133" s="774"/>
      <c r="QOM133" s="774"/>
      <c r="QON133" s="774"/>
      <c r="QOO133" s="774"/>
      <c r="QOP133" s="774"/>
      <c r="QOQ133" s="774"/>
      <c r="QOR133" s="774"/>
      <c r="QOS133" s="774"/>
      <c r="QOT133" s="774"/>
      <c r="QOU133" s="774"/>
      <c r="QOV133" s="774"/>
      <c r="QOW133" s="774"/>
      <c r="QOX133" s="774"/>
      <c r="QOY133" s="774"/>
      <c r="QOZ133" s="774"/>
      <c r="QPA133" s="774"/>
      <c r="QPB133" s="774"/>
      <c r="QPC133" s="774"/>
      <c r="QPD133" s="774"/>
      <c r="QPE133" s="774"/>
      <c r="QPF133" s="774"/>
      <c r="QPG133" s="774"/>
      <c r="QPH133" s="774"/>
      <c r="QPI133" s="774"/>
      <c r="QPJ133" s="774"/>
      <c r="QPK133" s="774"/>
      <c r="QPL133" s="774"/>
      <c r="QPM133" s="774"/>
      <c r="QPN133" s="774"/>
      <c r="QPO133" s="774"/>
      <c r="QPP133" s="774"/>
      <c r="QPQ133" s="774"/>
      <c r="QPR133" s="774"/>
      <c r="QPS133" s="774"/>
      <c r="QPT133" s="774"/>
      <c r="QPU133" s="774"/>
      <c r="QPV133" s="774"/>
      <c r="QPW133" s="774"/>
      <c r="QPX133" s="774"/>
      <c r="QPY133" s="774"/>
      <c r="QPZ133" s="774"/>
      <c r="QQA133" s="774"/>
      <c r="QQB133" s="774"/>
      <c r="QQC133" s="774"/>
      <c r="QQD133" s="774"/>
      <c r="QQE133" s="774"/>
      <c r="QQF133" s="774"/>
      <c r="QQG133" s="774"/>
      <c r="QQH133" s="774"/>
      <c r="QQI133" s="774"/>
      <c r="QQJ133" s="774"/>
      <c r="QQK133" s="774"/>
      <c r="QQL133" s="774"/>
      <c r="QQM133" s="774"/>
      <c r="QQN133" s="774"/>
      <c r="QQO133" s="774"/>
      <c r="QQP133" s="774"/>
      <c r="QQQ133" s="774"/>
      <c r="QQR133" s="774"/>
      <c r="QQS133" s="774"/>
      <c r="QQT133" s="774"/>
      <c r="QQU133" s="774"/>
      <c r="QQV133" s="774"/>
      <c r="QQW133" s="774"/>
      <c r="QQX133" s="774"/>
      <c r="QQY133" s="774"/>
      <c r="QQZ133" s="774"/>
      <c r="QRA133" s="774"/>
      <c r="QRB133" s="774"/>
      <c r="QRC133" s="774"/>
      <c r="QRD133" s="774"/>
      <c r="QRE133" s="774"/>
      <c r="QRF133" s="774"/>
      <c r="QRG133" s="774"/>
      <c r="QRH133" s="774"/>
      <c r="QRI133" s="774"/>
      <c r="QRJ133" s="774"/>
      <c r="QRK133" s="774"/>
      <c r="QRL133" s="774"/>
      <c r="QRM133" s="774"/>
      <c r="QRN133" s="774"/>
      <c r="QRO133" s="774"/>
      <c r="QRP133" s="774"/>
      <c r="QRQ133" s="774"/>
      <c r="QRR133" s="774"/>
      <c r="QRS133" s="774"/>
      <c r="QRT133" s="774"/>
      <c r="QRU133" s="774"/>
      <c r="QRV133" s="774"/>
      <c r="QRW133" s="774"/>
      <c r="QRX133" s="774"/>
      <c r="QRY133" s="774"/>
      <c r="QRZ133" s="774"/>
      <c r="QSA133" s="774"/>
      <c r="QSB133" s="774"/>
      <c r="QSC133" s="774"/>
      <c r="QSD133" s="774"/>
      <c r="QSE133" s="774"/>
      <c r="QSF133" s="774"/>
      <c r="QSG133" s="774"/>
      <c r="QSH133" s="774"/>
      <c r="QSI133" s="774"/>
      <c r="QSJ133" s="774"/>
      <c r="QSK133" s="774"/>
      <c r="QSL133" s="774"/>
      <c r="QSM133" s="774"/>
      <c r="QSN133" s="774"/>
      <c r="QSO133" s="774"/>
      <c r="QSP133" s="774"/>
      <c r="QSQ133" s="774"/>
      <c r="QSR133" s="774"/>
      <c r="QSS133" s="774"/>
      <c r="QST133" s="774"/>
      <c r="QSU133" s="774"/>
      <c r="QSV133" s="774"/>
      <c r="QSW133" s="774"/>
      <c r="QSX133" s="774"/>
      <c r="QSY133" s="774"/>
      <c r="QSZ133" s="774"/>
      <c r="QTA133" s="774"/>
      <c r="QTB133" s="774"/>
      <c r="QTC133" s="774"/>
      <c r="QTD133" s="774"/>
      <c r="QTE133" s="774"/>
      <c r="QTF133" s="774"/>
      <c r="QTG133" s="774"/>
      <c r="QTH133" s="774"/>
      <c r="QTI133" s="774"/>
      <c r="QTJ133" s="774"/>
      <c r="QTK133" s="774"/>
      <c r="QTL133" s="774"/>
      <c r="QTM133" s="774"/>
      <c r="QTN133" s="774"/>
      <c r="QTO133" s="774"/>
      <c r="QTP133" s="774"/>
      <c r="QTQ133" s="774"/>
      <c r="QTR133" s="774"/>
      <c r="QTS133" s="774"/>
      <c r="QTT133" s="774"/>
      <c r="QTU133" s="774"/>
      <c r="QTV133" s="774"/>
      <c r="QTW133" s="774"/>
      <c r="QTX133" s="774"/>
      <c r="QTY133" s="774"/>
      <c r="QTZ133" s="774"/>
      <c r="QUA133" s="774"/>
      <c r="QUB133" s="774"/>
      <c r="QUC133" s="774"/>
      <c r="QUD133" s="774"/>
      <c r="QUE133" s="774"/>
      <c r="QUF133" s="774"/>
      <c r="QUG133" s="774"/>
      <c r="QUH133" s="774"/>
      <c r="QUI133" s="774"/>
      <c r="QUJ133" s="774"/>
      <c r="QUK133" s="774"/>
      <c r="QUL133" s="774"/>
      <c r="QUM133" s="774"/>
      <c r="QUN133" s="774"/>
      <c r="QUO133" s="774"/>
      <c r="QUP133" s="774"/>
      <c r="QUQ133" s="774"/>
      <c r="QUR133" s="774"/>
      <c r="QUS133" s="774"/>
      <c r="QUT133" s="774"/>
      <c r="QUU133" s="774"/>
      <c r="QUV133" s="774"/>
      <c r="QUW133" s="774"/>
      <c r="QUX133" s="774"/>
      <c r="QUY133" s="774"/>
      <c r="QUZ133" s="774"/>
      <c r="QVA133" s="774"/>
      <c r="QVB133" s="774"/>
      <c r="QVC133" s="774"/>
      <c r="QVD133" s="774"/>
      <c r="QVE133" s="774"/>
      <c r="QVF133" s="774"/>
      <c r="QVG133" s="774"/>
      <c r="QVH133" s="774"/>
      <c r="QVI133" s="774"/>
      <c r="QVJ133" s="774"/>
      <c r="QVK133" s="774"/>
      <c r="QVL133" s="774"/>
      <c r="QVM133" s="774"/>
      <c r="QVN133" s="774"/>
      <c r="QVO133" s="774"/>
      <c r="QVP133" s="774"/>
      <c r="QVQ133" s="774"/>
      <c r="QVR133" s="774"/>
      <c r="QVS133" s="774"/>
      <c r="QVT133" s="774"/>
      <c r="QVU133" s="774"/>
      <c r="QVV133" s="774"/>
      <c r="QVW133" s="774"/>
      <c r="QVX133" s="774"/>
      <c r="QVY133" s="774"/>
      <c r="QVZ133" s="774"/>
      <c r="QWA133" s="774"/>
      <c r="QWB133" s="774"/>
      <c r="QWC133" s="774"/>
      <c r="QWD133" s="774"/>
      <c r="QWE133" s="774"/>
      <c r="QWF133" s="774"/>
      <c r="QWG133" s="774"/>
      <c r="QWH133" s="774"/>
      <c r="QWI133" s="774"/>
      <c r="QWJ133" s="774"/>
      <c r="QWK133" s="774"/>
      <c r="QWL133" s="774"/>
      <c r="QWM133" s="774"/>
      <c r="QWN133" s="774"/>
      <c r="QWO133" s="774"/>
      <c r="QWP133" s="774"/>
      <c r="QWQ133" s="774"/>
      <c r="QWR133" s="774"/>
      <c r="QWS133" s="774"/>
      <c r="QWT133" s="774"/>
      <c r="QWU133" s="774"/>
      <c r="QWV133" s="774"/>
      <c r="QWW133" s="774"/>
      <c r="QWX133" s="774"/>
      <c r="QWY133" s="774"/>
      <c r="QWZ133" s="774"/>
      <c r="QXA133" s="774"/>
      <c r="QXB133" s="774"/>
      <c r="QXC133" s="774"/>
      <c r="QXD133" s="774"/>
      <c r="QXE133" s="774"/>
      <c r="QXF133" s="774"/>
      <c r="QXG133" s="774"/>
      <c r="QXH133" s="774"/>
      <c r="QXI133" s="774"/>
      <c r="QXJ133" s="774"/>
      <c r="QXK133" s="774"/>
      <c r="QXL133" s="774"/>
      <c r="QXM133" s="774"/>
      <c r="QXN133" s="774"/>
      <c r="QXO133" s="774"/>
      <c r="QXP133" s="774"/>
      <c r="QXQ133" s="774"/>
      <c r="QXR133" s="774"/>
      <c r="QXS133" s="774"/>
      <c r="QXT133" s="774"/>
      <c r="QXU133" s="774"/>
      <c r="QXV133" s="774"/>
      <c r="QXW133" s="774"/>
      <c r="QXX133" s="774"/>
      <c r="QXY133" s="774"/>
      <c r="QXZ133" s="774"/>
      <c r="QYA133" s="774"/>
      <c r="QYB133" s="774"/>
      <c r="QYC133" s="774"/>
      <c r="QYD133" s="774"/>
      <c r="QYE133" s="774"/>
      <c r="QYF133" s="774"/>
      <c r="QYG133" s="774"/>
      <c r="QYH133" s="774"/>
      <c r="QYI133" s="774"/>
      <c r="QYJ133" s="774"/>
      <c r="QYK133" s="774"/>
      <c r="QYL133" s="774"/>
      <c r="QYM133" s="774"/>
      <c r="QYN133" s="774"/>
      <c r="QYO133" s="774"/>
      <c r="QYP133" s="774"/>
      <c r="QYQ133" s="774"/>
      <c r="QYR133" s="774"/>
      <c r="QYS133" s="774"/>
      <c r="QYT133" s="774"/>
      <c r="QYU133" s="774"/>
      <c r="QYV133" s="774"/>
      <c r="QYW133" s="774"/>
      <c r="QYX133" s="774"/>
      <c r="QYY133" s="774"/>
      <c r="QYZ133" s="774"/>
      <c r="QZA133" s="774"/>
      <c r="QZB133" s="774"/>
      <c r="QZC133" s="774"/>
      <c r="QZD133" s="774"/>
      <c r="QZE133" s="774"/>
      <c r="QZF133" s="774"/>
      <c r="QZG133" s="774"/>
      <c r="QZH133" s="774"/>
      <c r="QZI133" s="774"/>
      <c r="QZJ133" s="774"/>
      <c r="QZK133" s="774"/>
      <c r="QZL133" s="774"/>
      <c r="QZM133" s="774"/>
      <c r="QZN133" s="774"/>
      <c r="QZO133" s="774"/>
      <c r="QZP133" s="774"/>
      <c r="QZQ133" s="774"/>
      <c r="QZR133" s="774"/>
      <c r="QZS133" s="774"/>
      <c r="QZT133" s="774"/>
      <c r="QZU133" s="774"/>
      <c r="QZV133" s="774"/>
      <c r="QZW133" s="774"/>
      <c r="QZX133" s="774"/>
      <c r="QZY133" s="774"/>
      <c r="QZZ133" s="774"/>
      <c r="RAA133" s="774"/>
      <c r="RAB133" s="774"/>
      <c r="RAC133" s="774"/>
      <c r="RAD133" s="774"/>
      <c r="RAE133" s="774"/>
      <c r="RAF133" s="774"/>
      <c r="RAG133" s="774"/>
      <c r="RAH133" s="774"/>
      <c r="RAI133" s="774"/>
      <c r="RAJ133" s="774"/>
      <c r="RAK133" s="774"/>
      <c r="RAL133" s="774"/>
      <c r="RAM133" s="774"/>
      <c r="RAN133" s="774"/>
      <c r="RAO133" s="774"/>
      <c r="RAP133" s="774"/>
      <c r="RAQ133" s="774"/>
      <c r="RAR133" s="774"/>
      <c r="RAS133" s="774"/>
      <c r="RAT133" s="774"/>
      <c r="RAU133" s="774"/>
      <c r="RAV133" s="774"/>
      <c r="RAW133" s="774"/>
      <c r="RAX133" s="774"/>
      <c r="RAY133" s="774"/>
      <c r="RAZ133" s="774"/>
      <c r="RBA133" s="774"/>
      <c r="RBB133" s="774"/>
      <c r="RBC133" s="774"/>
      <c r="RBD133" s="774"/>
      <c r="RBE133" s="774"/>
      <c r="RBF133" s="774"/>
      <c r="RBG133" s="774"/>
      <c r="RBH133" s="774"/>
      <c r="RBI133" s="774"/>
      <c r="RBJ133" s="774"/>
      <c r="RBK133" s="774"/>
      <c r="RBL133" s="774"/>
      <c r="RBM133" s="774"/>
      <c r="RBN133" s="774"/>
      <c r="RBO133" s="774"/>
      <c r="RBP133" s="774"/>
      <c r="RBQ133" s="774"/>
      <c r="RBR133" s="774"/>
      <c r="RBS133" s="774"/>
      <c r="RBT133" s="774"/>
      <c r="RBU133" s="774"/>
      <c r="RBV133" s="774"/>
      <c r="RBW133" s="774"/>
      <c r="RBX133" s="774"/>
      <c r="RBY133" s="774"/>
      <c r="RBZ133" s="774"/>
      <c r="RCA133" s="774"/>
      <c r="RCB133" s="774"/>
      <c r="RCC133" s="774"/>
      <c r="RCD133" s="774"/>
      <c r="RCE133" s="774"/>
      <c r="RCF133" s="774"/>
      <c r="RCG133" s="774"/>
      <c r="RCH133" s="774"/>
      <c r="RCI133" s="774"/>
      <c r="RCJ133" s="774"/>
      <c r="RCK133" s="774"/>
      <c r="RCL133" s="774"/>
      <c r="RCM133" s="774"/>
      <c r="RCN133" s="774"/>
      <c r="RCO133" s="774"/>
      <c r="RCP133" s="774"/>
      <c r="RCQ133" s="774"/>
      <c r="RCR133" s="774"/>
      <c r="RCS133" s="774"/>
      <c r="RCT133" s="774"/>
      <c r="RCU133" s="774"/>
      <c r="RCV133" s="774"/>
      <c r="RCW133" s="774"/>
      <c r="RCX133" s="774"/>
      <c r="RCY133" s="774"/>
      <c r="RCZ133" s="774"/>
      <c r="RDA133" s="774"/>
      <c r="RDB133" s="774"/>
      <c r="RDC133" s="774"/>
      <c r="RDD133" s="774"/>
      <c r="RDE133" s="774"/>
      <c r="RDF133" s="774"/>
      <c r="RDG133" s="774"/>
      <c r="RDH133" s="774"/>
      <c r="RDI133" s="774"/>
      <c r="RDJ133" s="774"/>
      <c r="RDK133" s="774"/>
      <c r="RDL133" s="774"/>
      <c r="RDM133" s="774"/>
      <c r="RDN133" s="774"/>
      <c r="RDO133" s="774"/>
      <c r="RDP133" s="774"/>
      <c r="RDQ133" s="774"/>
      <c r="RDR133" s="774"/>
      <c r="RDS133" s="774"/>
      <c r="RDT133" s="774"/>
      <c r="RDU133" s="774"/>
      <c r="RDV133" s="774"/>
      <c r="RDW133" s="774"/>
      <c r="RDX133" s="774"/>
      <c r="RDY133" s="774"/>
      <c r="RDZ133" s="774"/>
      <c r="REA133" s="774"/>
      <c r="REB133" s="774"/>
      <c r="REC133" s="774"/>
      <c r="RED133" s="774"/>
      <c r="REE133" s="774"/>
      <c r="REF133" s="774"/>
      <c r="REG133" s="774"/>
      <c r="REH133" s="774"/>
      <c r="REI133" s="774"/>
      <c r="REJ133" s="774"/>
      <c r="REK133" s="774"/>
      <c r="REL133" s="774"/>
      <c r="REM133" s="774"/>
      <c r="REN133" s="774"/>
      <c r="REO133" s="774"/>
      <c r="REP133" s="774"/>
      <c r="REQ133" s="774"/>
      <c r="RER133" s="774"/>
      <c r="RES133" s="774"/>
      <c r="RET133" s="774"/>
      <c r="REU133" s="774"/>
      <c r="REV133" s="774"/>
      <c r="REW133" s="774"/>
      <c r="REX133" s="774"/>
      <c r="REY133" s="774"/>
      <c r="REZ133" s="774"/>
      <c r="RFA133" s="774"/>
      <c r="RFB133" s="774"/>
      <c r="RFC133" s="774"/>
      <c r="RFD133" s="774"/>
      <c r="RFE133" s="774"/>
      <c r="RFF133" s="774"/>
      <c r="RFG133" s="774"/>
      <c r="RFH133" s="774"/>
      <c r="RFI133" s="774"/>
      <c r="RFJ133" s="774"/>
      <c r="RFK133" s="774"/>
      <c r="RFL133" s="774"/>
      <c r="RFM133" s="774"/>
      <c r="RFN133" s="774"/>
      <c r="RFO133" s="774"/>
      <c r="RFP133" s="774"/>
      <c r="RFQ133" s="774"/>
      <c r="RFR133" s="774"/>
      <c r="RFS133" s="774"/>
      <c r="RFT133" s="774"/>
      <c r="RFU133" s="774"/>
      <c r="RFV133" s="774"/>
      <c r="RFW133" s="774"/>
      <c r="RFX133" s="774"/>
      <c r="RFY133" s="774"/>
      <c r="RFZ133" s="774"/>
      <c r="RGA133" s="774"/>
      <c r="RGB133" s="774"/>
      <c r="RGC133" s="774"/>
      <c r="RGD133" s="774"/>
      <c r="RGE133" s="774"/>
      <c r="RGF133" s="774"/>
      <c r="RGG133" s="774"/>
      <c r="RGH133" s="774"/>
      <c r="RGI133" s="774"/>
      <c r="RGJ133" s="774"/>
      <c r="RGK133" s="774"/>
      <c r="RGL133" s="774"/>
      <c r="RGM133" s="774"/>
      <c r="RGN133" s="774"/>
      <c r="RGO133" s="774"/>
      <c r="RGP133" s="774"/>
      <c r="RGQ133" s="774"/>
      <c r="RGR133" s="774"/>
      <c r="RGS133" s="774"/>
      <c r="RGT133" s="774"/>
      <c r="RGU133" s="774"/>
      <c r="RGV133" s="774"/>
      <c r="RGW133" s="774"/>
      <c r="RGX133" s="774"/>
      <c r="RGY133" s="774"/>
      <c r="RGZ133" s="774"/>
      <c r="RHA133" s="774"/>
      <c r="RHB133" s="774"/>
      <c r="RHC133" s="774"/>
      <c r="RHD133" s="774"/>
      <c r="RHE133" s="774"/>
      <c r="RHF133" s="774"/>
      <c r="RHG133" s="774"/>
      <c r="RHH133" s="774"/>
      <c r="RHI133" s="774"/>
      <c r="RHJ133" s="774"/>
      <c r="RHK133" s="774"/>
      <c r="RHL133" s="774"/>
      <c r="RHM133" s="774"/>
      <c r="RHN133" s="774"/>
      <c r="RHO133" s="774"/>
      <c r="RHP133" s="774"/>
      <c r="RHQ133" s="774"/>
      <c r="RHR133" s="774"/>
      <c r="RHS133" s="774"/>
      <c r="RHT133" s="774"/>
      <c r="RHU133" s="774"/>
      <c r="RHV133" s="774"/>
      <c r="RHW133" s="774"/>
      <c r="RHX133" s="774"/>
      <c r="RHY133" s="774"/>
      <c r="RHZ133" s="774"/>
      <c r="RIA133" s="774"/>
      <c r="RIB133" s="774"/>
      <c r="RIC133" s="774"/>
      <c r="RID133" s="774"/>
      <c r="RIE133" s="774"/>
      <c r="RIF133" s="774"/>
      <c r="RIG133" s="774"/>
      <c r="RIH133" s="774"/>
      <c r="RII133" s="774"/>
      <c r="RIJ133" s="774"/>
      <c r="RIK133" s="774"/>
      <c r="RIL133" s="774"/>
      <c r="RIM133" s="774"/>
      <c r="RIN133" s="774"/>
      <c r="RIO133" s="774"/>
      <c r="RIP133" s="774"/>
      <c r="RIQ133" s="774"/>
      <c r="RIR133" s="774"/>
      <c r="RIS133" s="774"/>
      <c r="RIT133" s="774"/>
      <c r="RIU133" s="774"/>
      <c r="RIV133" s="774"/>
      <c r="RIW133" s="774"/>
      <c r="RIX133" s="774"/>
      <c r="RIY133" s="774"/>
      <c r="RIZ133" s="774"/>
      <c r="RJA133" s="774"/>
      <c r="RJB133" s="774"/>
      <c r="RJC133" s="774"/>
      <c r="RJD133" s="774"/>
      <c r="RJE133" s="774"/>
      <c r="RJF133" s="774"/>
      <c r="RJG133" s="774"/>
      <c r="RJH133" s="774"/>
      <c r="RJI133" s="774"/>
      <c r="RJJ133" s="774"/>
      <c r="RJK133" s="774"/>
      <c r="RJL133" s="774"/>
      <c r="RJM133" s="774"/>
      <c r="RJN133" s="774"/>
      <c r="RJO133" s="774"/>
      <c r="RJP133" s="774"/>
      <c r="RJQ133" s="774"/>
      <c r="RJR133" s="774"/>
      <c r="RJS133" s="774"/>
      <c r="RJT133" s="774"/>
      <c r="RJU133" s="774"/>
      <c r="RJV133" s="774"/>
      <c r="RJW133" s="774"/>
      <c r="RJX133" s="774"/>
      <c r="RJY133" s="774"/>
      <c r="RJZ133" s="774"/>
      <c r="RKA133" s="774"/>
      <c r="RKB133" s="774"/>
      <c r="RKC133" s="774"/>
      <c r="RKD133" s="774"/>
      <c r="RKE133" s="774"/>
      <c r="RKF133" s="774"/>
      <c r="RKG133" s="774"/>
      <c r="RKH133" s="774"/>
      <c r="RKI133" s="774"/>
      <c r="RKJ133" s="774"/>
      <c r="RKK133" s="774"/>
      <c r="RKL133" s="774"/>
      <c r="RKM133" s="774"/>
      <c r="RKN133" s="774"/>
      <c r="RKO133" s="774"/>
      <c r="RKP133" s="774"/>
      <c r="RKQ133" s="774"/>
      <c r="RKR133" s="774"/>
      <c r="RKS133" s="774"/>
      <c r="RKT133" s="774"/>
      <c r="RKU133" s="774"/>
      <c r="RKV133" s="774"/>
      <c r="RKW133" s="774"/>
      <c r="RKX133" s="774"/>
      <c r="RKY133" s="774"/>
      <c r="RKZ133" s="774"/>
      <c r="RLA133" s="774"/>
      <c r="RLB133" s="774"/>
      <c r="RLC133" s="774"/>
      <c r="RLD133" s="774"/>
      <c r="RLE133" s="774"/>
      <c r="RLF133" s="774"/>
      <c r="RLG133" s="774"/>
      <c r="RLH133" s="774"/>
      <c r="RLI133" s="774"/>
      <c r="RLJ133" s="774"/>
      <c r="RLK133" s="774"/>
      <c r="RLL133" s="774"/>
      <c r="RLM133" s="774"/>
      <c r="RLN133" s="774"/>
      <c r="RLO133" s="774"/>
      <c r="RLP133" s="774"/>
      <c r="RLQ133" s="774"/>
      <c r="RLR133" s="774"/>
      <c r="RLS133" s="774"/>
      <c r="RLT133" s="774"/>
      <c r="RLU133" s="774"/>
      <c r="RLV133" s="774"/>
      <c r="RLW133" s="774"/>
      <c r="RLX133" s="774"/>
      <c r="RLY133" s="774"/>
      <c r="RLZ133" s="774"/>
      <c r="RMA133" s="774"/>
      <c r="RMB133" s="774"/>
      <c r="RMC133" s="774"/>
      <c r="RMD133" s="774"/>
      <c r="RME133" s="774"/>
      <c r="RMF133" s="774"/>
      <c r="RMG133" s="774"/>
      <c r="RMH133" s="774"/>
      <c r="RMI133" s="774"/>
      <c r="RMJ133" s="774"/>
      <c r="RMK133" s="774"/>
      <c r="RML133" s="774"/>
      <c r="RMM133" s="774"/>
      <c r="RMN133" s="774"/>
      <c r="RMO133" s="774"/>
      <c r="RMP133" s="774"/>
      <c r="RMQ133" s="774"/>
      <c r="RMR133" s="774"/>
      <c r="RMS133" s="774"/>
      <c r="RMT133" s="774"/>
      <c r="RMU133" s="774"/>
      <c r="RMV133" s="774"/>
      <c r="RMW133" s="774"/>
      <c r="RMX133" s="774"/>
      <c r="RMY133" s="774"/>
      <c r="RMZ133" s="774"/>
      <c r="RNA133" s="774"/>
      <c r="RNB133" s="774"/>
      <c r="RNC133" s="774"/>
      <c r="RND133" s="774"/>
      <c r="RNE133" s="774"/>
      <c r="RNF133" s="774"/>
      <c r="RNG133" s="774"/>
      <c r="RNH133" s="774"/>
      <c r="RNI133" s="774"/>
      <c r="RNJ133" s="774"/>
      <c r="RNK133" s="774"/>
      <c r="RNL133" s="774"/>
      <c r="RNM133" s="774"/>
      <c r="RNN133" s="774"/>
      <c r="RNO133" s="774"/>
      <c r="RNP133" s="774"/>
      <c r="RNQ133" s="774"/>
      <c r="RNR133" s="774"/>
      <c r="RNS133" s="774"/>
      <c r="RNT133" s="774"/>
      <c r="RNU133" s="774"/>
      <c r="RNV133" s="774"/>
      <c r="RNW133" s="774"/>
      <c r="RNX133" s="774"/>
      <c r="RNY133" s="774"/>
      <c r="RNZ133" s="774"/>
      <c r="ROA133" s="774"/>
      <c r="ROB133" s="774"/>
      <c r="ROC133" s="774"/>
      <c r="ROD133" s="774"/>
      <c r="ROE133" s="774"/>
      <c r="ROF133" s="774"/>
      <c r="ROG133" s="774"/>
      <c r="ROH133" s="774"/>
      <c r="ROI133" s="774"/>
      <c r="ROJ133" s="774"/>
      <c r="ROK133" s="774"/>
      <c r="ROL133" s="774"/>
      <c r="ROM133" s="774"/>
      <c r="RON133" s="774"/>
      <c r="ROO133" s="774"/>
      <c r="ROP133" s="774"/>
      <c r="ROQ133" s="774"/>
      <c r="ROR133" s="774"/>
      <c r="ROS133" s="774"/>
      <c r="ROT133" s="774"/>
      <c r="ROU133" s="774"/>
      <c r="ROV133" s="774"/>
      <c r="ROW133" s="774"/>
      <c r="ROX133" s="774"/>
      <c r="ROY133" s="774"/>
      <c r="ROZ133" s="774"/>
      <c r="RPA133" s="774"/>
      <c r="RPB133" s="774"/>
      <c r="RPC133" s="774"/>
      <c r="RPD133" s="774"/>
      <c r="RPE133" s="774"/>
      <c r="RPF133" s="774"/>
      <c r="RPG133" s="774"/>
      <c r="RPH133" s="774"/>
      <c r="RPI133" s="774"/>
      <c r="RPJ133" s="774"/>
      <c r="RPK133" s="774"/>
      <c r="RPL133" s="774"/>
      <c r="RPM133" s="774"/>
      <c r="RPN133" s="774"/>
      <c r="RPO133" s="774"/>
      <c r="RPP133" s="774"/>
      <c r="RPQ133" s="774"/>
      <c r="RPR133" s="774"/>
      <c r="RPS133" s="774"/>
      <c r="RPT133" s="774"/>
      <c r="RPU133" s="774"/>
      <c r="RPV133" s="774"/>
      <c r="RPW133" s="774"/>
      <c r="RPX133" s="774"/>
      <c r="RPY133" s="774"/>
      <c r="RPZ133" s="774"/>
      <c r="RQA133" s="774"/>
      <c r="RQB133" s="774"/>
      <c r="RQC133" s="774"/>
      <c r="RQD133" s="774"/>
      <c r="RQE133" s="774"/>
      <c r="RQF133" s="774"/>
      <c r="RQG133" s="774"/>
      <c r="RQH133" s="774"/>
      <c r="RQI133" s="774"/>
      <c r="RQJ133" s="774"/>
      <c r="RQK133" s="774"/>
      <c r="RQL133" s="774"/>
      <c r="RQM133" s="774"/>
      <c r="RQN133" s="774"/>
      <c r="RQO133" s="774"/>
      <c r="RQP133" s="774"/>
      <c r="RQQ133" s="774"/>
      <c r="RQR133" s="774"/>
      <c r="RQS133" s="774"/>
      <c r="RQT133" s="774"/>
      <c r="RQU133" s="774"/>
      <c r="RQV133" s="774"/>
      <c r="RQW133" s="774"/>
      <c r="RQX133" s="774"/>
      <c r="RQY133" s="774"/>
      <c r="RQZ133" s="774"/>
      <c r="RRA133" s="774"/>
      <c r="RRB133" s="774"/>
      <c r="RRC133" s="774"/>
      <c r="RRD133" s="774"/>
      <c r="RRE133" s="774"/>
      <c r="RRF133" s="774"/>
      <c r="RRG133" s="774"/>
      <c r="RRH133" s="774"/>
      <c r="RRI133" s="774"/>
      <c r="RRJ133" s="774"/>
      <c r="RRK133" s="774"/>
      <c r="RRL133" s="774"/>
      <c r="RRM133" s="774"/>
      <c r="RRN133" s="774"/>
      <c r="RRO133" s="774"/>
      <c r="RRP133" s="774"/>
      <c r="RRQ133" s="774"/>
      <c r="RRR133" s="774"/>
      <c r="RRS133" s="774"/>
      <c r="RRT133" s="774"/>
      <c r="RRU133" s="774"/>
      <c r="RRV133" s="774"/>
      <c r="RRW133" s="774"/>
      <c r="RRX133" s="774"/>
      <c r="RRY133" s="774"/>
      <c r="RRZ133" s="774"/>
      <c r="RSA133" s="774"/>
      <c r="RSB133" s="774"/>
      <c r="RSC133" s="774"/>
      <c r="RSD133" s="774"/>
      <c r="RSE133" s="774"/>
      <c r="RSF133" s="774"/>
      <c r="RSG133" s="774"/>
      <c r="RSH133" s="774"/>
      <c r="RSI133" s="774"/>
      <c r="RSJ133" s="774"/>
      <c r="RSK133" s="774"/>
      <c r="RSL133" s="774"/>
      <c r="RSM133" s="774"/>
      <c r="RSN133" s="774"/>
      <c r="RSO133" s="774"/>
      <c r="RSP133" s="774"/>
      <c r="RSQ133" s="774"/>
      <c r="RSR133" s="774"/>
      <c r="RSS133" s="774"/>
      <c r="RST133" s="774"/>
      <c r="RSU133" s="774"/>
      <c r="RSV133" s="774"/>
      <c r="RSW133" s="774"/>
      <c r="RSX133" s="774"/>
      <c r="RSY133" s="774"/>
      <c r="RSZ133" s="774"/>
      <c r="RTA133" s="774"/>
      <c r="RTB133" s="774"/>
      <c r="RTC133" s="774"/>
      <c r="RTD133" s="774"/>
      <c r="RTE133" s="774"/>
      <c r="RTF133" s="774"/>
      <c r="RTG133" s="774"/>
      <c r="RTH133" s="774"/>
      <c r="RTI133" s="774"/>
      <c r="RTJ133" s="774"/>
      <c r="RTK133" s="774"/>
      <c r="RTL133" s="774"/>
      <c r="RTM133" s="774"/>
      <c r="RTN133" s="774"/>
      <c r="RTO133" s="774"/>
      <c r="RTP133" s="774"/>
      <c r="RTQ133" s="774"/>
      <c r="RTR133" s="774"/>
      <c r="RTS133" s="774"/>
      <c r="RTT133" s="774"/>
      <c r="RTU133" s="774"/>
      <c r="RTV133" s="774"/>
      <c r="RTW133" s="774"/>
      <c r="RTX133" s="774"/>
      <c r="RTY133" s="774"/>
      <c r="RTZ133" s="774"/>
      <c r="RUA133" s="774"/>
      <c r="RUB133" s="774"/>
      <c r="RUC133" s="774"/>
      <c r="RUD133" s="774"/>
      <c r="RUE133" s="774"/>
      <c r="RUF133" s="774"/>
      <c r="RUG133" s="774"/>
      <c r="RUH133" s="774"/>
      <c r="RUI133" s="774"/>
      <c r="RUJ133" s="774"/>
      <c r="RUK133" s="774"/>
      <c r="RUL133" s="774"/>
      <c r="RUM133" s="774"/>
      <c r="RUN133" s="774"/>
      <c r="RUO133" s="774"/>
      <c r="RUP133" s="774"/>
      <c r="RUQ133" s="774"/>
      <c r="RUR133" s="774"/>
      <c r="RUS133" s="774"/>
      <c r="RUT133" s="774"/>
      <c r="RUU133" s="774"/>
      <c r="RUV133" s="774"/>
      <c r="RUW133" s="774"/>
      <c r="RUX133" s="774"/>
      <c r="RUY133" s="774"/>
      <c r="RUZ133" s="774"/>
      <c r="RVA133" s="774"/>
      <c r="RVB133" s="774"/>
      <c r="RVC133" s="774"/>
      <c r="RVD133" s="774"/>
      <c r="RVE133" s="774"/>
      <c r="RVF133" s="774"/>
      <c r="RVG133" s="774"/>
      <c r="RVH133" s="774"/>
      <c r="RVI133" s="774"/>
      <c r="RVJ133" s="774"/>
      <c r="RVK133" s="774"/>
      <c r="RVL133" s="774"/>
      <c r="RVM133" s="774"/>
      <c r="RVN133" s="774"/>
      <c r="RVO133" s="774"/>
      <c r="RVP133" s="774"/>
      <c r="RVQ133" s="774"/>
      <c r="RVR133" s="774"/>
      <c r="RVS133" s="774"/>
      <c r="RVT133" s="774"/>
      <c r="RVU133" s="774"/>
      <c r="RVV133" s="774"/>
      <c r="RVW133" s="774"/>
      <c r="RVX133" s="774"/>
      <c r="RVY133" s="774"/>
      <c r="RVZ133" s="774"/>
      <c r="RWA133" s="774"/>
      <c r="RWB133" s="774"/>
      <c r="RWC133" s="774"/>
      <c r="RWD133" s="774"/>
      <c r="RWE133" s="774"/>
      <c r="RWF133" s="774"/>
      <c r="RWG133" s="774"/>
      <c r="RWH133" s="774"/>
      <c r="RWI133" s="774"/>
      <c r="RWJ133" s="774"/>
      <c r="RWK133" s="774"/>
      <c r="RWL133" s="774"/>
      <c r="RWM133" s="774"/>
      <c r="RWN133" s="774"/>
      <c r="RWO133" s="774"/>
      <c r="RWP133" s="774"/>
      <c r="RWQ133" s="774"/>
      <c r="RWR133" s="774"/>
      <c r="RWS133" s="774"/>
      <c r="RWT133" s="774"/>
      <c r="RWU133" s="774"/>
      <c r="RWV133" s="774"/>
      <c r="RWW133" s="774"/>
      <c r="RWX133" s="774"/>
      <c r="RWY133" s="774"/>
      <c r="RWZ133" s="774"/>
      <c r="RXA133" s="774"/>
      <c r="RXB133" s="774"/>
      <c r="RXC133" s="774"/>
      <c r="RXD133" s="774"/>
      <c r="RXE133" s="774"/>
      <c r="RXF133" s="774"/>
      <c r="RXG133" s="774"/>
      <c r="RXH133" s="774"/>
      <c r="RXI133" s="774"/>
      <c r="RXJ133" s="774"/>
      <c r="RXK133" s="774"/>
      <c r="RXL133" s="774"/>
      <c r="RXM133" s="774"/>
      <c r="RXN133" s="774"/>
      <c r="RXO133" s="774"/>
      <c r="RXP133" s="774"/>
      <c r="RXQ133" s="774"/>
      <c r="RXR133" s="774"/>
      <c r="RXS133" s="774"/>
      <c r="RXT133" s="774"/>
      <c r="RXU133" s="774"/>
      <c r="RXV133" s="774"/>
      <c r="RXW133" s="774"/>
      <c r="RXX133" s="774"/>
      <c r="RXY133" s="774"/>
      <c r="RXZ133" s="774"/>
      <c r="RYA133" s="774"/>
      <c r="RYB133" s="774"/>
      <c r="RYC133" s="774"/>
      <c r="RYD133" s="774"/>
      <c r="RYE133" s="774"/>
      <c r="RYF133" s="774"/>
      <c r="RYG133" s="774"/>
      <c r="RYH133" s="774"/>
      <c r="RYI133" s="774"/>
      <c r="RYJ133" s="774"/>
      <c r="RYK133" s="774"/>
      <c r="RYL133" s="774"/>
      <c r="RYM133" s="774"/>
      <c r="RYN133" s="774"/>
      <c r="RYO133" s="774"/>
      <c r="RYP133" s="774"/>
      <c r="RYQ133" s="774"/>
      <c r="RYR133" s="774"/>
      <c r="RYS133" s="774"/>
      <c r="RYT133" s="774"/>
      <c r="RYU133" s="774"/>
      <c r="RYV133" s="774"/>
      <c r="RYW133" s="774"/>
      <c r="RYX133" s="774"/>
      <c r="RYY133" s="774"/>
      <c r="RYZ133" s="774"/>
      <c r="RZA133" s="774"/>
      <c r="RZB133" s="774"/>
      <c r="RZC133" s="774"/>
      <c r="RZD133" s="774"/>
      <c r="RZE133" s="774"/>
      <c r="RZF133" s="774"/>
      <c r="RZG133" s="774"/>
      <c r="RZH133" s="774"/>
      <c r="RZI133" s="774"/>
      <c r="RZJ133" s="774"/>
      <c r="RZK133" s="774"/>
      <c r="RZL133" s="774"/>
      <c r="RZM133" s="774"/>
      <c r="RZN133" s="774"/>
      <c r="RZO133" s="774"/>
      <c r="RZP133" s="774"/>
      <c r="RZQ133" s="774"/>
      <c r="RZR133" s="774"/>
      <c r="RZS133" s="774"/>
      <c r="RZT133" s="774"/>
      <c r="RZU133" s="774"/>
      <c r="RZV133" s="774"/>
      <c r="RZW133" s="774"/>
      <c r="RZX133" s="774"/>
      <c r="RZY133" s="774"/>
      <c r="RZZ133" s="774"/>
      <c r="SAA133" s="774"/>
      <c r="SAB133" s="774"/>
      <c r="SAC133" s="774"/>
      <c r="SAD133" s="774"/>
      <c r="SAE133" s="774"/>
      <c r="SAF133" s="774"/>
      <c r="SAG133" s="774"/>
      <c r="SAH133" s="774"/>
      <c r="SAI133" s="774"/>
      <c r="SAJ133" s="774"/>
      <c r="SAK133" s="774"/>
      <c r="SAL133" s="774"/>
      <c r="SAM133" s="774"/>
      <c r="SAN133" s="774"/>
      <c r="SAO133" s="774"/>
      <c r="SAP133" s="774"/>
      <c r="SAQ133" s="774"/>
      <c r="SAR133" s="774"/>
      <c r="SAS133" s="774"/>
      <c r="SAT133" s="774"/>
      <c r="SAU133" s="774"/>
      <c r="SAV133" s="774"/>
      <c r="SAW133" s="774"/>
      <c r="SAX133" s="774"/>
      <c r="SAY133" s="774"/>
      <c r="SAZ133" s="774"/>
      <c r="SBA133" s="774"/>
      <c r="SBB133" s="774"/>
      <c r="SBC133" s="774"/>
      <c r="SBD133" s="774"/>
      <c r="SBE133" s="774"/>
      <c r="SBF133" s="774"/>
      <c r="SBG133" s="774"/>
      <c r="SBH133" s="774"/>
      <c r="SBI133" s="774"/>
      <c r="SBJ133" s="774"/>
      <c r="SBK133" s="774"/>
      <c r="SBL133" s="774"/>
      <c r="SBM133" s="774"/>
      <c r="SBN133" s="774"/>
      <c r="SBO133" s="774"/>
      <c r="SBP133" s="774"/>
      <c r="SBQ133" s="774"/>
      <c r="SBR133" s="774"/>
      <c r="SBS133" s="774"/>
      <c r="SBT133" s="774"/>
      <c r="SBU133" s="774"/>
      <c r="SBV133" s="774"/>
      <c r="SBW133" s="774"/>
      <c r="SBX133" s="774"/>
      <c r="SBY133" s="774"/>
      <c r="SBZ133" s="774"/>
      <c r="SCA133" s="774"/>
      <c r="SCB133" s="774"/>
      <c r="SCC133" s="774"/>
      <c r="SCD133" s="774"/>
      <c r="SCE133" s="774"/>
      <c r="SCF133" s="774"/>
      <c r="SCG133" s="774"/>
      <c r="SCH133" s="774"/>
      <c r="SCI133" s="774"/>
      <c r="SCJ133" s="774"/>
      <c r="SCK133" s="774"/>
      <c r="SCL133" s="774"/>
      <c r="SCM133" s="774"/>
      <c r="SCN133" s="774"/>
      <c r="SCO133" s="774"/>
      <c r="SCP133" s="774"/>
      <c r="SCQ133" s="774"/>
      <c r="SCR133" s="774"/>
      <c r="SCS133" s="774"/>
      <c r="SCT133" s="774"/>
      <c r="SCU133" s="774"/>
      <c r="SCV133" s="774"/>
      <c r="SCW133" s="774"/>
      <c r="SCX133" s="774"/>
      <c r="SCY133" s="774"/>
      <c r="SCZ133" s="774"/>
      <c r="SDA133" s="774"/>
      <c r="SDB133" s="774"/>
      <c r="SDC133" s="774"/>
      <c r="SDD133" s="774"/>
      <c r="SDE133" s="774"/>
      <c r="SDF133" s="774"/>
      <c r="SDG133" s="774"/>
      <c r="SDH133" s="774"/>
      <c r="SDI133" s="774"/>
      <c r="SDJ133" s="774"/>
      <c r="SDK133" s="774"/>
      <c r="SDL133" s="774"/>
      <c r="SDM133" s="774"/>
      <c r="SDN133" s="774"/>
      <c r="SDO133" s="774"/>
      <c r="SDP133" s="774"/>
      <c r="SDQ133" s="774"/>
      <c r="SDR133" s="774"/>
      <c r="SDS133" s="774"/>
      <c r="SDT133" s="774"/>
      <c r="SDU133" s="774"/>
      <c r="SDV133" s="774"/>
      <c r="SDW133" s="774"/>
      <c r="SDX133" s="774"/>
      <c r="SDY133" s="774"/>
      <c r="SDZ133" s="774"/>
      <c r="SEA133" s="774"/>
      <c r="SEB133" s="774"/>
      <c r="SEC133" s="774"/>
      <c r="SED133" s="774"/>
      <c r="SEE133" s="774"/>
      <c r="SEF133" s="774"/>
      <c r="SEG133" s="774"/>
      <c r="SEH133" s="774"/>
      <c r="SEI133" s="774"/>
      <c r="SEJ133" s="774"/>
      <c r="SEK133" s="774"/>
      <c r="SEL133" s="774"/>
      <c r="SEM133" s="774"/>
      <c r="SEN133" s="774"/>
      <c r="SEO133" s="774"/>
      <c r="SEP133" s="774"/>
      <c r="SEQ133" s="774"/>
      <c r="SER133" s="774"/>
      <c r="SES133" s="774"/>
      <c r="SET133" s="774"/>
      <c r="SEU133" s="774"/>
      <c r="SEV133" s="774"/>
      <c r="SEW133" s="774"/>
      <c r="SEX133" s="774"/>
      <c r="SEY133" s="774"/>
      <c r="SEZ133" s="774"/>
      <c r="SFA133" s="774"/>
      <c r="SFB133" s="774"/>
      <c r="SFC133" s="774"/>
      <c r="SFD133" s="774"/>
      <c r="SFE133" s="774"/>
      <c r="SFF133" s="774"/>
      <c r="SFG133" s="774"/>
      <c r="SFH133" s="774"/>
      <c r="SFI133" s="774"/>
      <c r="SFJ133" s="774"/>
      <c r="SFK133" s="774"/>
      <c r="SFL133" s="774"/>
      <c r="SFM133" s="774"/>
      <c r="SFN133" s="774"/>
      <c r="SFO133" s="774"/>
      <c r="SFP133" s="774"/>
      <c r="SFQ133" s="774"/>
      <c r="SFR133" s="774"/>
      <c r="SFS133" s="774"/>
      <c r="SFT133" s="774"/>
      <c r="SFU133" s="774"/>
      <c r="SFV133" s="774"/>
      <c r="SFW133" s="774"/>
      <c r="SFX133" s="774"/>
      <c r="SFY133" s="774"/>
      <c r="SFZ133" s="774"/>
      <c r="SGA133" s="774"/>
      <c r="SGB133" s="774"/>
      <c r="SGC133" s="774"/>
      <c r="SGD133" s="774"/>
      <c r="SGE133" s="774"/>
      <c r="SGF133" s="774"/>
      <c r="SGG133" s="774"/>
      <c r="SGH133" s="774"/>
      <c r="SGI133" s="774"/>
      <c r="SGJ133" s="774"/>
      <c r="SGK133" s="774"/>
      <c r="SGL133" s="774"/>
      <c r="SGM133" s="774"/>
      <c r="SGN133" s="774"/>
      <c r="SGO133" s="774"/>
      <c r="SGP133" s="774"/>
      <c r="SGQ133" s="774"/>
      <c r="SGR133" s="774"/>
      <c r="SGS133" s="774"/>
      <c r="SGT133" s="774"/>
      <c r="SGU133" s="774"/>
      <c r="SGV133" s="774"/>
      <c r="SGW133" s="774"/>
      <c r="SGX133" s="774"/>
      <c r="SGY133" s="774"/>
      <c r="SGZ133" s="774"/>
      <c r="SHA133" s="774"/>
      <c r="SHB133" s="774"/>
      <c r="SHC133" s="774"/>
      <c r="SHD133" s="774"/>
      <c r="SHE133" s="774"/>
      <c r="SHF133" s="774"/>
      <c r="SHG133" s="774"/>
      <c r="SHH133" s="774"/>
      <c r="SHI133" s="774"/>
      <c r="SHJ133" s="774"/>
      <c r="SHK133" s="774"/>
      <c r="SHL133" s="774"/>
      <c r="SHM133" s="774"/>
      <c r="SHN133" s="774"/>
      <c r="SHO133" s="774"/>
      <c r="SHP133" s="774"/>
      <c r="SHQ133" s="774"/>
      <c r="SHR133" s="774"/>
      <c r="SHS133" s="774"/>
      <c r="SHT133" s="774"/>
      <c r="SHU133" s="774"/>
      <c r="SHV133" s="774"/>
      <c r="SHW133" s="774"/>
      <c r="SHX133" s="774"/>
      <c r="SHY133" s="774"/>
      <c r="SHZ133" s="774"/>
      <c r="SIA133" s="774"/>
      <c r="SIB133" s="774"/>
      <c r="SIC133" s="774"/>
      <c r="SID133" s="774"/>
      <c r="SIE133" s="774"/>
      <c r="SIF133" s="774"/>
      <c r="SIG133" s="774"/>
      <c r="SIH133" s="774"/>
      <c r="SII133" s="774"/>
      <c r="SIJ133" s="774"/>
      <c r="SIK133" s="774"/>
      <c r="SIL133" s="774"/>
      <c r="SIM133" s="774"/>
      <c r="SIN133" s="774"/>
      <c r="SIO133" s="774"/>
      <c r="SIP133" s="774"/>
      <c r="SIQ133" s="774"/>
      <c r="SIR133" s="774"/>
      <c r="SIS133" s="774"/>
      <c r="SIT133" s="774"/>
      <c r="SIU133" s="774"/>
      <c r="SIV133" s="774"/>
      <c r="SIW133" s="774"/>
      <c r="SIX133" s="774"/>
      <c r="SIY133" s="774"/>
      <c r="SIZ133" s="774"/>
      <c r="SJA133" s="774"/>
      <c r="SJB133" s="774"/>
      <c r="SJC133" s="774"/>
      <c r="SJD133" s="774"/>
      <c r="SJE133" s="774"/>
      <c r="SJF133" s="774"/>
      <c r="SJG133" s="774"/>
      <c r="SJH133" s="774"/>
      <c r="SJI133" s="774"/>
      <c r="SJJ133" s="774"/>
      <c r="SJK133" s="774"/>
      <c r="SJL133" s="774"/>
      <c r="SJM133" s="774"/>
      <c r="SJN133" s="774"/>
      <c r="SJO133" s="774"/>
      <c r="SJP133" s="774"/>
      <c r="SJQ133" s="774"/>
      <c r="SJR133" s="774"/>
      <c r="SJS133" s="774"/>
      <c r="SJT133" s="774"/>
      <c r="SJU133" s="774"/>
      <c r="SJV133" s="774"/>
      <c r="SJW133" s="774"/>
      <c r="SJX133" s="774"/>
      <c r="SJY133" s="774"/>
      <c r="SJZ133" s="774"/>
      <c r="SKA133" s="774"/>
      <c r="SKB133" s="774"/>
      <c r="SKC133" s="774"/>
      <c r="SKD133" s="774"/>
      <c r="SKE133" s="774"/>
      <c r="SKF133" s="774"/>
      <c r="SKG133" s="774"/>
      <c r="SKH133" s="774"/>
      <c r="SKI133" s="774"/>
      <c r="SKJ133" s="774"/>
      <c r="SKK133" s="774"/>
      <c r="SKL133" s="774"/>
      <c r="SKM133" s="774"/>
      <c r="SKN133" s="774"/>
      <c r="SKO133" s="774"/>
      <c r="SKP133" s="774"/>
      <c r="SKQ133" s="774"/>
      <c r="SKR133" s="774"/>
      <c r="SKS133" s="774"/>
      <c r="SKT133" s="774"/>
      <c r="SKU133" s="774"/>
      <c r="SKV133" s="774"/>
      <c r="SKW133" s="774"/>
      <c r="SKX133" s="774"/>
      <c r="SKY133" s="774"/>
      <c r="SKZ133" s="774"/>
      <c r="SLA133" s="774"/>
      <c r="SLB133" s="774"/>
      <c r="SLC133" s="774"/>
      <c r="SLD133" s="774"/>
      <c r="SLE133" s="774"/>
      <c r="SLF133" s="774"/>
      <c r="SLG133" s="774"/>
      <c r="SLH133" s="774"/>
      <c r="SLI133" s="774"/>
      <c r="SLJ133" s="774"/>
      <c r="SLK133" s="774"/>
      <c r="SLL133" s="774"/>
      <c r="SLM133" s="774"/>
      <c r="SLN133" s="774"/>
      <c r="SLO133" s="774"/>
      <c r="SLP133" s="774"/>
      <c r="SLQ133" s="774"/>
      <c r="SLR133" s="774"/>
      <c r="SLS133" s="774"/>
      <c r="SLT133" s="774"/>
      <c r="SLU133" s="774"/>
      <c r="SLV133" s="774"/>
      <c r="SLW133" s="774"/>
      <c r="SLX133" s="774"/>
      <c r="SLY133" s="774"/>
      <c r="SLZ133" s="774"/>
      <c r="SMA133" s="774"/>
      <c r="SMB133" s="774"/>
      <c r="SMC133" s="774"/>
      <c r="SMD133" s="774"/>
      <c r="SME133" s="774"/>
      <c r="SMF133" s="774"/>
      <c r="SMG133" s="774"/>
      <c r="SMH133" s="774"/>
      <c r="SMI133" s="774"/>
      <c r="SMJ133" s="774"/>
      <c r="SMK133" s="774"/>
      <c r="SML133" s="774"/>
      <c r="SMM133" s="774"/>
      <c r="SMN133" s="774"/>
      <c r="SMO133" s="774"/>
      <c r="SMP133" s="774"/>
      <c r="SMQ133" s="774"/>
      <c r="SMR133" s="774"/>
      <c r="SMS133" s="774"/>
      <c r="SMT133" s="774"/>
      <c r="SMU133" s="774"/>
      <c r="SMV133" s="774"/>
      <c r="SMW133" s="774"/>
      <c r="SMX133" s="774"/>
      <c r="SMY133" s="774"/>
      <c r="SMZ133" s="774"/>
      <c r="SNA133" s="774"/>
      <c r="SNB133" s="774"/>
      <c r="SNC133" s="774"/>
      <c r="SND133" s="774"/>
      <c r="SNE133" s="774"/>
      <c r="SNF133" s="774"/>
      <c r="SNG133" s="774"/>
      <c r="SNH133" s="774"/>
      <c r="SNI133" s="774"/>
      <c r="SNJ133" s="774"/>
      <c r="SNK133" s="774"/>
      <c r="SNL133" s="774"/>
      <c r="SNM133" s="774"/>
      <c r="SNN133" s="774"/>
      <c r="SNO133" s="774"/>
      <c r="SNP133" s="774"/>
      <c r="SNQ133" s="774"/>
      <c r="SNR133" s="774"/>
      <c r="SNS133" s="774"/>
      <c r="SNT133" s="774"/>
      <c r="SNU133" s="774"/>
      <c r="SNV133" s="774"/>
      <c r="SNW133" s="774"/>
      <c r="SNX133" s="774"/>
      <c r="SNY133" s="774"/>
      <c r="SNZ133" s="774"/>
      <c r="SOA133" s="774"/>
      <c r="SOB133" s="774"/>
      <c r="SOC133" s="774"/>
      <c r="SOD133" s="774"/>
      <c r="SOE133" s="774"/>
      <c r="SOF133" s="774"/>
      <c r="SOG133" s="774"/>
      <c r="SOH133" s="774"/>
      <c r="SOI133" s="774"/>
      <c r="SOJ133" s="774"/>
      <c r="SOK133" s="774"/>
      <c r="SOL133" s="774"/>
      <c r="SOM133" s="774"/>
      <c r="SON133" s="774"/>
      <c r="SOO133" s="774"/>
      <c r="SOP133" s="774"/>
      <c r="SOQ133" s="774"/>
      <c r="SOR133" s="774"/>
      <c r="SOS133" s="774"/>
      <c r="SOT133" s="774"/>
      <c r="SOU133" s="774"/>
      <c r="SOV133" s="774"/>
      <c r="SOW133" s="774"/>
      <c r="SOX133" s="774"/>
      <c r="SOY133" s="774"/>
      <c r="SOZ133" s="774"/>
      <c r="SPA133" s="774"/>
      <c r="SPB133" s="774"/>
      <c r="SPC133" s="774"/>
      <c r="SPD133" s="774"/>
      <c r="SPE133" s="774"/>
      <c r="SPF133" s="774"/>
      <c r="SPG133" s="774"/>
      <c r="SPH133" s="774"/>
      <c r="SPI133" s="774"/>
      <c r="SPJ133" s="774"/>
      <c r="SPK133" s="774"/>
      <c r="SPL133" s="774"/>
      <c r="SPM133" s="774"/>
      <c r="SPN133" s="774"/>
      <c r="SPO133" s="774"/>
      <c r="SPP133" s="774"/>
      <c r="SPQ133" s="774"/>
      <c r="SPR133" s="774"/>
      <c r="SPS133" s="774"/>
      <c r="SPT133" s="774"/>
      <c r="SPU133" s="774"/>
      <c r="SPV133" s="774"/>
      <c r="SPW133" s="774"/>
      <c r="SPX133" s="774"/>
      <c r="SPY133" s="774"/>
      <c r="SPZ133" s="774"/>
      <c r="SQA133" s="774"/>
      <c r="SQB133" s="774"/>
      <c r="SQC133" s="774"/>
      <c r="SQD133" s="774"/>
      <c r="SQE133" s="774"/>
      <c r="SQF133" s="774"/>
      <c r="SQG133" s="774"/>
      <c r="SQH133" s="774"/>
      <c r="SQI133" s="774"/>
      <c r="SQJ133" s="774"/>
      <c r="SQK133" s="774"/>
      <c r="SQL133" s="774"/>
      <c r="SQM133" s="774"/>
      <c r="SQN133" s="774"/>
      <c r="SQO133" s="774"/>
      <c r="SQP133" s="774"/>
      <c r="SQQ133" s="774"/>
      <c r="SQR133" s="774"/>
      <c r="SQS133" s="774"/>
      <c r="SQT133" s="774"/>
      <c r="SQU133" s="774"/>
      <c r="SQV133" s="774"/>
      <c r="SQW133" s="774"/>
      <c r="SQX133" s="774"/>
      <c r="SQY133" s="774"/>
      <c r="SQZ133" s="774"/>
      <c r="SRA133" s="774"/>
      <c r="SRB133" s="774"/>
      <c r="SRC133" s="774"/>
      <c r="SRD133" s="774"/>
      <c r="SRE133" s="774"/>
      <c r="SRF133" s="774"/>
      <c r="SRG133" s="774"/>
      <c r="SRH133" s="774"/>
      <c r="SRI133" s="774"/>
      <c r="SRJ133" s="774"/>
      <c r="SRK133" s="774"/>
      <c r="SRL133" s="774"/>
      <c r="SRM133" s="774"/>
      <c r="SRN133" s="774"/>
      <c r="SRO133" s="774"/>
      <c r="SRP133" s="774"/>
      <c r="SRQ133" s="774"/>
      <c r="SRR133" s="774"/>
      <c r="SRS133" s="774"/>
      <c r="SRT133" s="774"/>
      <c r="SRU133" s="774"/>
      <c r="SRV133" s="774"/>
      <c r="SRW133" s="774"/>
      <c r="SRX133" s="774"/>
      <c r="SRY133" s="774"/>
      <c r="SRZ133" s="774"/>
      <c r="SSA133" s="774"/>
      <c r="SSB133" s="774"/>
      <c r="SSC133" s="774"/>
      <c r="SSD133" s="774"/>
      <c r="SSE133" s="774"/>
      <c r="SSF133" s="774"/>
      <c r="SSG133" s="774"/>
      <c r="SSH133" s="774"/>
      <c r="SSI133" s="774"/>
      <c r="SSJ133" s="774"/>
      <c r="SSK133" s="774"/>
      <c r="SSL133" s="774"/>
      <c r="SSM133" s="774"/>
      <c r="SSN133" s="774"/>
      <c r="SSO133" s="774"/>
      <c r="SSP133" s="774"/>
      <c r="SSQ133" s="774"/>
      <c r="SSR133" s="774"/>
      <c r="SSS133" s="774"/>
      <c r="SST133" s="774"/>
      <c r="SSU133" s="774"/>
      <c r="SSV133" s="774"/>
      <c r="SSW133" s="774"/>
      <c r="SSX133" s="774"/>
      <c r="SSY133" s="774"/>
      <c r="SSZ133" s="774"/>
      <c r="STA133" s="774"/>
      <c r="STB133" s="774"/>
      <c r="STC133" s="774"/>
      <c r="STD133" s="774"/>
      <c r="STE133" s="774"/>
      <c r="STF133" s="774"/>
      <c r="STG133" s="774"/>
      <c r="STH133" s="774"/>
      <c r="STI133" s="774"/>
      <c r="STJ133" s="774"/>
      <c r="STK133" s="774"/>
      <c r="STL133" s="774"/>
      <c r="STM133" s="774"/>
      <c r="STN133" s="774"/>
      <c r="STO133" s="774"/>
      <c r="STP133" s="774"/>
      <c r="STQ133" s="774"/>
      <c r="STR133" s="774"/>
      <c r="STS133" s="774"/>
      <c r="STT133" s="774"/>
      <c r="STU133" s="774"/>
      <c r="STV133" s="774"/>
      <c r="STW133" s="774"/>
      <c r="STX133" s="774"/>
      <c r="STY133" s="774"/>
      <c r="STZ133" s="774"/>
      <c r="SUA133" s="774"/>
      <c r="SUB133" s="774"/>
      <c r="SUC133" s="774"/>
      <c r="SUD133" s="774"/>
      <c r="SUE133" s="774"/>
      <c r="SUF133" s="774"/>
      <c r="SUG133" s="774"/>
      <c r="SUH133" s="774"/>
      <c r="SUI133" s="774"/>
      <c r="SUJ133" s="774"/>
      <c r="SUK133" s="774"/>
      <c r="SUL133" s="774"/>
      <c r="SUM133" s="774"/>
      <c r="SUN133" s="774"/>
      <c r="SUO133" s="774"/>
      <c r="SUP133" s="774"/>
      <c r="SUQ133" s="774"/>
      <c r="SUR133" s="774"/>
      <c r="SUS133" s="774"/>
      <c r="SUT133" s="774"/>
      <c r="SUU133" s="774"/>
      <c r="SUV133" s="774"/>
      <c r="SUW133" s="774"/>
      <c r="SUX133" s="774"/>
      <c r="SUY133" s="774"/>
      <c r="SUZ133" s="774"/>
      <c r="SVA133" s="774"/>
      <c r="SVB133" s="774"/>
      <c r="SVC133" s="774"/>
      <c r="SVD133" s="774"/>
      <c r="SVE133" s="774"/>
      <c r="SVF133" s="774"/>
      <c r="SVG133" s="774"/>
      <c r="SVH133" s="774"/>
      <c r="SVI133" s="774"/>
      <c r="SVJ133" s="774"/>
      <c r="SVK133" s="774"/>
      <c r="SVL133" s="774"/>
      <c r="SVM133" s="774"/>
      <c r="SVN133" s="774"/>
      <c r="SVO133" s="774"/>
      <c r="SVP133" s="774"/>
      <c r="SVQ133" s="774"/>
      <c r="SVR133" s="774"/>
      <c r="SVS133" s="774"/>
      <c r="SVT133" s="774"/>
      <c r="SVU133" s="774"/>
      <c r="SVV133" s="774"/>
      <c r="SVW133" s="774"/>
      <c r="SVX133" s="774"/>
      <c r="SVY133" s="774"/>
      <c r="SVZ133" s="774"/>
      <c r="SWA133" s="774"/>
      <c r="SWB133" s="774"/>
      <c r="SWC133" s="774"/>
      <c r="SWD133" s="774"/>
      <c r="SWE133" s="774"/>
      <c r="SWF133" s="774"/>
      <c r="SWG133" s="774"/>
      <c r="SWH133" s="774"/>
      <c r="SWI133" s="774"/>
      <c r="SWJ133" s="774"/>
      <c r="SWK133" s="774"/>
      <c r="SWL133" s="774"/>
      <c r="SWM133" s="774"/>
      <c r="SWN133" s="774"/>
      <c r="SWO133" s="774"/>
      <c r="SWP133" s="774"/>
      <c r="SWQ133" s="774"/>
      <c r="SWR133" s="774"/>
      <c r="SWS133" s="774"/>
      <c r="SWT133" s="774"/>
      <c r="SWU133" s="774"/>
      <c r="SWV133" s="774"/>
      <c r="SWW133" s="774"/>
      <c r="SWX133" s="774"/>
      <c r="SWY133" s="774"/>
      <c r="SWZ133" s="774"/>
      <c r="SXA133" s="774"/>
      <c r="SXB133" s="774"/>
      <c r="SXC133" s="774"/>
      <c r="SXD133" s="774"/>
      <c r="SXE133" s="774"/>
      <c r="SXF133" s="774"/>
      <c r="SXG133" s="774"/>
      <c r="SXH133" s="774"/>
      <c r="SXI133" s="774"/>
      <c r="SXJ133" s="774"/>
      <c r="SXK133" s="774"/>
      <c r="SXL133" s="774"/>
      <c r="SXM133" s="774"/>
      <c r="SXN133" s="774"/>
      <c r="SXO133" s="774"/>
      <c r="SXP133" s="774"/>
      <c r="SXQ133" s="774"/>
      <c r="SXR133" s="774"/>
      <c r="SXS133" s="774"/>
      <c r="SXT133" s="774"/>
      <c r="SXU133" s="774"/>
      <c r="SXV133" s="774"/>
      <c r="SXW133" s="774"/>
      <c r="SXX133" s="774"/>
      <c r="SXY133" s="774"/>
      <c r="SXZ133" s="774"/>
      <c r="SYA133" s="774"/>
      <c r="SYB133" s="774"/>
      <c r="SYC133" s="774"/>
      <c r="SYD133" s="774"/>
      <c r="SYE133" s="774"/>
      <c r="SYF133" s="774"/>
      <c r="SYG133" s="774"/>
      <c r="SYH133" s="774"/>
      <c r="SYI133" s="774"/>
      <c r="SYJ133" s="774"/>
      <c r="SYK133" s="774"/>
      <c r="SYL133" s="774"/>
      <c r="SYM133" s="774"/>
      <c r="SYN133" s="774"/>
      <c r="SYO133" s="774"/>
      <c r="SYP133" s="774"/>
      <c r="SYQ133" s="774"/>
      <c r="SYR133" s="774"/>
      <c r="SYS133" s="774"/>
      <c r="SYT133" s="774"/>
      <c r="SYU133" s="774"/>
      <c r="SYV133" s="774"/>
      <c r="SYW133" s="774"/>
      <c r="SYX133" s="774"/>
      <c r="SYY133" s="774"/>
      <c r="SYZ133" s="774"/>
      <c r="SZA133" s="774"/>
      <c r="SZB133" s="774"/>
      <c r="SZC133" s="774"/>
      <c r="SZD133" s="774"/>
      <c r="SZE133" s="774"/>
      <c r="SZF133" s="774"/>
      <c r="SZG133" s="774"/>
      <c r="SZH133" s="774"/>
      <c r="SZI133" s="774"/>
      <c r="SZJ133" s="774"/>
      <c r="SZK133" s="774"/>
      <c r="SZL133" s="774"/>
      <c r="SZM133" s="774"/>
      <c r="SZN133" s="774"/>
      <c r="SZO133" s="774"/>
      <c r="SZP133" s="774"/>
      <c r="SZQ133" s="774"/>
      <c r="SZR133" s="774"/>
      <c r="SZS133" s="774"/>
      <c r="SZT133" s="774"/>
      <c r="SZU133" s="774"/>
      <c r="SZV133" s="774"/>
      <c r="SZW133" s="774"/>
      <c r="SZX133" s="774"/>
      <c r="SZY133" s="774"/>
      <c r="SZZ133" s="774"/>
      <c r="TAA133" s="774"/>
      <c r="TAB133" s="774"/>
      <c r="TAC133" s="774"/>
      <c r="TAD133" s="774"/>
      <c r="TAE133" s="774"/>
      <c r="TAF133" s="774"/>
      <c r="TAG133" s="774"/>
      <c r="TAH133" s="774"/>
      <c r="TAI133" s="774"/>
      <c r="TAJ133" s="774"/>
      <c r="TAK133" s="774"/>
      <c r="TAL133" s="774"/>
      <c r="TAM133" s="774"/>
      <c r="TAN133" s="774"/>
      <c r="TAO133" s="774"/>
      <c r="TAP133" s="774"/>
      <c r="TAQ133" s="774"/>
      <c r="TAR133" s="774"/>
      <c r="TAS133" s="774"/>
      <c r="TAT133" s="774"/>
      <c r="TAU133" s="774"/>
      <c r="TAV133" s="774"/>
      <c r="TAW133" s="774"/>
      <c r="TAX133" s="774"/>
      <c r="TAY133" s="774"/>
      <c r="TAZ133" s="774"/>
      <c r="TBA133" s="774"/>
      <c r="TBB133" s="774"/>
      <c r="TBC133" s="774"/>
      <c r="TBD133" s="774"/>
      <c r="TBE133" s="774"/>
      <c r="TBF133" s="774"/>
      <c r="TBG133" s="774"/>
      <c r="TBH133" s="774"/>
      <c r="TBI133" s="774"/>
      <c r="TBJ133" s="774"/>
      <c r="TBK133" s="774"/>
      <c r="TBL133" s="774"/>
      <c r="TBM133" s="774"/>
      <c r="TBN133" s="774"/>
      <c r="TBO133" s="774"/>
      <c r="TBP133" s="774"/>
      <c r="TBQ133" s="774"/>
      <c r="TBR133" s="774"/>
      <c r="TBS133" s="774"/>
      <c r="TBT133" s="774"/>
      <c r="TBU133" s="774"/>
      <c r="TBV133" s="774"/>
      <c r="TBW133" s="774"/>
      <c r="TBX133" s="774"/>
      <c r="TBY133" s="774"/>
      <c r="TBZ133" s="774"/>
      <c r="TCA133" s="774"/>
      <c r="TCB133" s="774"/>
      <c r="TCC133" s="774"/>
      <c r="TCD133" s="774"/>
      <c r="TCE133" s="774"/>
      <c r="TCF133" s="774"/>
      <c r="TCG133" s="774"/>
      <c r="TCH133" s="774"/>
      <c r="TCI133" s="774"/>
      <c r="TCJ133" s="774"/>
      <c r="TCK133" s="774"/>
      <c r="TCL133" s="774"/>
      <c r="TCM133" s="774"/>
      <c r="TCN133" s="774"/>
      <c r="TCO133" s="774"/>
      <c r="TCP133" s="774"/>
      <c r="TCQ133" s="774"/>
      <c r="TCR133" s="774"/>
      <c r="TCS133" s="774"/>
      <c r="TCT133" s="774"/>
      <c r="TCU133" s="774"/>
      <c r="TCV133" s="774"/>
      <c r="TCW133" s="774"/>
      <c r="TCX133" s="774"/>
      <c r="TCY133" s="774"/>
      <c r="TCZ133" s="774"/>
      <c r="TDA133" s="774"/>
      <c r="TDB133" s="774"/>
      <c r="TDC133" s="774"/>
      <c r="TDD133" s="774"/>
      <c r="TDE133" s="774"/>
      <c r="TDF133" s="774"/>
      <c r="TDG133" s="774"/>
      <c r="TDH133" s="774"/>
      <c r="TDI133" s="774"/>
      <c r="TDJ133" s="774"/>
      <c r="TDK133" s="774"/>
      <c r="TDL133" s="774"/>
      <c r="TDM133" s="774"/>
      <c r="TDN133" s="774"/>
      <c r="TDO133" s="774"/>
      <c r="TDP133" s="774"/>
      <c r="TDQ133" s="774"/>
      <c r="TDR133" s="774"/>
      <c r="TDS133" s="774"/>
      <c r="TDT133" s="774"/>
      <c r="TDU133" s="774"/>
      <c r="TDV133" s="774"/>
      <c r="TDW133" s="774"/>
      <c r="TDX133" s="774"/>
      <c r="TDY133" s="774"/>
      <c r="TDZ133" s="774"/>
      <c r="TEA133" s="774"/>
      <c r="TEB133" s="774"/>
      <c r="TEC133" s="774"/>
      <c r="TED133" s="774"/>
      <c r="TEE133" s="774"/>
      <c r="TEF133" s="774"/>
      <c r="TEG133" s="774"/>
      <c r="TEH133" s="774"/>
      <c r="TEI133" s="774"/>
      <c r="TEJ133" s="774"/>
      <c r="TEK133" s="774"/>
      <c r="TEL133" s="774"/>
      <c r="TEM133" s="774"/>
      <c r="TEN133" s="774"/>
      <c r="TEO133" s="774"/>
      <c r="TEP133" s="774"/>
      <c r="TEQ133" s="774"/>
      <c r="TER133" s="774"/>
      <c r="TES133" s="774"/>
      <c r="TET133" s="774"/>
      <c r="TEU133" s="774"/>
      <c r="TEV133" s="774"/>
      <c r="TEW133" s="774"/>
      <c r="TEX133" s="774"/>
      <c r="TEY133" s="774"/>
      <c r="TEZ133" s="774"/>
      <c r="TFA133" s="774"/>
      <c r="TFB133" s="774"/>
      <c r="TFC133" s="774"/>
      <c r="TFD133" s="774"/>
      <c r="TFE133" s="774"/>
      <c r="TFF133" s="774"/>
      <c r="TFG133" s="774"/>
      <c r="TFH133" s="774"/>
      <c r="TFI133" s="774"/>
      <c r="TFJ133" s="774"/>
      <c r="TFK133" s="774"/>
      <c r="TFL133" s="774"/>
      <c r="TFM133" s="774"/>
      <c r="TFN133" s="774"/>
      <c r="TFO133" s="774"/>
      <c r="TFP133" s="774"/>
      <c r="TFQ133" s="774"/>
      <c r="TFR133" s="774"/>
      <c r="TFS133" s="774"/>
      <c r="TFT133" s="774"/>
      <c r="TFU133" s="774"/>
      <c r="TFV133" s="774"/>
      <c r="TFW133" s="774"/>
      <c r="TFX133" s="774"/>
      <c r="TFY133" s="774"/>
      <c r="TFZ133" s="774"/>
      <c r="TGA133" s="774"/>
      <c r="TGB133" s="774"/>
      <c r="TGC133" s="774"/>
      <c r="TGD133" s="774"/>
      <c r="TGE133" s="774"/>
      <c r="TGF133" s="774"/>
      <c r="TGG133" s="774"/>
      <c r="TGH133" s="774"/>
      <c r="TGI133" s="774"/>
      <c r="TGJ133" s="774"/>
      <c r="TGK133" s="774"/>
      <c r="TGL133" s="774"/>
      <c r="TGM133" s="774"/>
      <c r="TGN133" s="774"/>
      <c r="TGO133" s="774"/>
      <c r="TGP133" s="774"/>
      <c r="TGQ133" s="774"/>
      <c r="TGR133" s="774"/>
      <c r="TGS133" s="774"/>
      <c r="TGT133" s="774"/>
      <c r="TGU133" s="774"/>
      <c r="TGV133" s="774"/>
      <c r="TGW133" s="774"/>
      <c r="TGX133" s="774"/>
      <c r="TGY133" s="774"/>
      <c r="TGZ133" s="774"/>
      <c r="THA133" s="774"/>
      <c r="THB133" s="774"/>
      <c r="THC133" s="774"/>
      <c r="THD133" s="774"/>
      <c r="THE133" s="774"/>
      <c r="THF133" s="774"/>
      <c r="THG133" s="774"/>
      <c r="THH133" s="774"/>
      <c r="THI133" s="774"/>
      <c r="THJ133" s="774"/>
      <c r="THK133" s="774"/>
      <c r="THL133" s="774"/>
      <c r="THM133" s="774"/>
      <c r="THN133" s="774"/>
      <c r="THO133" s="774"/>
      <c r="THP133" s="774"/>
      <c r="THQ133" s="774"/>
      <c r="THR133" s="774"/>
      <c r="THS133" s="774"/>
      <c r="THT133" s="774"/>
      <c r="THU133" s="774"/>
      <c r="THV133" s="774"/>
      <c r="THW133" s="774"/>
      <c r="THX133" s="774"/>
      <c r="THY133" s="774"/>
      <c r="THZ133" s="774"/>
      <c r="TIA133" s="774"/>
      <c r="TIB133" s="774"/>
      <c r="TIC133" s="774"/>
      <c r="TID133" s="774"/>
      <c r="TIE133" s="774"/>
      <c r="TIF133" s="774"/>
      <c r="TIG133" s="774"/>
      <c r="TIH133" s="774"/>
      <c r="TII133" s="774"/>
      <c r="TIJ133" s="774"/>
      <c r="TIK133" s="774"/>
      <c r="TIL133" s="774"/>
      <c r="TIM133" s="774"/>
      <c r="TIN133" s="774"/>
      <c r="TIO133" s="774"/>
      <c r="TIP133" s="774"/>
      <c r="TIQ133" s="774"/>
      <c r="TIR133" s="774"/>
      <c r="TIS133" s="774"/>
      <c r="TIT133" s="774"/>
      <c r="TIU133" s="774"/>
      <c r="TIV133" s="774"/>
      <c r="TIW133" s="774"/>
      <c r="TIX133" s="774"/>
      <c r="TIY133" s="774"/>
      <c r="TIZ133" s="774"/>
      <c r="TJA133" s="774"/>
      <c r="TJB133" s="774"/>
      <c r="TJC133" s="774"/>
      <c r="TJD133" s="774"/>
      <c r="TJE133" s="774"/>
      <c r="TJF133" s="774"/>
      <c r="TJG133" s="774"/>
      <c r="TJH133" s="774"/>
      <c r="TJI133" s="774"/>
      <c r="TJJ133" s="774"/>
      <c r="TJK133" s="774"/>
      <c r="TJL133" s="774"/>
      <c r="TJM133" s="774"/>
      <c r="TJN133" s="774"/>
      <c r="TJO133" s="774"/>
      <c r="TJP133" s="774"/>
      <c r="TJQ133" s="774"/>
      <c r="TJR133" s="774"/>
      <c r="TJS133" s="774"/>
      <c r="TJT133" s="774"/>
      <c r="TJU133" s="774"/>
      <c r="TJV133" s="774"/>
      <c r="TJW133" s="774"/>
      <c r="TJX133" s="774"/>
      <c r="TJY133" s="774"/>
      <c r="TJZ133" s="774"/>
      <c r="TKA133" s="774"/>
      <c r="TKB133" s="774"/>
      <c r="TKC133" s="774"/>
      <c r="TKD133" s="774"/>
      <c r="TKE133" s="774"/>
      <c r="TKF133" s="774"/>
      <c r="TKG133" s="774"/>
      <c r="TKH133" s="774"/>
      <c r="TKI133" s="774"/>
      <c r="TKJ133" s="774"/>
      <c r="TKK133" s="774"/>
      <c r="TKL133" s="774"/>
      <c r="TKM133" s="774"/>
      <c r="TKN133" s="774"/>
      <c r="TKO133" s="774"/>
      <c r="TKP133" s="774"/>
      <c r="TKQ133" s="774"/>
      <c r="TKR133" s="774"/>
      <c r="TKS133" s="774"/>
      <c r="TKT133" s="774"/>
      <c r="TKU133" s="774"/>
      <c r="TKV133" s="774"/>
      <c r="TKW133" s="774"/>
      <c r="TKX133" s="774"/>
      <c r="TKY133" s="774"/>
      <c r="TKZ133" s="774"/>
      <c r="TLA133" s="774"/>
      <c r="TLB133" s="774"/>
      <c r="TLC133" s="774"/>
      <c r="TLD133" s="774"/>
      <c r="TLE133" s="774"/>
      <c r="TLF133" s="774"/>
      <c r="TLG133" s="774"/>
      <c r="TLH133" s="774"/>
      <c r="TLI133" s="774"/>
      <c r="TLJ133" s="774"/>
      <c r="TLK133" s="774"/>
      <c r="TLL133" s="774"/>
      <c r="TLM133" s="774"/>
      <c r="TLN133" s="774"/>
      <c r="TLO133" s="774"/>
      <c r="TLP133" s="774"/>
      <c r="TLQ133" s="774"/>
      <c r="TLR133" s="774"/>
      <c r="TLS133" s="774"/>
      <c r="TLT133" s="774"/>
      <c r="TLU133" s="774"/>
      <c r="TLV133" s="774"/>
      <c r="TLW133" s="774"/>
      <c r="TLX133" s="774"/>
      <c r="TLY133" s="774"/>
      <c r="TLZ133" s="774"/>
      <c r="TMA133" s="774"/>
      <c r="TMB133" s="774"/>
      <c r="TMC133" s="774"/>
      <c r="TMD133" s="774"/>
      <c r="TME133" s="774"/>
      <c r="TMF133" s="774"/>
      <c r="TMG133" s="774"/>
      <c r="TMH133" s="774"/>
      <c r="TMI133" s="774"/>
      <c r="TMJ133" s="774"/>
      <c r="TMK133" s="774"/>
      <c r="TML133" s="774"/>
      <c r="TMM133" s="774"/>
      <c r="TMN133" s="774"/>
      <c r="TMO133" s="774"/>
      <c r="TMP133" s="774"/>
      <c r="TMQ133" s="774"/>
      <c r="TMR133" s="774"/>
      <c r="TMS133" s="774"/>
      <c r="TMT133" s="774"/>
      <c r="TMU133" s="774"/>
      <c r="TMV133" s="774"/>
      <c r="TMW133" s="774"/>
      <c r="TMX133" s="774"/>
      <c r="TMY133" s="774"/>
      <c r="TMZ133" s="774"/>
      <c r="TNA133" s="774"/>
      <c r="TNB133" s="774"/>
      <c r="TNC133" s="774"/>
      <c r="TND133" s="774"/>
      <c r="TNE133" s="774"/>
      <c r="TNF133" s="774"/>
      <c r="TNG133" s="774"/>
      <c r="TNH133" s="774"/>
      <c r="TNI133" s="774"/>
      <c r="TNJ133" s="774"/>
      <c r="TNK133" s="774"/>
      <c r="TNL133" s="774"/>
      <c r="TNM133" s="774"/>
      <c r="TNN133" s="774"/>
      <c r="TNO133" s="774"/>
      <c r="TNP133" s="774"/>
      <c r="TNQ133" s="774"/>
      <c r="TNR133" s="774"/>
      <c r="TNS133" s="774"/>
      <c r="TNT133" s="774"/>
      <c r="TNU133" s="774"/>
      <c r="TNV133" s="774"/>
      <c r="TNW133" s="774"/>
      <c r="TNX133" s="774"/>
      <c r="TNY133" s="774"/>
      <c r="TNZ133" s="774"/>
      <c r="TOA133" s="774"/>
      <c r="TOB133" s="774"/>
      <c r="TOC133" s="774"/>
      <c r="TOD133" s="774"/>
      <c r="TOE133" s="774"/>
      <c r="TOF133" s="774"/>
      <c r="TOG133" s="774"/>
      <c r="TOH133" s="774"/>
      <c r="TOI133" s="774"/>
      <c r="TOJ133" s="774"/>
      <c r="TOK133" s="774"/>
      <c r="TOL133" s="774"/>
      <c r="TOM133" s="774"/>
      <c r="TON133" s="774"/>
      <c r="TOO133" s="774"/>
      <c r="TOP133" s="774"/>
      <c r="TOQ133" s="774"/>
      <c r="TOR133" s="774"/>
      <c r="TOS133" s="774"/>
      <c r="TOT133" s="774"/>
      <c r="TOU133" s="774"/>
      <c r="TOV133" s="774"/>
      <c r="TOW133" s="774"/>
      <c r="TOX133" s="774"/>
      <c r="TOY133" s="774"/>
      <c r="TOZ133" s="774"/>
      <c r="TPA133" s="774"/>
      <c r="TPB133" s="774"/>
      <c r="TPC133" s="774"/>
      <c r="TPD133" s="774"/>
      <c r="TPE133" s="774"/>
      <c r="TPF133" s="774"/>
      <c r="TPG133" s="774"/>
      <c r="TPH133" s="774"/>
      <c r="TPI133" s="774"/>
      <c r="TPJ133" s="774"/>
      <c r="TPK133" s="774"/>
      <c r="TPL133" s="774"/>
      <c r="TPM133" s="774"/>
      <c r="TPN133" s="774"/>
      <c r="TPO133" s="774"/>
      <c r="TPP133" s="774"/>
      <c r="TPQ133" s="774"/>
      <c r="TPR133" s="774"/>
      <c r="TPS133" s="774"/>
      <c r="TPT133" s="774"/>
      <c r="TPU133" s="774"/>
      <c r="TPV133" s="774"/>
      <c r="TPW133" s="774"/>
      <c r="TPX133" s="774"/>
      <c r="TPY133" s="774"/>
      <c r="TPZ133" s="774"/>
      <c r="TQA133" s="774"/>
      <c r="TQB133" s="774"/>
      <c r="TQC133" s="774"/>
      <c r="TQD133" s="774"/>
      <c r="TQE133" s="774"/>
      <c r="TQF133" s="774"/>
      <c r="TQG133" s="774"/>
      <c r="TQH133" s="774"/>
      <c r="TQI133" s="774"/>
      <c r="TQJ133" s="774"/>
      <c r="TQK133" s="774"/>
      <c r="TQL133" s="774"/>
      <c r="TQM133" s="774"/>
      <c r="TQN133" s="774"/>
      <c r="TQO133" s="774"/>
      <c r="TQP133" s="774"/>
      <c r="TQQ133" s="774"/>
      <c r="TQR133" s="774"/>
      <c r="TQS133" s="774"/>
      <c r="TQT133" s="774"/>
      <c r="TQU133" s="774"/>
      <c r="TQV133" s="774"/>
      <c r="TQW133" s="774"/>
      <c r="TQX133" s="774"/>
      <c r="TQY133" s="774"/>
      <c r="TQZ133" s="774"/>
      <c r="TRA133" s="774"/>
      <c r="TRB133" s="774"/>
      <c r="TRC133" s="774"/>
      <c r="TRD133" s="774"/>
      <c r="TRE133" s="774"/>
      <c r="TRF133" s="774"/>
      <c r="TRG133" s="774"/>
      <c r="TRH133" s="774"/>
      <c r="TRI133" s="774"/>
      <c r="TRJ133" s="774"/>
      <c r="TRK133" s="774"/>
      <c r="TRL133" s="774"/>
      <c r="TRM133" s="774"/>
      <c r="TRN133" s="774"/>
      <c r="TRO133" s="774"/>
      <c r="TRP133" s="774"/>
      <c r="TRQ133" s="774"/>
      <c r="TRR133" s="774"/>
      <c r="TRS133" s="774"/>
      <c r="TRT133" s="774"/>
      <c r="TRU133" s="774"/>
      <c r="TRV133" s="774"/>
      <c r="TRW133" s="774"/>
      <c r="TRX133" s="774"/>
      <c r="TRY133" s="774"/>
      <c r="TRZ133" s="774"/>
      <c r="TSA133" s="774"/>
      <c r="TSB133" s="774"/>
      <c r="TSC133" s="774"/>
      <c r="TSD133" s="774"/>
      <c r="TSE133" s="774"/>
      <c r="TSF133" s="774"/>
      <c r="TSG133" s="774"/>
      <c r="TSH133" s="774"/>
      <c r="TSI133" s="774"/>
      <c r="TSJ133" s="774"/>
      <c r="TSK133" s="774"/>
      <c r="TSL133" s="774"/>
      <c r="TSM133" s="774"/>
      <c r="TSN133" s="774"/>
      <c r="TSO133" s="774"/>
      <c r="TSP133" s="774"/>
      <c r="TSQ133" s="774"/>
      <c r="TSR133" s="774"/>
      <c r="TSS133" s="774"/>
      <c r="TST133" s="774"/>
      <c r="TSU133" s="774"/>
      <c r="TSV133" s="774"/>
      <c r="TSW133" s="774"/>
      <c r="TSX133" s="774"/>
      <c r="TSY133" s="774"/>
      <c r="TSZ133" s="774"/>
      <c r="TTA133" s="774"/>
      <c r="TTB133" s="774"/>
      <c r="TTC133" s="774"/>
      <c r="TTD133" s="774"/>
      <c r="TTE133" s="774"/>
      <c r="TTF133" s="774"/>
      <c r="TTG133" s="774"/>
      <c r="TTH133" s="774"/>
      <c r="TTI133" s="774"/>
      <c r="TTJ133" s="774"/>
      <c r="TTK133" s="774"/>
      <c r="TTL133" s="774"/>
      <c r="TTM133" s="774"/>
      <c r="TTN133" s="774"/>
      <c r="TTO133" s="774"/>
      <c r="TTP133" s="774"/>
      <c r="TTQ133" s="774"/>
      <c r="TTR133" s="774"/>
      <c r="TTS133" s="774"/>
      <c r="TTT133" s="774"/>
      <c r="TTU133" s="774"/>
      <c r="TTV133" s="774"/>
      <c r="TTW133" s="774"/>
      <c r="TTX133" s="774"/>
      <c r="TTY133" s="774"/>
      <c r="TTZ133" s="774"/>
      <c r="TUA133" s="774"/>
      <c r="TUB133" s="774"/>
      <c r="TUC133" s="774"/>
      <c r="TUD133" s="774"/>
      <c r="TUE133" s="774"/>
      <c r="TUF133" s="774"/>
      <c r="TUG133" s="774"/>
      <c r="TUH133" s="774"/>
      <c r="TUI133" s="774"/>
      <c r="TUJ133" s="774"/>
      <c r="TUK133" s="774"/>
      <c r="TUL133" s="774"/>
      <c r="TUM133" s="774"/>
      <c r="TUN133" s="774"/>
      <c r="TUO133" s="774"/>
      <c r="TUP133" s="774"/>
      <c r="TUQ133" s="774"/>
      <c r="TUR133" s="774"/>
      <c r="TUS133" s="774"/>
      <c r="TUT133" s="774"/>
      <c r="TUU133" s="774"/>
      <c r="TUV133" s="774"/>
      <c r="TUW133" s="774"/>
      <c r="TUX133" s="774"/>
      <c r="TUY133" s="774"/>
      <c r="TUZ133" s="774"/>
      <c r="TVA133" s="774"/>
      <c r="TVB133" s="774"/>
      <c r="TVC133" s="774"/>
      <c r="TVD133" s="774"/>
      <c r="TVE133" s="774"/>
      <c r="TVF133" s="774"/>
      <c r="TVG133" s="774"/>
      <c r="TVH133" s="774"/>
      <c r="TVI133" s="774"/>
      <c r="TVJ133" s="774"/>
      <c r="TVK133" s="774"/>
      <c r="TVL133" s="774"/>
      <c r="TVM133" s="774"/>
      <c r="TVN133" s="774"/>
      <c r="TVO133" s="774"/>
      <c r="TVP133" s="774"/>
      <c r="TVQ133" s="774"/>
      <c r="TVR133" s="774"/>
      <c r="TVS133" s="774"/>
      <c r="TVT133" s="774"/>
      <c r="TVU133" s="774"/>
      <c r="TVV133" s="774"/>
      <c r="TVW133" s="774"/>
      <c r="TVX133" s="774"/>
      <c r="TVY133" s="774"/>
      <c r="TVZ133" s="774"/>
      <c r="TWA133" s="774"/>
      <c r="TWB133" s="774"/>
      <c r="TWC133" s="774"/>
      <c r="TWD133" s="774"/>
      <c r="TWE133" s="774"/>
      <c r="TWF133" s="774"/>
      <c r="TWG133" s="774"/>
      <c r="TWH133" s="774"/>
      <c r="TWI133" s="774"/>
      <c r="TWJ133" s="774"/>
      <c r="TWK133" s="774"/>
      <c r="TWL133" s="774"/>
      <c r="TWM133" s="774"/>
      <c r="TWN133" s="774"/>
      <c r="TWO133" s="774"/>
      <c r="TWP133" s="774"/>
      <c r="TWQ133" s="774"/>
      <c r="TWR133" s="774"/>
      <c r="TWS133" s="774"/>
      <c r="TWT133" s="774"/>
      <c r="TWU133" s="774"/>
      <c r="TWV133" s="774"/>
      <c r="TWW133" s="774"/>
      <c r="TWX133" s="774"/>
      <c r="TWY133" s="774"/>
      <c r="TWZ133" s="774"/>
      <c r="TXA133" s="774"/>
      <c r="TXB133" s="774"/>
      <c r="TXC133" s="774"/>
      <c r="TXD133" s="774"/>
      <c r="TXE133" s="774"/>
      <c r="TXF133" s="774"/>
      <c r="TXG133" s="774"/>
      <c r="TXH133" s="774"/>
      <c r="TXI133" s="774"/>
      <c r="TXJ133" s="774"/>
      <c r="TXK133" s="774"/>
      <c r="TXL133" s="774"/>
      <c r="TXM133" s="774"/>
      <c r="TXN133" s="774"/>
      <c r="TXO133" s="774"/>
      <c r="TXP133" s="774"/>
      <c r="TXQ133" s="774"/>
      <c r="TXR133" s="774"/>
      <c r="TXS133" s="774"/>
      <c r="TXT133" s="774"/>
      <c r="TXU133" s="774"/>
      <c r="TXV133" s="774"/>
      <c r="TXW133" s="774"/>
      <c r="TXX133" s="774"/>
      <c r="TXY133" s="774"/>
      <c r="TXZ133" s="774"/>
      <c r="TYA133" s="774"/>
      <c r="TYB133" s="774"/>
      <c r="TYC133" s="774"/>
      <c r="TYD133" s="774"/>
      <c r="TYE133" s="774"/>
      <c r="TYF133" s="774"/>
      <c r="TYG133" s="774"/>
      <c r="TYH133" s="774"/>
      <c r="TYI133" s="774"/>
      <c r="TYJ133" s="774"/>
      <c r="TYK133" s="774"/>
      <c r="TYL133" s="774"/>
      <c r="TYM133" s="774"/>
      <c r="TYN133" s="774"/>
      <c r="TYO133" s="774"/>
      <c r="TYP133" s="774"/>
      <c r="TYQ133" s="774"/>
      <c r="TYR133" s="774"/>
      <c r="TYS133" s="774"/>
      <c r="TYT133" s="774"/>
      <c r="TYU133" s="774"/>
      <c r="TYV133" s="774"/>
      <c r="TYW133" s="774"/>
      <c r="TYX133" s="774"/>
      <c r="TYY133" s="774"/>
      <c r="TYZ133" s="774"/>
      <c r="TZA133" s="774"/>
      <c r="TZB133" s="774"/>
      <c r="TZC133" s="774"/>
      <c r="TZD133" s="774"/>
      <c r="TZE133" s="774"/>
      <c r="TZF133" s="774"/>
      <c r="TZG133" s="774"/>
      <c r="TZH133" s="774"/>
      <c r="TZI133" s="774"/>
      <c r="TZJ133" s="774"/>
      <c r="TZK133" s="774"/>
      <c r="TZL133" s="774"/>
      <c r="TZM133" s="774"/>
      <c r="TZN133" s="774"/>
      <c r="TZO133" s="774"/>
      <c r="TZP133" s="774"/>
      <c r="TZQ133" s="774"/>
      <c r="TZR133" s="774"/>
      <c r="TZS133" s="774"/>
      <c r="TZT133" s="774"/>
      <c r="TZU133" s="774"/>
      <c r="TZV133" s="774"/>
      <c r="TZW133" s="774"/>
      <c r="TZX133" s="774"/>
      <c r="TZY133" s="774"/>
      <c r="TZZ133" s="774"/>
      <c r="UAA133" s="774"/>
      <c r="UAB133" s="774"/>
      <c r="UAC133" s="774"/>
      <c r="UAD133" s="774"/>
      <c r="UAE133" s="774"/>
      <c r="UAF133" s="774"/>
      <c r="UAG133" s="774"/>
      <c r="UAH133" s="774"/>
      <c r="UAI133" s="774"/>
      <c r="UAJ133" s="774"/>
      <c r="UAK133" s="774"/>
      <c r="UAL133" s="774"/>
      <c r="UAM133" s="774"/>
      <c r="UAN133" s="774"/>
      <c r="UAO133" s="774"/>
      <c r="UAP133" s="774"/>
      <c r="UAQ133" s="774"/>
      <c r="UAR133" s="774"/>
      <c r="UAS133" s="774"/>
      <c r="UAT133" s="774"/>
      <c r="UAU133" s="774"/>
      <c r="UAV133" s="774"/>
      <c r="UAW133" s="774"/>
      <c r="UAX133" s="774"/>
      <c r="UAY133" s="774"/>
      <c r="UAZ133" s="774"/>
      <c r="UBA133" s="774"/>
      <c r="UBB133" s="774"/>
      <c r="UBC133" s="774"/>
      <c r="UBD133" s="774"/>
      <c r="UBE133" s="774"/>
      <c r="UBF133" s="774"/>
      <c r="UBG133" s="774"/>
      <c r="UBH133" s="774"/>
      <c r="UBI133" s="774"/>
      <c r="UBJ133" s="774"/>
      <c r="UBK133" s="774"/>
      <c r="UBL133" s="774"/>
      <c r="UBM133" s="774"/>
      <c r="UBN133" s="774"/>
      <c r="UBO133" s="774"/>
      <c r="UBP133" s="774"/>
      <c r="UBQ133" s="774"/>
      <c r="UBR133" s="774"/>
      <c r="UBS133" s="774"/>
      <c r="UBT133" s="774"/>
      <c r="UBU133" s="774"/>
      <c r="UBV133" s="774"/>
      <c r="UBW133" s="774"/>
      <c r="UBX133" s="774"/>
      <c r="UBY133" s="774"/>
      <c r="UBZ133" s="774"/>
      <c r="UCA133" s="774"/>
      <c r="UCB133" s="774"/>
      <c r="UCC133" s="774"/>
      <c r="UCD133" s="774"/>
      <c r="UCE133" s="774"/>
      <c r="UCF133" s="774"/>
      <c r="UCG133" s="774"/>
      <c r="UCH133" s="774"/>
      <c r="UCI133" s="774"/>
      <c r="UCJ133" s="774"/>
      <c r="UCK133" s="774"/>
      <c r="UCL133" s="774"/>
      <c r="UCM133" s="774"/>
      <c r="UCN133" s="774"/>
      <c r="UCO133" s="774"/>
      <c r="UCP133" s="774"/>
      <c r="UCQ133" s="774"/>
      <c r="UCR133" s="774"/>
      <c r="UCS133" s="774"/>
      <c r="UCT133" s="774"/>
      <c r="UCU133" s="774"/>
      <c r="UCV133" s="774"/>
      <c r="UCW133" s="774"/>
      <c r="UCX133" s="774"/>
      <c r="UCY133" s="774"/>
      <c r="UCZ133" s="774"/>
      <c r="UDA133" s="774"/>
      <c r="UDB133" s="774"/>
      <c r="UDC133" s="774"/>
      <c r="UDD133" s="774"/>
      <c r="UDE133" s="774"/>
      <c r="UDF133" s="774"/>
      <c r="UDG133" s="774"/>
      <c r="UDH133" s="774"/>
      <c r="UDI133" s="774"/>
      <c r="UDJ133" s="774"/>
      <c r="UDK133" s="774"/>
      <c r="UDL133" s="774"/>
      <c r="UDM133" s="774"/>
      <c r="UDN133" s="774"/>
      <c r="UDO133" s="774"/>
      <c r="UDP133" s="774"/>
      <c r="UDQ133" s="774"/>
      <c r="UDR133" s="774"/>
      <c r="UDS133" s="774"/>
      <c r="UDT133" s="774"/>
      <c r="UDU133" s="774"/>
      <c r="UDV133" s="774"/>
      <c r="UDW133" s="774"/>
      <c r="UDX133" s="774"/>
      <c r="UDY133" s="774"/>
      <c r="UDZ133" s="774"/>
      <c r="UEA133" s="774"/>
      <c r="UEB133" s="774"/>
      <c r="UEC133" s="774"/>
      <c r="UED133" s="774"/>
      <c r="UEE133" s="774"/>
      <c r="UEF133" s="774"/>
      <c r="UEG133" s="774"/>
      <c r="UEH133" s="774"/>
      <c r="UEI133" s="774"/>
      <c r="UEJ133" s="774"/>
      <c r="UEK133" s="774"/>
      <c r="UEL133" s="774"/>
      <c r="UEM133" s="774"/>
      <c r="UEN133" s="774"/>
      <c r="UEO133" s="774"/>
      <c r="UEP133" s="774"/>
      <c r="UEQ133" s="774"/>
      <c r="UER133" s="774"/>
      <c r="UES133" s="774"/>
      <c r="UET133" s="774"/>
      <c r="UEU133" s="774"/>
      <c r="UEV133" s="774"/>
      <c r="UEW133" s="774"/>
      <c r="UEX133" s="774"/>
      <c r="UEY133" s="774"/>
      <c r="UEZ133" s="774"/>
      <c r="UFA133" s="774"/>
      <c r="UFB133" s="774"/>
      <c r="UFC133" s="774"/>
      <c r="UFD133" s="774"/>
      <c r="UFE133" s="774"/>
      <c r="UFF133" s="774"/>
      <c r="UFG133" s="774"/>
      <c r="UFH133" s="774"/>
      <c r="UFI133" s="774"/>
      <c r="UFJ133" s="774"/>
      <c r="UFK133" s="774"/>
      <c r="UFL133" s="774"/>
      <c r="UFM133" s="774"/>
      <c r="UFN133" s="774"/>
      <c r="UFO133" s="774"/>
      <c r="UFP133" s="774"/>
      <c r="UFQ133" s="774"/>
      <c r="UFR133" s="774"/>
      <c r="UFS133" s="774"/>
      <c r="UFT133" s="774"/>
      <c r="UFU133" s="774"/>
      <c r="UFV133" s="774"/>
      <c r="UFW133" s="774"/>
      <c r="UFX133" s="774"/>
      <c r="UFY133" s="774"/>
      <c r="UFZ133" s="774"/>
      <c r="UGA133" s="774"/>
      <c r="UGB133" s="774"/>
      <c r="UGC133" s="774"/>
      <c r="UGD133" s="774"/>
      <c r="UGE133" s="774"/>
      <c r="UGF133" s="774"/>
      <c r="UGG133" s="774"/>
      <c r="UGH133" s="774"/>
      <c r="UGI133" s="774"/>
      <c r="UGJ133" s="774"/>
      <c r="UGK133" s="774"/>
      <c r="UGL133" s="774"/>
      <c r="UGM133" s="774"/>
      <c r="UGN133" s="774"/>
      <c r="UGO133" s="774"/>
      <c r="UGP133" s="774"/>
      <c r="UGQ133" s="774"/>
      <c r="UGR133" s="774"/>
      <c r="UGS133" s="774"/>
      <c r="UGT133" s="774"/>
      <c r="UGU133" s="774"/>
      <c r="UGV133" s="774"/>
      <c r="UGW133" s="774"/>
      <c r="UGX133" s="774"/>
      <c r="UGY133" s="774"/>
      <c r="UGZ133" s="774"/>
      <c r="UHA133" s="774"/>
      <c r="UHB133" s="774"/>
      <c r="UHC133" s="774"/>
      <c r="UHD133" s="774"/>
      <c r="UHE133" s="774"/>
      <c r="UHF133" s="774"/>
      <c r="UHG133" s="774"/>
      <c r="UHH133" s="774"/>
      <c r="UHI133" s="774"/>
      <c r="UHJ133" s="774"/>
      <c r="UHK133" s="774"/>
      <c r="UHL133" s="774"/>
      <c r="UHM133" s="774"/>
      <c r="UHN133" s="774"/>
      <c r="UHO133" s="774"/>
      <c r="UHP133" s="774"/>
      <c r="UHQ133" s="774"/>
      <c r="UHR133" s="774"/>
      <c r="UHS133" s="774"/>
      <c r="UHT133" s="774"/>
      <c r="UHU133" s="774"/>
      <c r="UHV133" s="774"/>
      <c r="UHW133" s="774"/>
      <c r="UHX133" s="774"/>
      <c r="UHY133" s="774"/>
      <c r="UHZ133" s="774"/>
      <c r="UIA133" s="774"/>
      <c r="UIB133" s="774"/>
      <c r="UIC133" s="774"/>
      <c r="UID133" s="774"/>
      <c r="UIE133" s="774"/>
      <c r="UIF133" s="774"/>
      <c r="UIG133" s="774"/>
      <c r="UIH133" s="774"/>
      <c r="UII133" s="774"/>
      <c r="UIJ133" s="774"/>
      <c r="UIK133" s="774"/>
      <c r="UIL133" s="774"/>
      <c r="UIM133" s="774"/>
      <c r="UIN133" s="774"/>
      <c r="UIO133" s="774"/>
      <c r="UIP133" s="774"/>
      <c r="UIQ133" s="774"/>
      <c r="UIR133" s="774"/>
      <c r="UIS133" s="774"/>
      <c r="UIT133" s="774"/>
      <c r="UIU133" s="774"/>
      <c r="UIV133" s="774"/>
      <c r="UIW133" s="774"/>
      <c r="UIX133" s="774"/>
      <c r="UIY133" s="774"/>
      <c r="UIZ133" s="774"/>
      <c r="UJA133" s="774"/>
      <c r="UJB133" s="774"/>
      <c r="UJC133" s="774"/>
      <c r="UJD133" s="774"/>
      <c r="UJE133" s="774"/>
      <c r="UJF133" s="774"/>
      <c r="UJG133" s="774"/>
      <c r="UJH133" s="774"/>
      <c r="UJI133" s="774"/>
      <c r="UJJ133" s="774"/>
      <c r="UJK133" s="774"/>
      <c r="UJL133" s="774"/>
      <c r="UJM133" s="774"/>
      <c r="UJN133" s="774"/>
      <c r="UJO133" s="774"/>
      <c r="UJP133" s="774"/>
      <c r="UJQ133" s="774"/>
      <c r="UJR133" s="774"/>
      <c r="UJS133" s="774"/>
      <c r="UJT133" s="774"/>
      <c r="UJU133" s="774"/>
      <c r="UJV133" s="774"/>
      <c r="UJW133" s="774"/>
      <c r="UJX133" s="774"/>
      <c r="UJY133" s="774"/>
      <c r="UJZ133" s="774"/>
      <c r="UKA133" s="774"/>
      <c r="UKB133" s="774"/>
      <c r="UKC133" s="774"/>
      <c r="UKD133" s="774"/>
      <c r="UKE133" s="774"/>
      <c r="UKF133" s="774"/>
      <c r="UKG133" s="774"/>
      <c r="UKH133" s="774"/>
      <c r="UKI133" s="774"/>
      <c r="UKJ133" s="774"/>
      <c r="UKK133" s="774"/>
      <c r="UKL133" s="774"/>
      <c r="UKM133" s="774"/>
      <c r="UKN133" s="774"/>
      <c r="UKO133" s="774"/>
      <c r="UKP133" s="774"/>
      <c r="UKQ133" s="774"/>
      <c r="UKR133" s="774"/>
      <c r="UKS133" s="774"/>
      <c r="UKT133" s="774"/>
      <c r="UKU133" s="774"/>
      <c r="UKV133" s="774"/>
      <c r="UKW133" s="774"/>
      <c r="UKX133" s="774"/>
      <c r="UKY133" s="774"/>
      <c r="UKZ133" s="774"/>
      <c r="ULA133" s="774"/>
      <c r="ULB133" s="774"/>
      <c r="ULC133" s="774"/>
      <c r="ULD133" s="774"/>
      <c r="ULE133" s="774"/>
      <c r="ULF133" s="774"/>
      <c r="ULG133" s="774"/>
      <c r="ULH133" s="774"/>
      <c r="ULI133" s="774"/>
      <c r="ULJ133" s="774"/>
      <c r="ULK133" s="774"/>
      <c r="ULL133" s="774"/>
      <c r="ULM133" s="774"/>
      <c r="ULN133" s="774"/>
      <c r="ULO133" s="774"/>
      <c r="ULP133" s="774"/>
      <c r="ULQ133" s="774"/>
      <c r="ULR133" s="774"/>
      <c r="ULS133" s="774"/>
      <c r="ULT133" s="774"/>
      <c r="ULU133" s="774"/>
      <c r="ULV133" s="774"/>
      <c r="ULW133" s="774"/>
      <c r="ULX133" s="774"/>
      <c r="ULY133" s="774"/>
      <c r="ULZ133" s="774"/>
      <c r="UMA133" s="774"/>
      <c r="UMB133" s="774"/>
      <c r="UMC133" s="774"/>
      <c r="UMD133" s="774"/>
      <c r="UME133" s="774"/>
      <c r="UMF133" s="774"/>
      <c r="UMG133" s="774"/>
      <c r="UMH133" s="774"/>
      <c r="UMI133" s="774"/>
      <c r="UMJ133" s="774"/>
      <c r="UMK133" s="774"/>
      <c r="UML133" s="774"/>
      <c r="UMM133" s="774"/>
      <c r="UMN133" s="774"/>
      <c r="UMO133" s="774"/>
      <c r="UMP133" s="774"/>
      <c r="UMQ133" s="774"/>
      <c r="UMR133" s="774"/>
      <c r="UMS133" s="774"/>
      <c r="UMT133" s="774"/>
      <c r="UMU133" s="774"/>
      <c r="UMV133" s="774"/>
      <c r="UMW133" s="774"/>
      <c r="UMX133" s="774"/>
      <c r="UMY133" s="774"/>
      <c r="UMZ133" s="774"/>
      <c r="UNA133" s="774"/>
      <c r="UNB133" s="774"/>
      <c r="UNC133" s="774"/>
      <c r="UND133" s="774"/>
      <c r="UNE133" s="774"/>
      <c r="UNF133" s="774"/>
      <c r="UNG133" s="774"/>
      <c r="UNH133" s="774"/>
      <c r="UNI133" s="774"/>
      <c r="UNJ133" s="774"/>
      <c r="UNK133" s="774"/>
      <c r="UNL133" s="774"/>
      <c r="UNM133" s="774"/>
      <c r="UNN133" s="774"/>
      <c r="UNO133" s="774"/>
      <c r="UNP133" s="774"/>
      <c r="UNQ133" s="774"/>
      <c r="UNR133" s="774"/>
      <c r="UNS133" s="774"/>
      <c r="UNT133" s="774"/>
      <c r="UNU133" s="774"/>
      <c r="UNV133" s="774"/>
      <c r="UNW133" s="774"/>
      <c r="UNX133" s="774"/>
      <c r="UNY133" s="774"/>
      <c r="UNZ133" s="774"/>
      <c r="UOA133" s="774"/>
      <c r="UOB133" s="774"/>
      <c r="UOC133" s="774"/>
      <c r="UOD133" s="774"/>
      <c r="UOE133" s="774"/>
      <c r="UOF133" s="774"/>
      <c r="UOG133" s="774"/>
      <c r="UOH133" s="774"/>
      <c r="UOI133" s="774"/>
      <c r="UOJ133" s="774"/>
      <c r="UOK133" s="774"/>
      <c r="UOL133" s="774"/>
      <c r="UOM133" s="774"/>
      <c r="UON133" s="774"/>
      <c r="UOO133" s="774"/>
      <c r="UOP133" s="774"/>
      <c r="UOQ133" s="774"/>
      <c r="UOR133" s="774"/>
      <c r="UOS133" s="774"/>
      <c r="UOT133" s="774"/>
      <c r="UOU133" s="774"/>
      <c r="UOV133" s="774"/>
      <c r="UOW133" s="774"/>
      <c r="UOX133" s="774"/>
      <c r="UOY133" s="774"/>
      <c r="UOZ133" s="774"/>
      <c r="UPA133" s="774"/>
      <c r="UPB133" s="774"/>
      <c r="UPC133" s="774"/>
      <c r="UPD133" s="774"/>
      <c r="UPE133" s="774"/>
      <c r="UPF133" s="774"/>
      <c r="UPG133" s="774"/>
      <c r="UPH133" s="774"/>
      <c r="UPI133" s="774"/>
      <c r="UPJ133" s="774"/>
      <c r="UPK133" s="774"/>
      <c r="UPL133" s="774"/>
      <c r="UPM133" s="774"/>
      <c r="UPN133" s="774"/>
      <c r="UPO133" s="774"/>
      <c r="UPP133" s="774"/>
      <c r="UPQ133" s="774"/>
      <c r="UPR133" s="774"/>
      <c r="UPS133" s="774"/>
      <c r="UPT133" s="774"/>
      <c r="UPU133" s="774"/>
      <c r="UPV133" s="774"/>
      <c r="UPW133" s="774"/>
      <c r="UPX133" s="774"/>
      <c r="UPY133" s="774"/>
      <c r="UPZ133" s="774"/>
      <c r="UQA133" s="774"/>
      <c r="UQB133" s="774"/>
      <c r="UQC133" s="774"/>
      <c r="UQD133" s="774"/>
      <c r="UQE133" s="774"/>
      <c r="UQF133" s="774"/>
      <c r="UQG133" s="774"/>
      <c r="UQH133" s="774"/>
      <c r="UQI133" s="774"/>
      <c r="UQJ133" s="774"/>
      <c r="UQK133" s="774"/>
      <c r="UQL133" s="774"/>
      <c r="UQM133" s="774"/>
      <c r="UQN133" s="774"/>
      <c r="UQO133" s="774"/>
      <c r="UQP133" s="774"/>
      <c r="UQQ133" s="774"/>
      <c r="UQR133" s="774"/>
      <c r="UQS133" s="774"/>
      <c r="UQT133" s="774"/>
      <c r="UQU133" s="774"/>
      <c r="UQV133" s="774"/>
      <c r="UQW133" s="774"/>
      <c r="UQX133" s="774"/>
      <c r="UQY133" s="774"/>
      <c r="UQZ133" s="774"/>
      <c r="URA133" s="774"/>
      <c r="URB133" s="774"/>
      <c r="URC133" s="774"/>
      <c r="URD133" s="774"/>
      <c r="URE133" s="774"/>
      <c r="URF133" s="774"/>
      <c r="URG133" s="774"/>
      <c r="URH133" s="774"/>
      <c r="URI133" s="774"/>
      <c r="URJ133" s="774"/>
      <c r="URK133" s="774"/>
      <c r="URL133" s="774"/>
      <c r="URM133" s="774"/>
      <c r="URN133" s="774"/>
      <c r="URO133" s="774"/>
      <c r="URP133" s="774"/>
      <c r="URQ133" s="774"/>
      <c r="URR133" s="774"/>
      <c r="URS133" s="774"/>
      <c r="URT133" s="774"/>
      <c r="URU133" s="774"/>
      <c r="URV133" s="774"/>
      <c r="URW133" s="774"/>
      <c r="URX133" s="774"/>
      <c r="URY133" s="774"/>
      <c r="URZ133" s="774"/>
      <c r="USA133" s="774"/>
      <c r="USB133" s="774"/>
      <c r="USC133" s="774"/>
      <c r="USD133" s="774"/>
      <c r="USE133" s="774"/>
      <c r="USF133" s="774"/>
      <c r="USG133" s="774"/>
      <c r="USH133" s="774"/>
      <c r="USI133" s="774"/>
      <c r="USJ133" s="774"/>
      <c r="USK133" s="774"/>
      <c r="USL133" s="774"/>
      <c r="USM133" s="774"/>
      <c r="USN133" s="774"/>
      <c r="USO133" s="774"/>
      <c r="USP133" s="774"/>
      <c r="USQ133" s="774"/>
      <c r="USR133" s="774"/>
      <c r="USS133" s="774"/>
      <c r="UST133" s="774"/>
      <c r="USU133" s="774"/>
      <c r="USV133" s="774"/>
      <c r="USW133" s="774"/>
      <c r="USX133" s="774"/>
      <c r="USY133" s="774"/>
      <c r="USZ133" s="774"/>
      <c r="UTA133" s="774"/>
      <c r="UTB133" s="774"/>
      <c r="UTC133" s="774"/>
      <c r="UTD133" s="774"/>
      <c r="UTE133" s="774"/>
      <c r="UTF133" s="774"/>
      <c r="UTG133" s="774"/>
      <c r="UTH133" s="774"/>
      <c r="UTI133" s="774"/>
      <c r="UTJ133" s="774"/>
      <c r="UTK133" s="774"/>
      <c r="UTL133" s="774"/>
      <c r="UTM133" s="774"/>
      <c r="UTN133" s="774"/>
      <c r="UTO133" s="774"/>
      <c r="UTP133" s="774"/>
      <c r="UTQ133" s="774"/>
      <c r="UTR133" s="774"/>
      <c r="UTS133" s="774"/>
      <c r="UTT133" s="774"/>
      <c r="UTU133" s="774"/>
      <c r="UTV133" s="774"/>
      <c r="UTW133" s="774"/>
      <c r="UTX133" s="774"/>
      <c r="UTY133" s="774"/>
      <c r="UTZ133" s="774"/>
      <c r="UUA133" s="774"/>
      <c r="UUB133" s="774"/>
      <c r="UUC133" s="774"/>
      <c r="UUD133" s="774"/>
      <c r="UUE133" s="774"/>
      <c r="UUF133" s="774"/>
      <c r="UUG133" s="774"/>
      <c r="UUH133" s="774"/>
      <c r="UUI133" s="774"/>
      <c r="UUJ133" s="774"/>
      <c r="UUK133" s="774"/>
      <c r="UUL133" s="774"/>
      <c r="UUM133" s="774"/>
      <c r="UUN133" s="774"/>
      <c r="UUO133" s="774"/>
      <c r="UUP133" s="774"/>
      <c r="UUQ133" s="774"/>
      <c r="UUR133" s="774"/>
      <c r="UUS133" s="774"/>
      <c r="UUT133" s="774"/>
      <c r="UUU133" s="774"/>
      <c r="UUV133" s="774"/>
      <c r="UUW133" s="774"/>
      <c r="UUX133" s="774"/>
      <c r="UUY133" s="774"/>
      <c r="UUZ133" s="774"/>
      <c r="UVA133" s="774"/>
      <c r="UVB133" s="774"/>
      <c r="UVC133" s="774"/>
      <c r="UVD133" s="774"/>
      <c r="UVE133" s="774"/>
      <c r="UVF133" s="774"/>
      <c r="UVG133" s="774"/>
      <c r="UVH133" s="774"/>
      <c r="UVI133" s="774"/>
      <c r="UVJ133" s="774"/>
      <c r="UVK133" s="774"/>
      <c r="UVL133" s="774"/>
      <c r="UVM133" s="774"/>
      <c r="UVN133" s="774"/>
      <c r="UVO133" s="774"/>
      <c r="UVP133" s="774"/>
      <c r="UVQ133" s="774"/>
      <c r="UVR133" s="774"/>
      <c r="UVS133" s="774"/>
      <c r="UVT133" s="774"/>
      <c r="UVU133" s="774"/>
      <c r="UVV133" s="774"/>
      <c r="UVW133" s="774"/>
      <c r="UVX133" s="774"/>
      <c r="UVY133" s="774"/>
      <c r="UVZ133" s="774"/>
      <c r="UWA133" s="774"/>
      <c r="UWB133" s="774"/>
      <c r="UWC133" s="774"/>
      <c r="UWD133" s="774"/>
      <c r="UWE133" s="774"/>
      <c r="UWF133" s="774"/>
      <c r="UWG133" s="774"/>
      <c r="UWH133" s="774"/>
      <c r="UWI133" s="774"/>
      <c r="UWJ133" s="774"/>
      <c r="UWK133" s="774"/>
      <c r="UWL133" s="774"/>
      <c r="UWM133" s="774"/>
      <c r="UWN133" s="774"/>
      <c r="UWO133" s="774"/>
      <c r="UWP133" s="774"/>
      <c r="UWQ133" s="774"/>
      <c r="UWR133" s="774"/>
      <c r="UWS133" s="774"/>
      <c r="UWT133" s="774"/>
      <c r="UWU133" s="774"/>
      <c r="UWV133" s="774"/>
      <c r="UWW133" s="774"/>
      <c r="UWX133" s="774"/>
      <c r="UWY133" s="774"/>
      <c r="UWZ133" s="774"/>
      <c r="UXA133" s="774"/>
      <c r="UXB133" s="774"/>
      <c r="UXC133" s="774"/>
      <c r="UXD133" s="774"/>
      <c r="UXE133" s="774"/>
      <c r="UXF133" s="774"/>
      <c r="UXG133" s="774"/>
      <c r="UXH133" s="774"/>
      <c r="UXI133" s="774"/>
      <c r="UXJ133" s="774"/>
      <c r="UXK133" s="774"/>
      <c r="UXL133" s="774"/>
      <c r="UXM133" s="774"/>
      <c r="UXN133" s="774"/>
      <c r="UXO133" s="774"/>
      <c r="UXP133" s="774"/>
      <c r="UXQ133" s="774"/>
      <c r="UXR133" s="774"/>
      <c r="UXS133" s="774"/>
      <c r="UXT133" s="774"/>
      <c r="UXU133" s="774"/>
      <c r="UXV133" s="774"/>
      <c r="UXW133" s="774"/>
      <c r="UXX133" s="774"/>
      <c r="UXY133" s="774"/>
      <c r="UXZ133" s="774"/>
      <c r="UYA133" s="774"/>
      <c r="UYB133" s="774"/>
      <c r="UYC133" s="774"/>
      <c r="UYD133" s="774"/>
      <c r="UYE133" s="774"/>
      <c r="UYF133" s="774"/>
      <c r="UYG133" s="774"/>
      <c r="UYH133" s="774"/>
      <c r="UYI133" s="774"/>
      <c r="UYJ133" s="774"/>
      <c r="UYK133" s="774"/>
      <c r="UYL133" s="774"/>
      <c r="UYM133" s="774"/>
      <c r="UYN133" s="774"/>
      <c r="UYO133" s="774"/>
      <c r="UYP133" s="774"/>
      <c r="UYQ133" s="774"/>
      <c r="UYR133" s="774"/>
      <c r="UYS133" s="774"/>
      <c r="UYT133" s="774"/>
      <c r="UYU133" s="774"/>
      <c r="UYV133" s="774"/>
      <c r="UYW133" s="774"/>
      <c r="UYX133" s="774"/>
      <c r="UYY133" s="774"/>
      <c r="UYZ133" s="774"/>
      <c r="UZA133" s="774"/>
      <c r="UZB133" s="774"/>
      <c r="UZC133" s="774"/>
      <c r="UZD133" s="774"/>
      <c r="UZE133" s="774"/>
      <c r="UZF133" s="774"/>
      <c r="UZG133" s="774"/>
      <c r="UZH133" s="774"/>
      <c r="UZI133" s="774"/>
      <c r="UZJ133" s="774"/>
      <c r="UZK133" s="774"/>
      <c r="UZL133" s="774"/>
      <c r="UZM133" s="774"/>
      <c r="UZN133" s="774"/>
      <c r="UZO133" s="774"/>
      <c r="UZP133" s="774"/>
      <c r="UZQ133" s="774"/>
      <c r="UZR133" s="774"/>
      <c r="UZS133" s="774"/>
      <c r="UZT133" s="774"/>
      <c r="UZU133" s="774"/>
      <c r="UZV133" s="774"/>
      <c r="UZW133" s="774"/>
      <c r="UZX133" s="774"/>
      <c r="UZY133" s="774"/>
      <c r="UZZ133" s="774"/>
      <c r="VAA133" s="774"/>
      <c r="VAB133" s="774"/>
      <c r="VAC133" s="774"/>
      <c r="VAD133" s="774"/>
      <c r="VAE133" s="774"/>
      <c r="VAF133" s="774"/>
      <c r="VAG133" s="774"/>
      <c r="VAH133" s="774"/>
      <c r="VAI133" s="774"/>
      <c r="VAJ133" s="774"/>
      <c r="VAK133" s="774"/>
      <c r="VAL133" s="774"/>
      <c r="VAM133" s="774"/>
      <c r="VAN133" s="774"/>
      <c r="VAO133" s="774"/>
      <c r="VAP133" s="774"/>
      <c r="VAQ133" s="774"/>
      <c r="VAR133" s="774"/>
      <c r="VAS133" s="774"/>
      <c r="VAT133" s="774"/>
      <c r="VAU133" s="774"/>
      <c r="VAV133" s="774"/>
      <c r="VAW133" s="774"/>
      <c r="VAX133" s="774"/>
      <c r="VAY133" s="774"/>
      <c r="VAZ133" s="774"/>
      <c r="VBA133" s="774"/>
      <c r="VBB133" s="774"/>
      <c r="VBC133" s="774"/>
      <c r="VBD133" s="774"/>
      <c r="VBE133" s="774"/>
      <c r="VBF133" s="774"/>
      <c r="VBG133" s="774"/>
      <c r="VBH133" s="774"/>
      <c r="VBI133" s="774"/>
      <c r="VBJ133" s="774"/>
      <c r="VBK133" s="774"/>
      <c r="VBL133" s="774"/>
      <c r="VBM133" s="774"/>
      <c r="VBN133" s="774"/>
      <c r="VBO133" s="774"/>
      <c r="VBP133" s="774"/>
      <c r="VBQ133" s="774"/>
      <c r="VBR133" s="774"/>
      <c r="VBS133" s="774"/>
      <c r="VBT133" s="774"/>
      <c r="VBU133" s="774"/>
      <c r="VBV133" s="774"/>
      <c r="VBW133" s="774"/>
      <c r="VBX133" s="774"/>
      <c r="VBY133" s="774"/>
      <c r="VBZ133" s="774"/>
      <c r="VCA133" s="774"/>
      <c r="VCB133" s="774"/>
      <c r="VCC133" s="774"/>
      <c r="VCD133" s="774"/>
      <c r="VCE133" s="774"/>
      <c r="VCF133" s="774"/>
      <c r="VCG133" s="774"/>
      <c r="VCH133" s="774"/>
      <c r="VCI133" s="774"/>
      <c r="VCJ133" s="774"/>
      <c r="VCK133" s="774"/>
      <c r="VCL133" s="774"/>
      <c r="VCM133" s="774"/>
      <c r="VCN133" s="774"/>
      <c r="VCO133" s="774"/>
      <c r="VCP133" s="774"/>
      <c r="VCQ133" s="774"/>
      <c r="VCR133" s="774"/>
      <c r="VCS133" s="774"/>
      <c r="VCT133" s="774"/>
      <c r="VCU133" s="774"/>
      <c r="VCV133" s="774"/>
      <c r="VCW133" s="774"/>
      <c r="VCX133" s="774"/>
      <c r="VCY133" s="774"/>
      <c r="VCZ133" s="774"/>
      <c r="VDA133" s="774"/>
      <c r="VDB133" s="774"/>
      <c r="VDC133" s="774"/>
      <c r="VDD133" s="774"/>
      <c r="VDE133" s="774"/>
      <c r="VDF133" s="774"/>
      <c r="VDG133" s="774"/>
      <c r="VDH133" s="774"/>
      <c r="VDI133" s="774"/>
      <c r="VDJ133" s="774"/>
      <c r="VDK133" s="774"/>
      <c r="VDL133" s="774"/>
      <c r="VDM133" s="774"/>
      <c r="VDN133" s="774"/>
      <c r="VDO133" s="774"/>
      <c r="VDP133" s="774"/>
      <c r="VDQ133" s="774"/>
      <c r="VDR133" s="774"/>
      <c r="VDS133" s="774"/>
      <c r="VDT133" s="774"/>
      <c r="VDU133" s="774"/>
      <c r="VDV133" s="774"/>
      <c r="VDW133" s="774"/>
      <c r="VDX133" s="774"/>
      <c r="VDY133" s="774"/>
      <c r="VDZ133" s="774"/>
      <c r="VEA133" s="774"/>
      <c r="VEB133" s="774"/>
      <c r="VEC133" s="774"/>
      <c r="VED133" s="774"/>
      <c r="VEE133" s="774"/>
      <c r="VEF133" s="774"/>
      <c r="VEG133" s="774"/>
      <c r="VEH133" s="774"/>
      <c r="VEI133" s="774"/>
      <c r="VEJ133" s="774"/>
      <c r="VEK133" s="774"/>
      <c r="VEL133" s="774"/>
      <c r="VEM133" s="774"/>
      <c r="VEN133" s="774"/>
      <c r="VEO133" s="774"/>
      <c r="VEP133" s="774"/>
      <c r="VEQ133" s="774"/>
      <c r="VER133" s="774"/>
      <c r="VES133" s="774"/>
      <c r="VET133" s="774"/>
      <c r="VEU133" s="774"/>
      <c r="VEV133" s="774"/>
      <c r="VEW133" s="774"/>
      <c r="VEX133" s="774"/>
      <c r="VEY133" s="774"/>
      <c r="VEZ133" s="774"/>
      <c r="VFA133" s="774"/>
      <c r="VFB133" s="774"/>
      <c r="VFC133" s="774"/>
      <c r="VFD133" s="774"/>
      <c r="VFE133" s="774"/>
      <c r="VFF133" s="774"/>
      <c r="VFG133" s="774"/>
      <c r="VFH133" s="774"/>
      <c r="VFI133" s="774"/>
      <c r="VFJ133" s="774"/>
      <c r="VFK133" s="774"/>
      <c r="VFL133" s="774"/>
      <c r="VFM133" s="774"/>
      <c r="VFN133" s="774"/>
      <c r="VFO133" s="774"/>
      <c r="VFP133" s="774"/>
      <c r="VFQ133" s="774"/>
      <c r="VFR133" s="774"/>
      <c r="VFS133" s="774"/>
      <c r="VFT133" s="774"/>
      <c r="VFU133" s="774"/>
      <c r="VFV133" s="774"/>
      <c r="VFW133" s="774"/>
      <c r="VFX133" s="774"/>
      <c r="VFY133" s="774"/>
      <c r="VFZ133" s="774"/>
      <c r="VGA133" s="774"/>
      <c r="VGB133" s="774"/>
      <c r="VGC133" s="774"/>
      <c r="VGD133" s="774"/>
      <c r="VGE133" s="774"/>
      <c r="VGF133" s="774"/>
      <c r="VGG133" s="774"/>
      <c r="VGH133" s="774"/>
      <c r="VGI133" s="774"/>
      <c r="VGJ133" s="774"/>
      <c r="VGK133" s="774"/>
      <c r="VGL133" s="774"/>
      <c r="VGM133" s="774"/>
      <c r="VGN133" s="774"/>
      <c r="VGO133" s="774"/>
      <c r="VGP133" s="774"/>
      <c r="VGQ133" s="774"/>
      <c r="VGR133" s="774"/>
      <c r="VGS133" s="774"/>
      <c r="VGT133" s="774"/>
      <c r="VGU133" s="774"/>
      <c r="VGV133" s="774"/>
      <c r="VGW133" s="774"/>
      <c r="VGX133" s="774"/>
      <c r="VGY133" s="774"/>
      <c r="VGZ133" s="774"/>
      <c r="VHA133" s="774"/>
      <c r="VHB133" s="774"/>
      <c r="VHC133" s="774"/>
      <c r="VHD133" s="774"/>
      <c r="VHE133" s="774"/>
      <c r="VHF133" s="774"/>
      <c r="VHG133" s="774"/>
      <c r="VHH133" s="774"/>
      <c r="VHI133" s="774"/>
      <c r="VHJ133" s="774"/>
      <c r="VHK133" s="774"/>
      <c r="VHL133" s="774"/>
      <c r="VHM133" s="774"/>
      <c r="VHN133" s="774"/>
      <c r="VHO133" s="774"/>
      <c r="VHP133" s="774"/>
      <c r="VHQ133" s="774"/>
      <c r="VHR133" s="774"/>
      <c r="VHS133" s="774"/>
      <c r="VHT133" s="774"/>
      <c r="VHU133" s="774"/>
      <c r="VHV133" s="774"/>
      <c r="VHW133" s="774"/>
      <c r="VHX133" s="774"/>
      <c r="VHY133" s="774"/>
      <c r="VHZ133" s="774"/>
      <c r="VIA133" s="774"/>
      <c r="VIB133" s="774"/>
      <c r="VIC133" s="774"/>
      <c r="VID133" s="774"/>
      <c r="VIE133" s="774"/>
      <c r="VIF133" s="774"/>
      <c r="VIG133" s="774"/>
      <c r="VIH133" s="774"/>
      <c r="VII133" s="774"/>
      <c r="VIJ133" s="774"/>
      <c r="VIK133" s="774"/>
      <c r="VIL133" s="774"/>
      <c r="VIM133" s="774"/>
      <c r="VIN133" s="774"/>
      <c r="VIO133" s="774"/>
      <c r="VIP133" s="774"/>
      <c r="VIQ133" s="774"/>
      <c r="VIR133" s="774"/>
      <c r="VIS133" s="774"/>
      <c r="VIT133" s="774"/>
      <c r="VIU133" s="774"/>
      <c r="VIV133" s="774"/>
      <c r="VIW133" s="774"/>
      <c r="VIX133" s="774"/>
      <c r="VIY133" s="774"/>
      <c r="VIZ133" s="774"/>
      <c r="VJA133" s="774"/>
      <c r="VJB133" s="774"/>
      <c r="VJC133" s="774"/>
      <c r="VJD133" s="774"/>
      <c r="VJE133" s="774"/>
      <c r="VJF133" s="774"/>
      <c r="VJG133" s="774"/>
      <c r="VJH133" s="774"/>
      <c r="VJI133" s="774"/>
      <c r="VJJ133" s="774"/>
      <c r="VJK133" s="774"/>
      <c r="VJL133" s="774"/>
      <c r="VJM133" s="774"/>
      <c r="VJN133" s="774"/>
      <c r="VJO133" s="774"/>
      <c r="VJP133" s="774"/>
      <c r="VJQ133" s="774"/>
      <c r="VJR133" s="774"/>
      <c r="VJS133" s="774"/>
      <c r="VJT133" s="774"/>
      <c r="VJU133" s="774"/>
      <c r="VJV133" s="774"/>
      <c r="VJW133" s="774"/>
      <c r="VJX133" s="774"/>
      <c r="VJY133" s="774"/>
      <c r="VJZ133" s="774"/>
      <c r="VKA133" s="774"/>
      <c r="VKB133" s="774"/>
      <c r="VKC133" s="774"/>
      <c r="VKD133" s="774"/>
      <c r="VKE133" s="774"/>
      <c r="VKF133" s="774"/>
      <c r="VKG133" s="774"/>
      <c r="VKH133" s="774"/>
      <c r="VKI133" s="774"/>
      <c r="VKJ133" s="774"/>
      <c r="VKK133" s="774"/>
      <c r="VKL133" s="774"/>
      <c r="VKM133" s="774"/>
      <c r="VKN133" s="774"/>
      <c r="VKO133" s="774"/>
      <c r="VKP133" s="774"/>
      <c r="VKQ133" s="774"/>
      <c r="VKR133" s="774"/>
      <c r="VKS133" s="774"/>
      <c r="VKT133" s="774"/>
      <c r="VKU133" s="774"/>
      <c r="VKV133" s="774"/>
      <c r="VKW133" s="774"/>
      <c r="VKX133" s="774"/>
      <c r="VKY133" s="774"/>
      <c r="VKZ133" s="774"/>
      <c r="VLA133" s="774"/>
      <c r="VLB133" s="774"/>
      <c r="VLC133" s="774"/>
      <c r="VLD133" s="774"/>
      <c r="VLE133" s="774"/>
      <c r="VLF133" s="774"/>
      <c r="VLG133" s="774"/>
      <c r="VLH133" s="774"/>
      <c r="VLI133" s="774"/>
      <c r="VLJ133" s="774"/>
      <c r="VLK133" s="774"/>
      <c r="VLL133" s="774"/>
      <c r="VLM133" s="774"/>
      <c r="VLN133" s="774"/>
      <c r="VLO133" s="774"/>
      <c r="VLP133" s="774"/>
      <c r="VLQ133" s="774"/>
      <c r="VLR133" s="774"/>
      <c r="VLS133" s="774"/>
      <c r="VLT133" s="774"/>
      <c r="VLU133" s="774"/>
      <c r="VLV133" s="774"/>
      <c r="VLW133" s="774"/>
      <c r="VLX133" s="774"/>
      <c r="VLY133" s="774"/>
      <c r="VLZ133" s="774"/>
      <c r="VMA133" s="774"/>
      <c r="VMB133" s="774"/>
      <c r="VMC133" s="774"/>
      <c r="VMD133" s="774"/>
      <c r="VME133" s="774"/>
      <c r="VMF133" s="774"/>
      <c r="VMG133" s="774"/>
      <c r="VMH133" s="774"/>
      <c r="VMI133" s="774"/>
      <c r="VMJ133" s="774"/>
      <c r="VMK133" s="774"/>
      <c r="VML133" s="774"/>
      <c r="VMM133" s="774"/>
      <c r="VMN133" s="774"/>
      <c r="VMO133" s="774"/>
      <c r="VMP133" s="774"/>
      <c r="VMQ133" s="774"/>
      <c r="VMR133" s="774"/>
      <c r="VMS133" s="774"/>
      <c r="VMT133" s="774"/>
      <c r="VMU133" s="774"/>
      <c r="VMV133" s="774"/>
      <c r="VMW133" s="774"/>
      <c r="VMX133" s="774"/>
      <c r="VMY133" s="774"/>
      <c r="VMZ133" s="774"/>
      <c r="VNA133" s="774"/>
      <c r="VNB133" s="774"/>
      <c r="VNC133" s="774"/>
      <c r="VND133" s="774"/>
      <c r="VNE133" s="774"/>
      <c r="VNF133" s="774"/>
      <c r="VNG133" s="774"/>
      <c r="VNH133" s="774"/>
      <c r="VNI133" s="774"/>
      <c r="VNJ133" s="774"/>
      <c r="VNK133" s="774"/>
      <c r="VNL133" s="774"/>
      <c r="VNM133" s="774"/>
      <c r="VNN133" s="774"/>
      <c r="VNO133" s="774"/>
      <c r="VNP133" s="774"/>
      <c r="VNQ133" s="774"/>
      <c r="VNR133" s="774"/>
      <c r="VNS133" s="774"/>
      <c r="VNT133" s="774"/>
      <c r="VNU133" s="774"/>
      <c r="VNV133" s="774"/>
      <c r="VNW133" s="774"/>
      <c r="VNX133" s="774"/>
      <c r="VNY133" s="774"/>
      <c r="VNZ133" s="774"/>
      <c r="VOA133" s="774"/>
      <c r="VOB133" s="774"/>
      <c r="VOC133" s="774"/>
      <c r="VOD133" s="774"/>
      <c r="VOE133" s="774"/>
      <c r="VOF133" s="774"/>
      <c r="VOG133" s="774"/>
      <c r="VOH133" s="774"/>
      <c r="VOI133" s="774"/>
      <c r="VOJ133" s="774"/>
      <c r="VOK133" s="774"/>
      <c r="VOL133" s="774"/>
      <c r="VOM133" s="774"/>
      <c r="VON133" s="774"/>
      <c r="VOO133" s="774"/>
      <c r="VOP133" s="774"/>
      <c r="VOQ133" s="774"/>
      <c r="VOR133" s="774"/>
      <c r="VOS133" s="774"/>
      <c r="VOT133" s="774"/>
      <c r="VOU133" s="774"/>
      <c r="VOV133" s="774"/>
      <c r="VOW133" s="774"/>
      <c r="VOX133" s="774"/>
      <c r="VOY133" s="774"/>
      <c r="VOZ133" s="774"/>
      <c r="VPA133" s="774"/>
      <c r="VPB133" s="774"/>
      <c r="VPC133" s="774"/>
      <c r="VPD133" s="774"/>
      <c r="VPE133" s="774"/>
      <c r="VPF133" s="774"/>
      <c r="VPG133" s="774"/>
      <c r="VPH133" s="774"/>
      <c r="VPI133" s="774"/>
      <c r="VPJ133" s="774"/>
      <c r="VPK133" s="774"/>
      <c r="VPL133" s="774"/>
      <c r="VPM133" s="774"/>
      <c r="VPN133" s="774"/>
      <c r="VPO133" s="774"/>
      <c r="VPP133" s="774"/>
      <c r="VPQ133" s="774"/>
      <c r="VPR133" s="774"/>
      <c r="VPS133" s="774"/>
      <c r="VPT133" s="774"/>
      <c r="VPU133" s="774"/>
      <c r="VPV133" s="774"/>
      <c r="VPW133" s="774"/>
      <c r="VPX133" s="774"/>
      <c r="VPY133" s="774"/>
      <c r="VPZ133" s="774"/>
      <c r="VQA133" s="774"/>
      <c r="VQB133" s="774"/>
      <c r="VQC133" s="774"/>
      <c r="VQD133" s="774"/>
      <c r="VQE133" s="774"/>
      <c r="VQF133" s="774"/>
      <c r="VQG133" s="774"/>
      <c r="VQH133" s="774"/>
      <c r="VQI133" s="774"/>
      <c r="VQJ133" s="774"/>
      <c r="VQK133" s="774"/>
      <c r="VQL133" s="774"/>
      <c r="VQM133" s="774"/>
      <c r="VQN133" s="774"/>
      <c r="VQO133" s="774"/>
      <c r="VQP133" s="774"/>
      <c r="VQQ133" s="774"/>
      <c r="VQR133" s="774"/>
      <c r="VQS133" s="774"/>
      <c r="VQT133" s="774"/>
      <c r="VQU133" s="774"/>
      <c r="VQV133" s="774"/>
      <c r="VQW133" s="774"/>
      <c r="VQX133" s="774"/>
      <c r="VQY133" s="774"/>
      <c r="VQZ133" s="774"/>
      <c r="VRA133" s="774"/>
      <c r="VRB133" s="774"/>
      <c r="VRC133" s="774"/>
      <c r="VRD133" s="774"/>
      <c r="VRE133" s="774"/>
      <c r="VRF133" s="774"/>
      <c r="VRG133" s="774"/>
      <c r="VRH133" s="774"/>
      <c r="VRI133" s="774"/>
      <c r="VRJ133" s="774"/>
      <c r="VRK133" s="774"/>
      <c r="VRL133" s="774"/>
      <c r="VRM133" s="774"/>
      <c r="VRN133" s="774"/>
      <c r="VRO133" s="774"/>
      <c r="VRP133" s="774"/>
      <c r="VRQ133" s="774"/>
      <c r="VRR133" s="774"/>
      <c r="VRS133" s="774"/>
      <c r="VRT133" s="774"/>
      <c r="VRU133" s="774"/>
      <c r="VRV133" s="774"/>
      <c r="VRW133" s="774"/>
      <c r="VRX133" s="774"/>
      <c r="VRY133" s="774"/>
      <c r="VRZ133" s="774"/>
      <c r="VSA133" s="774"/>
      <c r="VSB133" s="774"/>
      <c r="VSC133" s="774"/>
      <c r="VSD133" s="774"/>
      <c r="VSE133" s="774"/>
      <c r="VSF133" s="774"/>
      <c r="VSG133" s="774"/>
      <c r="VSH133" s="774"/>
      <c r="VSI133" s="774"/>
      <c r="VSJ133" s="774"/>
      <c r="VSK133" s="774"/>
      <c r="VSL133" s="774"/>
      <c r="VSM133" s="774"/>
      <c r="VSN133" s="774"/>
      <c r="VSO133" s="774"/>
      <c r="VSP133" s="774"/>
      <c r="VSQ133" s="774"/>
      <c r="VSR133" s="774"/>
      <c r="VSS133" s="774"/>
      <c r="VST133" s="774"/>
      <c r="VSU133" s="774"/>
      <c r="VSV133" s="774"/>
      <c r="VSW133" s="774"/>
      <c r="VSX133" s="774"/>
      <c r="VSY133" s="774"/>
      <c r="VSZ133" s="774"/>
      <c r="VTA133" s="774"/>
      <c r="VTB133" s="774"/>
      <c r="VTC133" s="774"/>
      <c r="VTD133" s="774"/>
      <c r="VTE133" s="774"/>
      <c r="VTF133" s="774"/>
      <c r="VTG133" s="774"/>
      <c r="VTH133" s="774"/>
      <c r="VTI133" s="774"/>
      <c r="VTJ133" s="774"/>
      <c r="VTK133" s="774"/>
      <c r="VTL133" s="774"/>
      <c r="VTM133" s="774"/>
      <c r="VTN133" s="774"/>
      <c r="VTO133" s="774"/>
      <c r="VTP133" s="774"/>
      <c r="VTQ133" s="774"/>
      <c r="VTR133" s="774"/>
      <c r="VTS133" s="774"/>
      <c r="VTT133" s="774"/>
      <c r="VTU133" s="774"/>
      <c r="VTV133" s="774"/>
      <c r="VTW133" s="774"/>
      <c r="VTX133" s="774"/>
      <c r="VTY133" s="774"/>
      <c r="VTZ133" s="774"/>
      <c r="VUA133" s="774"/>
      <c r="VUB133" s="774"/>
      <c r="VUC133" s="774"/>
      <c r="VUD133" s="774"/>
      <c r="VUE133" s="774"/>
      <c r="VUF133" s="774"/>
      <c r="VUG133" s="774"/>
      <c r="VUH133" s="774"/>
      <c r="VUI133" s="774"/>
      <c r="VUJ133" s="774"/>
      <c r="VUK133" s="774"/>
      <c r="VUL133" s="774"/>
      <c r="VUM133" s="774"/>
      <c r="VUN133" s="774"/>
      <c r="VUO133" s="774"/>
      <c r="VUP133" s="774"/>
      <c r="VUQ133" s="774"/>
      <c r="VUR133" s="774"/>
      <c r="VUS133" s="774"/>
      <c r="VUT133" s="774"/>
      <c r="VUU133" s="774"/>
      <c r="VUV133" s="774"/>
      <c r="VUW133" s="774"/>
      <c r="VUX133" s="774"/>
      <c r="VUY133" s="774"/>
      <c r="VUZ133" s="774"/>
      <c r="VVA133" s="774"/>
      <c r="VVB133" s="774"/>
      <c r="VVC133" s="774"/>
      <c r="VVD133" s="774"/>
      <c r="VVE133" s="774"/>
      <c r="VVF133" s="774"/>
      <c r="VVG133" s="774"/>
      <c r="VVH133" s="774"/>
      <c r="VVI133" s="774"/>
      <c r="VVJ133" s="774"/>
      <c r="VVK133" s="774"/>
      <c r="VVL133" s="774"/>
      <c r="VVM133" s="774"/>
      <c r="VVN133" s="774"/>
      <c r="VVO133" s="774"/>
      <c r="VVP133" s="774"/>
      <c r="VVQ133" s="774"/>
      <c r="VVR133" s="774"/>
      <c r="VVS133" s="774"/>
      <c r="VVT133" s="774"/>
      <c r="VVU133" s="774"/>
      <c r="VVV133" s="774"/>
      <c r="VVW133" s="774"/>
      <c r="VVX133" s="774"/>
      <c r="VVY133" s="774"/>
      <c r="VVZ133" s="774"/>
      <c r="VWA133" s="774"/>
      <c r="VWB133" s="774"/>
      <c r="VWC133" s="774"/>
      <c r="VWD133" s="774"/>
      <c r="VWE133" s="774"/>
      <c r="VWF133" s="774"/>
      <c r="VWG133" s="774"/>
      <c r="VWH133" s="774"/>
      <c r="VWI133" s="774"/>
      <c r="VWJ133" s="774"/>
      <c r="VWK133" s="774"/>
      <c r="VWL133" s="774"/>
      <c r="VWM133" s="774"/>
      <c r="VWN133" s="774"/>
      <c r="VWO133" s="774"/>
      <c r="VWP133" s="774"/>
      <c r="VWQ133" s="774"/>
      <c r="VWR133" s="774"/>
      <c r="VWS133" s="774"/>
      <c r="VWT133" s="774"/>
      <c r="VWU133" s="774"/>
      <c r="VWV133" s="774"/>
      <c r="VWW133" s="774"/>
      <c r="VWX133" s="774"/>
      <c r="VWY133" s="774"/>
      <c r="VWZ133" s="774"/>
      <c r="VXA133" s="774"/>
      <c r="VXB133" s="774"/>
      <c r="VXC133" s="774"/>
      <c r="VXD133" s="774"/>
      <c r="VXE133" s="774"/>
      <c r="VXF133" s="774"/>
      <c r="VXG133" s="774"/>
      <c r="VXH133" s="774"/>
      <c r="VXI133" s="774"/>
      <c r="VXJ133" s="774"/>
      <c r="VXK133" s="774"/>
      <c r="VXL133" s="774"/>
      <c r="VXM133" s="774"/>
      <c r="VXN133" s="774"/>
      <c r="VXO133" s="774"/>
      <c r="VXP133" s="774"/>
      <c r="VXQ133" s="774"/>
      <c r="VXR133" s="774"/>
      <c r="VXS133" s="774"/>
      <c r="VXT133" s="774"/>
      <c r="VXU133" s="774"/>
      <c r="VXV133" s="774"/>
      <c r="VXW133" s="774"/>
      <c r="VXX133" s="774"/>
      <c r="VXY133" s="774"/>
      <c r="VXZ133" s="774"/>
      <c r="VYA133" s="774"/>
      <c r="VYB133" s="774"/>
      <c r="VYC133" s="774"/>
      <c r="VYD133" s="774"/>
      <c r="VYE133" s="774"/>
      <c r="VYF133" s="774"/>
      <c r="VYG133" s="774"/>
      <c r="VYH133" s="774"/>
      <c r="VYI133" s="774"/>
      <c r="VYJ133" s="774"/>
      <c r="VYK133" s="774"/>
      <c r="VYL133" s="774"/>
      <c r="VYM133" s="774"/>
      <c r="VYN133" s="774"/>
      <c r="VYO133" s="774"/>
      <c r="VYP133" s="774"/>
      <c r="VYQ133" s="774"/>
      <c r="VYR133" s="774"/>
      <c r="VYS133" s="774"/>
      <c r="VYT133" s="774"/>
      <c r="VYU133" s="774"/>
      <c r="VYV133" s="774"/>
      <c r="VYW133" s="774"/>
      <c r="VYX133" s="774"/>
      <c r="VYY133" s="774"/>
      <c r="VYZ133" s="774"/>
      <c r="VZA133" s="774"/>
      <c r="VZB133" s="774"/>
      <c r="VZC133" s="774"/>
      <c r="VZD133" s="774"/>
      <c r="VZE133" s="774"/>
      <c r="VZF133" s="774"/>
      <c r="VZG133" s="774"/>
      <c r="VZH133" s="774"/>
      <c r="VZI133" s="774"/>
      <c r="VZJ133" s="774"/>
      <c r="VZK133" s="774"/>
      <c r="VZL133" s="774"/>
      <c r="VZM133" s="774"/>
      <c r="VZN133" s="774"/>
      <c r="VZO133" s="774"/>
      <c r="VZP133" s="774"/>
      <c r="VZQ133" s="774"/>
      <c r="VZR133" s="774"/>
      <c r="VZS133" s="774"/>
      <c r="VZT133" s="774"/>
      <c r="VZU133" s="774"/>
      <c r="VZV133" s="774"/>
      <c r="VZW133" s="774"/>
      <c r="VZX133" s="774"/>
      <c r="VZY133" s="774"/>
      <c r="VZZ133" s="774"/>
      <c r="WAA133" s="774"/>
      <c r="WAB133" s="774"/>
      <c r="WAC133" s="774"/>
      <c r="WAD133" s="774"/>
      <c r="WAE133" s="774"/>
      <c r="WAF133" s="774"/>
      <c r="WAG133" s="774"/>
      <c r="WAH133" s="774"/>
      <c r="WAI133" s="774"/>
      <c r="WAJ133" s="774"/>
      <c r="WAK133" s="774"/>
      <c r="WAL133" s="774"/>
      <c r="WAM133" s="774"/>
      <c r="WAN133" s="774"/>
      <c r="WAO133" s="774"/>
      <c r="WAP133" s="774"/>
      <c r="WAQ133" s="774"/>
      <c r="WAR133" s="774"/>
      <c r="WAS133" s="774"/>
      <c r="WAT133" s="774"/>
      <c r="WAU133" s="774"/>
      <c r="WAV133" s="774"/>
      <c r="WAW133" s="774"/>
      <c r="WAX133" s="774"/>
      <c r="WAY133" s="774"/>
      <c r="WAZ133" s="774"/>
      <c r="WBA133" s="774"/>
      <c r="WBB133" s="774"/>
      <c r="WBC133" s="774"/>
      <c r="WBD133" s="774"/>
      <c r="WBE133" s="774"/>
      <c r="WBF133" s="774"/>
      <c r="WBG133" s="774"/>
      <c r="WBH133" s="774"/>
      <c r="WBI133" s="774"/>
      <c r="WBJ133" s="774"/>
      <c r="WBK133" s="774"/>
      <c r="WBL133" s="774"/>
      <c r="WBM133" s="774"/>
      <c r="WBN133" s="774"/>
      <c r="WBO133" s="774"/>
      <c r="WBP133" s="774"/>
      <c r="WBQ133" s="774"/>
      <c r="WBR133" s="774"/>
      <c r="WBS133" s="774"/>
      <c r="WBT133" s="774"/>
      <c r="WBU133" s="774"/>
      <c r="WBV133" s="774"/>
      <c r="WBW133" s="774"/>
      <c r="WBX133" s="774"/>
      <c r="WBY133" s="774"/>
      <c r="WBZ133" s="774"/>
      <c r="WCA133" s="774"/>
      <c r="WCB133" s="774"/>
      <c r="WCC133" s="774"/>
      <c r="WCD133" s="774"/>
      <c r="WCE133" s="774"/>
      <c r="WCF133" s="774"/>
      <c r="WCG133" s="774"/>
      <c r="WCH133" s="774"/>
      <c r="WCI133" s="774"/>
      <c r="WCJ133" s="774"/>
      <c r="WCK133" s="774"/>
      <c r="WCL133" s="774"/>
      <c r="WCM133" s="774"/>
      <c r="WCN133" s="774"/>
      <c r="WCO133" s="774"/>
      <c r="WCP133" s="774"/>
      <c r="WCQ133" s="774"/>
      <c r="WCR133" s="774"/>
      <c r="WCS133" s="774"/>
      <c r="WCT133" s="774"/>
      <c r="WCU133" s="774"/>
      <c r="WCV133" s="774"/>
      <c r="WCW133" s="774"/>
      <c r="WCX133" s="774"/>
      <c r="WCY133" s="774"/>
      <c r="WCZ133" s="774"/>
      <c r="WDA133" s="774"/>
      <c r="WDB133" s="774"/>
      <c r="WDC133" s="774"/>
      <c r="WDD133" s="774"/>
      <c r="WDE133" s="774"/>
      <c r="WDF133" s="774"/>
      <c r="WDG133" s="774"/>
      <c r="WDH133" s="774"/>
      <c r="WDI133" s="774"/>
      <c r="WDJ133" s="774"/>
      <c r="WDK133" s="774"/>
      <c r="WDL133" s="774"/>
      <c r="WDM133" s="774"/>
      <c r="WDN133" s="774"/>
      <c r="WDO133" s="774"/>
      <c r="WDP133" s="774"/>
      <c r="WDQ133" s="774"/>
      <c r="WDR133" s="774"/>
      <c r="WDS133" s="774"/>
      <c r="WDT133" s="774"/>
      <c r="WDU133" s="774"/>
      <c r="WDV133" s="774"/>
      <c r="WDW133" s="774"/>
      <c r="WDX133" s="774"/>
      <c r="WDY133" s="774"/>
      <c r="WDZ133" s="774"/>
      <c r="WEA133" s="774"/>
      <c r="WEB133" s="774"/>
      <c r="WEC133" s="774"/>
      <c r="WED133" s="774"/>
      <c r="WEE133" s="774"/>
      <c r="WEF133" s="774"/>
      <c r="WEG133" s="774"/>
      <c r="WEH133" s="774"/>
      <c r="WEI133" s="774"/>
      <c r="WEJ133" s="774"/>
      <c r="WEK133" s="774"/>
      <c r="WEL133" s="774"/>
      <c r="WEM133" s="774"/>
      <c r="WEN133" s="774"/>
      <c r="WEO133" s="774"/>
      <c r="WEP133" s="774"/>
      <c r="WEQ133" s="774"/>
      <c r="WER133" s="774"/>
      <c r="WES133" s="774"/>
      <c r="WET133" s="774"/>
      <c r="WEU133" s="774"/>
      <c r="WEV133" s="774"/>
      <c r="WEW133" s="774"/>
      <c r="WEX133" s="774"/>
      <c r="WEY133" s="774"/>
      <c r="WEZ133" s="774"/>
      <c r="WFA133" s="774"/>
      <c r="WFB133" s="774"/>
      <c r="WFC133" s="774"/>
      <c r="WFD133" s="774"/>
      <c r="WFE133" s="774"/>
      <c r="WFF133" s="774"/>
      <c r="WFG133" s="774"/>
      <c r="WFH133" s="774"/>
      <c r="WFI133" s="774"/>
      <c r="WFJ133" s="774"/>
      <c r="WFK133" s="774"/>
      <c r="WFL133" s="774"/>
      <c r="WFM133" s="774"/>
      <c r="WFN133" s="774"/>
      <c r="WFO133" s="774"/>
      <c r="WFP133" s="774"/>
      <c r="WFQ133" s="774"/>
      <c r="WFR133" s="774"/>
      <c r="WFS133" s="774"/>
      <c r="WFT133" s="774"/>
      <c r="WFU133" s="774"/>
      <c r="WFV133" s="774"/>
      <c r="WFW133" s="774"/>
      <c r="WFX133" s="774"/>
      <c r="WFY133" s="774"/>
      <c r="WFZ133" s="774"/>
      <c r="WGA133" s="774"/>
      <c r="WGB133" s="774"/>
      <c r="WGC133" s="774"/>
      <c r="WGD133" s="774"/>
      <c r="WGE133" s="774"/>
      <c r="WGF133" s="774"/>
      <c r="WGG133" s="774"/>
      <c r="WGH133" s="774"/>
      <c r="WGI133" s="774"/>
      <c r="WGJ133" s="774"/>
      <c r="WGK133" s="774"/>
      <c r="WGL133" s="774"/>
      <c r="WGM133" s="774"/>
      <c r="WGN133" s="774"/>
      <c r="WGO133" s="774"/>
      <c r="WGP133" s="774"/>
      <c r="WGQ133" s="774"/>
      <c r="WGR133" s="774"/>
      <c r="WGS133" s="774"/>
      <c r="WGT133" s="774"/>
      <c r="WGU133" s="774"/>
      <c r="WGV133" s="774"/>
      <c r="WGW133" s="774"/>
      <c r="WGX133" s="774"/>
      <c r="WGY133" s="774"/>
      <c r="WGZ133" s="774"/>
      <c r="WHA133" s="774"/>
      <c r="WHB133" s="774"/>
      <c r="WHC133" s="774"/>
      <c r="WHD133" s="774"/>
      <c r="WHE133" s="774"/>
      <c r="WHF133" s="774"/>
      <c r="WHG133" s="774"/>
      <c r="WHH133" s="774"/>
      <c r="WHI133" s="774"/>
      <c r="WHJ133" s="774"/>
      <c r="WHK133" s="774"/>
      <c r="WHL133" s="774"/>
      <c r="WHM133" s="774"/>
      <c r="WHN133" s="774"/>
      <c r="WHO133" s="774"/>
      <c r="WHP133" s="774"/>
      <c r="WHQ133" s="774"/>
      <c r="WHR133" s="774"/>
      <c r="WHS133" s="774"/>
      <c r="WHT133" s="774"/>
      <c r="WHU133" s="774"/>
      <c r="WHV133" s="774"/>
      <c r="WHW133" s="774"/>
      <c r="WHX133" s="774"/>
      <c r="WHY133" s="774"/>
      <c r="WHZ133" s="774"/>
      <c r="WIA133" s="774"/>
      <c r="WIB133" s="774"/>
      <c r="WIC133" s="774"/>
      <c r="WID133" s="774"/>
      <c r="WIE133" s="774"/>
      <c r="WIF133" s="774"/>
      <c r="WIG133" s="774"/>
      <c r="WIH133" s="774"/>
      <c r="WII133" s="774"/>
      <c r="WIJ133" s="774"/>
      <c r="WIK133" s="774"/>
      <c r="WIL133" s="774"/>
      <c r="WIM133" s="774"/>
      <c r="WIN133" s="774"/>
      <c r="WIO133" s="774"/>
      <c r="WIP133" s="774"/>
      <c r="WIQ133" s="774"/>
      <c r="WIR133" s="774"/>
      <c r="WIS133" s="774"/>
      <c r="WIT133" s="774"/>
      <c r="WIU133" s="774"/>
      <c r="WIV133" s="774"/>
      <c r="WIW133" s="774"/>
      <c r="WIX133" s="774"/>
      <c r="WIY133" s="774"/>
      <c r="WIZ133" s="774"/>
      <c r="WJA133" s="774"/>
      <c r="WJB133" s="774"/>
      <c r="WJC133" s="774"/>
      <c r="WJD133" s="774"/>
      <c r="WJE133" s="774"/>
      <c r="WJF133" s="774"/>
      <c r="WJG133" s="774"/>
      <c r="WJH133" s="774"/>
      <c r="WJI133" s="774"/>
      <c r="WJJ133" s="774"/>
      <c r="WJK133" s="774"/>
      <c r="WJL133" s="774"/>
      <c r="WJM133" s="774"/>
      <c r="WJN133" s="774"/>
      <c r="WJO133" s="774"/>
      <c r="WJP133" s="774"/>
      <c r="WJQ133" s="774"/>
      <c r="WJR133" s="774"/>
      <c r="WJS133" s="774"/>
      <c r="WJT133" s="774"/>
      <c r="WJU133" s="774"/>
      <c r="WJV133" s="774"/>
      <c r="WJW133" s="774"/>
      <c r="WJX133" s="774"/>
      <c r="WJY133" s="774"/>
      <c r="WJZ133" s="774"/>
      <c r="WKA133" s="774"/>
      <c r="WKB133" s="774"/>
      <c r="WKC133" s="774"/>
      <c r="WKD133" s="774"/>
      <c r="WKE133" s="774"/>
      <c r="WKF133" s="774"/>
      <c r="WKG133" s="774"/>
      <c r="WKH133" s="774"/>
      <c r="WKI133" s="774"/>
      <c r="WKJ133" s="774"/>
      <c r="WKK133" s="774"/>
      <c r="WKL133" s="774"/>
      <c r="WKM133" s="774"/>
      <c r="WKN133" s="774"/>
      <c r="WKO133" s="774"/>
      <c r="WKP133" s="774"/>
      <c r="WKQ133" s="774"/>
      <c r="WKR133" s="774"/>
      <c r="WKS133" s="774"/>
      <c r="WKT133" s="774"/>
      <c r="WKU133" s="774"/>
      <c r="WKV133" s="774"/>
      <c r="WKW133" s="774"/>
      <c r="WKX133" s="774"/>
      <c r="WKY133" s="774"/>
      <c r="WKZ133" s="774"/>
      <c r="WLA133" s="774"/>
      <c r="WLB133" s="774"/>
      <c r="WLC133" s="774"/>
      <c r="WLD133" s="774"/>
      <c r="WLE133" s="774"/>
      <c r="WLF133" s="774"/>
      <c r="WLG133" s="774"/>
      <c r="WLH133" s="774"/>
      <c r="WLI133" s="774"/>
      <c r="WLJ133" s="774"/>
      <c r="WLK133" s="774"/>
      <c r="WLL133" s="774"/>
      <c r="WLM133" s="774"/>
      <c r="WLN133" s="774"/>
      <c r="WLO133" s="774"/>
      <c r="WLP133" s="774"/>
      <c r="WLQ133" s="774"/>
      <c r="WLR133" s="774"/>
      <c r="WLS133" s="774"/>
      <c r="WLT133" s="774"/>
      <c r="WLU133" s="774"/>
      <c r="WLV133" s="774"/>
      <c r="WLW133" s="774"/>
      <c r="WLX133" s="774"/>
      <c r="WLY133" s="774"/>
      <c r="WLZ133" s="774"/>
      <c r="WMA133" s="774"/>
      <c r="WMB133" s="774"/>
      <c r="WMC133" s="774"/>
      <c r="WMD133" s="774"/>
      <c r="WME133" s="774"/>
      <c r="WMF133" s="774"/>
      <c r="WMG133" s="774"/>
      <c r="WMH133" s="774"/>
      <c r="WMI133" s="774"/>
      <c r="WMJ133" s="774"/>
      <c r="WMK133" s="774"/>
      <c r="WML133" s="774"/>
      <c r="WMM133" s="774"/>
      <c r="WMN133" s="774"/>
      <c r="WMO133" s="774"/>
      <c r="WMP133" s="774"/>
      <c r="WMQ133" s="774"/>
      <c r="WMR133" s="774"/>
      <c r="WMS133" s="774"/>
      <c r="WMT133" s="774"/>
      <c r="WMU133" s="774"/>
      <c r="WMV133" s="774"/>
      <c r="WMW133" s="774"/>
      <c r="WMX133" s="774"/>
      <c r="WMY133" s="774"/>
      <c r="WMZ133" s="774"/>
      <c r="WNA133" s="774"/>
      <c r="WNB133" s="774"/>
      <c r="WNC133" s="774"/>
      <c r="WND133" s="774"/>
      <c r="WNE133" s="774"/>
      <c r="WNF133" s="774"/>
      <c r="WNG133" s="774"/>
      <c r="WNH133" s="774"/>
      <c r="WNI133" s="774"/>
      <c r="WNJ133" s="774"/>
      <c r="WNK133" s="774"/>
      <c r="WNL133" s="774"/>
      <c r="WNM133" s="774"/>
      <c r="WNN133" s="774"/>
      <c r="WNO133" s="774"/>
      <c r="WNP133" s="774"/>
      <c r="WNQ133" s="774"/>
      <c r="WNR133" s="774"/>
      <c r="WNS133" s="774"/>
      <c r="WNT133" s="774"/>
      <c r="WNU133" s="774"/>
      <c r="WNV133" s="774"/>
      <c r="WNW133" s="774"/>
      <c r="WNX133" s="774"/>
      <c r="WNY133" s="774"/>
      <c r="WNZ133" s="774"/>
      <c r="WOA133" s="774"/>
      <c r="WOB133" s="774"/>
      <c r="WOC133" s="774"/>
      <c r="WOD133" s="774"/>
      <c r="WOE133" s="774"/>
      <c r="WOF133" s="774"/>
      <c r="WOG133" s="774"/>
      <c r="WOH133" s="774"/>
      <c r="WOI133" s="774"/>
      <c r="WOJ133" s="774"/>
      <c r="WOK133" s="774"/>
      <c r="WOL133" s="774"/>
      <c r="WOM133" s="774"/>
      <c r="WON133" s="774"/>
      <c r="WOO133" s="774"/>
      <c r="WOP133" s="774"/>
      <c r="WOQ133" s="774"/>
      <c r="WOR133" s="774"/>
      <c r="WOS133" s="774"/>
      <c r="WOT133" s="774"/>
      <c r="WOU133" s="774"/>
      <c r="WOV133" s="774"/>
      <c r="WOW133" s="774"/>
      <c r="WOX133" s="774"/>
      <c r="WOY133" s="774"/>
      <c r="WOZ133" s="774"/>
      <c r="WPA133" s="774"/>
      <c r="WPB133" s="774"/>
      <c r="WPC133" s="774"/>
      <c r="WPD133" s="774"/>
      <c r="WPE133" s="774"/>
      <c r="WPF133" s="774"/>
      <c r="WPG133" s="774"/>
      <c r="WPH133" s="774"/>
      <c r="WPI133" s="774"/>
      <c r="WPJ133" s="774"/>
      <c r="WPK133" s="774"/>
      <c r="WPL133" s="774"/>
      <c r="WPM133" s="774"/>
      <c r="WPN133" s="774"/>
      <c r="WPO133" s="774"/>
      <c r="WPP133" s="774"/>
      <c r="WPQ133" s="774"/>
      <c r="WPR133" s="774"/>
      <c r="WPS133" s="774"/>
      <c r="WPT133" s="774"/>
      <c r="WPU133" s="774"/>
      <c r="WPV133" s="774"/>
      <c r="WPW133" s="774"/>
      <c r="WPX133" s="774"/>
      <c r="WPY133" s="774"/>
      <c r="WPZ133" s="774"/>
      <c r="WQA133" s="774"/>
      <c r="WQB133" s="774"/>
      <c r="WQC133" s="774"/>
      <c r="WQD133" s="774"/>
      <c r="WQE133" s="774"/>
      <c r="WQF133" s="774"/>
      <c r="WQG133" s="774"/>
      <c r="WQH133" s="774"/>
      <c r="WQI133" s="774"/>
      <c r="WQJ133" s="774"/>
      <c r="WQK133" s="774"/>
      <c r="WQL133" s="774"/>
      <c r="WQM133" s="774"/>
      <c r="WQN133" s="774"/>
      <c r="WQO133" s="774"/>
      <c r="WQP133" s="774"/>
      <c r="WQQ133" s="774"/>
      <c r="WQR133" s="774"/>
      <c r="WQS133" s="774"/>
      <c r="WQT133" s="774"/>
      <c r="WQU133" s="774"/>
      <c r="WQV133" s="774"/>
      <c r="WQW133" s="774"/>
      <c r="WQX133" s="774"/>
      <c r="WQY133" s="774"/>
      <c r="WQZ133" s="774"/>
      <c r="WRA133" s="774"/>
      <c r="WRB133" s="774"/>
      <c r="WRC133" s="774"/>
      <c r="WRD133" s="774"/>
      <c r="WRE133" s="774"/>
      <c r="WRF133" s="774"/>
      <c r="WRG133" s="774"/>
      <c r="WRH133" s="774"/>
      <c r="WRI133" s="774"/>
      <c r="WRJ133" s="774"/>
      <c r="WRK133" s="774"/>
      <c r="WRL133" s="774"/>
      <c r="WRM133" s="774"/>
      <c r="WRN133" s="774"/>
      <c r="WRO133" s="774"/>
      <c r="WRP133" s="774"/>
      <c r="WRQ133" s="774"/>
      <c r="WRR133" s="774"/>
      <c r="WRS133" s="774"/>
      <c r="WRT133" s="774"/>
      <c r="WRU133" s="774"/>
      <c r="WRV133" s="774"/>
      <c r="WRW133" s="774"/>
      <c r="WRX133" s="774"/>
      <c r="WRY133" s="774"/>
      <c r="WRZ133" s="774"/>
      <c r="WSA133" s="774"/>
      <c r="WSB133" s="774"/>
      <c r="WSC133" s="774"/>
      <c r="WSD133" s="774"/>
      <c r="WSE133" s="774"/>
      <c r="WSF133" s="774"/>
      <c r="WSG133" s="774"/>
      <c r="WSH133" s="774"/>
      <c r="WSI133" s="774"/>
      <c r="WSJ133" s="774"/>
      <c r="WSK133" s="774"/>
      <c r="WSL133" s="774"/>
      <c r="WSM133" s="774"/>
      <c r="WSN133" s="774"/>
      <c r="WSO133" s="774"/>
      <c r="WSP133" s="774"/>
      <c r="WSQ133" s="774"/>
      <c r="WSR133" s="774"/>
      <c r="WSS133" s="774"/>
      <c r="WST133" s="774"/>
      <c r="WSU133" s="774"/>
      <c r="WSV133" s="774"/>
      <c r="WSW133" s="774"/>
      <c r="WSX133" s="774"/>
      <c r="WSY133" s="774"/>
      <c r="WSZ133" s="774"/>
      <c r="WTA133" s="774"/>
      <c r="WTB133" s="774"/>
      <c r="WTC133" s="774"/>
      <c r="WTD133" s="774"/>
      <c r="WTE133" s="774"/>
      <c r="WTF133" s="774"/>
      <c r="WTG133" s="774"/>
      <c r="WTH133" s="774"/>
      <c r="WTI133" s="774"/>
      <c r="WTJ133" s="774"/>
      <c r="WTK133" s="774"/>
      <c r="WTL133" s="774"/>
      <c r="WTM133" s="774"/>
      <c r="WTN133" s="774"/>
      <c r="WTO133" s="774"/>
      <c r="WTP133" s="774"/>
      <c r="WTQ133" s="774"/>
      <c r="WTR133" s="774"/>
      <c r="WTS133" s="774"/>
      <c r="WTT133" s="774"/>
      <c r="WTU133" s="774"/>
      <c r="WTV133" s="774"/>
      <c r="WTW133" s="774"/>
      <c r="WTX133" s="774"/>
      <c r="WTY133" s="774"/>
      <c r="WTZ133" s="774"/>
      <c r="WUA133" s="774"/>
      <c r="WUB133" s="774"/>
      <c r="WUC133" s="774"/>
      <c r="WUD133" s="774"/>
      <c r="WUE133" s="774"/>
      <c r="WUF133" s="774"/>
      <c r="WUG133" s="774"/>
      <c r="WUH133" s="774"/>
      <c r="WUI133" s="774"/>
      <c r="WUJ133" s="774"/>
      <c r="WUK133" s="774"/>
      <c r="WUL133" s="774"/>
      <c r="WUM133" s="774"/>
      <c r="WUN133" s="774"/>
      <c r="WUO133" s="774"/>
      <c r="WUP133" s="774"/>
      <c r="WUQ133" s="774"/>
      <c r="WUR133" s="774"/>
      <c r="WUS133" s="774"/>
      <c r="WUT133" s="774"/>
      <c r="WUU133" s="774"/>
      <c r="WUV133" s="774"/>
      <c r="WUW133" s="774"/>
      <c r="WUX133" s="774"/>
      <c r="WUY133" s="774"/>
      <c r="WUZ133" s="774"/>
      <c r="WVA133" s="774"/>
      <c r="WVB133" s="774"/>
      <c r="WVC133" s="774"/>
      <c r="WVD133" s="774"/>
      <c r="WVE133" s="774"/>
      <c r="WVF133" s="774"/>
      <c r="WVG133" s="774"/>
      <c r="WVH133" s="774"/>
      <c r="WVI133" s="774"/>
      <c r="WVJ133" s="774"/>
      <c r="WVK133" s="774"/>
      <c r="WVL133" s="774"/>
      <c r="WVM133" s="774"/>
      <c r="WVN133" s="774"/>
      <c r="WVO133" s="774"/>
      <c r="WVP133" s="774"/>
      <c r="WVQ133" s="774"/>
      <c r="WVR133" s="774"/>
      <c r="WVS133" s="774"/>
      <c r="WVT133" s="774"/>
      <c r="WVU133" s="774"/>
      <c r="WVV133" s="774"/>
      <c r="WVW133" s="774"/>
      <c r="WVX133" s="774"/>
      <c r="WVY133" s="774"/>
      <c r="WVZ133" s="774"/>
      <c r="WWA133" s="774"/>
      <c r="WWB133" s="774"/>
      <c r="WWC133" s="774"/>
      <c r="WWD133" s="774"/>
      <c r="WWE133" s="774"/>
      <c r="WWF133" s="774"/>
      <c r="WWG133" s="774"/>
      <c r="WWH133" s="774"/>
      <c r="WWI133" s="774"/>
      <c r="WWJ133" s="774"/>
      <c r="WWK133" s="774"/>
      <c r="WWL133" s="774"/>
      <c r="WWM133" s="774"/>
      <c r="WWN133" s="774"/>
      <c r="WWO133" s="774"/>
      <c r="WWP133" s="774"/>
      <c r="WWQ133" s="774"/>
      <c r="WWR133" s="774"/>
      <c r="WWS133" s="774"/>
      <c r="WWT133" s="774"/>
      <c r="WWU133" s="774"/>
      <c r="WWV133" s="774"/>
      <c r="WWW133" s="774"/>
      <c r="WWX133" s="774"/>
      <c r="WWY133" s="774"/>
      <c r="WWZ133" s="774"/>
      <c r="WXA133" s="774"/>
      <c r="WXB133" s="774"/>
      <c r="WXC133" s="774"/>
      <c r="WXD133" s="774"/>
      <c r="WXE133" s="774"/>
      <c r="WXF133" s="774"/>
      <c r="WXG133" s="774"/>
      <c r="WXH133" s="774"/>
      <c r="WXI133" s="774"/>
      <c r="WXJ133" s="774"/>
      <c r="WXK133" s="774"/>
      <c r="WXL133" s="774"/>
      <c r="WXM133" s="774"/>
      <c r="WXN133" s="774"/>
      <c r="WXO133" s="774"/>
      <c r="WXP133" s="774"/>
      <c r="WXQ133" s="774"/>
      <c r="WXR133" s="774"/>
      <c r="WXS133" s="774"/>
      <c r="WXT133" s="774"/>
      <c r="WXU133" s="774"/>
      <c r="WXV133" s="774"/>
      <c r="WXW133" s="774"/>
      <c r="WXX133" s="774"/>
      <c r="WXY133" s="774"/>
      <c r="WXZ133" s="774"/>
      <c r="WYA133" s="774"/>
      <c r="WYB133" s="774"/>
      <c r="WYC133" s="774"/>
      <c r="WYD133" s="774"/>
      <c r="WYE133" s="774"/>
      <c r="WYF133" s="774"/>
      <c r="WYG133" s="774"/>
      <c r="WYH133" s="774"/>
      <c r="WYI133" s="774"/>
      <c r="WYJ133" s="774"/>
      <c r="WYK133" s="774"/>
      <c r="WYL133" s="774"/>
      <c r="WYM133" s="774"/>
      <c r="WYN133" s="774"/>
      <c r="WYO133" s="774"/>
      <c r="WYP133" s="774"/>
      <c r="WYQ133" s="774"/>
      <c r="WYR133" s="774"/>
      <c r="WYS133" s="774"/>
      <c r="WYT133" s="774"/>
      <c r="WYU133" s="774"/>
      <c r="WYV133" s="774"/>
      <c r="WYW133" s="774"/>
      <c r="WYX133" s="774"/>
      <c r="WYY133" s="774"/>
      <c r="WYZ133" s="774"/>
      <c r="WZA133" s="774"/>
      <c r="WZB133" s="774"/>
      <c r="WZC133" s="774"/>
      <c r="WZD133" s="774"/>
      <c r="WZE133" s="774"/>
      <c r="WZF133" s="774"/>
      <c r="WZG133" s="774"/>
      <c r="WZH133" s="774"/>
      <c r="WZI133" s="774"/>
      <c r="WZJ133" s="774"/>
      <c r="WZK133" s="774"/>
      <c r="WZL133" s="774"/>
      <c r="WZM133" s="774"/>
      <c r="WZN133" s="774"/>
      <c r="WZO133" s="774"/>
      <c r="WZP133" s="774"/>
      <c r="WZQ133" s="774"/>
      <c r="WZR133" s="774"/>
      <c r="WZS133" s="774"/>
      <c r="WZT133" s="774"/>
      <c r="WZU133" s="774"/>
      <c r="WZV133" s="774"/>
      <c r="WZW133" s="774"/>
      <c r="WZX133" s="774"/>
      <c r="WZY133" s="774"/>
      <c r="WZZ133" s="774"/>
      <c r="XAA133" s="774"/>
      <c r="XAB133" s="774"/>
      <c r="XAC133" s="774"/>
      <c r="XAD133" s="774"/>
      <c r="XAE133" s="774"/>
      <c r="XAF133" s="774"/>
      <c r="XAG133" s="774"/>
      <c r="XAH133" s="774"/>
      <c r="XAI133" s="774"/>
      <c r="XAJ133" s="774"/>
      <c r="XAK133" s="774"/>
      <c r="XAL133" s="774"/>
      <c r="XAM133" s="774"/>
      <c r="XAN133" s="774"/>
      <c r="XAO133" s="774"/>
      <c r="XAP133" s="774"/>
      <c r="XAQ133" s="774"/>
      <c r="XAR133" s="774"/>
      <c r="XAS133" s="774"/>
      <c r="XAT133" s="774"/>
      <c r="XAU133" s="774"/>
      <c r="XAV133" s="774"/>
      <c r="XAW133" s="774"/>
      <c r="XAX133" s="774"/>
      <c r="XAY133" s="774"/>
      <c r="XAZ133" s="774"/>
      <c r="XBA133" s="774"/>
      <c r="XBB133" s="774"/>
      <c r="XBC133" s="774"/>
      <c r="XBD133" s="774"/>
      <c r="XBE133" s="774"/>
      <c r="XBF133" s="774"/>
      <c r="XBG133" s="774"/>
      <c r="XBH133" s="774"/>
      <c r="XBI133" s="774"/>
      <c r="XBJ133" s="774"/>
      <c r="XBK133" s="774"/>
      <c r="XBL133" s="774"/>
      <c r="XBM133" s="774"/>
      <c r="XBN133" s="774"/>
      <c r="XBO133" s="774"/>
      <c r="XBP133" s="774"/>
      <c r="XBQ133" s="774"/>
      <c r="XBR133" s="774"/>
      <c r="XBS133" s="774"/>
      <c r="XBT133" s="774"/>
      <c r="XBU133" s="774"/>
      <c r="XBV133" s="774"/>
      <c r="XBW133" s="774"/>
      <c r="XBX133" s="774"/>
      <c r="XBY133" s="774"/>
      <c r="XBZ133" s="774"/>
      <c r="XCA133" s="774"/>
      <c r="XCB133" s="774"/>
      <c r="XCC133" s="774"/>
      <c r="XCD133" s="774"/>
      <c r="XCE133" s="774"/>
      <c r="XCF133" s="774"/>
      <c r="XCG133" s="774"/>
      <c r="XCH133" s="774"/>
      <c r="XCI133" s="774"/>
      <c r="XCJ133" s="774"/>
      <c r="XCK133" s="774"/>
      <c r="XCL133" s="774"/>
      <c r="XCM133" s="774"/>
      <c r="XCN133" s="774"/>
      <c r="XCO133" s="774"/>
      <c r="XCP133" s="774"/>
      <c r="XCQ133" s="774"/>
      <c r="XCR133" s="774"/>
      <c r="XCS133" s="774"/>
      <c r="XCT133" s="774"/>
      <c r="XCU133" s="774"/>
      <c r="XCV133" s="774"/>
      <c r="XCW133" s="774"/>
      <c r="XCX133" s="774"/>
      <c r="XCY133" s="774"/>
      <c r="XCZ133" s="774"/>
      <c r="XDA133" s="774"/>
      <c r="XDB133" s="774"/>
      <c r="XDC133" s="774"/>
      <c r="XDD133" s="774"/>
      <c r="XDE133" s="774"/>
      <c r="XDF133" s="774"/>
      <c r="XDG133" s="774"/>
      <c r="XDH133" s="774"/>
      <c r="XDI133" s="774"/>
      <c r="XDJ133" s="774"/>
      <c r="XDK133" s="774"/>
      <c r="XDL133" s="774"/>
      <c r="XDM133" s="774"/>
      <c r="XDN133" s="774"/>
      <c r="XDO133" s="774"/>
      <c r="XDP133" s="774"/>
      <c r="XDQ133" s="774"/>
      <c r="XDR133" s="774"/>
      <c r="XDS133" s="774"/>
      <c r="XDT133" s="774"/>
      <c r="XDU133" s="774"/>
      <c r="XDV133" s="774"/>
      <c r="XDW133" s="774"/>
      <c r="XDX133" s="774"/>
      <c r="XDY133" s="774"/>
      <c r="XDZ133" s="774"/>
      <c r="XEA133" s="774"/>
      <c r="XEB133" s="774"/>
      <c r="XEC133" s="774"/>
      <c r="XED133" s="774"/>
      <c r="XEE133" s="774"/>
      <c r="XEF133" s="774"/>
      <c r="XEG133" s="774"/>
      <c r="XEH133" s="774"/>
      <c r="XEI133" s="774"/>
      <c r="XEJ133" s="774"/>
      <c r="XEK133" s="774"/>
      <c r="XEL133" s="774"/>
      <c r="XEM133" s="774"/>
      <c r="XEN133" s="774"/>
      <c r="XEO133" s="774"/>
      <c r="XEP133" s="774"/>
      <c r="XEQ133" s="774"/>
      <c r="XER133" s="774"/>
      <c r="XES133" s="774"/>
      <c r="XET133" s="774"/>
      <c r="XEU133" s="774"/>
      <c r="XEV133" s="774"/>
      <c r="XEW133" s="774"/>
      <c r="XEX133" s="774"/>
      <c r="XEY133" s="774"/>
      <c r="XEZ133" s="774"/>
      <c r="XFA133" s="774"/>
      <c r="XFB133" s="774"/>
      <c r="XFC133" s="774"/>
      <c r="XFD133" s="774"/>
    </row>
    <row r="134" spans="1:16384" s="740" customFormat="1" ht="12" customHeight="1">
      <c r="A134" s="756" t="s">
        <v>1971</v>
      </c>
      <c r="B134" s="756" t="s">
        <v>1972</v>
      </c>
      <c r="C134" s="757">
        <v>18.47</v>
      </c>
      <c r="D134" s="757"/>
      <c r="E134" s="757">
        <f>+'Proposed Rates'!B215</f>
        <v>18.86</v>
      </c>
      <c r="F134" s="757"/>
      <c r="G134" s="743">
        <v>240.10999999999999</v>
      </c>
      <c r="H134" s="757"/>
      <c r="I134" s="743">
        <v>245.17999999999995</v>
      </c>
      <c r="J134" s="757"/>
      <c r="K134" s="743">
        <f t="shared" si="31"/>
        <v>485.28999999999996</v>
      </c>
      <c r="L134" s="757"/>
      <c r="M134" s="775">
        <f t="shared" si="28"/>
        <v>1.857142857142857</v>
      </c>
      <c r="N134" s="757"/>
      <c r="O134" s="759">
        <f t="shared" si="29"/>
        <v>2.5999999999999992</v>
      </c>
      <c r="P134" s="757"/>
      <c r="Q134" s="759">
        <f t="shared" si="30"/>
        <v>2.2285714285714282</v>
      </c>
      <c r="R134" s="757"/>
      <c r="S134" s="840">
        <f t="shared" si="32"/>
        <v>1.6699867203963137</v>
      </c>
      <c r="T134" s="840"/>
      <c r="U134" s="840"/>
      <c r="V134" s="841"/>
      <c r="W134" s="987">
        <f t="shared" si="33"/>
        <v>44.660216294027123</v>
      </c>
      <c r="X134" s="841"/>
      <c r="Y134" s="858">
        <f t="shared" si="34"/>
        <v>20.529986720396312</v>
      </c>
      <c r="Z134" s="858">
        <f t="shared" si="35"/>
        <v>529.95021629402709</v>
      </c>
    </row>
    <row r="135" spans="1:16384" s="740" customFormat="1" ht="12" customHeight="1">
      <c r="A135" s="756" t="s">
        <v>1973</v>
      </c>
      <c r="B135" s="756" t="s">
        <v>1974</v>
      </c>
      <c r="C135" s="757">
        <v>22.77</v>
      </c>
      <c r="D135" s="757"/>
      <c r="E135" s="757">
        <f>+'Proposed Rates'!B216</f>
        <v>23.25</v>
      </c>
      <c r="F135" s="757"/>
      <c r="G135" s="743">
        <v>45.54</v>
      </c>
      <c r="H135" s="757"/>
      <c r="I135" s="743">
        <v>69.75</v>
      </c>
      <c r="J135" s="757"/>
      <c r="K135" s="743">
        <f t="shared" si="31"/>
        <v>115.28999999999999</v>
      </c>
      <c r="L135" s="757"/>
      <c r="M135" s="775">
        <f t="shared" si="28"/>
        <v>0.2857142857142857</v>
      </c>
      <c r="N135" s="757"/>
      <c r="O135" s="759">
        <f t="shared" si="29"/>
        <v>0.6</v>
      </c>
      <c r="P135" s="757"/>
      <c r="Q135" s="759">
        <f t="shared" si="30"/>
        <v>0.44285714285714284</v>
      </c>
      <c r="R135" s="757"/>
      <c r="S135" s="840">
        <f t="shared" si="32"/>
        <v>2.0587057926412671</v>
      </c>
      <c r="T135" s="840"/>
      <c r="U135" s="840"/>
      <c r="V135" s="841"/>
      <c r="W135" s="987">
        <f t="shared" si="33"/>
        <v>10.940550783750734</v>
      </c>
      <c r="X135" s="841"/>
      <c r="Y135" s="858">
        <f t="shared" si="34"/>
        <v>25.308705792641266</v>
      </c>
      <c r="Z135" s="858">
        <f t="shared" si="35"/>
        <v>126.23055078375073</v>
      </c>
    </row>
    <row r="136" spans="1:16384" s="740" customFormat="1" ht="12" customHeight="1">
      <c r="A136" s="756" t="s">
        <v>1975</v>
      </c>
      <c r="B136" s="756" t="s">
        <v>1976</v>
      </c>
      <c r="C136" s="757">
        <v>22.77</v>
      </c>
      <c r="D136" s="757"/>
      <c r="E136" s="757">
        <f>+'Proposed Rates'!B217</f>
        <v>23.25</v>
      </c>
      <c r="F136" s="757"/>
      <c r="G136" s="743">
        <v>22.77</v>
      </c>
      <c r="H136" s="757"/>
      <c r="I136" s="743">
        <v>46.5</v>
      </c>
      <c r="J136" s="757"/>
      <c r="K136" s="743">
        <f t="shared" si="31"/>
        <v>69.27</v>
      </c>
      <c r="L136" s="757"/>
      <c r="M136" s="775">
        <f t="shared" si="28"/>
        <v>0.14285714285714285</v>
      </c>
      <c r="N136" s="757"/>
      <c r="O136" s="759">
        <f t="shared" si="29"/>
        <v>0.4</v>
      </c>
      <c r="P136" s="757"/>
      <c r="Q136" s="759">
        <f t="shared" si="30"/>
        <v>0.27142857142857146</v>
      </c>
      <c r="R136" s="757"/>
      <c r="S136" s="840">
        <f t="shared" si="32"/>
        <v>2.0587057926412671</v>
      </c>
      <c r="T136" s="840"/>
      <c r="U136" s="840"/>
      <c r="V136" s="841"/>
      <c r="W136" s="987">
        <f t="shared" si="33"/>
        <v>6.7054988674601272</v>
      </c>
      <c r="X136" s="841"/>
      <c r="Y136" s="858">
        <f t="shared" si="34"/>
        <v>25.308705792641266</v>
      </c>
      <c r="Z136" s="858">
        <f t="shared" si="35"/>
        <v>75.975498867460118</v>
      </c>
    </row>
    <row r="137" spans="1:16384" s="740" customFormat="1" ht="12" customHeight="1">
      <c r="A137" s="756" t="s">
        <v>1977</v>
      </c>
      <c r="B137" s="756" t="s">
        <v>1978</v>
      </c>
      <c r="C137" s="757">
        <v>18.47</v>
      </c>
      <c r="D137" s="757"/>
      <c r="E137" s="757">
        <f>+'Proposed Rates'!B214</f>
        <v>18.86</v>
      </c>
      <c r="F137" s="757"/>
      <c r="G137" s="743">
        <v>111.82</v>
      </c>
      <c r="H137" s="757"/>
      <c r="I137" s="743">
        <v>56.28</v>
      </c>
      <c r="J137" s="757"/>
      <c r="K137" s="743">
        <f t="shared" si="31"/>
        <v>168.1</v>
      </c>
      <c r="L137" s="757"/>
      <c r="M137" s="775">
        <f t="shared" si="28"/>
        <v>0.86487740737876095</v>
      </c>
      <c r="N137" s="757"/>
      <c r="O137" s="759">
        <f t="shared" si="29"/>
        <v>0.59681866383881232</v>
      </c>
      <c r="P137" s="757"/>
      <c r="Q137" s="759">
        <f t="shared" si="30"/>
        <v>0.73084803560878664</v>
      </c>
      <c r="R137" s="757"/>
      <c r="S137" s="840">
        <f t="shared" si="32"/>
        <v>1.6699867203963137</v>
      </c>
      <c r="T137" s="840"/>
      <c r="U137" s="840"/>
      <c r="V137" s="841"/>
      <c r="W137" s="987">
        <f t="shared" si="33"/>
        <v>14.646078169132871</v>
      </c>
      <c r="X137" s="841"/>
      <c r="Y137" s="858">
        <f t="shared" si="34"/>
        <v>20.529986720396312</v>
      </c>
      <c r="Z137" s="858">
        <f t="shared" si="35"/>
        <v>182.74607816913286</v>
      </c>
    </row>
    <row r="138" spans="1:16384" s="740" customFormat="1" ht="12" customHeight="1">
      <c r="A138" s="756" t="s">
        <v>1979</v>
      </c>
      <c r="B138" s="756" t="s">
        <v>1980</v>
      </c>
      <c r="C138" s="757">
        <v>45</v>
      </c>
      <c r="D138" s="757"/>
      <c r="E138" s="995">
        <v>45</v>
      </c>
      <c r="F138" s="776"/>
      <c r="G138" s="743">
        <v>1260</v>
      </c>
      <c r="H138" s="776"/>
      <c r="I138" s="743">
        <v>765</v>
      </c>
      <c r="J138" s="776"/>
      <c r="K138" s="743">
        <f t="shared" si="31"/>
        <v>2025</v>
      </c>
      <c r="L138" s="776"/>
      <c r="M138" s="775">
        <f t="shared" si="28"/>
        <v>4</v>
      </c>
      <c r="N138" s="757"/>
      <c r="O138" s="759">
        <f t="shared" si="29"/>
        <v>3.4</v>
      </c>
      <c r="P138" s="757"/>
      <c r="Q138" s="759">
        <f t="shared" si="30"/>
        <v>3.7</v>
      </c>
      <c r="R138" s="776"/>
      <c r="S138" s="840">
        <f t="shared" si="32"/>
        <v>3.9845918567250331</v>
      </c>
      <c r="T138" s="845"/>
      <c r="U138" s="845"/>
      <c r="V138" s="846"/>
      <c r="W138" s="987">
        <f t="shared" si="33"/>
        <v>176.91587843859148</v>
      </c>
      <c r="X138" s="1244"/>
      <c r="Y138" s="858">
        <f t="shared" si="34"/>
        <v>48.984591856725032</v>
      </c>
      <c r="Z138" s="858">
        <f t="shared" si="35"/>
        <v>2201.9158784385913</v>
      </c>
      <c r="AA138" s="774"/>
      <c r="AB138" s="774"/>
      <c r="AC138" s="774"/>
      <c r="AD138" s="774"/>
      <c r="AE138" s="774"/>
      <c r="AF138" s="774"/>
      <c r="AG138" s="774"/>
      <c r="AH138" s="774"/>
      <c r="AI138" s="774"/>
      <c r="AJ138" s="774"/>
      <c r="AK138" s="774"/>
      <c r="AL138" s="774"/>
      <c r="AM138" s="774"/>
      <c r="AN138" s="774"/>
      <c r="AO138" s="774"/>
      <c r="AP138" s="774"/>
      <c r="AQ138" s="774"/>
      <c r="AR138" s="774"/>
      <c r="AS138" s="774"/>
      <c r="AT138" s="774"/>
      <c r="AU138" s="774"/>
      <c r="AV138" s="774"/>
      <c r="AW138" s="774"/>
      <c r="AX138" s="774"/>
      <c r="AY138" s="774"/>
      <c r="AZ138" s="774"/>
      <c r="BA138" s="774"/>
      <c r="BB138" s="774"/>
      <c r="BC138" s="774"/>
      <c r="BD138" s="774"/>
      <c r="BE138" s="774"/>
      <c r="BF138" s="774"/>
      <c r="BG138" s="774"/>
      <c r="BH138" s="774"/>
      <c r="BI138" s="774"/>
      <c r="BJ138" s="774"/>
      <c r="BK138" s="774"/>
      <c r="BL138" s="774"/>
      <c r="BM138" s="774"/>
      <c r="BN138" s="774"/>
      <c r="BO138" s="774"/>
      <c r="BP138" s="774"/>
      <c r="BQ138" s="774"/>
      <c r="BR138" s="774"/>
      <c r="BS138" s="774"/>
      <c r="BT138" s="774"/>
      <c r="BU138" s="774"/>
      <c r="BV138" s="774"/>
      <c r="BW138" s="774"/>
      <c r="BX138" s="774"/>
      <c r="BY138" s="774"/>
      <c r="BZ138" s="774"/>
      <c r="CA138" s="774"/>
      <c r="CB138" s="774"/>
      <c r="CC138" s="774"/>
      <c r="CD138" s="774"/>
      <c r="CE138" s="774"/>
      <c r="CF138" s="774"/>
      <c r="CG138" s="774"/>
      <c r="CH138" s="774"/>
      <c r="CI138" s="774"/>
      <c r="CJ138" s="774"/>
      <c r="CK138" s="774"/>
      <c r="CL138" s="774"/>
      <c r="CM138" s="774"/>
      <c r="CN138" s="774"/>
      <c r="CO138" s="774"/>
      <c r="CP138" s="774"/>
      <c r="CQ138" s="774"/>
      <c r="CR138" s="774"/>
      <c r="CS138" s="774"/>
      <c r="CT138" s="774"/>
      <c r="CU138" s="774"/>
      <c r="CV138" s="774"/>
      <c r="CW138" s="774"/>
      <c r="CX138" s="774"/>
      <c r="CY138" s="774"/>
      <c r="CZ138" s="774"/>
      <c r="DA138" s="774"/>
      <c r="DB138" s="774"/>
      <c r="DC138" s="774"/>
      <c r="DD138" s="774"/>
      <c r="DE138" s="774"/>
      <c r="DF138" s="774"/>
      <c r="DG138" s="774"/>
      <c r="DH138" s="774"/>
      <c r="DI138" s="774"/>
      <c r="DJ138" s="774"/>
      <c r="DK138" s="774"/>
      <c r="DL138" s="774"/>
      <c r="DM138" s="774"/>
      <c r="DN138" s="774"/>
      <c r="DO138" s="774"/>
      <c r="DP138" s="774"/>
      <c r="DQ138" s="774"/>
      <c r="DR138" s="774"/>
      <c r="DS138" s="774"/>
      <c r="DT138" s="774"/>
      <c r="DU138" s="774"/>
      <c r="DV138" s="774"/>
      <c r="DW138" s="774"/>
      <c r="DX138" s="774"/>
      <c r="DY138" s="774"/>
      <c r="DZ138" s="774"/>
      <c r="EA138" s="774"/>
      <c r="EB138" s="774"/>
      <c r="EC138" s="774"/>
      <c r="ED138" s="774"/>
      <c r="EE138" s="774"/>
      <c r="EF138" s="774"/>
      <c r="EG138" s="774"/>
      <c r="EH138" s="774"/>
      <c r="EI138" s="774"/>
      <c r="EJ138" s="774"/>
      <c r="EK138" s="774"/>
      <c r="EL138" s="774"/>
      <c r="EM138" s="774"/>
      <c r="EN138" s="774"/>
      <c r="EO138" s="774"/>
      <c r="EP138" s="774"/>
      <c r="EQ138" s="774"/>
      <c r="ER138" s="774"/>
      <c r="ES138" s="774"/>
      <c r="ET138" s="774"/>
      <c r="EU138" s="774"/>
      <c r="EV138" s="774"/>
      <c r="EW138" s="774"/>
      <c r="EX138" s="774"/>
      <c r="EY138" s="774"/>
      <c r="EZ138" s="774"/>
      <c r="FA138" s="774"/>
      <c r="FB138" s="774"/>
      <c r="FC138" s="774"/>
      <c r="FD138" s="774"/>
      <c r="FE138" s="774"/>
      <c r="FF138" s="774"/>
      <c r="FG138" s="774"/>
      <c r="FH138" s="774"/>
      <c r="FI138" s="774"/>
      <c r="FJ138" s="774"/>
      <c r="FK138" s="774"/>
      <c r="FL138" s="774"/>
      <c r="FM138" s="774"/>
      <c r="FN138" s="774"/>
      <c r="FO138" s="774"/>
      <c r="FP138" s="774"/>
      <c r="FQ138" s="774"/>
      <c r="FR138" s="774"/>
      <c r="FS138" s="774"/>
      <c r="FT138" s="774"/>
      <c r="FU138" s="774"/>
      <c r="FV138" s="774"/>
      <c r="FW138" s="774"/>
      <c r="FX138" s="774"/>
      <c r="FY138" s="774"/>
      <c r="FZ138" s="774"/>
      <c r="GA138" s="774"/>
      <c r="GB138" s="774"/>
      <c r="GC138" s="774"/>
      <c r="GD138" s="774"/>
      <c r="GE138" s="774"/>
      <c r="GF138" s="774"/>
      <c r="GG138" s="774"/>
      <c r="GH138" s="774"/>
      <c r="GI138" s="774"/>
      <c r="GJ138" s="774"/>
      <c r="GK138" s="774"/>
      <c r="GL138" s="774"/>
      <c r="GM138" s="774"/>
      <c r="GN138" s="774"/>
      <c r="GO138" s="774"/>
      <c r="GP138" s="774"/>
      <c r="GQ138" s="774"/>
      <c r="GR138" s="774"/>
      <c r="GS138" s="774"/>
      <c r="GT138" s="774"/>
      <c r="GU138" s="774"/>
      <c r="GV138" s="774"/>
      <c r="GW138" s="774"/>
      <c r="GX138" s="774"/>
      <c r="GY138" s="774"/>
      <c r="GZ138" s="774"/>
      <c r="HA138" s="774"/>
      <c r="HB138" s="774"/>
      <c r="HC138" s="774"/>
      <c r="HD138" s="774"/>
      <c r="HE138" s="774"/>
      <c r="HF138" s="774"/>
      <c r="HG138" s="774"/>
      <c r="HH138" s="774"/>
      <c r="HI138" s="774"/>
      <c r="HJ138" s="774"/>
      <c r="HK138" s="774"/>
      <c r="HL138" s="774"/>
      <c r="HM138" s="774"/>
      <c r="HN138" s="774"/>
      <c r="HO138" s="774"/>
      <c r="HP138" s="774"/>
      <c r="HQ138" s="774"/>
      <c r="HR138" s="774"/>
      <c r="HS138" s="774"/>
      <c r="HT138" s="774"/>
      <c r="HU138" s="774"/>
      <c r="HV138" s="774"/>
      <c r="HW138" s="774"/>
      <c r="HX138" s="774"/>
      <c r="HY138" s="774"/>
      <c r="HZ138" s="774"/>
      <c r="IA138" s="774"/>
      <c r="IB138" s="774"/>
      <c r="IC138" s="774"/>
      <c r="ID138" s="774"/>
      <c r="IE138" s="774"/>
      <c r="IF138" s="774"/>
      <c r="IG138" s="774"/>
      <c r="IH138" s="774"/>
      <c r="II138" s="774"/>
      <c r="IJ138" s="774"/>
      <c r="IK138" s="774"/>
      <c r="IL138" s="774"/>
      <c r="IM138" s="774"/>
      <c r="IN138" s="774"/>
      <c r="IO138" s="774"/>
      <c r="IP138" s="774"/>
      <c r="IQ138" s="774"/>
      <c r="IR138" s="774"/>
      <c r="IS138" s="774"/>
      <c r="IT138" s="774"/>
      <c r="IU138" s="774"/>
      <c r="IV138" s="774"/>
      <c r="IW138" s="774"/>
      <c r="IX138" s="774"/>
      <c r="IY138" s="774"/>
      <c r="IZ138" s="774"/>
      <c r="JA138" s="774"/>
      <c r="JB138" s="774"/>
      <c r="JC138" s="774"/>
      <c r="JD138" s="774"/>
      <c r="JE138" s="774"/>
      <c r="JF138" s="774"/>
      <c r="JG138" s="774"/>
      <c r="JH138" s="774"/>
      <c r="JI138" s="774"/>
      <c r="JJ138" s="774"/>
      <c r="JK138" s="774"/>
      <c r="JL138" s="774"/>
      <c r="JM138" s="774"/>
      <c r="JN138" s="774"/>
      <c r="JO138" s="774"/>
      <c r="JP138" s="774"/>
      <c r="JQ138" s="774"/>
      <c r="JR138" s="774"/>
      <c r="JS138" s="774"/>
      <c r="JT138" s="774"/>
      <c r="JU138" s="774"/>
      <c r="JV138" s="774"/>
      <c r="JW138" s="774"/>
      <c r="JX138" s="774"/>
      <c r="JY138" s="774"/>
      <c r="JZ138" s="774"/>
      <c r="KA138" s="774"/>
      <c r="KB138" s="774"/>
      <c r="KC138" s="774"/>
      <c r="KD138" s="774"/>
      <c r="KE138" s="774"/>
      <c r="KF138" s="774"/>
      <c r="KG138" s="774"/>
      <c r="KH138" s="774"/>
      <c r="KI138" s="774"/>
      <c r="KJ138" s="774"/>
      <c r="KK138" s="774"/>
      <c r="KL138" s="774"/>
      <c r="KM138" s="774"/>
      <c r="KN138" s="774"/>
      <c r="KO138" s="774"/>
      <c r="KP138" s="774"/>
      <c r="KQ138" s="774"/>
      <c r="KR138" s="774"/>
      <c r="KS138" s="774"/>
      <c r="KT138" s="774"/>
      <c r="KU138" s="774"/>
      <c r="KV138" s="774"/>
      <c r="KW138" s="774"/>
      <c r="KX138" s="774"/>
      <c r="KY138" s="774"/>
      <c r="KZ138" s="774"/>
      <c r="LA138" s="774"/>
      <c r="LB138" s="774"/>
      <c r="LC138" s="774"/>
      <c r="LD138" s="774"/>
      <c r="LE138" s="774"/>
      <c r="LF138" s="774"/>
      <c r="LG138" s="774"/>
      <c r="LH138" s="774"/>
      <c r="LI138" s="774"/>
      <c r="LJ138" s="774"/>
      <c r="LK138" s="774"/>
      <c r="LL138" s="774"/>
      <c r="LM138" s="774"/>
      <c r="LN138" s="774"/>
      <c r="LO138" s="774"/>
      <c r="LP138" s="774"/>
      <c r="LQ138" s="774"/>
      <c r="LR138" s="774"/>
      <c r="LS138" s="774"/>
      <c r="LT138" s="774"/>
      <c r="LU138" s="774"/>
      <c r="LV138" s="774"/>
      <c r="LW138" s="774"/>
      <c r="LX138" s="774"/>
      <c r="LY138" s="774"/>
      <c r="LZ138" s="774"/>
      <c r="MA138" s="774"/>
      <c r="MB138" s="774"/>
      <c r="MC138" s="774"/>
      <c r="MD138" s="774"/>
      <c r="ME138" s="774"/>
      <c r="MF138" s="774"/>
      <c r="MG138" s="774"/>
      <c r="MH138" s="774"/>
      <c r="MI138" s="774"/>
      <c r="MJ138" s="774"/>
      <c r="MK138" s="774"/>
      <c r="ML138" s="774"/>
      <c r="MM138" s="774"/>
      <c r="MN138" s="774"/>
      <c r="MO138" s="774"/>
      <c r="MP138" s="774"/>
      <c r="MQ138" s="774"/>
      <c r="MR138" s="774"/>
      <c r="MS138" s="774"/>
      <c r="MT138" s="774"/>
      <c r="MU138" s="774"/>
      <c r="MV138" s="774"/>
      <c r="MW138" s="774"/>
      <c r="MX138" s="774"/>
      <c r="MY138" s="774"/>
      <c r="MZ138" s="774"/>
      <c r="NA138" s="774"/>
      <c r="NB138" s="774"/>
      <c r="NC138" s="774"/>
      <c r="ND138" s="774"/>
      <c r="NE138" s="774"/>
      <c r="NF138" s="774"/>
      <c r="NG138" s="774"/>
      <c r="NH138" s="774"/>
      <c r="NI138" s="774"/>
      <c r="NJ138" s="774"/>
      <c r="NK138" s="774"/>
      <c r="NL138" s="774"/>
      <c r="NM138" s="774"/>
      <c r="NN138" s="774"/>
      <c r="NO138" s="774"/>
      <c r="NP138" s="774"/>
      <c r="NQ138" s="774"/>
      <c r="NR138" s="774"/>
      <c r="NS138" s="774"/>
      <c r="NT138" s="774"/>
      <c r="NU138" s="774"/>
      <c r="NV138" s="774"/>
      <c r="NW138" s="774"/>
      <c r="NX138" s="774"/>
      <c r="NY138" s="774"/>
      <c r="NZ138" s="774"/>
      <c r="OA138" s="774"/>
      <c r="OB138" s="774"/>
      <c r="OC138" s="774"/>
      <c r="OD138" s="774"/>
      <c r="OE138" s="774"/>
      <c r="OF138" s="774"/>
      <c r="OG138" s="774"/>
      <c r="OH138" s="774"/>
      <c r="OI138" s="774"/>
      <c r="OJ138" s="774"/>
      <c r="OK138" s="774"/>
      <c r="OL138" s="774"/>
      <c r="OM138" s="774"/>
      <c r="ON138" s="774"/>
      <c r="OO138" s="774"/>
      <c r="OP138" s="774"/>
      <c r="OQ138" s="774"/>
      <c r="OR138" s="774"/>
      <c r="OS138" s="774"/>
      <c r="OT138" s="774"/>
      <c r="OU138" s="774"/>
      <c r="OV138" s="774"/>
      <c r="OW138" s="774"/>
      <c r="OX138" s="774"/>
      <c r="OY138" s="774"/>
      <c r="OZ138" s="774"/>
      <c r="PA138" s="774"/>
      <c r="PB138" s="774"/>
      <c r="PC138" s="774"/>
      <c r="PD138" s="774"/>
      <c r="PE138" s="774"/>
      <c r="PF138" s="774"/>
      <c r="PG138" s="774"/>
      <c r="PH138" s="774"/>
      <c r="PI138" s="774"/>
      <c r="PJ138" s="774"/>
      <c r="PK138" s="774"/>
      <c r="PL138" s="774"/>
      <c r="PM138" s="774"/>
      <c r="PN138" s="774"/>
      <c r="PO138" s="774"/>
      <c r="PP138" s="774"/>
      <c r="PQ138" s="774"/>
      <c r="PR138" s="774"/>
      <c r="PS138" s="774"/>
      <c r="PT138" s="774"/>
      <c r="PU138" s="774"/>
      <c r="PV138" s="774"/>
      <c r="PW138" s="774"/>
      <c r="PX138" s="774"/>
      <c r="PY138" s="774"/>
      <c r="PZ138" s="774"/>
      <c r="QA138" s="774"/>
      <c r="QB138" s="774"/>
      <c r="QC138" s="774"/>
      <c r="QD138" s="774"/>
      <c r="QE138" s="774"/>
      <c r="QF138" s="774"/>
      <c r="QG138" s="774"/>
      <c r="QH138" s="774"/>
      <c r="QI138" s="774"/>
      <c r="QJ138" s="774"/>
      <c r="QK138" s="774"/>
      <c r="QL138" s="774"/>
      <c r="QM138" s="774"/>
      <c r="QN138" s="774"/>
      <c r="QO138" s="774"/>
      <c r="QP138" s="774"/>
      <c r="QQ138" s="774"/>
      <c r="QR138" s="774"/>
      <c r="QS138" s="774"/>
      <c r="QT138" s="774"/>
      <c r="QU138" s="774"/>
      <c r="QV138" s="774"/>
      <c r="QW138" s="774"/>
      <c r="QX138" s="774"/>
      <c r="QY138" s="774"/>
      <c r="QZ138" s="774"/>
      <c r="RA138" s="774"/>
      <c r="RB138" s="774"/>
      <c r="RC138" s="774"/>
      <c r="RD138" s="774"/>
      <c r="RE138" s="774"/>
      <c r="RF138" s="774"/>
      <c r="RG138" s="774"/>
      <c r="RH138" s="774"/>
      <c r="RI138" s="774"/>
      <c r="RJ138" s="774"/>
      <c r="RK138" s="774"/>
      <c r="RL138" s="774"/>
      <c r="RM138" s="774"/>
      <c r="RN138" s="774"/>
      <c r="RO138" s="774"/>
      <c r="RP138" s="774"/>
      <c r="RQ138" s="774"/>
      <c r="RR138" s="774"/>
      <c r="RS138" s="774"/>
      <c r="RT138" s="774"/>
      <c r="RU138" s="774"/>
      <c r="RV138" s="774"/>
      <c r="RW138" s="774"/>
      <c r="RX138" s="774"/>
      <c r="RY138" s="774"/>
      <c r="RZ138" s="774"/>
      <c r="SA138" s="774"/>
      <c r="SB138" s="774"/>
      <c r="SC138" s="774"/>
      <c r="SD138" s="774"/>
      <c r="SE138" s="774"/>
      <c r="SF138" s="774"/>
      <c r="SG138" s="774"/>
      <c r="SH138" s="774"/>
      <c r="SI138" s="774"/>
      <c r="SJ138" s="774"/>
      <c r="SK138" s="774"/>
      <c r="SL138" s="774"/>
      <c r="SM138" s="774"/>
      <c r="SN138" s="774"/>
      <c r="SO138" s="774"/>
      <c r="SP138" s="774"/>
      <c r="SQ138" s="774"/>
      <c r="SR138" s="774"/>
      <c r="SS138" s="774"/>
      <c r="ST138" s="774"/>
      <c r="SU138" s="774"/>
      <c r="SV138" s="774"/>
      <c r="SW138" s="774"/>
      <c r="SX138" s="774"/>
      <c r="SY138" s="774"/>
      <c r="SZ138" s="774"/>
      <c r="TA138" s="774"/>
      <c r="TB138" s="774"/>
      <c r="TC138" s="774"/>
      <c r="TD138" s="774"/>
      <c r="TE138" s="774"/>
      <c r="TF138" s="774"/>
      <c r="TG138" s="774"/>
      <c r="TH138" s="774"/>
      <c r="TI138" s="774"/>
      <c r="TJ138" s="774"/>
      <c r="TK138" s="774"/>
      <c r="TL138" s="774"/>
      <c r="TM138" s="774"/>
      <c r="TN138" s="774"/>
      <c r="TO138" s="774"/>
      <c r="TP138" s="774"/>
      <c r="TQ138" s="774"/>
      <c r="TR138" s="774"/>
      <c r="TS138" s="774"/>
      <c r="TT138" s="774"/>
      <c r="TU138" s="774"/>
      <c r="TV138" s="774"/>
      <c r="TW138" s="774"/>
      <c r="TX138" s="774"/>
      <c r="TY138" s="774"/>
      <c r="TZ138" s="774"/>
      <c r="UA138" s="774"/>
      <c r="UB138" s="774"/>
      <c r="UC138" s="774"/>
      <c r="UD138" s="774"/>
      <c r="UE138" s="774"/>
      <c r="UF138" s="774"/>
      <c r="UG138" s="774"/>
      <c r="UH138" s="774"/>
      <c r="UI138" s="774"/>
      <c r="UJ138" s="774"/>
      <c r="UK138" s="774"/>
      <c r="UL138" s="774"/>
      <c r="UM138" s="774"/>
      <c r="UN138" s="774"/>
      <c r="UO138" s="774"/>
      <c r="UP138" s="774"/>
      <c r="UQ138" s="774"/>
      <c r="UR138" s="774"/>
      <c r="US138" s="774"/>
      <c r="UT138" s="774"/>
      <c r="UU138" s="774"/>
      <c r="UV138" s="774"/>
      <c r="UW138" s="774"/>
      <c r="UX138" s="774"/>
      <c r="UY138" s="774"/>
      <c r="UZ138" s="774"/>
      <c r="VA138" s="774"/>
      <c r="VB138" s="774"/>
      <c r="VC138" s="774"/>
      <c r="VD138" s="774"/>
      <c r="VE138" s="774"/>
      <c r="VF138" s="774"/>
      <c r="VG138" s="774"/>
      <c r="VH138" s="774"/>
      <c r="VI138" s="774"/>
      <c r="VJ138" s="774"/>
      <c r="VK138" s="774"/>
      <c r="VL138" s="774"/>
      <c r="VM138" s="774"/>
      <c r="VN138" s="774"/>
      <c r="VO138" s="774"/>
      <c r="VP138" s="774"/>
      <c r="VQ138" s="774"/>
      <c r="VR138" s="774"/>
      <c r="VS138" s="774"/>
      <c r="VT138" s="774"/>
      <c r="VU138" s="774"/>
      <c r="VV138" s="774"/>
      <c r="VW138" s="774"/>
      <c r="VX138" s="774"/>
      <c r="VY138" s="774"/>
      <c r="VZ138" s="774"/>
      <c r="WA138" s="774"/>
      <c r="WB138" s="774"/>
      <c r="WC138" s="774"/>
      <c r="WD138" s="774"/>
      <c r="WE138" s="774"/>
      <c r="WF138" s="774"/>
      <c r="WG138" s="774"/>
      <c r="WH138" s="774"/>
      <c r="WI138" s="774"/>
      <c r="WJ138" s="774"/>
      <c r="WK138" s="774"/>
      <c r="WL138" s="774"/>
      <c r="WM138" s="774"/>
      <c r="WN138" s="774"/>
      <c r="WO138" s="774"/>
      <c r="WP138" s="774"/>
      <c r="WQ138" s="774"/>
      <c r="WR138" s="774"/>
      <c r="WS138" s="774"/>
      <c r="WT138" s="774"/>
      <c r="WU138" s="774"/>
      <c r="WV138" s="774"/>
      <c r="WW138" s="774"/>
      <c r="WX138" s="774"/>
      <c r="WY138" s="774"/>
      <c r="WZ138" s="774"/>
      <c r="XA138" s="774"/>
      <c r="XB138" s="774"/>
      <c r="XC138" s="774"/>
      <c r="XD138" s="774"/>
      <c r="XE138" s="774"/>
      <c r="XF138" s="774"/>
      <c r="XG138" s="774"/>
      <c r="XH138" s="774"/>
      <c r="XI138" s="774"/>
      <c r="XJ138" s="774"/>
      <c r="XK138" s="774"/>
      <c r="XL138" s="774"/>
      <c r="XM138" s="774"/>
      <c r="XN138" s="774"/>
      <c r="XO138" s="774"/>
      <c r="XP138" s="774"/>
      <c r="XQ138" s="774"/>
      <c r="XR138" s="774"/>
      <c r="XS138" s="774"/>
      <c r="XT138" s="774"/>
      <c r="XU138" s="774"/>
      <c r="XV138" s="774"/>
      <c r="XW138" s="774"/>
      <c r="XX138" s="774"/>
      <c r="XY138" s="774"/>
      <c r="XZ138" s="774"/>
      <c r="YA138" s="774"/>
      <c r="YB138" s="774"/>
      <c r="YC138" s="774"/>
      <c r="YD138" s="774"/>
      <c r="YE138" s="774"/>
      <c r="YF138" s="774"/>
      <c r="YG138" s="774"/>
      <c r="YH138" s="774"/>
      <c r="YI138" s="774"/>
      <c r="YJ138" s="774"/>
      <c r="YK138" s="774"/>
      <c r="YL138" s="774"/>
      <c r="YM138" s="774"/>
      <c r="YN138" s="774"/>
      <c r="YO138" s="774"/>
      <c r="YP138" s="774"/>
      <c r="YQ138" s="774"/>
      <c r="YR138" s="774"/>
      <c r="YS138" s="774"/>
      <c r="YT138" s="774"/>
      <c r="YU138" s="774"/>
      <c r="YV138" s="774"/>
      <c r="YW138" s="774"/>
      <c r="YX138" s="774"/>
      <c r="YY138" s="774"/>
      <c r="YZ138" s="774"/>
      <c r="ZA138" s="774"/>
      <c r="ZB138" s="774"/>
      <c r="ZC138" s="774"/>
      <c r="ZD138" s="774"/>
      <c r="ZE138" s="774"/>
      <c r="ZF138" s="774"/>
      <c r="ZG138" s="774"/>
      <c r="ZH138" s="774"/>
      <c r="ZI138" s="774"/>
      <c r="ZJ138" s="774"/>
      <c r="ZK138" s="774"/>
      <c r="ZL138" s="774"/>
      <c r="ZM138" s="774"/>
      <c r="ZN138" s="774"/>
      <c r="ZO138" s="774"/>
      <c r="ZP138" s="774"/>
      <c r="ZQ138" s="774"/>
      <c r="ZR138" s="774"/>
      <c r="ZS138" s="774"/>
      <c r="ZT138" s="774"/>
      <c r="ZU138" s="774"/>
      <c r="ZV138" s="774"/>
      <c r="ZW138" s="774"/>
      <c r="ZX138" s="774"/>
      <c r="ZY138" s="774"/>
      <c r="ZZ138" s="774"/>
      <c r="AAA138" s="774"/>
      <c r="AAB138" s="774"/>
      <c r="AAC138" s="774"/>
      <c r="AAD138" s="774"/>
      <c r="AAE138" s="774"/>
      <c r="AAF138" s="774"/>
      <c r="AAG138" s="774"/>
      <c r="AAH138" s="774"/>
      <c r="AAI138" s="774"/>
      <c r="AAJ138" s="774"/>
      <c r="AAK138" s="774"/>
      <c r="AAL138" s="774"/>
      <c r="AAM138" s="774"/>
      <c r="AAN138" s="774"/>
      <c r="AAO138" s="774"/>
      <c r="AAP138" s="774"/>
      <c r="AAQ138" s="774"/>
      <c r="AAR138" s="774"/>
      <c r="AAS138" s="774"/>
      <c r="AAT138" s="774"/>
      <c r="AAU138" s="774"/>
      <c r="AAV138" s="774"/>
      <c r="AAW138" s="774"/>
      <c r="AAX138" s="774"/>
      <c r="AAY138" s="774"/>
      <c r="AAZ138" s="774"/>
      <c r="ABA138" s="774"/>
      <c r="ABB138" s="774"/>
      <c r="ABC138" s="774"/>
      <c r="ABD138" s="774"/>
      <c r="ABE138" s="774"/>
      <c r="ABF138" s="774"/>
      <c r="ABG138" s="774"/>
      <c r="ABH138" s="774"/>
      <c r="ABI138" s="774"/>
      <c r="ABJ138" s="774"/>
      <c r="ABK138" s="774"/>
      <c r="ABL138" s="774"/>
      <c r="ABM138" s="774"/>
      <c r="ABN138" s="774"/>
      <c r="ABO138" s="774"/>
      <c r="ABP138" s="774"/>
      <c r="ABQ138" s="774"/>
      <c r="ABR138" s="774"/>
      <c r="ABS138" s="774"/>
      <c r="ABT138" s="774"/>
      <c r="ABU138" s="774"/>
      <c r="ABV138" s="774"/>
      <c r="ABW138" s="774"/>
      <c r="ABX138" s="774"/>
      <c r="ABY138" s="774"/>
      <c r="ABZ138" s="774"/>
      <c r="ACA138" s="774"/>
      <c r="ACB138" s="774"/>
      <c r="ACC138" s="774"/>
      <c r="ACD138" s="774"/>
      <c r="ACE138" s="774"/>
      <c r="ACF138" s="774"/>
      <c r="ACG138" s="774"/>
      <c r="ACH138" s="774"/>
      <c r="ACI138" s="774"/>
      <c r="ACJ138" s="774"/>
      <c r="ACK138" s="774"/>
      <c r="ACL138" s="774"/>
      <c r="ACM138" s="774"/>
      <c r="ACN138" s="774"/>
      <c r="ACO138" s="774"/>
      <c r="ACP138" s="774"/>
      <c r="ACQ138" s="774"/>
      <c r="ACR138" s="774"/>
      <c r="ACS138" s="774"/>
      <c r="ACT138" s="774"/>
      <c r="ACU138" s="774"/>
      <c r="ACV138" s="774"/>
      <c r="ACW138" s="774"/>
      <c r="ACX138" s="774"/>
      <c r="ACY138" s="774"/>
      <c r="ACZ138" s="774"/>
      <c r="ADA138" s="774"/>
      <c r="ADB138" s="774"/>
      <c r="ADC138" s="774"/>
      <c r="ADD138" s="774"/>
      <c r="ADE138" s="774"/>
      <c r="ADF138" s="774"/>
      <c r="ADG138" s="774"/>
      <c r="ADH138" s="774"/>
      <c r="ADI138" s="774"/>
      <c r="ADJ138" s="774"/>
      <c r="ADK138" s="774"/>
      <c r="ADL138" s="774"/>
      <c r="ADM138" s="774"/>
      <c r="ADN138" s="774"/>
      <c r="ADO138" s="774"/>
      <c r="ADP138" s="774"/>
      <c r="ADQ138" s="774"/>
      <c r="ADR138" s="774"/>
      <c r="ADS138" s="774"/>
      <c r="ADT138" s="774"/>
      <c r="ADU138" s="774"/>
      <c r="ADV138" s="774"/>
      <c r="ADW138" s="774"/>
      <c r="ADX138" s="774"/>
      <c r="ADY138" s="774"/>
      <c r="ADZ138" s="774"/>
      <c r="AEA138" s="774"/>
      <c r="AEB138" s="774"/>
      <c r="AEC138" s="774"/>
      <c r="AED138" s="774"/>
      <c r="AEE138" s="774"/>
      <c r="AEF138" s="774"/>
      <c r="AEG138" s="774"/>
      <c r="AEH138" s="774"/>
      <c r="AEI138" s="774"/>
      <c r="AEJ138" s="774"/>
      <c r="AEK138" s="774"/>
      <c r="AEL138" s="774"/>
      <c r="AEM138" s="774"/>
      <c r="AEN138" s="774"/>
      <c r="AEO138" s="774"/>
      <c r="AEP138" s="774"/>
      <c r="AEQ138" s="774"/>
      <c r="AER138" s="774"/>
      <c r="AES138" s="774"/>
      <c r="AET138" s="774"/>
      <c r="AEU138" s="774"/>
      <c r="AEV138" s="774"/>
      <c r="AEW138" s="774"/>
      <c r="AEX138" s="774"/>
      <c r="AEY138" s="774"/>
      <c r="AEZ138" s="774"/>
      <c r="AFA138" s="774"/>
      <c r="AFB138" s="774"/>
      <c r="AFC138" s="774"/>
      <c r="AFD138" s="774"/>
      <c r="AFE138" s="774"/>
      <c r="AFF138" s="774"/>
      <c r="AFG138" s="774"/>
      <c r="AFH138" s="774"/>
      <c r="AFI138" s="774"/>
      <c r="AFJ138" s="774"/>
      <c r="AFK138" s="774"/>
      <c r="AFL138" s="774"/>
      <c r="AFM138" s="774"/>
      <c r="AFN138" s="774"/>
      <c r="AFO138" s="774"/>
      <c r="AFP138" s="774"/>
      <c r="AFQ138" s="774"/>
      <c r="AFR138" s="774"/>
      <c r="AFS138" s="774"/>
      <c r="AFT138" s="774"/>
      <c r="AFU138" s="774"/>
      <c r="AFV138" s="774"/>
      <c r="AFW138" s="774"/>
      <c r="AFX138" s="774"/>
      <c r="AFY138" s="774"/>
      <c r="AFZ138" s="774"/>
      <c r="AGA138" s="774"/>
      <c r="AGB138" s="774"/>
      <c r="AGC138" s="774"/>
      <c r="AGD138" s="774"/>
      <c r="AGE138" s="774"/>
      <c r="AGF138" s="774"/>
      <c r="AGG138" s="774"/>
      <c r="AGH138" s="774"/>
      <c r="AGI138" s="774"/>
      <c r="AGJ138" s="774"/>
      <c r="AGK138" s="774"/>
      <c r="AGL138" s="774"/>
      <c r="AGM138" s="774"/>
      <c r="AGN138" s="774"/>
      <c r="AGO138" s="774"/>
      <c r="AGP138" s="774"/>
      <c r="AGQ138" s="774"/>
      <c r="AGR138" s="774"/>
      <c r="AGS138" s="774"/>
      <c r="AGT138" s="774"/>
      <c r="AGU138" s="774"/>
      <c r="AGV138" s="774"/>
      <c r="AGW138" s="774"/>
      <c r="AGX138" s="774"/>
      <c r="AGY138" s="774"/>
      <c r="AGZ138" s="774"/>
      <c r="AHA138" s="774"/>
      <c r="AHB138" s="774"/>
      <c r="AHC138" s="774"/>
      <c r="AHD138" s="774"/>
      <c r="AHE138" s="774"/>
      <c r="AHF138" s="774"/>
      <c r="AHG138" s="774"/>
      <c r="AHH138" s="774"/>
      <c r="AHI138" s="774"/>
      <c r="AHJ138" s="774"/>
      <c r="AHK138" s="774"/>
      <c r="AHL138" s="774"/>
      <c r="AHM138" s="774"/>
      <c r="AHN138" s="774"/>
      <c r="AHO138" s="774"/>
      <c r="AHP138" s="774"/>
      <c r="AHQ138" s="774"/>
      <c r="AHR138" s="774"/>
      <c r="AHS138" s="774"/>
      <c r="AHT138" s="774"/>
      <c r="AHU138" s="774"/>
      <c r="AHV138" s="774"/>
      <c r="AHW138" s="774"/>
      <c r="AHX138" s="774"/>
      <c r="AHY138" s="774"/>
      <c r="AHZ138" s="774"/>
      <c r="AIA138" s="774"/>
      <c r="AIB138" s="774"/>
      <c r="AIC138" s="774"/>
      <c r="AID138" s="774"/>
      <c r="AIE138" s="774"/>
      <c r="AIF138" s="774"/>
      <c r="AIG138" s="774"/>
      <c r="AIH138" s="774"/>
      <c r="AII138" s="774"/>
      <c r="AIJ138" s="774"/>
      <c r="AIK138" s="774"/>
      <c r="AIL138" s="774"/>
      <c r="AIM138" s="774"/>
      <c r="AIN138" s="774"/>
      <c r="AIO138" s="774"/>
      <c r="AIP138" s="774"/>
      <c r="AIQ138" s="774"/>
      <c r="AIR138" s="774"/>
      <c r="AIS138" s="774"/>
      <c r="AIT138" s="774"/>
      <c r="AIU138" s="774"/>
      <c r="AIV138" s="774"/>
      <c r="AIW138" s="774"/>
      <c r="AIX138" s="774"/>
      <c r="AIY138" s="774"/>
      <c r="AIZ138" s="774"/>
      <c r="AJA138" s="774"/>
      <c r="AJB138" s="774"/>
      <c r="AJC138" s="774"/>
      <c r="AJD138" s="774"/>
      <c r="AJE138" s="774"/>
      <c r="AJF138" s="774"/>
      <c r="AJG138" s="774"/>
      <c r="AJH138" s="774"/>
      <c r="AJI138" s="774"/>
      <c r="AJJ138" s="774"/>
      <c r="AJK138" s="774"/>
      <c r="AJL138" s="774"/>
      <c r="AJM138" s="774"/>
      <c r="AJN138" s="774"/>
      <c r="AJO138" s="774"/>
      <c r="AJP138" s="774"/>
      <c r="AJQ138" s="774"/>
      <c r="AJR138" s="774"/>
      <c r="AJS138" s="774"/>
      <c r="AJT138" s="774"/>
      <c r="AJU138" s="774"/>
      <c r="AJV138" s="774"/>
      <c r="AJW138" s="774"/>
      <c r="AJX138" s="774"/>
      <c r="AJY138" s="774"/>
      <c r="AJZ138" s="774"/>
      <c r="AKA138" s="774"/>
      <c r="AKB138" s="774"/>
      <c r="AKC138" s="774"/>
      <c r="AKD138" s="774"/>
      <c r="AKE138" s="774"/>
      <c r="AKF138" s="774"/>
      <c r="AKG138" s="774"/>
      <c r="AKH138" s="774"/>
      <c r="AKI138" s="774"/>
      <c r="AKJ138" s="774"/>
      <c r="AKK138" s="774"/>
      <c r="AKL138" s="774"/>
      <c r="AKM138" s="774"/>
      <c r="AKN138" s="774"/>
      <c r="AKO138" s="774"/>
      <c r="AKP138" s="774"/>
      <c r="AKQ138" s="774"/>
      <c r="AKR138" s="774"/>
      <c r="AKS138" s="774"/>
      <c r="AKT138" s="774"/>
      <c r="AKU138" s="774"/>
      <c r="AKV138" s="774"/>
      <c r="AKW138" s="774"/>
      <c r="AKX138" s="774"/>
      <c r="AKY138" s="774"/>
      <c r="AKZ138" s="774"/>
      <c r="ALA138" s="774"/>
      <c r="ALB138" s="774"/>
      <c r="ALC138" s="774"/>
      <c r="ALD138" s="774"/>
      <c r="ALE138" s="774"/>
      <c r="ALF138" s="774"/>
      <c r="ALG138" s="774"/>
      <c r="ALH138" s="774"/>
      <c r="ALI138" s="774"/>
      <c r="ALJ138" s="774"/>
      <c r="ALK138" s="774"/>
      <c r="ALL138" s="774"/>
      <c r="ALM138" s="774"/>
      <c r="ALN138" s="774"/>
      <c r="ALO138" s="774"/>
      <c r="ALP138" s="774"/>
      <c r="ALQ138" s="774"/>
      <c r="ALR138" s="774"/>
      <c r="ALS138" s="774"/>
      <c r="ALT138" s="774"/>
      <c r="ALU138" s="774"/>
      <c r="ALV138" s="774"/>
      <c r="ALW138" s="774"/>
      <c r="ALX138" s="774"/>
      <c r="ALY138" s="774"/>
      <c r="ALZ138" s="774"/>
      <c r="AMA138" s="774"/>
      <c r="AMB138" s="774"/>
      <c r="AMC138" s="774"/>
      <c r="AMD138" s="774"/>
      <c r="AME138" s="774"/>
      <c r="AMF138" s="774"/>
      <c r="AMG138" s="774"/>
      <c r="AMH138" s="774"/>
      <c r="AMI138" s="774"/>
      <c r="AMJ138" s="774"/>
      <c r="AMK138" s="774"/>
      <c r="AML138" s="774"/>
      <c r="AMM138" s="774"/>
      <c r="AMN138" s="774"/>
      <c r="AMO138" s="774"/>
      <c r="AMP138" s="774"/>
      <c r="AMQ138" s="774"/>
      <c r="AMR138" s="774"/>
      <c r="AMS138" s="774"/>
      <c r="AMT138" s="774"/>
      <c r="AMU138" s="774"/>
      <c r="AMV138" s="774"/>
      <c r="AMW138" s="774"/>
      <c r="AMX138" s="774"/>
      <c r="AMY138" s="774"/>
      <c r="AMZ138" s="774"/>
      <c r="ANA138" s="774"/>
      <c r="ANB138" s="774"/>
      <c r="ANC138" s="774"/>
      <c r="AND138" s="774"/>
      <c r="ANE138" s="774"/>
      <c r="ANF138" s="774"/>
      <c r="ANG138" s="774"/>
      <c r="ANH138" s="774"/>
      <c r="ANI138" s="774"/>
      <c r="ANJ138" s="774"/>
      <c r="ANK138" s="774"/>
      <c r="ANL138" s="774"/>
      <c r="ANM138" s="774"/>
      <c r="ANN138" s="774"/>
      <c r="ANO138" s="774"/>
      <c r="ANP138" s="774"/>
      <c r="ANQ138" s="774"/>
      <c r="ANR138" s="774"/>
      <c r="ANS138" s="774"/>
      <c r="ANT138" s="774"/>
      <c r="ANU138" s="774"/>
      <c r="ANV138" s="774"/>
      <c r="ANW138" s="774"/>
      <c r="ANX138" s="774"/>
      <c r="ANY138" s="774"/>
      <c r="ANZ138" s="774"/>
      <c r="AOA138" s="774"/>
      <c r="AOB138" s="774"/>
      <c r="AOC138" s="774"/>
      <c r="AOD138" s="774"/>
      <c r="AOE138" s="774"/>
      <c r="AOF138" s="774"/>
      <c r="AOG138" s="774"/>
      <c r="AOH138" s="774"/>
      <c r="AOI138" s="774"/>
      <c r="AOJ138" s="774"/>
      <c r="AOK138" s="774"/>
      <c r="AOL138" s="774"/>
      <c r="AOM138" s="774"/>
      <c r="AON138" s="774"/>
      <c r="AOO138" s="774"/>
      <c r="AOP138" s="774"/>
      <c r="AOQ138" s="774"/>
      <c r="AOR138" s="774"/>
      <c r="AOS138" s="774"/>
      <c r="AOT138" s="774"/>
      <c r="AOU138" s="774"/>
      <c r="AOV138" s="774"/>
      <c r="AOW138" s="774"/>
      <c r="AOX138" s="774"/>
      <c r="AOY138" s="774"/>
      <c r="AOZ138" s="774"/>
      <c r="APA138" s="774"/>
      <c r="APB138" s="774"/>
      <c r="APC138" s="774"/>
      <c r="APD138" s="774"/>
      <c r="APE138" s="774"/>
      <c r="APF138" s="774"/>
      <c r="APG138" s="774"/>
      <c r="APH138" s="774"/>
      <c r="API138" s="774"/>
      <c r="APJ138" s="774"/>
      <c r="APK138" s="774"/>
      <c r="APL138" s="774"/>
      <c r="APM138" s="774"/>
      <c r="APN138" s="774"/>
      <c r="APO138" s="774"/>
      <c r="APP138" s="774"/>
      <c r="APQ138" s="774"/>
      <c r="APR138" s="774"/>
      <c r="APS138" s="774"/>
      <c r="APT138" s="774"/>
      <c r="APU138" s="774"/>
      <c r="APV138" s="774"/>
      <c r="APW138" s="774"/>
      <c r="APX138" s="774"/>
      <c r="APY138" s="774"/>
      <c r="APZ138" s="774"/>
      <c r="AQA138" s="774"/>
      <c r="AQB138" s="774"/>
      <c r="AQC138" s="774"/>
      <c r="AQD138" s="774"/>
      <c r="AQE138" s="774"/>
      <c r="AQF138" s="774"/>
      <c r="AQG138" s="774"/>
      <c r="AQH138" s="774"/>
      <c r="AQI138" s="774"/>
      <c r="AQJ138" s="774"/>
      <c r="AQK138" s="774"/>
      <c r="AQL138" s="774"/>
      <c r="AQM138" s="774"/>
      <c r="AQN138" s="774"/>
      <c r="AQO138" s="774"/>
      <c r="AQP138" s="774"/>
      <c r="AQQ138" s="774"/>
      <c r="AQR138" s="774"/>
      <c r="AQS138" s="774"/>
      <c r="AQT138" s="774"/>
      <c r="AQU138" s="774"/>
      <c r="AQV138" s="774"/>
      <c r="AQW138" s="774"/>
      <c r="AQX138" s="774"/>
      <c r="AQY138" s="774"/>
      <c r="AQZ138" s="774"/>
      <c r="ARA138" s="774"/>
      <c r="ARB138" s="774"/>
      <c r="ARC138" s="774"/>
      <c r="ARD138" s="774"/>
      <c r="ARE138" s="774"/>
      <c r="ARF138" s="774"/>
      <c r="ARG138" s="774"/>
      <c r="ARH138" s="774"/>
      <c r="ARI138" s="774"/>
      <c r="ARJ138" s="774"/>
      <c r="ARK138" s="774"/>
      <c r="ARL138" s="774"/>
      <c r="ARM138" s="774"/>
      <c r="ARN138" s="774"/>
      <c r="ARO138" s="774"/>
      <c r="ARP138" s="774"/>
      <c r="ARQ138" s="774"/>
      <c r="ARR138" s="774"/>
      <c r="ARS138" s="774"/>
      <c r="ART138" s="774"/>
      <c r="ARU138" s="774"/>
      <c r="ARV138" s="774"/>
      <c r="ARW138" s="774"/>
      <c r="ARX138" s="774"/>
      <c r="ARY138" s="774"/>
      <c r="ARZ138" s="774"/>
      <c r="ASA138" s="774"/>
      <c r="ASB138" s="774"/>
      <c r="ASC138" s="774"/>
      <c r="ASD138" s="774"/>
      <c r="ASE138" s="774"/>
      <c r="ASF138" s="774"/>
      <c r="ASG138" s="774"/>
      <c r="ASH138" s="774"/>
      <c r="ASI138" s="774"/>
      <c r="ASJ138" s="774"/>
      <c r="ASK138" s="774"/>
      <c r="ASL138" s="774"/>
      <c r="ASM138" s="774"/>
      <c r="ASN138" s="774"/>
      <c r="ASO138" s="774"/>
      <c r="ASP138" s="774"/>
      <c r="ASQ138" s="774"/>
      <c r="ASR138" s="774"/>
      <c r="ASS138" s="774"/>
      <c r="AST138" s="774"/>
      <c r="ASU138" s="774"/>
      <c r="ASV138" s="774"/>
      <c r="ASW138" s="774"/>
      <c r="ASX138" s="774"/>
      <c r="ASY138" s="774"/>
      <c r="ASZ138" s="774"/>
      <c r="ATA138" s="774"/>
      <c r="ATB138" s="774"/>
      <c r="ATC138" s="774"/>
      <c r="ATD138" s="774"/>
      <c r="ATE138" s="774"/>
      <c r="ATF138" s="774"/>
      <c r="ATG138" s="774"/>
      <c r="ATH138" s="774"/>
      <c r="ATI138" s="774"/>
      <c r="ATJ138" s="774"/>
      <c r="ATK138" s="774"/>
      <c r="ATL138" s="774"/>
      <c r="ATM138" s="774"/>
      <c r="ATN138" s="774"/>
      <c r="ATO138" s="774"/>
      <c r="ATP138" s="774"/>
      <c r="ATQ138" s="774"/>
      <c r="ATR138" s="774"/>
      <c r="ATS138" s="774"/>
      <c r="ATT138" s="774"/>
      <c r="ATU138" s="774"/>
      <c r="ATV138" s="774"/>
      <c r="ATW138" s="774"/>
      <c r="ATX138" s="774"/>
      <c r="ATY138" s="774"/>
      <c r="ATZ138" s="774"/>
      <c r="AUA138" s="774"/>
      <c r="AUB138" s="774"/>
      <c r="AUC138" s="774"/>
      <c r="AUD138" s="774"/>
      <c r="AUE138" s="774"/>
      <c r="AUF138" s="774"/>
      <c r="AUG138" s="774"/>
      <c r="AUH138" s="774"/>
      <c r="AUI138" s="774"/>
      <c r="AUJ138" s="774"/>
      <c r="AUK138" s="774"/>
      <c r="AUL138" s="774"/>
      <c r="AUM138" s="774"/>
      <c r="AUN138" s="774"/>
      <c r="AUO138" s="774"/>
      <c r="AUP138" s="774"/>
      <c r="AUQ138" s="774"/>
      <c r="AUR138" s="774"/>
      <c r="AUS138" s="774"/>
      <c r="AUT138" s="774"/>
      <c r="AUU138" s="774"/>
      <c r="AUV138" s="774"/>
      <c r="AUW138" s="774"/>
      <c r="AUX138" s="774"/>
      <c r="AUY138" s="774"/>
      <c r="AUZ138" s="774"/>
      <c r="AVA138" s="774"/>
      <c r="AVB138" s="774"/>
      <c r="AVC138" s="774"/>
      <c r="AVD138" s="774"/>
      <c r="AVE138" s="774"/>
      <c r="AVF138" s="774"/>
      <c r="AVG138" s="774"/>
      <c r="AVH138" s="774"/>
      <c r="AVI138" s="774"/>
      <c r="AVJ138" s="774"/>
      <c r="AVK138" s="774"/>
      <c r="AVL138" s="774"/>
      <c r="AVM138" s="774"/>
      <c r="AVN138" s="774"/>
      <c r="AVO138" s="774"/>
      <c r="AVP138" s="774"/>
      <c r="AVQ138" s="774"/>
      <c r="AVR138" s="774"/>
      <c r="AVS138" s="774"/>
      <c r="AVT138" s="774"/>
      <c r="AVU138" s="774"/>
      <c r="AVV138" s="774"/>
      <c r="AVW138" s="774"/>
      <c r="AVX138" s="774"/>
      <c r="AVY138" s="774"/>
      <c r="AVZ138" s="774"/>
      <c r="AWA138" s="774"/>
      <c r="AWB138" s="774"/>
      <c r="AWC138" s="774"/>
      <c r="AWD138" s="774"/>
      <c r="AWE138" s="774"/>
      <c r="AWF138" s="774"/>
      <c r="AWG138" s="774"/>
      <c r="AWH138" s="774"/>
      <c r="AWI138" s="774"/>
      <c r="AWJ138" s="774"/>
      <c r="AWK138" s="774"/>
      <c r="AWL138" s="774"/>
      <c r="AWM138" s="774"/>
      <c r="AWN138" s="774"/>
      <c r="AWO138" s="774"/>
      <c r="AWP138" s="774"/>
      <c r="AWQ138" s="774"/>
      <c r="AWR138" s="774"/>
      <c r="AWS138" s="774"/>
      <c r="AWT138" s="774"/>
      <c r="AWU138" s="774"/>
      <c r="AWV138" s="774"/>
      <c r="AWW138" s="774"/>
      <c r="AWX138" s="774"/>
      <c r="AWY138" s="774"/>
      <c r="AWZ138" s="774"/>
      <c r="AXA138" s="774"/>
      <c r="AXB138" s="774"/>
      <c r="AXC138" s="774"/>
      <c r="AXD138" s="774"/>
      <c r="AXE138" s="774"/>
      <c r="AXF138" s="774"/>
      <c r="AXG138" s="774"/>
      <c r="AXH138" s="774"/>
      <c r="AXI138" s="774"/>
      <c r="AXJ138" s="774"/>
      <c r="AXK138" s="774"/>
      <c r="AXL138" s="774"/>
      <c r="AXM138" s="774"/>
      <c r="AXN138" s="774"/>
      <c r="AXO138" s="774"/>
      <c r="AXP138" s="774"/>
      <c r="AXQ138" s="774"/>
      <c r="AXR138" s="774"/>
      <c r="AXS138" s="774"/>
      <c r="AXT138" s="774"/>
      <c r="AXU138" s="774"/>
      <c r="AXV138" s="774"/>
      <c r="AXW138" s="774"/>
      <c r="AXX138" s="774"/>
      <c r="AXY138" s="774"/>
      <c r="AXZ138" s="774"/>
      <c r="AYA138" s="774"/>
      <c r="AYB138" s="774"/>
      <c r="AYC138" s="774"/>
      <c r="AYD138" s="774"/>
      <c r="AYE138" s="774"/>
      <c r="AYF138" s="774"/>
      <c r="AYG138" s="774"/>
      <c r="AYH138" s="774"/>
      <c r="AYI138" s="774"/>
      <c r="AYJ138" s="774"/>
      <c r="AYK138" s="774"/>
      <c r="AYL138" s="774"/>
      <c r="AYM138" s="774"/>
      <c r="AYN138" s="774"/>
      <c r="AYO138" s="774"/>
      <c r="AYP138" s="774"/>
      <c r="AYQ138" s="774"/>
      <c r="AYR138" s="774"/>
      <c r="AYS138" s="774"/>
      <c r="AYT138" s="774"/>
      <c r="AYU138" s="774"/>
      <c r="AYV138" s="774"/>
      <c r="AYW138" s="774"/>
      <c r="AYX138" s="774"/>
      <c r="AYY138" s="774"/>
      <c r="AYZ138" s="774"/>
      <c r="AZA138" s="774"/>
      <c r="AZB138" s="774"/>
      <c r="AZC138" s="774"/>
      <c r="AZD138" s="774"/>
      <c r="AZE138" s="774"/>
      <c r="AZF138" s="774"/>
      <c r="AZG138" s="774"/>
      <c r="AZH138" s="774"/>
      <c r="AZI138" s="774"/>
      <c r="AZJ138" s="774"/>
      <c r="AZK138" s="774"/>
      <c r="AZL138" s="774"/>
      <c r="AZM138" s="774"/>
      <c r="AZN138" s="774"/>
      <c r="AZO138" s="774"/>
      <c r="AZP138" s="774"/>
      <c r="AZQ138" s="774"/>
      <c r="AZR138" s="774"/>
      <c r="AZS138" s="774"/>
      <c r="AZT138" s="774"/>
      <c r="AZU138" s="774"/>
      <c r="AZV138" s="774"/>
      <c r="AZW138" s="774"/>
      <c r="AZX138" s="774"/>
      <c r="AZY138" s="774"/>
      <c r="AZZ138" s="774"/>
      <c r="BAA138" s="774"/>
      <c r="BAB138" s="774"/>
      <c r="BAC138" s="774"/>
      <c r="BAD138" s="774"/>
      <c r="BAE138" s="774"/>
      <c r="BAF138" s="774"/>
      <c r="BAG138" s="774"/>
      <c r="BAH138" s="774"/>
      <c r="BAI138" s="774"/>
      <c r="BAJ138" s="774"/>
      <c r="BAK138" s="774"/>
      <c r="BAL138" s="774"/>
      <c r="BAM138" s="774"/>
      <c r="BAN138" s="774"/>
      <c r="BAO138" s="774"/>
      <c r="BAP138" s="774"/>
      <c r="BAQ138" s="774"/>
      <c r="BAR138" s="774"/>
      <c r="BAS138" s="774"/>
      <c r="BAT138" s="774"/>
      <c r="BAU138" s="774"/>
      <c r="BAV138" s="774"/>
      <c r="BAW138" s="774"/>
      <c r="BAX138" s="774"/>
      <c r="BAY138" s="774"/>
      <c r="BAZ138" s="774"/>
      <c r="BBA138" s="774"/>
      <c r="BBB138" s="774"/>
      <c r="BBC138" s="774"/>
      <c r="BBD138" s="774"/>
      <c r="BBE138" s="774"/>
      <c r="BBF138" s="774"/>
      <c r="BBG138" s="774"/>
      <c r="BBH138" s="774"/>
      <c r="BBI138" s="774"/>
      <c r="BBJ138" s="774"/>
      <c r="BBK138" s="774"/>
      <c r="BBL138" s="774"/>
      <c r="BBM138" s="774"/>
      <c r="BBN138" s="774"/>
      <c r="BBO138" s="774"/>
      <c r="BBP138" s="774"/>
      <c r="BBQ138" s="774"/>
      <c r="BBR138" s="774"/>
      <c r="BBS138" s="774"/>
      <c r="BBT138" s="774"/>
      <c r="BBU138" s="774"/>
      <c r="BBV138" s="774"/>
      <c r="BBW138" s="774"/>
      <c r="BBX138" s="774"/>
      <c r="BBY138" s="774"/>
      <c r="BBZ138" s="774"/>
      <c r="BCA138" s="774"/>
      <c r="BCB138" s="774"/>
      <c r="BCC138" s="774"/>
      <c r="BCD138" s="774"/>
      <c r="BCE138" s="774"/>
      <c r="BCF138" s="774"/>
      <c r="BCG138" s="774"/>
      <c r="BCH138" s="774"/>
      <c r="BCI138" s="774"/>
      <c r="BCJ138" s="774"/>
      <c r="BCK138" s="774"/>
      <c r="BCL138" s="774"/>
      <c r="BCM138" s="774"/>
      <c r="BCN138" s="774"/>
      <c r="BCO138" s="774"/>
      <c r="BCP138" s="774"/>
      <c r="BCQ138" s="774"/>
      <c r="BCR138" s="774"/>
      <c r="BCS138" s="774"/>
      <c r="BCT138" s="774"/>
      <c r="BCU138" s="774"/>
      <c r="BCV138" s="774"/>
      <c r="BCW138" s="774"/>
      <c r="BCX138" s="774"/>
      <c r="BCY138" s="774"/>
      <c r="BCZ138" s="774"/>
      <c r="BDA138" s="774"/>
      <c r="BDB138" s="774"/>
      <c r="BDC138" s="774"/>
      <c r="BDD138" s="774"/>
      <c r="BDE138" s="774"/>
      <c r="BDF138" s="774"/>
      <c r="BDG138" s="774"/>
      <c r="BDH138" s="774"/>
      <c r="BDI138" s="774"/>
      <c r="BDJ138" s="774"/>
      <c r="BDK138" s="774"/>
      <c r="BDL138" s="774"/>
      <c r="BDM138" s="774"/>
      <c r="BDN138" s="774"/>
      <c r="BDO138" s="774"/>
      <c r="BDP138" s="774"/>
      <c r="BDQ138" s="774"/>
      <c r="BDR138" s="774"/>
      <c r="BDS138" s="774"/>
      <c r="BDT138" s="774"/>
      <c r="BDU138" s="774"/>
      <c r="BDV138" s="774"/>
      <c r="BDW138" s="774"/>
      <c r="BDX138" s="774"/>
      <c r="BDY138" s="774"/>
      <c r="BDZ138" s="774"/>
      <c r="BEA138" s="774"/>
      <c r="BEB138" s="774"/>
      <c r="BEC138" s="774"/>
      <c r="BED138" s="774"/>
      <c r="BEE138" s="774"/>
      <c r="BEF138" s="774"/>
      <c r="BEG138" s="774"/>
      <c r="BEH138" s="774"/>
      <c r="BEI138" s="774"/>
      <c r="BEJ138" s="774"/>
      <c r="BEK138" s="774"/>
      <c r="BEL138" s="774"/>
      <c r="BEM138" s="774"/>
      <c r="BEN138" s="774"/>
      <c r="BEO138" s="774"/>
      <c r="BEP138" s="774"/>
      <c r="BEQ138" s="774"/>
      <c r="BER138" s="774"/>
      <c r="BES138" s="774"/>
      <c r="BET138" s="774"/>
      <c r="BEU138" s="774"/>
      <c r="BEV138" s="774"/>
      <c r="BEW138" s="774"/>
      <c r="BEX138" s="774"/>
      <c r="BEY138" s="774"/>
      <c r="BEZ138" s="774"/>
      <c r="BFA138" s="774"/>
      <c r="BFB138" s="774"/>
      <c r="BFC138" s="774"/>
      <c r="BFD138" s="774"/>
      <c r="BFE138" s="774"/>
      <c r="BFF138" s="774"/>
      <c r="BFG138" s="774"/>
      <c r="BFH138" s="774"/>
      <c r="BFI138" s="774"/>
      <c r="BFJ138" s="774"/>
      <c r="BFK138" s="774"/>
      <c r="BFL138" s="774"/>
      <c r="BFM138" s="774"/>
      <c r="BFN138" s="774"/>
      <c r="BFO138" s="774"/>
      <c r="BFP138" s="774"/>
      <c r="BFQ138" s="774"/>
      <c r="BFR138" s="774"/>
      <c r="BFS138" s="774"/>
      <c r="BFT138" s="774"/>
      <c r="BFU138" s="774"/>
      <c r="BFV138" s="774"/>
      <c r="BFW138" s="774"/>
      <c r="BFX138" s="774"/>
      <c r="BFY138" s="774"/>
      <c r="BFZ138" s="774"/>
      <c r="BGA138" s="774"/>
      <c r="BGB138" s="774"/>
      <c r="BGC138" s="774"/>
      <c r="BGD138" s="774"/>
      <c r="BGE138" s="774"/>
      <c r="BGF138" s="774"/>
      <c r="BGG138" s="774"/>
      <c r="BGH138" s="774"/>
      <c r="BGI138" s="774"/>
      <c r="BGJ138" s="774"/>
      <c r="BGK138" s="774"/>
      <c r="BGL138" s="774"/>
      <c r="BGM138" s="774"/>
      <c r="BGN138" s="774"/>
      <c r="BGO138" s="774"/>
      <c r="BGP138" s="774"/>
      <c r="BGQ138" s="774"/>
      <c r="BGR138" s="774"/>
      <c r="BGS138" s="774"/>
      <c r="BGT138" s="774"/>
      <c r="BGU138" s="774"/>
      <c r="BGV138" s="774"/>
      <c r="BGW138" s="774"/>
      <c r="BGX138" s="774"/>
      <c r="BGY138" s="774"/>
      <c r="BGZ138" s="774"/>
      <c r="BHA138" s="774"/>
      <c r="BHB138" s="774"/>
      <c r="BHC138" s="774"/>
      <c r="BHD138" s="774"/>
      <c r="BHE138" s="774"/>
      <c r="BHF138" s="774"/>
      <c r="BHG138" s="774"/>
      <c r="BHH138" s="774"/>
      <c r="BHI138" s="774"/>
      <c r="BHJ138" s="774"/>
      <c r="BHK138" s="774"/>
      <c r="BHL138" s="774"/>
      <c r="BHM138" s="774"/>
      <c r="BHN138" s="774"/>
      <c r="BHO138" s="774"/>
      <c r="BHP138" s="774"/>
      <c r="BHQ138" s="774"/>
      <c r="BHR138" s="774"/>
      <c r="BHS138" s="774"/>
      <c r="BHT138" s="774"/>
      <c r="BHU138" s="774"/>
      <c r="BHV138" s="774"/>
      <c r="BHW138" s="774"/>
      <c r="BHX138" s="774"/>
      <c r="BHY138" s="774"/>
      <c r="BHZ138" s="774"/>
      <c r="BIA138" s="774"/>
      <c r="BIB138" s="774"/>
      <c r="BIC138" s="774"/>
      <c r="BID138" s="774"/>
      <c r="BIE138" s="774"/>
      <c r="BIF138" s="774"/>
      <c r="BIG138" s="774"/>
      <c r="BIH138" s="774"/>
      <c r="BII138" s="774"/>
      <c r="BIJ138" s="774"/>
      <c r="BIK138" s="774"/>
      <c r="BIL138" s="774"/>
      <c r="BIM138" s="774"/>
      <c r="BIN138" s="774"/>
      <c r="BIO138" s="774"/>
      <c r="BIP138" s="774"/>
      <c r="BIQ138" s="774"/>
      <c r="BIR138" s="774"/>
      <c r="BIS138" s="774"/>
      <c r="BIT138" s="774"/>
      <c r="BIU138" s="774"/>
      <c r="BIV138" s="774"/>
      <c r="BIW138" s="774"/>
      <c r="BIX138" s="774"/>
      <c r="BIY138" s="774"/>
      <c r="BIZ138" s="774"/>
      <c r="BJA138" s="774"/>
      <c r="BJB138" s="774"/>
      <c r="BJC138" s="774"/>
      <c r="BJD138" s="774"/>
      <c r="BJE138" s="774"/>
      <c r="BJF138" s="774"/>
      <c r="BJG138" s="774"/>
      <c r="BJH138" s="774"/>
      <c r="BJI138" s="774"/>
      <c r="BJJ138" s="774"/>
      <c r="BJK138" s="774"/>
      <c r="BJL138" s="774"/>
      <c r="BJM138" s="774"/>
      <c r="BJN138" s="774"/>
      <c r="BJO138" s="774"/>
      <c r="BJP138" s="774"/>
      <c r="BJQ138" s="774"/>
      <c r="BJR138" s="774"/>
      <c r="BJS138" s="774"/>
      <c r="BJT138" s="774"/>
      <c r="BJU138" s="774"/>
      <c r="BJV138" s="774"/>
      <c r="BJW138" s="774"/>
      <c r="BJX138" s="774"/>
      <c r="BJY138" s="774"/>
      <c r="BJZ138" s="774"/>
      <c r="BKA138" s="774"/>
      <c r="BKB138" s="774"/>
      <c r="BKC138" s="774"/>
      <c r="BKD138" s="774"/>
      <c r="BKE138" s="774"/>
      <c r="BKF138" s="774"/>
      <c r="BKG138" s="774"/>
      <c r="BKH138" s="774"/>
      <c r="BKI138" s="774"/>
      <c r="BKJ138" s="774"/>
      <c r="BKK138" s="774"/>
      <c r="BKL138" s="774"/>
      <c r="BKM138" s="774"/>
      <c r="BKN138" s="774"/>
      <c r="BKO138" s="774"/>
      <c r="BKP138" s="774"/>
      <c r="BKQ138" s="774"/>
      <c r="BKR138" s="774"/>
      <c r="BKS138" s="774"/>
      <c r="BKT138" s="774"/>
      <c r="BKU138" s="774"/>
      <c r="BKV138" s="774"/>
      <c r="BKW138" s="774"/>
      <c r="BKX138" s="774"/>
      <c r="BKY138" s="774"/>
      <c r="BKZ138" s="774"/>
      <c r="BLA138" s="774"/>
      <c r="BLB138" s="774"/>
      <c r="BLC138" s="774"/>
      <c r="BLD138" s="774"/>
      <c r="BLE138" s="774"/>
      <c r="BLF138" s="774"/>
      <c r="BLG138" s="774"/>
      <c r="BLH138" s="774"/>
      <c r="BLI138" s="774"/>
      <c r="BLJ138" s="774"/>
      <c r="BLK138" s="774"/>
      <c r="BLL138" s="774"/>
      <c r="BLM138" s="774"/>
      <c r="BLN138" s="774"/>
      <c r="BLO138" s="774"/>
      <c r="BLP138" s="774"/>
      <c r="BLQ138" s="774"/>
      <c r="BLR138" s="774"/>
      <c r="BLS138" s="774"/>
      <c r="BLT138" s="774"/>
      <c r="BLU138" s="774"/>
      <c r="BLV138" s="774"/>
      <c r="BLW138" s="774"/>
      <c r="BLX138" s="774"/>
      <c r="BLY138" s="774"/>
      <c r="BLZ138" s="774"/>
      <c r="BMA138" s="774"/>
      <c r="BMB138" s="774"/>
      <c r="BMC138" s="774"/>
      <c r="BMD138" s="774"/>
      <c r="BME138" s="774"/>
      <c r="BMF138" s="774"/>
      <c r="BMG138" s="774"/>
      <c r="BMH138" s="774"/>
      <c r="BMI138" s="774"/>
      <c r="BMJ138" s="774"/>
      <c r="BMK138" s="774"/>
      <c r="BML138" s="774"/>
      <c r="BMM138" s="774"/>
      <c r="BMN138" s="774"/>
      <c r="BMO138" s="774"/>
      <c r="BMP138" s="774"/>
      <c r="BMQ138" s="774"/>
      <c r="BMR138" s="774"/>
      <c r="BMS138" s="774"/>
      <c r="BMT138" s="774"/>
      <c r="BMU138" s="774"/>
      <c r="BMV138" s="774"/>
      <c r="BMW138" s="774"/>
      <c r="BMX138" s="774"/>
      <c r="BMY138" s="774"/>
      <c r="BMZ138" s="774"/>
      <c r="BNA138" s="774"/>
      <c r="BNB138" s="774"/>
      <c r="BNC138" s="774"/>
      <c r="BND138" s="774"/>
      <c r="BNE138" s="774"/>
      <c r="BNF138" s="774"/>
      <c r="BNG138" s="774"/>
      <c r="BNH138" s="774"/>
      <c r="BNI138" s="774"/>
      <c r="BNJ138" s="774"/>
      <c r="BNK138" s="774"/>
      <c r="BNL138" s="774"/>
      <c r="BNM138" s="774"/>
      <c r="BNN138" s="774"/>
      <c r="BNO138" s="774"/>
      <c r="BNP138" s="774"/>
      <c r="BNQ138" s="774"/>
      <c r="BNR138" s="774"/>
      <c r="BNS138" s="774"/>
      <c r="BNT138" s="774"/>
      <c r="BNU138" s="774"/>
      <c r="BNV138" s="774"/>
      <c r="BNW138" s="774"/>
      <c r="BNX138" s="774"/>
      <c r="BNY138" s="774"/>
      <c r="BNZ138" s="774"/>
      <c r="BOA138" s="774"/>
      <c r="BOB138" s="774"/>
      <c r="BOC138" s="774"/>
      <c r="BOD138" s="774"/>
      <c r="BOE138" s="774"/>
      <c r="BOF138" s="774"/>
      <c r="BOG138" s="774"/>
      <c r="BOH138" s="774"/>
      <c r="BOI138" s="774"/>
      <c r="BOJ138" s="774"/>
      <c r="BOK138" s="774"/>
      <c r="BOL138" s="774"/>
      <c r="BOM138" s="774"/>
      <c r="BON138" s="774"/>
      <c r="BOO138" s="774"/>
      <c r="BOP138" s="774"/>
      <c r="BOQ138" s="774"/>
      <c r="BOR138" s="774"/>
      <c r="BOS138" s="774"/>
      <c r="BOT138" s="774"/>
      <c r="BOU138" s="774"/>
      <c r="BOV138" s="774"/>
      <c r="BOW138" s="774"/>
      <c r="BOX138" s="774"/>
      <c r="BOY138" s="774"/>
      <c r="BOZ138" s="774"/>
      <c r="BPA138" s="774"/>
      <c r="BPB138" s="774"/>
      <c r="BPC138" s="774"/>
      <c r="BPD138" s="774"/>
      <c r="BPE138" s="774"/>
      <c r="BPF138" s="774"/>
      <c r="BPG138" s="774"/>
      <c r="BPH138" s="774"/>
      <c r="BPI138" s="774"/>
      <c r="BPJ138" s="774"/>
      <c r="BPK138" s="774"/>
      <c r="BPL138" s="774"/>
      <c r="BPM138" s="774"/>
      <c r="BPN138" s="774"/>
      <c r="BPO138" s="774"/>
      <c r="BPP138" s="774"/>
      <c r="BPQ138" s="774"/>
      <c r="BPR138" s="774"/>
      <c r="BPS138" s="774"/>
      <c r="BPT138" s="774"/>
      <c r="BPU138" s="774"/>
      <c r="BPV138" s="774"/>
      <c r="BPW138" s="774"/>
      <c r="BPX138" s="774"/>
      <c r="BPY138" s="774"/>
      <c r="BPZ138" s="774"/>
      <c r="BQA138" s="774"/>
      <c r="BQB138" s="774"/>
      <c r="BQC138" s="774"/>
      <c r="BQD138" s="774"/>
      <c r="BQE138" s="774"/>
      <c r="BQF138" s="774"/>
      <c r="BQG138" s="774"/>
      <c r="BQH138" s="774"/>
      <c r="BQI138" s="774"/>
      <c r="BQJ138" s="774"/>
      <c r="BQK138" s="774"/>
      <c r="BQL138" s="774"/>
      <c r="BQM138" s="774"/>
      <c r="BQN138" s="774"/>
      <c r="BQO138" s="774"/>
      <c r="BQP138" s="774"/>
      <c r="BQQ138" s="774"/>
      <c r="BQR138" s="774"/>
      <c r="BQS138" s="774"/>
      <c r="BQT138" s="774"/>
      <c r="BQU138" s="774"/>
      <c r="BQV138" s="774"/>
      <c r="BQW138" s="774"/>
      <c r="BQX138" s="774"/>
      <c r="BQY138" s="774"/>
      <c r="BQZ138" s="774"/>
      <c r="BRA138" s="774"/>
      <c r="BRB138" s="774"/>
      <c r="BRC138" s="774"/>
      <c r="BRD138" s="774"/>
      <c r="BRE138" s="774"/>
      <c r="BRF138" s="774"/>
      <c r="BRG138" s="774"/>
      <c r="BRH138" s="774"/>
      <c r="BRI138" s="774"/>
      <c r="BRJ138" s="774"/>
      <c r="BRK138" s="774"/>
      <c r="BRL138" s="774"/>
      <c r="BRM138" s="774"/>
      <c r="BRN138" s="774"/>
      <c r="BRO138" s="774"/>
      <c r="BRP138" s="774"/>
      <c r="BRQ138" s="774"/>
      <c r="BRR138" s="774"/>
      <c r="BRS138" s="774"/>
      <c r="BRT138" s="774"/>
      <c r="BRU138" s="774"/>
      <c r="BRV138" s="774"/>
      <c r="BRW138" s="774"/>
      <c r="BRX138" s="774"/>
      <c r="BRY138" s="774"/>
      <c r="BRZ138" s="774"/>
      <c r="BSA138" s="774"/>
      <c r="BSB138" s="774"/>
      <c r="BSC138" s="774"/>
      <c r="BSD138" s="774"/>
      <c r="BSE138" s="774"/>
      <c r="BSF138" s="774"/>
      <c r="BSG138" s="774"/>
      <c r="BSH138" s="774"/>
      <c r="BSI138" s="774"/>
      <c r="BSJ138" s="774"/>
      <c r="BSK138" s="774"/>
      <c r="BSL138" s="774"/>
      <c r="BSM138" s="774"/>
      <c r="BSN138" s="774"/>
      <c r="BSO138" s="774"/>
      <c r="BSP138" s="774"/>
      <c r="BSQ138" s="774"/>
      <c r="BSR138" s="774"/>
      <c r="BSS138" s="774"/>
      <c r="BST138" s="774"/>
      <c r="BSU138" s="774"/>
      <c r="BSV138" s="774"/>
      <c r="BSW138" s="774"/>
      <c r="BSX138" s="774"/>
      <c r="BSY138" s="774"/>
      <c r="BSZ138" s="774"/>
      <c r="BTA138" s="774"/>
      <c r="BTB138" s="774"/>
      <c r="BTC138" s="774"/>
      <c r="BTD138" s="774"/>
      <c r="BTE138" s="774"/>
      <c r="BTF138" s="774"/>
      <c r="BTG138" s="774"/>
      <c r="BTH138" s="774"/>
      <c r="BTI138" s="774"/>
      <c r="BTJ138" s="774"/>
      <c r="BTK138" s="774"/>
      <c r="BTL138" s="774"/>
      <c r="BTM138" s="774"/>
      <c r="BTN138" s="774"/>
      <c r="BTO138" s="774"/>
      <c r="BTP138" s="774"/>
      <c r="BTQ138" s="774"/>
      <c r="BTR138" s="774"/>
      <c r="BTS138" s="774"/>
      <c r="BTT138" s="774"/>
      <c r="BTU138" s="774"/>
      <c r="BTV138" s="774"/>
      <c r="BTW138" s="774"/>
      <c r="BTX138" s="774"/>
      <c r="BTY138" s="774"/>
      <c r="BTZ138" s="774"/>
      <c r="BUA138" s="774"/>
      <c r="BUB138" s="774"/>
      <c r="BUC138" s="774"/>
      <c r="BUD138" s="774"/>
      <c r="BUE138" s="774"/>
      <c r="BUF138" s="774"/>
      <c r="BUG138" s="774"/>
      <c r="BUH138" s="774"/>
      <c r="BUI138" s="774"/>
      <c r="BUJ138" s="774"/>
      <c r="BUK138" s="774"/>
      <c r="BUL138" s="774"/>
      <c r="BUM138" s="774"/>
      <c r="BUN138" s="774"/>
      <c r="BUO138" s="774"/>
      <c r="BUP138" s="774"/>
      <c r="BUQ138" s="774"/>
      <c r="BUR138" s="774"/>
      <c r="BUS138" s="774"/>
      <c r="BUT138" s="774"/>
      <c r="BUU138" s="774"/>
      <c r="BUV138" s="774"/>
      <c r="BUW138" s="774"/>
      <c r="BUX138" s="774"/>
      <c r="BUY138" s="774"/>
      <c r="BUZ138" s="774"/>
      <c r="BVA138" s="774"/>
      <c r="BVB138" s="774"/>
      <c r="BVC138" s="774"/>
      <c r="BVD138" s="774"/>
      <c r="BVE138" s="774"/>
      <c r="BVF138" s="774"/>
      <c r="BVG138" s="774"/>
      <c r="BVH138" s="774"/>
      <c r="BVI138" s="774"/>
      <c r="BVJ138" s="774"/>
      <c r="BVK138" s="774"/>
      <c r="BVL138" s="774"/>
      <c r="BVM138" s="774"/>
      <c r="BVN138" s="774"/>
      <c r="BVO138" s="774"/>
      <c r="BVP138" s="774"/>
      <c r="BVQ138" s="774"/>
      <c r="BVR138" s="774"/>
      <c r="BVS138" s="774"/>
      <c r="BVT138" s="774"/>
      <c r="BVU138" s="774"/>
      <c r="BVV138" s="774"/>
      <c r="BVW138" s="774"/>
      <c r="BVX138" s="774"/>
      <c r="BVY138" s="774"/>
      <c r="BVZ138" s="774"/>
      <c r="BWA138" s="774"/>
      <c r="BWB138" s="774"/>
      <c r="BWC138" s="774"/>
      <c r="BWD138" s="774"/>
      <c r="BWE138" s="774"/>
      <c r="BWF138" s="774"/>
      <c r="BWG138" s="774"/>
      <c r="BWH138" s="774"/>
      <c r="BWI138" s="774"/>
      <c r="BWJ138" s="774"/>
      <c r="BWK138" s="774"/>
      <c r="BWL138" s="774"/>
      <c r="BWM138" s="774"/>
      <c r="BWN138" s="774"/>
      <c r="BWO138" s="774"/>
      <c r="BWP138" s="774"/>
      <c r="BWQ138" s="774"/>
      <c r="BWR138" s="774"/>
      <c r="BWS138" s="774"/>
      <c r="BWT138" s="774"/>
      <c r="BWU138" s="774"/>
      <c r="BWV138" s="774"/>
      <c r="BWW138" s="774"/>
      <c r="BWX138" s="774"/>
      <c r="BWY138" s="774"/>
      <c r="BWZ138" s="774"/>
      <c r="BXA138" s="774"/>
      <c r="BXB138" s="774"/>
      <c r="BXC138" s="774"/>
      <c r="BXD138" s="774"/>
      <c r="BXE138" s="774"/>
      <c r="BXF138" s="774"/>
      <c r="BXG138" s="774"/>
      <c r="BXH138" s="774"/>
      <c r="BXI138" s="774"/>
      <c r="BXJ138" s="774"/>
      <c r="BXK138" s="774"/>
      <c r="BXL138" s="774"/>
      <c r="BXM138" s="774"/>
      <c r="BXN138" s="774"/>
      <c r="BXO138" s="774"/>
      <c r="BXP138" s="774"/>
      <c r="BXQ138" s="774"/>
      <c r="BXR138" s="774"/>
      <c r="BXS138" s="774"/>
      <c r="BXT138" s="774"/>
      <c r="BXU138" s="774"/>
      <c r="BXV138" s="774"/>
      <c r="BXW138" s="774"/>
      <c r="BXX138" s="774"/>
      <c r="BXY138" s="774"/>
      <c r="BXZ138" s="774"/>
      <c r="BYA138" s="774"/>
      <c r="BYB138" s="774"/>
      <c r="BYC138" s="774"/>
      <c r="BYD138" s="774"/>
      <c r="BYE138" s="774"/>
      <c r="BYF138" s="774"/>
      <c r="BYG138" s="774"/>
      <c r="BYH138" s="774"/>
      <c r="BYI138" s="774"/>
      <c r="BYJ138" s="774"/>
      <c r="BYK138" s="774"/>
      <c r="BYL138" s="774"/>
      <c r="BYM138" s="774"/>
      <c r="BYN138" s="774"/>
      <c r="BYO138" s="774"/>
      <c r="BYP138" s="774"/>
      <c r="BYQ138" s="774"/>
      <c r="BYR138" s="774"/>
      <c r="BYS138" s="774"/>
      <c r="BYT138" s="774"/>
      <c r="BYU138" s="774"/>
      <c r="BYV138" s="774"/>
      <c r="BYW138" s="774"/>
      <c r="BYX138" s="774"/>
      <c r="BYY138" s="774"/>
      <c r="BYZ138" s="774"/>
      <c r="BZA138" s="774"/>
      <c r="BZB138" s="774"/>
      <c r="BZC138" s="774"/>
      <c r="BZD138" s="774"/>
      <c r="BZE138" s="774"/>
      <c r="BZF138" s="774"/>
      <c r="BZG138" s="774"/>
      <c r="BZH138" s="774"/>
      <c r="BZI138" s="774"/>
      <c r="BZJ138" s="774"/>
      <c r="BZK138" s="774"/>
      <c r="BZL138" s="774"/>
      <c r="BZM138" s="774"/>
      <c r="BZN138" s="774"/>
      <c r="BZO138" s="774"/>
      <c r="BZP138" s="774"/>
      <c r="BZQ138" s="774"/>
      <c r="BZR138" s="774"/>
      <c r="BZS138" s="774"/>
      <c r="BZT138" s="774"/>
      <c r="BZU138" s="774"/>
      <c r="BZV138" s="774"/>
      <c r="BZW138" s="774"/>
      <c r="BZX138" s="774"/>
      <c r="BZY138" s="774"/>
      <c r="BZZ138" s="774"/>
      <c r="CAA138" s="774"/>
      <c r="CAB138" s="774"/>
      <c r="CAC138" s="774"/>
      <c r="CAD138" s="774"/>
      <c r="CAE138" s="774"/>
      <c r="CAF138" s="774"/>
      <c r="CAG138" s="774"/>
      <c r="CAH138" s="774"/>
      <c r="CAI138" s="774"/>
      <c r="CAJ138" s="774"/>
      <c r="CAK138" s="774"/>
      <c r="CAL138" s="774"/>
      <c r="CAM138" s="774"/>
      <c r="CAN138" s="774"/>
      <c r="CAO138" s="774"/>
      <c r="CAP138" s="774"/>
      <c r="CAQ138" s="774"/>
      <c r="CAR138" s="774"/>
      <c r="CAS138" s="774"/>
      <c r="CAT138" s="774"/>
      <c r="CAU138" s="774"/>
      <c r="CAV138" s="774"/>
      <c r="CAW138" s="774"/>
      <c r="CAX138" s="774"/>
      <c r="CAY138" s="774"/>
      <c r="CAZ138" s="774"/>
      <c r="CBA138" s="774"/>
      <c r="CBB138" s="774"/>
      <c r="CBC138" s="774"/>
      <c r="CBD138" s="774"/>
      <c r="CBE138" s="774"/>
      <c r="CBF138" s="774"/>
      <c r="CBG138" s="774"/>
      <c r="CBH138" s="774"/>
      <c r="CBI138" s="774"/>
      <c r="CBJ138" s="774"/>
      <c r="CBK138" s="774"/>
      <c r="CBL138" s="774"/>
      <c r="CBM138" s="774"/>
      <c r="CBN138" s="774"/>
      <c r="CBO138" s="774"/>
      <c r="CBP138" s="774"/>
      <c r="CBQ138" s="774"/>
      <c r="CBR138" s="774"/>
      <c r="CBS138" s="774"/>
      <c r="CBT138" s="774"/>
      <c r="CBU138" s="774"/>
      <c r="CBV138" s="774"/>
      <c r="CBW138" s="774"/>
      <c r="CBX138" s="774"/>
      <c r="CBY138" s="774"/>
      <c r="CBZ138" s="774"/>
      <c r="CCA138" s="774"/>
      <c r="CCB138" s="774"/>
      <c r="CCC138" s="774"/>
      <c r="CCD138" s="774"/>
      <c r="CCE138" s="774"/>
      <c r="CCF138" s="774"/>
      <c r="CCG138" s="774"/>
      <c r="CCH138" s="774"/>
      <c r="CCI138" s="774"/>
      <c r="CCJ138" s="774"/>
      <c r="CCK138" s="774"/>
      <c r="CCL138" s="774"/>
      <c r="CCM138" s="774"/>
      <c r="CCN138" s="774"/>
      <c r="CCO138" s="774"/>
      <c r="CCP138" s="774"/>
      <c r="CCQ138" s="774"/>
      <c r="CCR138" s="774"/>
      <c r="CCS138" s="774"/>
      <c r="CCT138" s="774"/>
      <c r="CCU138" s="774"/>
      <c r="CCV138" s="774"/>
      <c r="CCW138" s="774"/>
      <c r="CCX138" s="774"/>
      <c r="CCY138" s="774"/>
      <c r="CCZ138" s="774"/>
      <c r="CDA138" s="774"/>
      <c r="CDB138" s="774"/>
      <c r="CDC138" s="774"/>
      <c r="CDD138" s="774"/>
      <c r="CDE138" s="774"/>
      <c r="CDF138" s="774"/>
      <c r="CDG138" s="774"/>
      <c r="CDH138" s="774"/>
      <c r="CDI138" s="774"/>
      <c r="CDJ138" s="774"/>
      <c r="CDK138" s="774"/>
      <c r="CDL138" s="774"/>
      <c r="CDM138" s="774"/>
      <c r="CDN138" s="774"/>
      <c r="CDO138" s="774"/>
      <c r="CDP138" s="774"/>
      <c r="CDQ138" s="774"/>
      <c r="CDR138" s="774"/>
      <c r="CDS138" s="774"/>
      <c r="CDT138" s="774"/>
      <c r="CDU138" s="774"/>
      <c r="CDV138" s="774"/>
      <c r="CDW138" s="774"/>
      <c r="CDX138" s="774"/>
      <c r="CDY138" s="774"/>
      <c r="CDZ138" s="774"/>
      <c r="CEA138" s="774"/>
      <c r="CEB138" s="774"/>
      <c r="CEC138" s="774"/>
      <c r="CED138" s="774"/>
      <c r="CEE138" s="774"/>
      <c r="CEF138" s="774"/>
      <c r="CEG138" s="774"/>
      <c r="CEH138" s="774"/>
      <c r="CEI138" s="774"/>
      <c r="CEJ138" s="774"/>
      <c r="CEK138" s="774"/>
      <c r="CEL138" s="774"/>
      <c r="CEM138" s="774"/>
      <c r="CEN138" s="774"/>
      <c r="CEO138" s="774"/>
      <c r="CEP138" s="774"/>
      <c r="CEQ138" s="774"/>
      <c r="CER138" s="774"/>
      <c r="CES138" s="774"/>
      <c r="CET138" s="774"/>
      <c r="CEU138" s="774"/>
      <c r="CEV138" s="774"/>
      <c r="CEW138" s="774"/>
      <c r="CEX138" s="774"/>
      <c r="CEY138" s="774"/>
      <c r="CEZ138" s="774"/>
      <c r="CFA138" s="774"/>
      <c r="CFB138" s="774"/>
      <c r="CFC138" s="774"/>
      <c r="CFD138" s="774"/>
      <c r="CFE138" s="774"/>
      <c r="CFF138" s="774"/>
      <c r="CFG138" s="774"/>
      <c r="CFH138" s="774"/>
      <c r="CFI138" s="774"/>
      <c r="CFJ138" s="774"/>
      <c r="CFK138" s="774"/>
      <c r="CFL138" s="774"/>
      <c r="CFM138" s="774"/>
      <c r="CFN138" s="774"/>
      <c r="CFO138" s="774"/>
      <c r="CFP138" s="774"/>
      <c r="CFQ138" s="774"/>
      <c r="CFR138" s="774"/>
      <c r="CFS138" s="774"/>
      <c r="CFT138" s="774"/>
      <c r="CFU138" s="774"/>
      <c r="CFV138" s="774"/>
      <c r="CFW138" s="774"/>
      <c r="CFX138" s="774"/>
      <c r="CFY138" s="774"/>
      <c r="CFZ138" s="774"/>
      <c r="CGA138" s="774"/>
      <c r="CGB138" s="774"/>
      <c r="CGC138" s="774"/>
      <c r="CGD138" s="774"/>
      <c r="CGE138" s="774"/>
      <c r="CGF138" s="774"/>
      <c r="CGG138" s="774"/>
      <c r="CGH138" s="774"/>
      <c r="CGI138" s="774"/>
      <c r="CGJ138" s="774"/>
      <c r="CGK138" s="774"/>
      <c r="CGL138" s="774"/>
      <c r="CGM138" s="774"/>
      <c r="CGN138" s="774"/>
      <c r="CGO138" s="774"/>
      <c r="CGP138" s="774"/>
      <c r="CGQ138" s="774"/>
      <c r="CGR138" s="774"/>
      <c r="CGS138" s="774"/>
      <c r="CGT138" s="774"/>
      <c r="CGU138" s="774"/>
      <c r="CGV138" s="774"/>
      <c r="CGW138" s="774"/>
      <c r="CGX138" s="774"/>
      <c r="CGY138" s="774"/>
      <c r="CGZ138" s="774"/>
      <c r="CHA138" s="774"/>
      <c r="CHB138" s="774"/>
      <c r="CHC138" s="774"/>
      <c r="CHD138" s="774"/>
      <c r="CHE138" s="774"/>
      <c r="CHF138" s="774"/>
      <c r="CHG138" s="774"/>
      <c r="CHH138" s="774"/>
      <c r="CHI138" s="774"/>
      <c r="CHJ138" s="774"/>
      <c r="CHK138" s="774"/>
      <c r="CHL138" s="774"/>
      <c r="CHM138" s="774"/>
      <c r="CHN138" s="774"/>
      <c r="CHO138" s="774"/>
      <c r="CHP138" s="774"/>
      <c r="CHQ138" s="774"/>
      <c r="CHR138" s="774"/>
      <c r="CHS138" s="774"/>
      <c r="CHT138" s="774"/>
      <c r="CHU138" s="774"/>
      <c r="CHV138" s="774"/>
      <c r="CHW138" s="774"/>
      <c r="CHX138" s="774"/>
      <c r="CHY138" s="774"/>
      <c r="CHZ138" s="774"/>
      <c r="CIA138" s="774"/>
      <c r="CIB138" s="774"/>
      <c r="CIC138" s="774"/>
      <c r="CID138" s="774"/>
      <c r="CIE138" s="774"/>
      <c r="CIF138" s="774"/>
      <c r="CIG138" s="774"/>
      <c r="CIH138" s="774"/>
      <c r="CII138" s="774"/>
      <c r="CIJ138" s="774"/>
      <c r="CIK138" s="774"/>
      <c r="CIL138" s="774"/>
      <c r="CIM138" s="774"/>
      <c r="CIN138" s="774"/>
      <c r="CIO138" s="774"/>
      <c r="CIP138" s="774"/>
      <c r="CIQ138" s="774"/>
      <c r="CIR138" s="774"/>
      <c r="CIS138" s="774"/>
      <c r="CIT138" s="774"/>
      <c r="CIU138" s="774"/>
      <c r="CIV138" s="774"/>
      <c r="CIW138" s="774"/>
      <c r="CIX138" s="774"/>
      <c r="CIY138" s="774"/>
      <c r="CIZ138" s="774"/>
      <c r="CJA138" s="774"/>
      <c r="CJB138" s="774"/>
      <c r="CJC138" s="774"/>
      <c r="CJD138" s="774"/>
      <c r="CJE138" s="774"/>
      <c r="CJF138" s="774"/>
      <c r="CJG138" s="774"/>
      <c r="CJH138" s="774"/>
      <c r="CJI138" s="774"/>
      <c r="CJJ138" s="774"/>
      <c r="CJK138" s="774"/>
      <c r="CJL138" s="774"/>
      <c r="CJM138" s="774"/>
      <c r="CJN138" s="774"/>
      <c r="CJO138" s="774"/>
      <c r="CJP138" s="774"/>
      <c r="CJQ138" s="774"/>
      <c r="CJR138" s="774"/>
      <c r="CJS138" s="774"/>
      <c r="CJT138" s="774"/>
      <c r="CJU138" s="774"/>
      <c r="CJV138" s="774"/>
      <c r="CJW138" s="774"/>
      <c r="CJX138" s="774"/>
      <c r="CJY138" s="774"/>
      <c r="CJZ138" s="774"/>
      <c r="CKA138" s="774"/>
      <c r="CKB138" s="774"/>
      <c r="CKC138" s="774"/>
      <c r="CKD138" s="774"/>
      <c r="CKE138" s="774"/>
      <c r="CKF138" s="774"/>
      <c r="CKG138" s="774"/>
      <c r="CKH138" s="774"/>
      <c r="CKI138" s="774"/>
      <c r="CKJ138" s="774"/>
      <c r="CKK138" s="774"/>
      <c r="CKL138" s="774"/>
      <c r="CKM138" s="774"/>
      <c r="CKN138" s="774"/>
      <c r="CKO138" s="774"/>
      <c r="CKP138" s="774"/>
      <c r="CKQ138" s="774"/>
      <c r="CKR138" s="774"/>
      <c r="CKS138" s="774"/>
      <c r="CKT138" s="774"/>
      <c r="CKU138" s="774"/>
      <c r="CKV138" s="774"/>
      <c r="CKW138" s="774"/>
      <c r="CKX138" s="774"/>
      <c r="CKY138" s="774"/>
      <c r="CKZ138" s="774"/>
      <c r="CLA138" s="774"/>
      <c r="CLB138" s="774"/>
      <c r="CLC138" s="774"/>
      <c r="CLD138" s="774"/>
      <c r="CLE138" s="774"/>
      <c r="CLF138" s="774"/>
      <c r="CLG138" s="774"/>
      <c r="CLH138" s="774"/>
      <c r="CLI138" s="774"/>
      <c r="CLJ138" s="774"/>
      <c r="CLK138" s="774"/>
      <c r="CLL138" s="774"/>
      <c r="CLM138" s="774"/>
      <c r="CLN138" s="774"/>
      <c r="CLO138" s="774"/>
      <c r="CLP138" s="774"/>
      <c r="CLQ138" s="774"/>
      <c r="CLR138" s="774"/>
      <c r="CLS138" s="774"/>
      <c r="CLT138" s="774"/>
      <c r="CLU138" s="774"/>
      <c r="CLV138" s="774"/>
      <c r="CLW138" s="774"/>
      <c r="CLX138" s="774"/>
      <c r="CLY138" s="774"/>
      <c r="CLZ138" s="774"/>
      <c r="CMA138" s="774"/>
      <c r="CMB138" s="774"/>
      <c r="CMC138" s="774"/>
      <c r="CMD138" s="774"/>
      <c r="CME138" s="774"/>
      <c r="CMF138" s="774"/>
      <c r="CMG138" s="774"/>
      <c r="CMH138" s="774"/>
      <c r="CMI138" s="774"/>
      <c r="CMJ138" s="774"/>
      <c r="CMK138" s="774"/>
      <c r="CML138" s="774"/>
      <c r="CMM138" s="774"/>
      <c r="CMN138" s="774"/>
      <c r="CMO138" s="774"/>
      <c r="CMP138" s="774"/>
      <c r="CMQ138" s="774"/>
      <c r="CMR138" s="774"/>
      <c r="CMS138" s="774"/>
      <c r="CMT138" s="774"/>
      <c r="CMU138" s="774"/>
      <c r="CMV138" s="774"/>
      <c r="CMW138" s="774"/>
      <c r="CMX138" s="774"/>
      <c r="CMY138" s="774"/>
      <c r="CMZ138" s="774"/>
      <c r="CNA138" s="774"/>
      <c r="CNB138" s="774"/>
      <c r="CNC138" s="774"/>
      <c r="CND138" s="774"/>
      <c r="CNE138" s="774"/>
      <c r="CNF138" s="774"/>
      <c r="CNG138" s="774"/>
      <c r="CNH138" s="774"/>
      <c r="CNI138" s="774"/>
      <c r="CNJ138" s="774"/>
      <c r="CNK138" s="774"/>
      <c r="CNL138" s="774"/>
      <c r="CNM138" s="774"/>
      <c r="CNN138" s="774"/>
      <c r="CNO138" s="774"/>
      <c r="CNP138" s="774"/>
      <c r="CNQ138" s="774"/>
      <c r="CNR138" s="774"/>
      <c r="CNS138" s="774"/>
      <c r="CNT138" s="774"/>
      <c r="CNU138" s="774"/>
      <c r="CNV138" s="774"/>
      <c r="CNW138" s="774"/>
      <c r="CNX138" s="774"/>
      <c r="CNY138" s="774"/>
      <c r="CNZ138" s="774"/>
      <c r="COA138" s="774"/>
      <c r="COB138" s="774"/>
      <c r="COC138" s="774"/>
      <c r="COD138" s="774"/>
      <c r="COE138" s="774"/>
      <c r="COF138" s="774"/>
      <c r="COG138" s="774"/>
      <c r="COH138" s="774"/>
      <c r="COI138" s="774"/>
      <c r="COJ138" s="774"/>
      <c r="COK138" s="774"/>
      <c r="COL138" s="774"/>
      <c r="COM138" s="774"/>
      <c r="CON138" s="774"/>
      <c r="COO138" s="774"/>
      <c r="COP138" s="774"/>
      <c r="COQ138" s="774"/>
      <c r="COR138" s="774"/>
      <c r="COS138" s="774"/>
      <c r="COT138" s="774"/>
      <c r="COU138" s="774"/>
      <c r="COV138" s="774"/>
      <c r="COW138" s="774"/>
      <c r="COX138" s="774"/>
      <c r="COY138" s="774"/>
      <c r="COZ138" s="774"/>
      <c r="CPA138" s="774"/>
      <c r="CPB138" s="774"/>
      <c r="CPC138" s="774"/>
      <c r="CPD138" s="774"/>
      <c r="CPE138" s="774"/>
      <c r="CPF138" s="774"/>
      <c r="CPG138" s="774"/>
      <c r="CPH138" s="774"/>
      <c r="CPI138" s="774"/>
      <c r="CPJ138" s="774"/>
      <c r="CPK138" s="774"/>
      <c r="CPL138" s="774"/>
      <c r="CPM138" s="774"/>
      <c r="CPN138" s="774"/>
      <c r="CPO138" s="774"/>
      <c r="CPP138" s="774"/>
      <c r="CPQ138" s="774"/>
      <c r="CPR138" s="774"/>
      <c r="CPS138" s="774"/>
      <c r="CPT138" s="774"/>
      <c r="CPU138" s="774"/>
      <c r="CPV138" s="774"/>
      <c r="CPW138" s="774"/>
      <c r="CPX138" s="774"/>
      <c r="CPY138" s="774"/>
      <c r="CPZ138" s="774"/>
      <c r="CQA138" s="774"/>
      <c r="CQB138" s="774"/>
      <c r="CQC138" s="774"/>
      <c r="CQD138" s="774"/>
      <c r="CQE138" s="774"/>
      <c r="CQF138" s="774"/>
      <c r="CQG138" s="774"/>
      <c r="CQH138" s="774"/>
      <c r="CQI138" s="774"/>
      <c r="CQJ138" s="774"/>
      <c r="CQK138" s="774"/>
      <c r="CQL138" s="774"/>
      <c r="CQM138" s="774"/>
      <c r="CQN138" s="774"/>
      <c r="CQO138" s="774"/>
      <c r="CQP138" s="774"/>
      <c r="CQQ138" s="774"/>
      <c r="CQR138" s="774"/>
      <c r="CQS138" s="774"/>
      <c r="CQT138" s="774"/>
      <c r="CQU138" s="774"/>
      <c r="CQV138" s="774"/>
      <c r="CQW138" s="774"/>
      <c r="CQX138" s="774"/>
      <c r="CQY138" s="774"/>
      <c r="CQZ138" s="774"/>
      <c r="CRA138" s="774"/>
      <c r="CRB138" s="774"/>
      <c r="CRC138" s="774"/>
      <c r="CRD138" s="774"/>
      <c r="CRE138" s="774"/>
      <c r="CRF138" s="774"/>
      <c r="CRG138" s="774"/>
      <c r="CRH138" s="774"/>
      <c r="CRI138" s="774"/>
      <c r="CRJ138" s="774"/>
      <c r="CRK138" s="774"/>
      <c r="CRL138" s="774"/>
      <c r="CRM138" s="774"/>
      <c r="CRN138" s="774"/>
      <c r="CRO138" s="774"/>
      <c r="CRP138" s="774"/>
      <c r="CRQ138" s="774"/>
      <c r="CRR138" s="774"/>
      <c r="CRS138" s="774"/>
      <c r="CRT138" s="774"/>
      <c r="CRU138" s="774"/>
      <c r="CRV138" s="774"/>
      <c r="CRW138" s="774"/>
      <c r="CRX138" s="774"/>
      <c r="CRY138" s="774"/>
      <c r="CRZ138" s="774"/>
      <c r="CSA138" s="774"/>
      <c r="CSB138" s="774"/>
      <c r="CSC138" s="774"/>
      <c r="CSD138" s="774"/>
      <c r="CSE138" s="774"/>
      <c r="CSF138" s="774"/>
      <c r="CSG138" s="774"/>
      <c r="CSH138" s="774"/>
      <c r="CSI138" s="774"/>
      <c r="CSJ138" s="774"/>
      <c r="CSK138" s="774"/>
      <c r="CSL138" s="774"/>
      <c r="CSM138" s="774"/>
      <c r="CSN138" s="774"/>
      <c r="CSO138" s="774"/>
      <c r="CSP138" s="774"/>
      <c r="CSQ138" s="774"/>
      <c r="CSR138" s="774"/>
      <c r="CSS138" s="774"/>
      <c r="CST138" s="774"/>
      <c r="CSU138" s="774"/>
      <c r="CSV138" s="774"/>
      <c r="CSW138" s="774"/>
      <c r="CSX138" s="774"/>
      <c r="CSY138" s="774"/>
      <c r="CSZ138" s="774"/>
      <c r="CTA138" s="774"/>
      <c r="CTB138" s="774"/>
      <c r="CTC138" s="774"/>
      <c r="CTD138" s="774"/>
      <c r="CTE138" s="774"/>
      <c r="CTF138" s="774"/>
      <c r="CTG138" s="774"/>
      <c r="CTH138" s="774"/>
      <c r="CTI138" s="774"/>
      <c r="CTJ138" s="774"/>
      <c r="CTK138" s="774"/>
      <c r="CTL138" s="774"/>
      <c r="CTM138" s="774"/>
      <c r="CTN138" s="774"/>
      <c r="CTO138" s="774"/>
      <c r="CTP138" s="774"/>
      <c r="CTQ138" s="774"/>
      <c r="CTR138" s="774"/>
      <c r="CTS138" s="774"/>
      <c r="CTT138" s="774"/>
      <c r="CTU138" s="774"/>
      <c r="CTV138" s="774"/>
      <c r="CTW138" s="774"/>
      <c r="CTX138" s="774"/>
      <c r="CTY138" s="774"/>
      <c r="CTZ138" s="774"/>
      <c r="CUA138" s="774"/>
      <c r="CUB138" s="774"/>
      <c r="CUC138" s="774"/>
      <c r="CUD138" s="774"/>
      <c r="CUE138" s="774"/>
      <c r="CUF138" s="774"/>
      <c r="CUG138" s="774"/>
      <c r="CUH138" s="774"/>
      <c r="CUI138" s="774"/>
      <c r="CUJ138" s="774"/>
      <c r="CUK138" s="774"/>
      <c r="CUL138" s="774"/>
      <c r="CUM138" s="774"/>
      <c r="CUN138" s="774"/>
      <c r="CUO138" s="774"/>
      <c r="CUP138" s="774"/>
      <c r="CUQ138" s="774"/>
      <c r="CUR138" s="774"/>
      <c r="CUS138" s="774"/>
      <c r="CUT138" s="774"/>
      <c r="CUU138" s="774"/>
      <c r="CUV138" s="774"/>
      <c r="CUW138" s="774"/>
      <c r="CUX138" s="774"/>
      <c r="CUY138" s="774"/>
      <c r="CUZ138" s="774"/>
      <c r="CVA138" s="774"/>
      <c r="CVB138" s="774"/>
      <c r="CVC138" s="774"/>
      <c r="CVD138" s="774"/>
      <c r="CVE138" s="774"/>
      <c r="CVF138" s="774"/>
      <c r="CVG138" s="774"/>
      <c r="CVH138" s="774"/>
      <c r="CVI138" s="774"/>
      <c r="CVJ138" s="774"/>
      <c r="CVK138" s="774"/>
      <c r="CVL138" s="774"/>
      <c r="CVM138" s="774"/>
      <c r="CVN138" s="774"/>
      <c r="CVO138" s="774"/>
      <c r="CVP138" s="774"/>
      <c r="CVQ138" s="774"/>
      <c r="CVR138" s="774"/>
      <c r="CVS138" s="774"/>
      <c r="CVT138" s="774"/>
      <c r="CVU138" s="774"/>
      <c r="CVV138" s="774"/>
      <c r="CVW138" s="774"/>
      <c r="CVX138" s="774"/>
      <c r="CVY138" s="774"/>
      <c r="CVZ138" s="774"/>
      <c r="CWA138" s="774"/>
      <c r="CWB138" s="774"/>
      <c r="CWC138" s="774"/>
      <c r="CWD138" s="774"/>
      <c r="CWE138" s="774"/>
      <c r="CWF138" s="774"/>
      <c r="CWG138" s="774"/>
      <c r="CWH138" s="774"/>
      <c r="CWI138" s="774"/>
      <c r="CWJ138" s="774"/>
      <c r="CWK138" s="774"/>
      <c r="CWL138" s="774"/>
      <c r="CWM138" s="774"/>
      <c r="CWN138" s="774"/>
      <c r="CWO138" s="774"/>
      <c r="CWP138" s="774"/>
      <c r="CWQ138" s="774"/>
      <c r="CWR138" s="774"/>
      <c r="CWS138" s="774"/>
      <c r="CWT138" s="774"/>
      <c r="CWU138" s="774"/>
      <c r="CWV138" s="774"/>
      <c r="CWW138" s="774"/>
      <c r="CWX138" s="774"/>
      <c r="CWY138" s="774"/>
      <c r="CWZ138" s="774"/>
      <c r="CXA138" s="774"/>
      <c r="CXB138" s="774"/>
      <c r="CXC138" s="774"/>
      <c r="CXD138" s="774"/>
      <c r="CXE138" s="774"/>
      <c r="CXF138" s="774"/>
      <c r="CXG138" s="774"/>
      <c r="CXH138" s="774"/>
      <c r="CXI138" s="774"/>
      <c r="CXJ138" s="774"/>
      <c r="CXK138" s="774"/>
      <c r="CXL138" s="774"/>
      <c r="CXM138" s="774"/>
      <c r="CXN138" s="774"/>
      <c r="CXO138" s="774"/>
      <c r="CXP138" s="774"/>
      <c r="CXQ138" s="774"/>
      <c r="CXR138" s="774"/>
      <c r="CXS138" s="774"/>
      <c r="CXT138" s="774"/>
      <c r="CXU138" s="774"/>
      <c r="CXV138" s="774"/>
      <c r="CXW138" s="774"/>
      <c r="CXX138" s="774"/>
      <c r="CXY138" s="774"/>
      <c r="CXZ138" s="774"/>
      <c r="CYA138" s="774"/>
      <c r="CYB138" s="774"/>
      <c r="CYC138" s="774"/>
      <c r="CYD138" s="774"/>
      <c r="CYE138" s="774"/>
      <c r="CYF138" s="774"/>
      <c r="CYG138" s="774"/>
      <c r="CYH138" s="774"/>
      <c r="CYI138" s="774"/>
      <c r="CYJ138" s="774"/>
      <c r="CYK138" s="774"/>
      <c r="CYL138" s="774"/>
      <c r="CYM138" s="774"/>
      <c r="CYN138" s="774"/>
      <c r="CYO138" s="774"/>
      <c r="CYP138" s="774"/>
      <c r="CYQ138" s="774"/>
      <c r="CYR138" s="774"/>
      <c r="CYS138" s="774"/>
      <c r="CYT138" s="774"/>
      <c r="CYU138" s="774"/>
      <c r="CYV138" s="774"/>
      <c r="CYW138" s="774"/>
      <c r="CYX138" s="774"/>
      <c r="CYY138" s="774"/>
      <c r="CYZ138" s="774"/>
      <c r="CZA138" s="774"/>
      <c r="CZB138" s="774"/>
      <c r="CZC138" s="774"/>
      <c r="CZD138" s="774"/>
      <c r="CZE138" s="774"/>
      <c r="CZF138" s="774"/>
      <c r="CZG138" s="774"/>
      <c r="CZH138" s="774"/>
      <c r="CZI138" s="774"/>
      <c r="CZJ138" s="774"/>
      <c r="CZK138" s="774"/>
      <c r="CZL138" s="774"/>
      <c r="CZM138" s="774"/>
      <c r="CZN138" s="774"/>
      <c r="CZO138" s="774"/>
      <c r="CZP138" s="774"/>
      <c r="CZQ138" s="774"/>
      <c r="CZR138" s="774"/>
      <c r="CZS138" s="774"/>
      <c r="CZT138" s="774"/>
      <c r="CZU138" s="774"/>
      <c r="CZV138" s="774"/>
      <c r="CZW138" s="774"/>
      <c r="CZX138" s="774"/>
      <c r="CZY138" s="774"/>
      <c r="CZZ138" s="774"/>
      <c r="DAA138" s="774"/>
      <c r="DAB138" s="774"/>
      <c r="DAC138" s="774"/>
      <c r="DAD138" s="774"/>
      <c r="DAE138" s="774"/>
      <c r="DAF138" s="774"/>
      <c r="DAG138" s="774"/>
      <c r="DAH138" s="774"/>
      <c r="DAI138" s="774"/>
      <c r="DAJ138" s="774"/>
      <c r="DAK138" s="774"/>
      <c r="DAL138" s="774"/>
      <c r="DAM138" s="774"/>
      <c r="DAN138" s="774"/>
      <c r="DAO138" s="774"/>
      <c r="DAP138" s="774"/>
      <c r="DAQ138" s="774"/>
      <c r="DAR138" s="774"/>
      <c r="DAS138" s="774"/>
      <c r="DAT138" s="774"/>
      <c r="DAU138" s="774"/>
      <c r="DAV138" s="774"/>
      <c r="DAW138" s="774"/>
      <c r="DAX138" s="774"/>
      <c r="DAY138" s="774"/>
      <c r="DAZ138" s="774"/>
      <c r="DBA138" s="774"/>
      <c r="DBB138" s="774"/>
      <c r="DBC138" s="774"/>
      <c r="DBD138" s="774"/>
      <c r="DBE138" s="774"/>
      <c r="DBF138" s="774"/>
      <c r="DBG138" s="774"/>
      <c r="DBH138" s="774"/>
      <c r="DBI138" s="774"/>
      <c r="DBJ138" s="774"/>
      <c r="DBK138" s="774"/>
      <c r="DBL138" s="774"/>
      <c r="DBM138" s="774"/>
      <c r="DBN138" s="774"/>
      <c r="DBO138" s="774"/>
      <c r="DBP138" s="774"/>
      <c r="DBQ138" s="774"/>
      <c r="DBR138" s="774"/>
      <c r="DBS138" s="774"/>
      <c r="DBT138" s="774"/>
      <c r="DBU138" s="774"/>
      <c r="DBV138" s="774"/>
      <c r="DBW138" s="774"/>
      <c r="DBX138" s="774"/>
      <c r="DBY138" s="774"/>
      <c r="DBZ138" s="774"/>
      <c r="DCA138" s="774"/>
      <c r="DCB138" s="774"/>
      <c r="DCC138" s="774"/>
      <c r="DCD138" s="774"/>
      <c r="DCE138" s="774"/>
      <c r="DCF138" s="774"/>
      <c r="DCG138" s="774"/>
      <c r="DCH138" s="774"/>
      <c r="DCI138" s="774"/>
      <c r="DCJ138" s="774"/>
      <c r="DCK138" s="774"/>
      <c r="DCL138" s="774"/>
      <c r="DCM138" s="774"/>
      <c r="DCN138" s="774"/>
      <c r="DCO138" s="774"/>
      <c r="DCP138" s="774"/>
      <c r="DCQ138" s="774"/>
      <c r="DCR138" s="774"/>
      <c r="DCS138" s="774"/>
      <c r="DCT138" s="774"/>
      <c r="DCU138" s="774"/>
      <c r="DCV138" s="774"/>
      <c r="DCW138" s="774"/>
      <c r="DCX138" s="774"/>
      <c r="DCY138" s="774"/>
      <c r="DCZ138" s="774"/>
      <c r="DDA138" s="774"/>
      <c r="DDB138" s="774"/>
      <c r="DDC138" s="774"/>
      <c r="DDD138" s="774"/>
      <c r="DDE138" s="774"/>
      <c r="DDF138" s="774"/>
      <c r="DDG138" s="774"/>
      <c r="DDH138" s="774"/>
      <c r="DDI138" s="774"/>
      <c r="DDJ138" s="774"/>
      <c r="DDK138" s="774"/>
      <c r="DDL138" s="774"/>
      <c r="DDM138" s="774"/>
      <c r="DDN138" s="774"/>
      <c r="DDO138" s="774"/>
      <c r="DDP138" s="774"/>
      <c r="DDQ138" s="774"/>
      <c r="DDR138" s="774"/>
      <c r="DDS138" s="774"/>
      <c r="DDT138" s="774"/>
      <c r="DDU138" s="774"/>
      <c r="DDV138" s="774"/>
      <c r="DDW138" s="774"/>
      <c r="DDX138" s="774"/>
      <c r="DDY138" s="774"/>
      <c r="DDZ138" s="774"/>
      <c r="DEA138" s="774"/>
      <c r="DEB138" s="774"/>
      <c r="DEC138" s="774"/>
      <c r="DED138" s="774"/>
      <c r="DEE138" s="774"/>
      <c r="DEF138" s="774"/>
      <c r="DEG138" s="774"/>
      <c r="DEH138" s="774"/>
      <c r="DEI138" s="774"/>
      <c r="DEJ138" s="774"/>
      <c r="DEK138" s="774"/>
      <c r="DEL138" s="774"/>
      <c r="DEM138" s="774"/>
      <c r="DEN138" s="774"/>
      <c r="DEO138" s="774"/>
      <c r="DEP138" s="774"/>
      <c r="DEQ138" s="774"/>
      <c r="DER138" s="774"/>
      <c r="DES138" s="774"/>
      <c r="DET138" s="774"/>
      <c r="DEU138" s="774"/>
      <c r="DEV138" s="774"/>
      <c r="DEW138" s="774"/>
      <c r="DEX138" s="774"/>
      <c r="DEY138" s="774"/>
      <c r="DEZ138" s="774"/>
      <c r="DFA138" s="774"/>
      <c r="DFB138" s="774"/>
      <c r="DFC138" s="774"/>
      <c r="DFD138" s="774"/>
      <c r="DFE138" s="774"/>
      <c r="DFF138" s="774"/>
      <c r="DFG138" s="774"/>
      <c r="DFH138" s="774"/>
      <c r="DFI138" s="774"/>
      <c r="DFJ138" s="774"/>
      <c r="DFK138" s="774"/>
      <c r="DFL138" s="774"/>
      <c r="DFM138" s="774"/>
      <c r="DFN138" s="774"/>
      <c r="DFO138" s="774"/>
      <c r="DFP138" s="774"/>
      <c r="DFQ138" s="774"/>
      <c r="DFR138" s="774"/>
      <c r="DFS138" s="774"/>
      <c r="DFT138" s="774"/>
      <c r="DFU138" s="774"/>
      <c r="DFV138" s="774"/>
      <c r="DFW138" s="774"/>
      <c r="DFX138" s="774"/>
      <c r="DFY138" s="774"/>
      <c r="DFZ138" s="774"/>
      <c r="DGA138" s="774"/>
      <c r="DGB138" s="774"/>
      <c r="DGC138" s="774"/>
      <c r="DGD138" s="774"/>
      <c r="DGE138" s="774"/>
      <c r="DGF138" s="774"/>
      <c r="DGG138" s="774"/>
      <c r="DGH138" s="774"/>
      <c r="DGI138" s="774"/>
      <c r="DGJ138" s="774"/>
      <c r="DGK138" s="774"/>
      <c r="DGL138" s="774"/>
      <c r="DGM138" s="774"/>
      <c r="DGN138" s="774"/>
      <c r="DGO138" s="774"/>
      <c r="DGP138" s="774"/>
      <c r="DGQ138" s="774"/>
      <c r="DGR138" s="774"/>
      <c r="DGS138" s="774"/>
      <c r="DGT138" s="774"/>
      <c r="DGU138" s="774"/>
      <c r="DGV138" s="774"/>
      <c r="DGW138" s="774"/>
      <c r="DGX138" s="774"/>
      <c r="DGY138" s="774"/>
      <c r="DGZ138" s="774"/>
      <c r="DHA138" s="774"/>
      <c r="DHB138" s="774"/>
      <c r="DHC138" s="774"/>
      <c r="DHD138" s="774"/>
      <c r="DHE138" s="774"/>
      <c r="DHF138" s="774"/>
      <c r="DHG138" s="774"/>
      <c r="DHH138" s="774"/>
      <c r="DHI138" s="774"/>
      <c r="DHJ138" s="774"/>
      <c r="DHK138" s="774"/>
      <c r="DHL138" s="774"/>
      <c r="DHM138" s="774"/>
      <c r="DHN138" s="774"/>
      <c r="DHO138" s="774"/>
      <c r="DHP138" s="774"/>
      <c r="DHQ138" s="774"/>
      <c r="DHR138" s="774"/>
      <c r="DHS138" s="774"/>
      <c r="DHT138" s="774"/>
      <c r="DHU138" s="774"/>
      <c r="DHV138" s="774"/>
      <c r="DHW138" s="774"/>
      <c r="DHX138" s="774"/>
      <c r="DHY138" s="774"/>
      <c r="DHZ138" s="774"/>
      <c r="DIA138" s="774"/>
      <c r="DIB138" s="774"/>
      <c r="DIC138" s="774"/>
      <c r="DID138" s="774"/>
      <c r="DIE138" s="774"/>
      <c r="DIF138" s="774"/>
      <c r="DIG138" s="774"/>
      <c r="DIH138" s="774"/>
      <c r="DII138" s="774"/>
      <c r="DIJ138" s="774"/>
      <c r="DIK138" s="774"/>
      <c r="DIL138" s="774"/>
      <c r="DIM138" s="774"/>
      <c r="DIN138" s="774"/>
      <c r="DIO138" s="774"/>
      <c r="DIP138" s="774"/>
      <c r="DIQ138" s="774"/>
      <c r="DIR138" s="774"/>
      <c r="DIS138" s="774"/>
      <c r="DIT138" s="774"/>
      <c r="DIU138" s="774"/>
      <c r="DIV138" s="774"/>
      <c r="DIW138" s="774"/>
      <c r="DIX138" s="774"/>
      <c r="DIY138" s="774"/>
      <c r="DIZ138" s="774"/>
      <c r="DJA138" s="774"/>
      <c r="DJB138" s="774"/>
      <c r="DJC138" s="774"/>
      <c r="DJD138" s="774"/>
      <c r="DJE138" s="774"/>
      <c r="DJF138" s="774"/>
      <c r="DJG138" s="774"/>
      <c r="DJH138" s="774"/>
      <c r="DJI138" s="774"/>
      <c r="DJJ138" s="774"/>
      <c r="DJK138" s="774"/>
      <c r="DJL138" s="774"/>
      <c r="DJM138" s="774"/>
      <c r="DJN138" s="774"/>
      <c r="DJO138" s="774"/>
      <c r="DJP138" s="774"/>
      <c r="DJQ138" s="774"/>
      <c r="DJR138" s="774"/>
      <c r="DJS138" s="774"/>
      <c r="DJT138" s="774"/>
      <c r="DJU138" s="774"/>
      <c r="DJV138" s="774"/>
      <c r="DJW138" s="774"/>
      <c r="DJX138" s="774"/>
      <c r="DJY138" s="774"/>
      <c r="DJZ138" s="774"/>
      <c r="DKA138" s="774"/>
      <c r="DKB138" s="774"/>
      <c r="DKC138" s="774"/>
      <c r="DKD138" s="774"/>
      <c r="DKE138" s="774"/>
      <c r="DKF138" s="774"/>
      <c r="DKG138" s="774"/>
      <c r="DKH138" s="774"/>
      <c r="DKI138" s="774"/>
      <c r="DKJ138" s="774"/>
      <c r="DKK138" s="774"/>
      <c r="DKL138" s="774"/>
      <c r="DKM138" s="774"/>
      <c r="DKN138" s="774"/>
      <c r="DKO138" s="774"/>
      <c r="DKP138" s="774"/>
      <c r="DKQ138" s="774"/>
      <c r="DKR138" s="774"/>
      <c r="DKS138" s="774"/>
      <c r="DKT138" s="774"/>
      <c r="DKU138" s="774"/>
      <c r="DKV138" s="774"/>
      <c r="DKW138" s="774"/>
      <c r="DKX138" s="774"/>
      <c r="DKY138" s="774"/>
      <c r="DKZ138" s="774"/>
      <c r="DLA138" s="774"/>
      <c r="DLB138" s="774"/>
      <c r="DLC138" s="774"/>
      <c r="DLD138" s="774"/>
      <c r="DLE138" s="774"/>
      <c r="DLF138" s="774"/>
      <c r="DLG138" s="774"/>
      <c r="DLH138" s="774"/>
      <c r="DLI138" s="774"/>
      <c r="DLJ138" s="774"/>
      <c r="DLK138" s="774"/>
      <c r="DLL138" s="774"/>
      <c r="DLM138" s="774"/>
      <c r="DLN138" s="774"/>
      <c r="DLO138" s="774"/>
      <c r="DLP138" s="774"/>
      <c r="DLQ138" s="774"/>
      <c r="DLR138" s="774"/>
      <c r="DLS138" s="774"/>
      <c r="DLT138" s="774"/>
      <c r="DLU138" s="774"/>
      <c r="DLV138" s="774"/>
      <c r="DLW138" s="774"/>
      <c r="DLX138" s="774"/>
      <c r="DLY138" s="774"/>
      <c r="DLZ138" s="774"/>
      <c r="DMA138" s="774"/>
      <c r="DMB138" s="774"/>
      <c r="DMC138" s="774"/>
      <c r="DMD138" s="774"/>
      <c r="DME138" s="774"/>
      <c r="DMF138" s="774"/>
      <c r="DMG138" s="774"/>
      <c r="DMH138" s="774"/>
      <c r="DMI138" s="774"/>
      <c r="DMJ138" s="774"/>
      <c r="DMK138" s="774"/>
      <c r="DML138" s="774"/>
      <c r="DMM138" s="774"/>
      <c r="DMN138" s="774"/>
      <c r="DMO138" s="774"/>
      <c r="DMP138" s="774"/>
      <c r="DMQ138" s="774"/>
      <c r="DMR138" s="774"/>
      <c r="DMS138" s="774"/>
      <c r="DMT138" s="774"/>
      <c r="DMU138" s="774"/>
      <c r="DMV138" s="774"/>
      <c r="DMW138" s="774"/>
      <c r="DMX138" s="774"/>
      <c r="DMY138" s="774"/>
      <c r="DMZ138" s="774"/>
      <c r="DNA138" s="774"/>
      <c r="DNB138" s="774"/>
      <c r="DNC138" s="774"/>
      <c r="DND138" s="774"/>
      <c r="DNE138" s="774"/>
      <c r="DNF138" s="774"/>
      <c r="DNG138" s="774"/>
      <c r="DNH138" s="774"/>
      <c r="DNI138" s="774"/>
      <c r="DNJ138" s="774"/>
      <c r="DNK138" s="774"/>
      <c r="DNL138" s="774"/>
      <c r="DNM138" s="774"/>
      <c r="DNN138" s="774"/>
      <c r="DNO138" s="774"/>
      <c r="DNP138" s="774"/>
      <c r="DNQ138" s="774"/>
      <c r="DNR138" s="774"/>
      <c r="DNS138" s="774"/>
      <c r="DNT138" s="774"/>
      <c r="DNU138" s="774"/>
      <c r="DNV138" s="774"/>
      <c r="DNW138" s="774"/>
      <c r="DNX138" s="774"/>
      <c r="DNY138" s="774"/>
      <c r="DNZ138" s="774"/>
      <c r="DOA138" s="774"/>
      <c r="DOB138" s="774"/>
      <c r="DOC138" s="774"/>
      <c r="DOD138" s="774"/>
      <c r="DOE138" s="774"/>
      <c r="DOF138" s="774"/>
      <c r="DOG138" s="774"/>
      <c r="DOH138" s="774"/>
      <c r="DOI138" s="774"/>
      <c r="DOJ138" s="774"/>
      <c r="DOK138" s="774"/>
      <c r="DOL138" s="774"/>
      <c r="DOM138" s="774"/>
      <c r="DON138" s="774"/>
      <c r="DOO138" s="774"/>
      <c r="DOP138" s="774"/>
      <c r="DOQ138" s="774"/>
      <c r="DOR138" s="774"/>
      <c r="DOS138" s="774"/>
      <c r="DOT138" s="774"/>
      <c r="DOU138" s="774"/>
      <c r="DOV138" s="774"/>
      <c r="DOW138" s="774"/>
      <c r="DOX138" s="774"/>
      <c r="DOY138" s="774"/>
      <c r="DOZ138" s="774"/>
      <c r="DPA138" s="774"/>
      <c r="DPB138" s="774"/>
      <c r="DPC138" s="774"/>
      <c r="DPD138" s="774"/>
      <c r="DPE138" s="774"/>
      <c r="DPF138" s="774"/>
      <c r="DPG138" s="774"/>
      <c r="DPH138" s="774"/>
      <c r="DPI138" s="774"/>
      <c r="DPJ138" s="774"/>
      <c r="DPK138" s="774"/>
      <c r="DPL138" s="774"/>
      <c r="DPM138" s="774"/>
      <c r="DPN138" s="774"/>
      <c r="DPO138" s="774"/>
      <c r="DPP138" s="774"/>
      <c r="DPQ138" s="774"/>
      <c r="DPR138" s="774"/>
      <c r="DPS138" s="774"/>
      <c r="DPT138" s="774"/>
      <c r="DPU138" s="774"/>
      <c r="DPV138" s="774"/>
      <c r="DPW138" s="774"/>
      <c r="DPX138" s="774"/>
      <c r="DPY138" s="774"/>
      <c r="DPZ138" s="774"/>
      <c r="DQA138" s="774"/>
      <c r="DQB138" s="774"/>
      <c r="DQC138" s="774"/>
      <c r="DQD138" s="774"/>
      <c r="DQE138" s="774"/>
      <c r="DQF138" s="774"/>
      <c r="DQG138" s="774"/>
      <c r="DQH138" s="774"/>
      <c r="DQI138" s="774"/>
      <c r="DQJ138" s="774"/>
      <c r="DQK138" s="774"/>
      <c r="DQL138" s="774"/>
      <c r="DQM138" s="774"/>
      <c r="DQN138" s="774"/>
      <c r="DQO138" s="774"/>
      <c r="DQP138" s="774"/>
      <c r="DQQ138" s="774"/>
      <c r="DQR138" s="774"/>
      <c r="DQS138" s="774"/>
      <c r="DQT138" s="774"/>
      <c r="DQU138" s="774"/>
      <c r="DQV138" s="774"/>
      <c r="DQW138" s="774"/>
      <c r="DQX138" s="774"/>
      <c r="DQY138" s="774"/>
      <c r="DQZ138" s="774"/>
      <c r="DRA138" s="774"/>
      <c r="DRB138" s="774"/>
      <c r="DRC138" s="774"/>
      <c r="DRD138" s="774"/>
      <c r="DRE138" s="774"/>
      <c r="DRF138" s="774"/>
      <c r="DRG138" s="774"/>
      <c r="DRH138" s="774"/>
      <c r="DRI138" s="774"/>
      <c r="DRJ138" s="774"/>
      <c r="DRK138" s="774"/>
      <c r="DRL138" s="774"/>
      <c r="DRM138" s="774"/>
      <c r="DRN138" s="774"/>
      <c r="DRO138" s="774"/>
      <c r="DRP138" s="774"/>
      <c r="DRQ138" s="774"/>
      <c r="DRR138" s="774"/>
      <c r="DRS138" s="774"/>
      <c r="DRT138" s="774"/>
      <c r="DRU138" s="774"/>
      <c r="DRV138" s="774"/>
      <c r="DRW138" s="774"/>
      <c r="DRX138" s="774"/>
      <c r="DRY138" s="774"/>
      <c r="DRZ138" s="774"/>
      <c r="DSA138" s="774"/>
      <c r="DSB138" s="774"/>
      <c r="DSC138" s="774"/>
      <c r="DSD138" s="774"/>
      <c r="DSE138" s="774"/>
      <c r="DSF138" s="774"/>
      <c r="DSG138" s="774"/>
      <c r="DSH138" s="774"/>
      <c r="DSI138" s="774"/>
      <c r="DSJ138" s="774"/>
      <c r="DSK138" s="774"/>
      <c r="DSL138" s="774"/>
      <c r="DSM138" s="774"/>
      <c r="DSN138" s="774"/>
      <c r="DSO138" s="774"/>
      <c r="DSP138" s="774"/>
      <c r="DSQ138" s="774"/>
      <c r="DSR138" s="774"/>
      <c r="DSS138" s="774"/>
      <c r="DST138" s="774"/>
      <c r="DSU138" s="774"/>
      <c r="DSV138" s="774"/>
      <c r="DSW138" s="774"/>
      <c r="DSX138" s="774"/>
      <c r="DSY138" s="774"/>
      <c r="DSZ138" s="774"/>
      <c r="DTA138" s="774"/>
      <c r="DTB138" s="774"/>
      <c r="DTC138" s="774"/>
      <c r="DTD138" s="774"/>
      <c r="DTE138" s="774"/>
      <c r="DTF138" s="774"/>
      <c r="DTG138" s="774"/>
      <c r="DTH138" s="774"/>
      <c r="DTI138" s="774"/>
      <c r="DTJ138" s="774"/>
      <c r="DTK138" s="774"/>
      <c r="DTL138" s="774"/>
      <c r="DTM138" s="774"/>
      <c r="DTN138" s="774"/>
      <c r="DTO138" s="774"/>
      <c r="DTP138" s="774"/>
      <c r="DTQ138" s="774"/>
      <c r="DTR138" s="774"/>
      <c r="DTS138" s="774"/>
      <c r="DTT138" s="774"/>
      <c r="DTU138" s="774"/>
      <c r="DTV138" s="774"/>
      <c r="DTW138" s="774"/>
      <c r="DTX138" s="774"/>
      <c r="DTY138" s="774"/>
      <c r="DTZ138" s="774"/>
      <c r="DUA138" s="774"/>
      <c r="DUB138" s="774"/>
      <c r="DUC138" s="774"/>
      <c r="DUD138" s="774"/>
      <c r="DUE138" s="774"/>
      <c r="DUF138" s="774"/>
      <c r="DUG138" s="774"/>
      <c r="DUH138" s="774"/>
      <c r="DUI138" s="774"/>
      <c r="DUJ138" s="774"/>
      <c r="DUK138" s="774"/>
      <c r="DUL138" s="774"/>
      <c r="DUM138" s="774"/>
      <c r="DUN138" s="774"/>
      <c r="DUO138" s="774"/>
      <c r="DUP138" s="774"/>
      <c r="DUQ138" s="774"/>
      <c r="DUR138" s="774"/>
      <c r="DUS138" s="774"/>
      <c r="DUT138" s="774"/>
      <c r="DUU138" s="774"/>
      <c r="DUV138" s="774"/>
      <c r="DUW138" s="774"/>
      <c r="DUX138" s="774"/>
      <c r="DUY138" s="774"/>
      <c r="DUZ138" s="774"/>
      <c r="DVA138" s="774"/>
      <c r="DVB138" s="774"/>
      <c r="DVC138" s="774"/>
      <c r="DVD138" s="774"/>
      <c r="DVE138" s="774"/>
      <c r="DVF138" s="774"/>
      <c r="DVG138" s="774"/>
      <c r="DVH138" s="774"/>
      <c r="DVI138" s="774"/>
      <c r="DVJ138" s="774"/>
      <c r="DVK138" s="774"/>
      <c r="DVL138" s="774"/>
      <c r="DVM138" s="774"/>
      <c r="DVN138" s="774"/>
      <c r="DVO138" s="774"/>
      <c r="DVP138" s="774"/>
      <c r="DVQ138" s="774"/>
      <c r="DVR138" s="774"/>
      <c r="DVS138" s="774"/>
      <c r="DVT138" s="774"/>
      <c r="DVU138" s="774"/>
      <c r="DVV138" s="774"/>
      <c r="DVW138" s="774"/>
      <c r="DVX138" s="774"/>
      <c r="DVY138" s="774"/>
      <c r="DVZ138" s="774"/>
      <c r="DWA138" s="774"/>
      <c r="DWB138" s="774"/>
      <c r="DWC138" s="774"/>
      <c r="DWD138" s="774"/>
      <c r="DWE138" s="774"/>
      <c r="DWF138" s="774"/>
      <c r="DWG138" s="774"/>
      <c r="DWH138" s="774"/>
      <c r="DWI138" s="774"/>
      <c r="DWJ138" s="774"/>
      <c r="DWK138" s="774"/>
      <c r="DWL138" s="774"/>
      <c r="DWM138" s="774"/>
      <c r="DWN138" s="774"/>
      <c r="DWO138" s="774"/>
      <c r="DWP138" s="774"/>
      <c r="DWQ138" s="774"/>
      <c r="DWR138" s="774"/>
      <c r="DWS138" s="774"/>
      <c r="DWT138" s="774"/>
      <c r="DWU138" s="774"/>
      <c r="DWV138" s="774"/>
      <c r="DWW138" s="774"/>
      <c r="DWX138" s="774"/>
      <c r="DWY138" s="774"/>
      <c r="DWZ138" s="774"/>
      <c r="DXA138" s="774"/>
      <c r="DXB138" s="774"/>
      <c r="DXC138" s="774"/>
      <c r="DXD138" s="774"/>
      <c r="DXE138" s="774"/>
      <c r="DXF138" s="774"/>
      <c r="DXG138" s="774"/>
      <c r="DXH138" s="774"/>
      <c r="DXI138" s="774"/>
      <c r="DXJ138" s="774"/>
      <c r="DXK138" s="774"/>
      <c r="DXL138" s="774"/>
      <c r="DXM138" s="774"/>
      <c r="DXN138" s="774"/>
      <c r="DXO138" s="774"/>
      <c r="DXP138" s="774"/>
      <c r="DXQ138" s="774"/>
      <c r="DXR138" s="774"/>
      <c r="DXS138" s="774"/>
      <c r="DXT138" s="774"/>
      <c r="DXU138" s="774"/>
      <c r="DXV138" s="774"/>
      <c r="DXW138" s="774"/>
      <c r="DXX138" s="774"/>
      <c r="DXY138" s="774"/>
      <c r="DXZ138" s="774"/>
      <c r="DYA138" s="774"/>
      <c r="DYB138" s="774"/>
      <c r="DYC138" s="774"/>
      <c r="DYD138" s="774"/>
      <c r="DYE138" s="774"/>
      <c r="DYF138" s="774"/>
      <c r="DYG138" s="774"/>
      <c r="DYH138" s="774"/>
      <c r="DYI138" s="774"/>
      <c r="DYJ138" s="774"/>
      <c r="DYK138" s="774"/>
      <c r="DYL138" s="774"/>
      <c r="DYM138" s="774"/>
      <c r="DYN138" s="774"/>
      <c r="DYO138" s="774"/>
      <c r="DYP138" s="774"/>
      <c r="DYQ138" s="774"/>
      <c r="DYR138" s="774"/>
      <c r="DYS138" s="774"/>
      <c r="DYT138" s="774"/>
      <c r="DYU138" s="774"/>
      <c r="DYV138" s="774"/>
      <c r="DYW138" s="774"/>
      <c r="DYX138" s="774"/>
      <c r="DYY138" s="774"/>
      <c r="DYZ138" s="774"/>
      <c r="DZA138" s="774"/>
      <c r="DZB138" s="774"/>
      <c r="DZC138" s="774"/>
      <c r="DZD138" s="774"/>
      <c r="DZE138" s="774"/>
      <c r="DZF138" s="774"/>
      <c r="DZG138" s="774"/>
      <c r="DZH138" s="774"/>
      <c r="DZI138" s="774"/>
      <c r="DZJ138" s="774"/>
      <c r="DZK138" s="774"/>
      <c r="DZL138" s="774"/>
      <c r="DZM138" s="774"/>
      <c r="DZN138" s="774"/>
      <c r="DZO138" s="774"/>
      <c r="DZP138" s="774"/>
      <c r="DZQ138" s="774"/>
      <c r="DZR138" s="774"/>
      <c r="DZS138" s="774"/>
      <c r="DZT138" s="774"/>
      <c r="DZU138" s="774"/>
      <c r="DZV138" s="774"/>
      <c r="DZW138" s="774"/>
      <c r="DZX138" s="774"/>
      <c r="DZY138" s="774"/>
      <c r="DZZ138" s="774"/>
      <c r="EAA138" s="774"/>
      <c r="EAB138" s="774"/>
      <c r="EAC138" s="774"/>
      <c r="EAD138" s="774"/>
      <c r="EAE138" s="774"/>
      <c r="EAF138" s="774"/>
      <c r="EAG138" s="774"/>
      <c r="EAH138" s="774"/>
      <c r="EAI138" s="774"/>
      <c r="EAJ138" s="774"/>
      <c r="EAK138" s="774"/>
      <c r="EAL138" s="774"/>
      <c r="EAM138" s="774"/>
      <c r="EAN138" s="774"/>
      <c r="EAO138" s="774"/>
      <c r="EAP138" s="774"/>
      <c r="EAQ138" s="774"/>
      <c r="EAR138" s="774"/>
      <c r="EAS138" s="774"/>
      <c r="EAT138" s="774"/>
      <c r="EAU138" s="774"/>
      <c r="EAV138" s="774"/>
      <c r="EAW138" s="774"/>
      <c r="EAX138" s="774"/>
      <c r="EAY138" s="774"/>
      <c r="EAZ138" s="774"/>
      <c r="EBA138" s="774"/>
      <c r="EBB138" s="774"/>
      <c r="EBC138" s="774"/>
      <c r="EBD138" s="774"/>
      <c r="EBE138" s="774"/>
      <c r="EBF138" s="774"/>
      <c r="EBG138" s="774"/>
      <c r="EBH138" s="774"/>
      <c r="EBI138" s="774"/>
      <c r="EBJ138" s="774"/>
      <c r="EBK138" s="774"/>
      <c r="EBL138" s="774"/>
      <c r="EBM138" s="774"/>
      <c r="EBN138" s="774"/>
      <c r="EBO138" s="774"/>
      <c r="EBP138" s="774"/>
      <c r="EBQ138" s="774"/>
      <c r="EBR138" s="774"/>
      <c r="EBS138" s="774"/>
      <c r="EBT138" s="774"/>
      <c r="EBU138" s="774"/>
      <c r="EBV138" s="774"/>
      <c r="EBW138" s="774"/>
      <c r="EBX138" s="774"/>
      <c r="EBY138" s="774"/>
      <c r="EBZ138" s="774"/>
      <c r="ECA138" s="774"/>
      <c r="ECB138" s="774"/>
      <c r="ECC138" s="774"/>
      <c r="ECD138" s="774"/>
      <c r="ECE138" s="774"/>
      <c r="ECF138" s="774"/>
      <c r="ECG138" s="774"/>
      <c r="ECH138" s="774"/>
      <c r="ECI138" s="774"/>
      <c r="ECJ138" s="774"/>
      <c r="ECK138" s="774"/>
      <c r="ECL138" s="774"/>
      <c r="ECM138" s="774"/>
      <c r="ECN138" s="774"/>
      <c r="ECO138" s="774"/>
      <c r="ECP138" s="774"/>
      <c r="ECQ138" s="774"/>
      <c r="ECR138" s="774"/>
      <c r="ECS138" s="774"/>
      <c r="ECT138" s="774"/>
      <c r="ECU138" s="774"/>
      <c r="ECV138" s="774"/>
      <c r="ECW138" s="774"/>
      <c r="ECX138" s="774"/>
      <c r="ECY138" s="774"/>
      <c r="ECZ138" s="774"/>
      <c r="EDA138" s="774"/>
      <c r="EDB138" s="774"/>
      <c r="EDC138" s="774"/>
      <c r="EDD138" s="774"/>
      <c r="EDE138" s="774"/>
      <c r="EDF138" s="774"/>
      <c r="EDG138" s="774"/>
      <c r="EDH138" s="774"/>
      <c r="EDI138" s="774"/>
      <c r="EDJ138" s="774"/>
      <c r="EDK138" s="774"/>
      <c r="EDL138" s="774"/>
      <c r="EDM138" s="774"/>
      <c r="EDN138" s="774"/>
      <c r="EDO138" s="774"/>
      <c r="EDP138" s="774"/>
      <c r="EDQ138" s="774"/>
      <c r="EDR138" s="774"/>
      <c r="EDS138" s="774"/>
      <c r="EDT138" s="774"/>
      <c r="EDU138" s="774"/>
      <c r="EDV138" s="774"/>
      <c r="EDW138" s="774"/>
      <c r="EDX138" s="774"/>
      <c r="EDY138" s="774"/>
      <c r="EDZ138" s="774"/>
      <c r="EEA138" s="774"/>
      <c r="EEB138" s="774"/>
      <c r="EEC138" s="774"/>
      <c r="EED138" s="774"/>
      <c r="EEE138" s="774"/>
      <c r="EEF138" s="774"/>
      <c r="EEG138" s="774"/>
      <c r="EEH138" s="774"/>
      <c r="EEI138" s="774"/>
      <c r="EEJ138" s="774"/>
      <c r="EEK138" s="774"/>
      <c r="EEL138" s="774"/>
      <c r="EEM138" s="774"/>
      <c r="EEN138" s="774"/>
      <c r="EEO138" s="774"/>
      <c r="EEP138" s="774"/>
      <c r="EEQ138" s="774"/>
      <c r="EER138" s="774"/>
      <c r="EES138" s="774"/>
      <c r="EET138" s="774"/>
      <c r="EEU138" s="774"/>
      <c r="EEV138" s="774"/>
      <c r="EEW138" s="774"/>
      <c r="EEX138" s="774"/>
      <c r="EEY138" s="774"/>
      <c r="EEZ138" s="774"/>
      <c r="EFA138" s="774"/>
      <c r="EFB138" s="774"/>
      <c r="EFC138" s="774"/>
      <c r="EFD138" s="774"/>
      <c r="EFE138" s="774"/>
      <c r="EFF138" s="774"/>
      <c r="EFG138" s="774"/>
      <c r="EFH138" s="774"/>
      <c r="EFI138" s="774"/>
      <c r="EFJ138" s="774"/>
      <c r="EFK138" s="774"/>
      <c r="EFL138" s="774"/>
      <c r="EFM138" s="774"/>
      <c r="EFN138" s="774"/>
      <c r="EFO138" s="774"/>
      <c r="EFP138" s="774"/>
      <c r="EFQ138" s="774"/>
      <c r="EFR138" s="774"/>
      <c r="EFS138" s="774"/>
      <c r="EFT138" s="774"/>
      <c r="EFU138" s="774"/>
      <c r="EFV138" s="774"/>
      <c r="EFW138" s="774"/>
      <c r="EFX138" s="774"/>
      <c r="EFY138" s="774"/>
      <c r="EFZ138" s="774"/>
      <c r="EGA138" s="774"/>
      <c r="EGB138" s="774"/>
      <c r="EGC138" s="774"/>
      <c r="EGD138" s="774"/>
      <c r="EGE138" s="774"/>
      <c r="EGF138" s="774"/>
      <c r="EGG138" s="774"/>
      <c r="EGH138" s="774"/>
      <c r="EGI138" s="774"/>
      <c r="EGJ138" s="774"/>
      <c r="EGK138" s="774"/>
      <c r="EGL138" s="774"/>
      <c r="EGM138" s="774"/>
      <c r="EGN138" s="774"/>
      <c r="EGO138" s="774"/>
      <c r="EGP138" s="774"/>
      <c r="EGQ138" s="774"/>
      <c r="EGR138" s="774"/>
      <c r="EGS138" s="774"/>
      <c r="EGT138" s="774"/>
      <c r="EGU138" s="774"/>
      <c r="EGV138" s="774"/>
      <c r="EGW138" s="774"/>
      <c r="EGX138" s="774"/>
      <c r="EGY138" s="774"/>
      <c r="EGZ138" s="774"/>
      <c r="EHA138" s="774"/>
      <c r="EHB138" s="774"/>
      <c r="EHC138" s="774"/>
      <c r="EHD138" s="774"/>
      <c r="EHE138" s="774"/>
      <c r="EHF138" s="774"/>
      <c r="EHG138" s="774"/>
      <c r="EHH138" s="774"/>
      <c r="EHI138" s="774"/>
      <c r="EHJ138" s="774"/>
      <c r="EHK138" s="774"/>
      <c r="EHL138" s="774"/>
      <c r="EHM138" s="774"/>
      <c r="EHN138" s="774"/>
      <c r="EHO138" s="774"/>
      <c r="EHP138" s="774"/>
      <c r="EHQ138" s="774"/>
      <c r="EHR138" s="774"/>
      <c r="EHS138" s="774"/>
      <c r="EHT138" s="774"/>
      <c r="EHU138" s="774"/>
      <c r="EHV138" s="774"/>
      <c r="EHW138" s="774"/>
      <c r="EHX138" s="774"/>
      <c r="EHY138" s="774"/>
      <c r="EHZ138" s="774"/>
      <c r="EIA138" s="774"/>
      <c r="EIB138" s="774"/>
      <c r="EIC138" s="774"/>
      <c r="EID138" s="774"/>
      <c r="EIE138" s="774"/>
      <c r="EIF138" s="774"/>
      <c r="EIG138" s="774"/>
      <c r="EIH138" s="774"/>
      <c r="EII138" s="774"/>
      <c r="EIJ138" s="774"/>
      <c r="EIK138" s="774"/>
      <c r="EIL138" s="774"/>
      <c r="EIM138" s="774"/>
      <c r="EIN138" s="774"/>
      <c r="EIO138" s="774"/>
      <c r="EIP138" s="774"/>
      <c r="EIQ138" s="774"/>
      <c r="EIR138" s="774"/>
      <c r="EIS138" s="774"/>
      <c r="EIT138" s="774"/>
      <c r="EIU138" s="774"/>
      <c r="EIV138" s="774"/>
      <c r="EIW138" s="774"/>
      <c r="EIX138" s="774"/>
      <c r="EIY138" s="774"/>
      <c r="EIZ138" s="774"/>
      <c r="EJA138" s="774"/>
      <c r="EJB138" s="774"/>
      <c r="EJC138" s="774"/>
      <c r="EJD138" s="774"/>
      <c r="EJE138" s="774"/>
      <c r="EJF138" s="774"/>
      <c r="EJG138" s="774"/>
      <c r="EJH138" s="774"/>
      <c r="EJI138" s="774"/>
      <c r="EJJ138" s="774"/>
      <c r="EJK138" s="774"/>
      <c r="EJL138" s="774"/>
      <c r="EJM138" s="774"/>
      <c r="EJN138" s="774"/>
      <c r="EJO138" s="774"/>
      <c r="EJP138" s="774"/>
      <c r="EJQ138" s="774"/>
      <c r="EJR138" s="774"/>
      <c r="EJS138" s="774"/>
      <c r="EJT138" s="774"/>
      <c r="EJU138" s="774"/>
      <c r="EJV138" s="774"/>
      <c r="EJW138" s="774"/>
      <c r="EJX138" s="774"/>
      <c r="EJY138" s="774"/>
      <c r="EJZ138" s="774"/>
      <c r="EKA138" s="774"/>
      <c r="EKB138" s="774"/>
      <c r="EKC138" s="774"/>
      <c r="EKD138" s="774"/>
      <c r="EKE138" s="774"/>
      <c r="EKF138" s="774"/>
      <c r="EKG138" s="774"/>
      <c r="EKH138" s="774"/>
      <c r="EKI138" s="774"/>
      <c r="EKJ138" s="774"/>
      <c r="EKK138" s="774"/>
      <c r="EKL138" s="774"/>
      <c r="EKM138" s="774"/>
      <c r="EKN138" s="774"/>
      <c r="EKO138" s="774"/>
      <c r="EKP138" s="774"/>
      <c r="EKQ138" s="774"/>
      <c r="EKR138" s="774"/>
      <c r="EKS138" s="774"/>
      <c r="EKT138" s="774"/>
      <c r="EKU138" s="774"/>
      <c r="EKV138" s="774"/>
      <c r="EKW138" s="774"/>
      <c r="EKX138" s="774"/>
      <c r="EKY138" s="774"/>
      <c r="EKZ138" s="774"/>
      <c r="ELA138" s="774"/>
      <c r="ELB138" s="774"/>
      <c r="ELC138" s="774"/>
      <c r="ELD138" s="774"/>
      <c r="ELE138" s="774"/>
      <c r="ELF138" s="774"/>
      <c r="ELG138" s="774"/>
      <c r="ELH138" s="774"/>
      <c r="ELI138" s="774"/>
      <c r="ELJ138" s="774"/>
      <c r="ELK138" s="774"/>
      <c r="ELL138" s="774"/>
      <c r="ELM138" s="774"/>
      <c r="ELN138" s="774"/>
      <c r="ELO138" s="774"/>
      <c r="ELP138" s="774"/>
      <c r="ELQ138" s="774"/>
      <c r="ELR138" s="774"/>
      <c r="ELS138" s="774"/>
      <c r="ELT138" s="774"/>
      <c r="ELU138" s="774"/>
      <c r="ELV138" s="774"/>
      <c r="ELW138" s="774"/>
      <c r="ELX138" s="774"/>
      <c r="ELY138" s="774"/>
      <c r="ELZ138" s="774"/>
      <c r="EMA138" s="774"/>
      <c r="EMB138" s="774"/>
      <c r="EMC138" s="774"/>
      <c r="EMD138" s="774"/>
      <c r="EME138" s="774"/>
      <c r="EMF138" s="774"/>
      <c r="EMG138" s="774"/>
      <c r="EMH138" s="774"/>
      <c r="EMI138" s="774"/>
      <c r="EMJ138" s="774"/>
      <c r="EMK138" s="774"/>
      <c r="EML138" s="774"/>
      <c r="EMM138" s="774"/>
      <c r="EMN138" s="774"/>
      <c r="EMO138" s="774"/>
      <c r="EMP138" s="774"/>
      <c r="EMQ138" s="774"/>
      <c r="EMR138" s="774"/>
      <c r="EMS138" s="774"/>
      <c r="EMT138" s="774"/>
      <c r="EMU138" s="774"/>
      <c r="EMV138" s="774"/>
      <c r="EMW138" s="774"/>
      <c r="EMX138" s="774"/>
      <c r="EMY138" s="774"/>
      <c r="EMZ138" s="774"/>
      <c r="ENA138" s="774"/>
      <c r="ENB138" s="774"/>
      <c r="ENC138" s="774"/>
      <c r="END138" s="774"/>
      <c r="ENE138" s="774"/>
      <c r="ENF138" s="774"/>
      <c r="ENG138" s="774"/>
      <c r="ENH138" s="774"/>
      <c r="ENI138" s="774"/>
      <c r="ENJ138" s="774"/>
      <c r="ENK138" s="774"/>
      <c r="ENL138" s="774"/>
      <c r="ENM138" s="774"/>
      <c r="ENN138" s="774"/>
      <c r="ENO138" s="774"/>
      <c r="ENP138" s="774"/>
      <c r="ENQ138" s="774"/>
      <c r="ENR138" s="774"/>
      <c r="ENS138" s="774"/>
      <c r="ENT138" s="774"/>
      <c r="ENU138" s="774"/>
      <c r="ENV138" s="774"/>
      <c r="ENW138" s="774"/>
      <c r="ENX138" s="774"/>
      <c r="ENY138" s="774"/>
      <c r="ENZ138" s="774"/>
      <c r="EOA138" s="774"/>
      <c r="EOB138" s="774"/>
      <c r="EOC138" s="774"/>
      <c r="EOD138" s="774"/>
      <c r="EOE138" s="774"/>
      <c r="EOF138" s="774"/>
      <c r="EOG138" s="774"/>
      <c r="EOH138" s="774"/>
      <c r="EOI138" s="774"/>
      <c r="EOJ138" s="774"/>
      <c r="EOK138" s="774"/>
      <c r="EOL138" s="774"/>
      <c r="EOM138" s="774"/>
      <c r="EON138" s="774"/>
      <c r="EOO138" s="774"/>
      <c r="EOP138" s="774"/>
      <c r="EOQ138" s="774"/>
      <c r="EOR138" s="774"/>
      <c r="EOS138" s="774"/>
      <c r="EOT138" s="774"/>
      <c r="EOU138" s="774"/>
      <c r="EOV138" s="774"/>
      <c r="EOW138" s="774"/>
      <c r="EOX138" s="774"/>
      <c r="EOY138" s="774"/>
      <c r="EOZ138" s="774"/>
      <c r="EPA138" s="774"/>
      <c r="EPB138" s="774"/>
      <c r="EPC138" s="774"/>
      <c r="EPD138" s="774"/>
      <c r="EPE138" s="774"/>
      <c r="EPF138" s="774"/>
      <c r="EPG138" s="774"/>
      <c r="EPH138" s="774"/>
      <c r="EPI138" s="774"/>
      <c r="EPJ138" s="774"/>
      <c r="EPK138" s="774"/>
      <c r="EPL138" s="774"/>
      <c r="EPM138" s="774"/>
      <c r="EPN138" s="774"/>
      <c r="EPO138" s="774"/>
      <c r="EPP138" s="774"/>
      <c r="EPQ138" s="774"/>
      <c r="EPR138" s="774"/>
      <c r="EPS138" s="774"/>
      <c r="EPT138" s="774"/>
      <c r="EPU138" s="774"/>
      <c r="EPV138" s="774"/>
      <c r="EPW138" s="774"/>
      <c r="EPX138" s="774"/>
      <c r="EPY138" s="774"/>
      <c r="EPZ138" s="774"/>
      <c r="EQA138" s="774"/>
      <c r="EQB138" s="774"/>
      <c r="EQC138" s="774"/>
      <c r="EQD138" s="774"/>
      <c r="EQE138" s="774"/>
      <c r="EQF138" s="774"/>
      <c r="EQG138" s="774"/>
      <c r="EQH138" s="774"/>
      <c r="EQI138" s="774"/>
      <c r="EQJ138" s="774"/>
      <c r="EQK138" s="774"/>
      <c r="EQL138" s="774"/>
      <c r="EQM138" s="774"/>
      <c r="EQN138" s="774"/>
      <c r="EQO138" s="774"/>
      <c r="EQP138" s="774"/>
      <c r="EQQ138" s="774"/>
      <c r="EQR138" s="774"/>
      <c r="EQS138" s="774"/>
      <c r="EQT138" s="774"/>
      <c r="EQU138" s="774"/>
      <c r="EQV138" s="774"/>
      <c r="EQW138" s="774"/>
      <c r="EQX138" s="774"/>
      <c r="EQY138" s="774"/>
      <c r="EQZ138" s="774"/>
      <c r="ERA138" s="774"/>
      <c r="ERB138" s="774"/>
      <c r="ERC138" s="774"/>
      <c r="ERD138" s="774"/>
      <c r="ERE138" s="774"/>
      <c r="ERF138" s="774"/>
      <c r="ERG138" s="774"/>
      <c r="ERH138" s="774"/>
      <c r="ERI138" s="774"/>
      <c r="ERJ138" s="774"/>
      <c r="ERK138" s="774"/>
      <c r="ERL138" s="774"/>
      <c r="ERM138" s="774"/>
      <c r="ERN138" s="774"/>
      <c r="ERO138" s="774"/>
      <c r="ERP138" s="774"/>
      <c r="ERQ138" s="774"/>
      <c r="ERR138" s="774"/>
      <c r="ERS138" s="774"/>
      <c r="ERT138" s="774"/>
      <c r="ERU138" s="774"/>
      <c r="ERV138" s="774"/>
      <c r="ERW138" s="774"/>
      <c r="ERX138" s="774"/>
      <c r="ERY138" s="774"/>
      <c r="ERZ138" s="774"/>
      <c r="ESA138" s="774"/>
      <c r="ESB138" s="774"/>
      <c r="ESC138" s="774"/>
      <c r="ESD138" s="774"/>
      <c r="ESE138" s="774"/>
      <c r="ESF138" s="774"/>
      <c r="ESG138" s="774"/>
      <c r="ESH138" s="774"/>
      <c r="ESI138" s="774"/>
      <c r="ESJ138" s="774"/>
      <c r="ESK138" s="774"/>
      <c r="ESL138" s="774"/>
      <c r="ESM138" s="774"/>
      <c r="ESN138" s="774"/>
      <c r="ESO138" s="774"/>
      <c r="ESP138" s="774"/>
      <c r="ESQ138" s="774"/>
      <c r="ESR138" s="774"/>
      <c r="ESS138" s="774"/>
      <c r="EST138" s="774"/>
      <c r="ESU138" s="774"/>
      <c r="ESV138" s="774"/>
      <c r="ESW138" s="774"/>
      <c r="ESX138" s="774"/>
      <c r="ESY138" s="774"/>
      <c r="ESZ138" s="774"/>
      <c r="ETA138" s="774"/>
      <c r="ETB138" s="774"/>
      <c r="ETC138" s="774"/>
      <c r="ETD138" s="774"/>
      <c r="ETE138" s="774"/>
      <c r="ETF138" s="774"/>
      <c r="ETG138" s="774"/>
      <c r="ETH138" s="774"/>
      <c r="ETI138" s="774"/>
      <c r="ETJ138" s="774"/>
      <c r="ETK138" s="774"/>
      <c r="ETL138" s="774"/>
      <c r="ETM138" s="774"/>
      <c r="ETN138" s="774"/>
      <c r="ETO138" s="774"/>
      <c r="ETP138" s="774"/>
      <c r="ETQ138" s="774"/>
      <c r="ETR138" s="774"/>
      <c r="ETS138" s="774"/>
      <c r="ETT138" s="774"/>
      <c r="ETU138" s="774"/>
      <c r="ETV138" s="774"/>
      <c r="ETW138" s="774"/>
      <c r="ETX138" s="774"/>
      <c r="ETY138" s="774"/>
      <c r="ETZ138" s="774"/>
      <c r="EUA138" s="774"/>
      <c r="EUB138" s="774"/>
      <c r="EUC138" s="774"/>
      <c r="EUD138" s="774"/>
      <c r="EUE138" s="774"/>
      <c r="EUF138" s="774"/>
      <c r="EUG138" s="774"/>
      <c r="EUH138" s="774"/>
      <c r="EUI138" s="774"/>
      <c r="EUJ138" s="774"/>
      <c r="EUK138" s="774"/>
      <c r="EUL138" s="774"/>
      <c r="EUM138" s="774"/>
      <c r="EUN138" s="774"/>
      <c r="EUO138" s="774"/>
      <c r="EUP138" s="774"/>
      <c r="EUQ138" s="774"/>
      <c r="EUR138" s="774"/>
      <c r="EUS138" s="774"/>
      <c r="EUT138" s="774"/>
      <c r="EUU138" s="774"/>
      <c r="EUV138" s="774"/>
      <c r="EUW138" s="774"/>
      <c r="EUX138" s="774"/>
      <c r="EUY138" s="774"/>
      <c r="EUZ138" s="774"/>
      <c r="EVA138" s="774"/>
      <c r="EVB138" s="774"/>
      <c r="EVC138" s="774"/>
      <c r="EVD138" s="774"/>
      <c r="EVE138" s="774"/>
      <c r="EVF138" s="774"/>
      <c r="EVG138" s="774"/>
      <c r="EVH138" s="774"/>
      <c r="EVI138" s="774"/>
      <c r="EVJ138" s="774"/>
      <c r="EVK138" s="774"/>
      <c r="EVL138" s="774"/>
      <c r="EVM138" s="774"/>
      <c r="EVN138" s="774"/>
      <c r="EVO138" s="774"/>
      <c r="EVP138" s="774"/>
      <c r="EVQ138" s="774"/>
      <c r="EVR138" s="774"/>
      <c r="EVS138" s="774"/>
      <c r="EVT138" s="774"/>
      <c r="EVU138" s="774"/>
      <c r="EVV138" s="774"/>
      <c r="EVW138" s="774"/>
      <c r="EVX138" s="774"/>
      <c r="EVY138" s="774"/>
      <c r="EVZ138" s="774"/>
      <c r="EWA138" s="774"/>
      <c r="EWB138" s="774"/>
      <c r="EWC138" s="774"/>
      <c r="EWD138" s="774"/>
      <c r="EWE138" s="774"/>
      <c r="EWF138" s="774"/>
      <c r="EWG138" s="774"/>
      <c r="EWH138" s="774"/>
      <c r="EWI138" s="774"/>
      <c r="EWJ138" s="774"/>
      <c r="EWK138" s="774"/>
      <c r="EWL138" s="774"/>
      <c r="EWM138" s="774"/>
      <c r="EWN138" s="774"/>
      <c r="EWO138" s="774"/>
      <c r="EWP138" s="774"/>
      <c r="EWQ138" s="774"/>
      <c r="EWR138" s="774"/>
      <c r="EWS138" s="774"/>
      <c r="EWT138" s="774"/>
      <c r="EWU138" s="774"/>
      <c r="EWV138" s="774"/>
      <c r="EWW138" s="774"/>
      <c r="EWX138" s="774"/>
      <c r="EWY138" s="774"/>
      <c r="EWZ138" s="774"/>
      <c r="EXA138" s="774"/>
      <c r="EXB138" s="774"/>
      <c r="EXC138" s="774"/>
      <c r="EXD138" s="774"/>
      <c r="EXE138" s="774"/>
      <c r="EXF138" s="774"/>
      <c r="EXG138" s="774"/>
      <c r="EXH138" s="774"/>
      <c r="EXI138" s="774"/>
      <c r="EXJ138" s="774"/>
      <c r="EXK138" s="774"/>
      <c r="EXL138" s="774"/>
      <c r="EXM138" s="774"/>
      <c r="EXN138" s="774"/>
      <c r="EXO138" s="774"/>
      <c r="EXP138" s="774"/>
      <c r="EXQ138" s="774"/>
      <c r="EXR138" s="774"/>
      <c r="EXS138" s="774"/>
      <c r="EXT138" s="774"/>
      <c r="EXU138" s="774"/>
      <c r="EXV138" s="774"/>
      <c r="EXW138" s="774"/>
      <c r="EXX138" s="774"/>
      <c r="EXY138" s="774"/>
      <c r="EXZ138" s="774"/>
      <c r="EYA138" s="774"/>
      <c r="EYB138" s="774"/>
      <c r="EYC138" s="774"/>
      <c r="EYD138" s="774"/>
      <c r="EYE138" s="774"/>
      <c r="EYF138" s="774"/>
      <c r="EYG138" s="774"/>
      <c r="EYH138" s="774"/>
      <c r="EYI138" s="774"/>
      <c r="EYJ138" s="774"/>
      <c r="EYK138" s="774"/>
      <c r="EYL138" s="774"/>
      <c r="EYM138" s="774"/>
      <c r="EYN138" s="774"/>
      <c r="EYO138" s="774"/>
      <c r="EYP138" s="774"/>
      <c r="EYQ138" s="774"/>
      <c r="EYR138" s="774"/>
      <c r="EYS138" s="774"/>
      <c r="EYT138" s="774"/>
      <c r="EYU138" s="774"/>
      <c r="EYV138" s="774"/>
      <c r="EYW138" s="774"/>
      <c r="EYX138" s="774"/>
      <c r="EYY138" s="774"/>
      <c r="EYZ138" s="774"/>
      <c r="EZA138" s="774"/>
      <c r="EZB138" s="774"/>
      <c r="EZC138" s="774"/>
      <c r="EZD138" s="774"/>
      <c r="EZE138" s="774"/>
      <c r="EZF138" s="774"/>
      <c r="EZG138" s="774"/>
      <c r="EZH138" s="774"/>
      <c r="EZI138" s="774"/>
      <c r="EZJ138" s="774"/>
      <c r="EZK138" s="774"/>
      <c r="EZL138" s="774"/>
      <c r="EZM138" s="774"/>
      <c r="EZN138" s="774"/>
      <c r="EZO138" s="774"/>
      <c r="EZP138" s="774"/>
      <c r="EZQ138" s="774"/>
      <c r="EZR138" s="774"/>
      <c r="EZS138" s="774"/>
      <c r="EZT138" s="774"/>
      <c r="EZU138" s="774"/>
      <c r="EZV138" s="774"/>
      <c r="EZW138" s="774"/>
      <c r="EZX138" s="774"/>
      <c r="EZY138" s="774"/>
      <c r="EZZ138" s="774"/>
      <c r="FAA138" s="774"/>
      <c r="FAB138" s="774"/>
      <c r="FAC138" s="774"/>
      <c r="FAD138" s="774"/>
      <c r="FAE138" s="774"/>
      <c r="FAF138" s="774"/>
      <c r="FAG138" s="774"/>
      <c r="FAH138" s="774"/>
      <c r="FAI138" s="774"/>
      <c r="FAJ138" s="774"/>
      <c r="FAK138" s="774"/>
      <c r="FAL138" s="774"/>
      <c r="FAM138" s="774"/>
      <c r="FAN138" s="774"/>
      <c r="FAO138" s="774"/>
      <c r="FAP138" s="774"/>
      <c r="FAQ138" s="774"/>
      <c r="FAR138" s="774"/>
      <c r="FAS138" s="774"/>
      <c r="FAT138" s="774"/>
      <c r="FAU138" s="774"/>
      <c r="FAV138" s="774"/>
      <c r="FAW138" s="774"/>
      <c r="FAX138" s="774"/>
      <c r="FAY138" s="774"/>
      <c r="FAZ138" s="774"/>
      <c r="FBA138" s="774"/>
      <c r="FBB138" s="774"/>
      <c r="FBC138" s="774"/>
      <c r="FBD138" s="774"/>
      <c r="FBE138" s="774"/>
      <c r="FBF138" s="774"/>
      <c r="FBG138" s="774"/>
      <c r="FBH138" s="774"/>
      <c r="FBI138" s="774"/>
      <c r="FBJ138" s="774"/>
      <c r="FBK138" s="774"/>
      <c r="FBL138" s="774"/>
      <c r="FBM138" s="774"/>
      <c r="FBN138" s="774"/>
      <c r="FBO138" s="774"/>
      <c r="FBP138" s="774"/>
      <c r="FBQ138" s="774"/>
      <c r="FBR138" s="774"/>
      <c r="FBS138" s="774"/>
      <c r="FBT138" s="774"/>
      <c r="FBU138" s="774"/>
      <c r="FBV138" s="774"/>
      <c r="FBW138" s="774"/>
      <c r="FBX138" s="774"/>
      <c r="FBY138" s="774"/>
      <c r="FBZ138" s="774"/>
      <c r="FCA138" s="774"/>
      <c r="FCB138" s="774"/>
      <c r="FCC138" s="774"/>
      <c r="FCD138" s="774"/>
      <c r="FCE138" s="774"/>
      <c r="FCF138" s="774"/>
      <c r="FCG138" s="774"/>
      <c r="FCH138" s="774"/>
      <c r="FCI138" s="774"/>
      <c r="FCJ138" s="774"/>
      <c r="FCK138" s="774"/>
      <c r="FCL138" s="774"/>
      <c r="FCM138" s="774"/>
      <c r="FCN138" s="774"/>
      <c r="FCO138" s="774"/>
      <c r="FCP138" s="774"/>
      <c r="FCQ138" s="774"/>
      <c r="FCR138" s="774"/>
      <c r="FCS138" s="774"/>
      <c r="FCT138" s="774"/>
      <c r="FCU138" s="774"/>
      <c r="FCV138" s="774"/>
      <c r="FCW138" s="774"/>
      <c r="FCX138" s="774"/>
      <c r="FCY138" s="774"/>
      <c r="FCZ138" s="774"/>
      <c r="FDA138" s="774"/>
      <c r="FDB138" s="774"/>
      <c r="FDC138" s="774"/>
      <c r="FDD138" s="774"/>
      <c r="FDE138" s="774"/>
      <c r="FDF138" s="774"/>
      <c r="FDG138" s="774"/>
      <c r="FDH138" s="774"/>
      <c r="FDI138" s="774"/>
      <c r="FDJ138" s="774"/>
      <c r="FDK138" s="774"/>
      <c r="FDL138" s="774"/>
      <c r="FDM138" s="774"/>
      <c r="FDN138" s="774"/>
      <c r="FDO138" s="774"/>
      <c r="FDP138" s="774"/>
      <c r="FDQ138" s="774"/>
      <c r="FDR138" s="774"/>
      <c r="FDS138" s="774"/>
      <c r="FDT138" s="774"/>
      <c r="FDU138" s="774"/>
      <c r="FDV138" s="774"/>
      <c r="FDW138" s="774"/>
      <c r="FDX138" s="774"/>
      <c r="FDY138" s="774"/>
      <c r="FDZ138" s="774"/>
      <c r="FEA138" s="774"/>
      <c r="FEB138" s="774"/>
      <c r="FEC138" s="774"/>
      <c r="FED138" s="774"/>
      <c r="FEE138" s="774"/>
      <c r="FEF138" s="774"/>
      <c r="FEG138" s="774"/>
      <c r="FEH138" s="774"/>
      <c r="FEI138" s="774"/>
      <c r="FEJ138" s="774"/>
      <c r="FEK138" s="774"/>
      <c r="FEL138" s="774"/>
      <c r="FEM138" s="774"/>
      <c r="FEN138" s="774"/>
      <c r="FEO138" s="774"/>
      <c r="FEP138" s="774"/>
      <c r="FEQ138" s="774"/>
      <c r="FER138" s="774"/>
      <c r="FES138" s="774"/>
      <c r="FET138" s="774"/>
      <c r="FEU138" s="774"/>
      <c r="FEV138" s="774"/>
      <c r="FEW138" s="774"/>
      <c r="FEX138" s="774"/>
      <c r="FEY138" s="774"/>
      <c r="FEZ138" s="774"/>
      <c r="FFA138" s="774"/>
      <c r="FFB138" s="774"/>
      <c r="FFC138" s="774"/>
      <c r="FFD138" s="774"/>
      <c r="FFE138" s="774"/>
      <c r="FFF138" s="774"/>
      <c r="FFG138" s="774"/>
      <c r="FFH138" s="774"/>
      <c r="FFI138" s="774"/>
      <c r="FFJ138" s="774"/>
      <c r="FFK138" s="774"/>
      <c r="FFL138" s="774"/>
      <c r="FFM138" s="774"/>
      <c r="FFN138" s="774"/>
      <c r="FFO138" s="774"/>
      <c r="FFP138" s="774"/>
      <c r="FFQ138" s="774"/>
      <c r="FFR138" s="774"/>
      <c r="FFS138" s="774"/>
      <c r="FFT138" s="774"/>
      <c r="FFU138" s="774"/>
      <c r="FFV138" s="774"/>
      <c r="FFW138" s="774"/>
      <c r="FFX138" s="774"/>
      <c r="FFY138" s="774"/>
      <c r="FFZ138" s="774"/>
      <c r="FGA138" s="774"/>
      <c r="FGB138" s="774"/>
      <c r="FGC138" s="774"/>
      <c r="FGD138" s="774"/>
      <c r="FGE138" s="774"/>
      <c r="FGF138" s="774"/>
      <c r="FGG138" s="774"/>
      <c r="FGH138" s="774"/>
      <c r="FGI138" s="774"/>
      <c r="FGJ138" s="774"/>
      <c r="FGK138" s="774"/>
      <c r="FGL138" s="774"/>
      <c r="FGM138" s="774"/>
      <c r="FGN138" s="774"/>
      <c r="FGO138" s="774"/>
      <c r="FGP138" s="774"/>
      <c r="FGQ138" s="774"/>
      <c r="FGR138" s="774"/>
      <c r="FGS138" s="774"/>
      <c r="FGT138" s="774"/>
      <c r="FGU138" s="774"/>
      <c r="FGV138" s="774"/>
      <c r="FGW138" s="774"/>
      <c r="FGX138" s="774"/>
      <c r="FGY138" s="774"/>
      <c r="FGZ138" s="774"/>
      <c r="FHA138" s="774"/>
      <c r="FHB138" s="774"/>
      <c r="FHC138" s="774"/>
      <c r="FHD138" s="774"/>
      <c r="FHE138" s="774"/>
      <c r="FHF138" s="774"/>
      <c r="FHG138" s="774"/>
      <c r="FHH138" s="774"/>
      <c r="FHI138" s="774"/>
      <c r="FHJ138" s="774"/>
      <c r="FHK138" s="774"/>
      <c r="FHL138" s="774"/>
      <c r="FHM138" s="774"/>
      <c r="FHN138" s="774"/>
      <c r="FHO138" s="774"/>
      <c r="FHP138" s="774"/>
      <c r="FHQ138" s="774"/>
      <c r="FHR138" s="774"/>
      <c r="FHS138" s="774"/>
      <c r="FHT138" s="774"/>
      <c r="FHU138" s="774"/>
      <c r="FHV138" s="774"/>
      <c r="FHW138" s="774"/>
      <c r="FHX138" s="774"/>
      <c r="FHY138" s="774"/>
      <c r="FHZ138" s="774"/>
      <c r="FIA138" s="774"/>
      <c r="FIB138" s="774"/>
      <c r="FIC138" s="774"/>
      <c r="FID138" s="774"/>
      <c r="FIE138" s="774"/>
      <c r="FIF138" s="774"/>
      <c r="FIG138" s="774"/>
      <c r="FIH138" s="774"/>
      <c r="FII138" s="774"/>
      <c r="FIJ138" s="774"/>
      <c r="FIK138" s="774"/>
      <c r="FIL138" s="774"/>
      <c r="FIM138" s="774"/>
      <c r="FIN138" s="774"/>
      <c r="FIO138" s="774"/>
      <c r="FIP138" s="774"/>
      <c r="FIQ138" s="774"/>
      <c r="FIR138" s="774"/>
      <c r="FIS138" s="774"/>
      <c r="FIT138" s="774"/>
      <c r="FIU138" s="774"/>
      <c r="FIV138" s="774"/>
      <c r="FIW138" s="774"/>
      <c r="FIX138" s="774"/>
      <c r="FIY138" s="774"/>
      <c r="FIZ138" s="774"/>
      <c r="FJA138" s="774"/>
      <c r="FJB138" s="774"/>
      <c r="FJC138" s="774"/>
      <c r="FJD138" s="774"/>
      <c r="FJE138" s="774"/>
      <c r="FJF138" s="774"/>
      <c r="FJG138" s="774"/>
      <c r="FJH138" s="774"/>
      <c r="FJI138" s="774"/>
      <c r="FJJ138" s="774"/>
      <c r="FJK138" s="774"/>
      <c r="FJL138" s="774"/>
      <c r="FJM138" s="774"/>
      <c r="FJN138" s="774"/>
      <c r="FJO138" s="774"/>
      <c r="FJP138" s="774"/>
      <c r="FJQ138" s="774"/>
      <c r="FJR138" s="774"/>
      <c r="FJS138" s="774"/>
      <c r="FJT138" s="774"/>
      <c r="FJU138" s="774"/>
      <c r="FJV138" s="774"/>
      <c r="FJW138" s="774"/>
      <c r="FJX138" s="774"/>
      <c r="FJY138" s="774"/>
      <c r="FJZ138" s="774"/>
      <c r="FKA138" s="774"/>
      <c r="FKB138" s="774"/>
      <c r="FKC138" s="774"/>
      <c r="FKD138" s="774"/>
      <c r="FKE138" s="774"/>
      <c r="FKF138" s="774"/>
      <c r="FKG138" s="774"/>
      <c r="FKH138" s="774"/>
      <c r="FKI138" s="774"/>
      <c r="FKJ138" s="774"/>
      <c r="FKK138" s="774"/>
      <c r="FKL138" s="774"/>
      <c r="FKM138" s="774"/>
      <c r="FKN138" s="774"/>
      <c r="FKO138" s="774"/>
      <c r="FKP138" s="774"/>
      <c r="FKQ138" s="774"/>
      <c r="FKR138" s="774"/>
      <c r="FKS138" s="774"/>
      <c r="FKT138" s="774"/>
      <c r="FKU138" s="774"/>
      <c r="FKV138" s="774"/>
      <c r="FKW138" s="774"/>
      <c r="FKX138" s="774"/>
      <c r="FKY138" s="774"/>
      <c r="FKZ138" s="774"/>
      <c r="FLA138" s="774"/>
      <c r="FLB138" s="774"/>
      <c r="FLC138" s="774"/>
      <c r="FLD138" s="774"/>
      <c r="FLE138" s="774"/>
      <c r="FLF138" s="774"/>
      <c r="FLG138" s="774"/>
      <c r="FLH138" s="774"/>
      <c r="FLI138" s="774"/>
      <c r="FLJ138" s="774"/>
      <c r="FLK138" s="774"/>
      <c r="FLL138" s="774"/>
      <c r="FLM138" s="774"/>
      <c r="FLN138" s="774"/>
      <c r="FLO138" s="774"/>
      <c r="FLP138" s="774"/>
      <c r="FLQ138" s="774"/>
      <c r="FLR138" s="774"/>
      <c r="FLS138" s="774"/>
      <c r="FLT138" s="774"/>
      <c r="FLU138" s="774"/>
      <c r="FLV138" s="774"/>
      <c r="FLW138" s="774"/>
      <c r="FLX138" s="774"/>
      <c r="FLY138" s="774"/>
      <c r="FLZ138" s="774"/>
      <c r="FMA138" s="774"/>
      <c r="FMB138" s="774"/>
      <c r="FMC138" s="774"/>
      <c r="FMD138" s="774"/>
      <c r="FME138" s="774"/>
      <c r="FMF138" s="774"/>
      <c r="FMG138" s="774"/>
      <c r="FMH138" s="774"/>
      <c r="FMI138" s="774"/>
      <c r="FMJ138" s="774"/>
      <c r="FMK138" s="774"/>
      <c r="FML138" s="774"/>
      <c r="FMM138" s="774"/>
      <c r="FMN138" s="774"/>
      <c r="FMO138" s="774"/>
      <c r="FMP138" s="774"/>
      <c r="FMQ138" s="774"/>
      <c r="FMR138" s="774"/>
      <c r="FMS138" s="774"/>
      <c r="FMT138" s="774"/>
      <c r="FMU138" s="774"/>
      <c r="FMV138" s="774"/>
      <c r="FMW138" s="774"/>
      <c r="FMX138" s="774"/>
      <c r="FMY138" s="774"/>
      <c r="FMZ138" s="774"/>
      <c r="FNA138" s="774"/>
      <c r="FNB138" s="774"/>
      <c r="FNC138" s="774"/>
      <c r="FND138" s="774"/>
      <c r="FNE138" s="774"/>
      <c r="FNF138" s="774"/>
      <c r="FNG138" s="774"/>
      <c r="FNH138" s="774"/>
      <c r="FNI138" s="774"/>
      <c r="FNJ138" s="774"/>
      <c r="FNK138" s="774"/>
      <c r="FNL138" s="774"/>
      <c r="FNM138" s="774"/>
      <c r="FNN138" s="774"/>
      <c r="FNO138" s="774"/>
      <c r="FNP138" s="774"/>
      <c r="FNQ138" s="774"/>
      <c r="FNR138" s="774"/>
      <c r="FNS138" s="774"/>
      <c r="FNT138" s="774"/>
      <c r="FNU138" s="774"/>
      <c r="FNV138" s="774"/>
      <c r="FNW138" s="774"/>
      <c r="FNX138" s="774"/>
      <c r="FNY138" s="774"/>
      <c r="FNZ138" s="774"/>
      <c r="FOA138" s="774"/>
      <c r="FOB138" s="774"/>
      <c r="FOC138" s="774"/>
      <c r="FOD138" s="774"/>
      <c r="FOE138" s="774"/>
      <c r="FOF138" s="774"/>
      <c r="FOG138" s="774"/>
      <c r="FOH138" s="774"/>
      <c r="FOI138" s="774"/>
      <c r="FOJ138" s="774"/>
      <c r="FOK138" s="774"/>
      <c r="FOL138" s="774"/>
      <c r="FOM138" s="774"/>
      <c r="FON138" s="774"/>
      <c r="FOO138" s="774"/>
      <c r="FOP138" s="774"/>
      <c r="FOQ138" s="774"/>
      <c r="FOR138" s="774"/>
      <c r="FOS138" s="774"/>
      <c r="FOT138" s="774"/>
      <c r="FOU138" s="774"/>
      <c r="FOV138" s="774"/>
      <c r="FOW138" s="774"/>
      <c r="FOX138" s="774"/>
      <c r="FOY138" s="774"/>
      <c r="FOZ138" s="774"/>
      <c r="FPA138" s="774"/>
      <c r="FPB138" s="774"/>
      <c r="FPC138" s="774"/>
      <c r="FPD138" s="774"/>
      <c r="FPE138" s="774"/>
      <c r="FPF138" s="774"/>
      <c r="FPG138" s="774"/>
      <c r="FPH138" s="774"/>
      <c r="FPI138" s="774"/>
      <c r="FPJ138" s="774"/>
      <c r="FPK138" s="774"/>
      <c r="FPL138" s="774"/>
      <c r="FPM138" s="774"/>
      <c r="FPN138" s="774"/>
      <c r="FPO138" s="774"/>
      <c r="FPP138" s="774"/>
      <c r="FPQ138" s="774"/>
      <c r="FPR138" s="774"/>
      <c r="FPS138" s="774"/>
      <c r="FPT138" s="774"/>
      <c r="FPU138" s="774"/>
      <c r="FPV138" s="774"/>
      <c r="FPW138" s="774"/>
      <c r="FPX138" s="774"/>
      <c r="FPY138" s="774"/>
      <c r="FPZ138" s="774"/>
      <c r="FQA138" s="774"/>
      <c r="FQB138" s="774"/>
      <c r="FQC138" s="774"/>
      <c r="FQD138" s="774"/>
      <c r="FQE138" s="774"/>
      <c r="FQF138" s="774"/>
      <c r="FQG138" s="774"/>
      <c r="FQH138" s="774"/>
      <c r="FQI138" s="774"/>
      <c r="FQJ138" s="774"/>
      <c r="FQK138" s="774"/>
      <c r="FQL138" s="774"/>
      <c r="FQM138" s="774"/>
      <c r="FQN138" s="774"/>
      <c r="FQO138" s="774"/>
      <c r="FQP138" s="774"/>
      <c r="FQQ138" s="774"/>
      <c r="FQR138" s="774"/>
      <c r="FQS138" s="774"/>
      <c r="FQT138" s="774"/>
      <c r="FQU138" s="774"/>
      <c r="FQV138" s="774"/>
      <c r="FQW138" s="774"/>
      <c r="FQX138" s="774"/>
      <c r="FQY138" s="774"/>
      <c r="FQZ138" s="774"/>
      <c r="FRA138" s="774"/>
      <c r="FRB138" s="774"/>
      <c r="FRC138" s="774"/>
      <c r="FRD138" s="774"/>
      <c r="FRE138" s="774"/>
      <c r="FRF138" s="774"/>
      <c r="FRG138" s="774"/>
      <c r="FRH138" s="774"/>
      <c r="FRI138" s="774"/>
      <c r="FRJ138" s="774"/>
      <c r="FRK138" s="774"/>
      <c r="FRL138" s="774"/>
      <c r="FRM138" s="774"/>
      <c r="FRN138" s="774"/>
      <c r="FRO138" s="774"/>
      <c r="FRP138" s="774"/>
      <c r="FRQ138" s="774"/>
      <c r="FRR138" s="774"/>
      <c r="FRS138" s="774"/>
      <c r="FRT138" s="774"/>
      <c r="FRU138" s="774"/>
      <c r="FRV138" s="774"/>
      <c r="FRW138" s="774"/>
      <c r="FRX138" s="774"/>
      <c r="FRY138" s="774"/>
      <c r="FRZ138" s="774"/>
      <c r="FSA138" s="774"/>
      <c r="FSB138" s="774"/>
      <c r="FSC138" s="774"/>
      <c r="FSD138" s="774"/>
      <c r="FSE138" s="774"/>
      <c r="FSF138" s="774"/>
      <c r="FSG138" s="774"/>
      <c r="FSH138" s="774"/>
      <c r="FSI138" s="774"/>
      <c r="FSJ138" s="774"/>
      <c r="FSK138" s="774"/>
      <c r="FSL138" s="774"/>
      <c r="FSM138" s="774"/>
      <c r="FSN138" s="774"/>
      <c r="FSO138" s="774"/>
      <c r="FSP138" s="774"/>
      <c r="FSQ138" s="774"/>
      <c r="FSR138" s="774"/>
      <c r="FSS138" s="774"/>
      <c r="FST138" s="774"/>
      <c r="FSU138" s="774"/>
      <c r="FSV138" s="774"/>
      <c r="FSW138" s="774"/>
      <c r="FSX138" s="774"/>
      <c r="FSY138" s="774"/>
      <c r="FSZ138" s="774"/>
      <c r="FTA138" s="774"/>
      <c r="FTB138" s="774"/>
      <c r="FTC138" s="774"/>
      <c r="FTD138" s="774"/>
      <c r="FTE138" s="774"/>
      <c r="FTF138" s="774"/>
      <c r="FTG138" s="774"/>
      <c r="FTH138" s="774"/>
      <c r="FTI138" s="774"/>
      <c r="FTJ138" s="774"/>
      <c r="FTK138" s="774"/>
      <c r="FTL138" s="774"/>
      <c r="FTM138" s="774"/>
      <c r="FTN138" s="774"/>
      <c r="FTO138" s="774"/>
      <c r="FTP138" s="774"/>
      <c r="FTQ138" s="774"/>
      <c r="FTR138" s="774"/>
      <c r="FTS138" s="774"/>
      <c r="FTT138" s="774"/>
      <c r="FTU138" s="774"/>
      <c r="FTV138" s="774"/>
      <c r="FTW138" s="774"/>
      <c r="FTX138" s="774"/>
      <c r="FTY138" s="774"/>
      <c r="FTZ138" s="774"/>
      <c r="FUA138" s="774"/>
      <c r="FUB138" s="774"/>
      <c r="FUC138" s="774"/>
      <c r="FUD138" s="774"/>
      <c r="FUE138" s="774"/>
      <c r="FUF138" s="774"/>
      <c r="FUG138" s="774"/>
      <c r="FUH138" s="774"/>
      <c r="FUI138" s="774"/>
      <c r="FUJ138" s="774"/>
      <c r="FUK138" s="774"/>
      <c r="FUL138" s="774"/>
      <c r="FUM138" s="774"/>
      <c r="FUN138" s="774"/>
      <c r="FUO138" s="774"/>
      <c r="FUP138" s="774"/>
      <c r="FUQ138" s="774"/>
      <c r="FUR138" s="774"/>
      <c r="FUS138" s="774"/>
      <c r="FUT138" s="774"/>
      <c r="FUU138" s="774"/>
      <c r="FUV138" s="774"/>
      <c r="FUW138" s="774"/>
      <c r="FUX138" s="774"/>
      <c r="FUY138" s="774"/>
      <c r="FUZ138" s="774"/>
      <c r="FVA138" s="774"/>
      <c r="FVB138" s="774"/>
      <c r="FVC138" s="774"/>
      <c r="FVD138" s="774"/>
      <c r="FVE138" s="774"/>
      <c r="FVF138" s="774"/>
      <c r="FVG138" s="774"/>
      <c r="FVH138" s="774"/>
      <c r="FVI138" s="774"/>
      <c r="FVJ138" s="774"/>
      <c r="FVK138" s="774"/>
      <c r="FVL138" s="774"/>
      <c r="FVM138" s="774"/>
      <c r="FVN138" s="774"/>
      <c r="FVO138" s="774"/>
      <c r="FVP138" s="774"/>
      <c r="FVQ138" s="774"/>
      <c r="FVR138" s="774"/>
      <c r="FVS138" s="774"/>
      <c r="FVT138" s="774"/>
      <c r="FVU138" s="774"/>
      <c r="FVV138" s="774"/>
      <c r="FVW138" s="774"/>
      <c r="FVX138" s="774"/>
      <c r="FVY138" s="774"/>
      <c r="FVZ138" s="774"/>
      <c r="FWA138" s="774"/>
      <c r="FWB138" s="774"/>
      <c r="FWC138" s="774"/>
      <c r="FWD138" s="774"/>
      <c r="FWE138" s="774"/>
      <c r="FWF138" s="774"/>
      <c r="FWG138" s="774"/>
      <c r="FWH138" s="774"/>
      <c r="FWI138" s="774"/>
      <c r="FWJ138" s="774"/>
      <c r="FWK138" s="774"/>
      <c r="FWL138" s="774"/>
      <c r="FWM138" s="774"/>
      <c r="FWN138" s="774"/>
      <c r="FWO138" s="774"/>
      <c r="FWP138" s="774"/>
      <c r="FWQ138" s="774"/>
      <c r="FWR138" s="774"/>
      <c r="FWS138" s="774"/>
      <c r="FWT138" s="774"/>
      <c r="FWU138" s="774"/>
      <c r="FWV138" s="774"/>
      <c r="FWW138" s="774"/>
      <c r="FWX138" s="774"/>
      <c r="FWY138" s="774"/>
      <c r="FWZ138" s="774"/>
      <c r="FXA138" s="774"/>
      <c r="FXB138" s="774"/>
      <c r="FXC138" s="774"/>
      <c r="FXD138" s="774"/>
      <c r="FXE138" s="774"/>
      <c r="FXF138" s="774"/>
      <c r="FXG138" s="774"/>
      <c r="FXH138" s="774"/>
      <c r="FXI138" s="774"/>
      <c r="FXJ138" s="774"/>
      <c r="FXK138" s="774"/>
      <c r="FXL138" s="774"/>
      <c r="FXM138" s="774"/>
      <c r="FXN138" s="774"/>
      <c r="FXO138" s="774"/>
      <c r="FXP138" s="774"/>
      <c r="FXQ138" s="774"/>
      <c r="FXR138" s="774"/>
      <c r="FXS138" s="774"/>
      <c r="FXT138" s="774"/>
      <c r="FXU138" s="774"/>
      <c r="FXV138" s="774"/>
      <c r="FXW138" s="774"/>
      <c r="FXX138" s="774"/>
      <c r="FXY138" s="774"/>
      <c r="FXZ138" s="774"/>
      <c r="FYA138" s="774"/>
      <c r="FYB138" s="774"/>
      <c r="FYC138" s="774"/>
      <c r="FYD138" s="774"/>
      <c r="FYE138" s="774"/>
      <c r="FYF138" s="774"/>
      <c r="FYG138" s="774"/>
      <c r="FYH138" s="774"/>
      <c r="FYI138" s="774"/>
      <c r="FYJ138" s="774"/>
      <c r="FYK138" s="774"/>
      <c r="FYL138" s="774"/>
      <c r="FYM138" s="774"/>
      <c r="FYN138" s="774"/>
      <c r="FYO138" s="774"/>
      <c r="FYP138" s="774"/>
      <c r="FYQ138" s="774"/>
      <c r="FYR138" s="774"/>
      <c r="FYS138" s="774"/>
      <c r="FYT138" s="774"/>
      <c r="FYU138" s="774"/>
      <c r="FYV138" s="774"/>
      <c r="FYW138" s="774"/>
      <c r="FYX138" s="774"/>
      <c r="FYY138" s="774"/>
      <c r="FYZ138" s="774"/>
      <c r="FZA138" s="774"/>
      <c r="FZB138" s="774"/>
      <c r="FZC138" s="774"/>
      <c r="FZD138" s="774"/>
      <c r="FZE138" s="774"/>
      <c r="FZF138" s="774"/>
      <c r="FZG138" s="774"/>
      <c r="FZH138" s="774"/>
      <c r="FZI138" s="774"/>
      <c r="FZJ138" s="774"/>
      <c r="FZK138" s="774"/>
      <c r="FZL138" s="774"/>
      <c r="FZM138" s="774"/>
      <c r="FZN138" s="774"/>
      <c r="FZO138" s="774"/>
      <c r="FZP138" s="774"/>
      <c r="FZQ138" s="774"/>
      <c r="FZR138" s="774"/>
      <c r="FZS138" s="774"/>
      <c r="FZT138" s="774"/>
      <c r="FZU138" s="774"/>
      <c r="FZV138" s="774"/>
      <c r="FZW138" s="774"/>
      <c r="FZX138" s="774"/>
      <c r="FZY138" s="774"/>
      <c r="FZZ138" s="774"/>
      <c r="GAA138" s="774"/>
      <c r="GAB138" s="774"/>
      <c r="GAC138" s="774"/>
      <c r="GAD138" s="774"/>
      <c r="GAE138" s="774"/>
      <c r="GAF138" s="774"/>
      <c r="GAG138" s="774"/>
      <c r="GAH138" s="774"/>
      <c r="GAI138" s="774"/>
      <c r="GAJ138" s="774"/>
      <c r="GAK138" s="774"/>
      <c r="GAL138" s="774"/>
      <c r="GAM138" s="774"/>
      <c r="GAN138" s="774"/>
      <c r="GAO138" s="774"/>
      <c r="GAP138" s="774"/>
      <c r="GAQ138" s="774"/>
      <c r="GAR138" s="774"/>
      <c r="GAS138" s="774"/>
      <c r="GAT138" s="774"/>
      <c r="GAU138" s="774"/>
      <c r="GAV138" s="774"/>
      <c r="GAW138" s="774"/>
      <c r="GAX138" s="774"/>
      <c r="GAY138" s="774"/>
      <c r="GAZ138" s="774"/>
      <c r="GBA138" s="774"/>
      <c r="GBB138" s="774"/>
      <c r="GBC138" s="774"/>
      <c r="GBD138" s="774"/>
      <c r="GBE138" s="774"/>
      <c r="GBF138" s="774"/>
      <c r="GBG138" s="774"/>
      <c r="GBH138" s="774"/>
      <c r="GBI138" s="774"/>
      <c r="GBJ138" s="774"/>
      <c r="GBK138" s="774"/>
      <c r="GBL138" s="774"/>
      <c r="GBM138" s="774"/>
      <c r="GBN138" s="774"/>
      <c r="GBO138" s="774"/>
      <c r="GBP138" s="774"/>
      <c r="GBQ138" s="774"/>
      <c r="GBR138" s="774"/>
      <c r="GBS138" s="774"/>
      <c r="GBT138" s="774"/>
      <c r="GBU138" s="774"/>
      <c r="GBV138" s="774"/>
      <c r="GBW138" s="774"/>
      <c r="GBX138" s="774"/>
      <c r="GBY138" s="774"/>
      <c r="GBZ138" s="774"/>
      <c r="GCA138" s="774"/>
      <c r="GCB138" s="774"/>
      <c r="GCC138" s="774"/>
      <c r="GCD138" s="774"/>
      <c r="GCE138" s="774"/>
      <c r="GCF138" s="774"/>
      <c r="GCG138" s="774"/>
      <c r="GCH138" s="774"/>
      <c r="GCI138" s="774"/>
      <c r="GCJ138" s="774"/>
      <c r="GCK138" s="774"/>
      <c r="GCL138" s="774"/>
      <c r="GCM138" s="774"/>
      <c r="GCN138" s="774"/>
      <c r="GCO138" s="774"/>
      <c r="GCP138" s="774"/>
      <c r="GCQ138" s="774"/>
      <c r="GCR138" s="774"/>
      <c r="GCS138" s="774"/>
      <c r="GCT138" s="774"/>
      <c r="GCU138" s="774"/>
      <c r="GCV138" s="774"/>
      <c r="GCW138" s="774"/>
      <c r="GCX138" s="774"/>
      <c r="GCY138" s="774"/>
      <c r="GCZ138" s="774"/>
      <c r="GDA138" s="774"/>
      <c r="GDB138" s="774"/>
      <c r="GDC138" s="774"/>
      <c r="GDD138" s="774"/>
      <c r="GDE138" s="774"/>
      <c r="GDF138" s="774"/>
      <c r="GDG138" s="774"/>
      <c r="GDH138" s="774"/>
      <c r="GDI138" s="774"/>
      <c r="GDJ138" s="774"/>
      <c r="GDK138" s="774"/>
      <c r="GDL138" s="774"/>
      <c r="GDM138" s="774"/>
      <c r="GDN138" s="774"/>
      <c r="GDO138" s="774"/>
      <c r="GDP138" s="774"/>
      <c r="GDQ138" s="774"/>
      <c r="GDR138" s="774"/>
      <c r="GDS138" s="774"/>
      <c r="GDT138" s="774"/>
      <c r="GDU138" s="774"/>
      <c r="GDV138" s="774"/>
      <c r="GDW138" s="774"/>
      <c r="GDX138" s="774"/>
      <c r="GDY138" s="774"/>
      <c r="GDZ138" s="774"/>
      <c r="GEA138" s="774"/>
      <c r="GEB138" s="774"/>
      <c r="GEC138" s="774"/>
      <c r="GED138" s="774"/>
      <c r="GEE138" s="774"/>
      <c r="GEF138" s="774"/>
      <c r="GEG138" s="774"/>
      <c r="GEH138" s="774"/>
      <c r="GEI138" s="774"/>
      <c r="GEJ138" s="774"/>
      <c r="GEK138" s="774"/>
      <c r="GEL138" s="774"/>
      <c r="GEM138" s="774"/>
      <c r="GEN138" s="774"/>
      <c r="GEO138" s="774"/>
      <c r="GEP138" s="774"/>
      <c r="GEQ138" s="774"/>
      <c r="GER138" s="774"/>
      <c r="GES138" s="774"/>
      <c r="GET138" s="774"/>
      <c r="GEU138" s="774"/>
      <c r="GEV138" s="774"/>
      <c r="GEW138" s="774"/>
      <c r="GEX138" s="774"/>
      <c r="GEY138" s="774"/>
      <c r="GEZ138" s="774"/>
      <c r="GFA138" s="774"/>
      <c r="GFB138" s="774"/>
      <c r="GFC138" s="774"/>
      <c r="GFD138" s="774"/>
      <c r="GFE138" s="774"/>
      <c r="GFF138" s="774"/>
      <c r="GFG138" s="774"/>
      <c r="GFH138" s="774"/>
      <c r="GFI138" s="774"/>
      <c r="GFJ138" s="774"/>
      <c r="GFK138" s="774"/>
      <c r="GFL138" s="774"/>
      <c r="GFM138" s="774"/>
      <c r="GFN138" s="774"/>
      <c r="GFO138" s="774"/>
      <c r="GFP138" s="774"/>
      <c r="GFQ138" s="774"/>
      <c r="GFR138" s="774"/>
      <c r="GFS138" s="774"/>
      <c r="GFT138" s="774"/>
      <c r="GFU138" s="774"/>
      <c r="GFV138" s="774"/>
      <c r="GFW138" s="774"/>
      <c r="GFX138" s="774"/>
      <c r="GFY138" s="774"/>
      <c r="GFZ138" s="774"/>
      <c r="GGA138" s="774"/>
      <c r="GGB138" s="774"/>
      <c r="GGC138" s="774"/>
      <c r="GGD138" s="774"/>
      <c r="GGE138" s="774"/>
      <c r="GGF138" s="774"/>
      <c r="GGG138" s="774"/>
      <c r="GGH138" s="774"/>
      <c r="GGI138" s="774"/>
      <c r="GGJ138" s="774"/>
      <c r="GGK138" s="774"/>
      <c r="GGL138" s="774"/>
      <c r="GGM138" s="774"/>
      <c r="GGN138" s="774"/>
      <c r="GGO138" s="774"/>
      <c r="GGP138" s="774"/>
      <c r="GGQ138" s="774"/>
      <c r="GGR138" s="774"/>
      <c r="GGS138" s="774"/>
      <c r="GGT138" s="774"/>
      <c r="GGU138" s="774"/>
      <c r="GGV138" s="774"/>
      <c r="GGW138" s="774"/>
      <c r="GGX138" s="774"/>
      <c r="GGY138" s="774"/>
      <c r="GGZ138" s="774"/>
      <c r="GHA138" s="774"/>
      <c r="GHB138" s="774"/>
      <c r="GHC138" s="774"/>
      <c r="GHD138" s="774"/>
      <c r="GHE138" s="774"/>
      <c r="GHF138" s="774"/>
      <c r="GHG138" s="774"/>
      <c r="GHH138" s="774"/>
      <c r="GHI138" s="774"/>
      <c r="GHJ138" s="774"/>
      <c r="GHK138" s="774"/>
      <c r="GHL138" s="774"/>
      <c r="GHM138" s="774"/>
      <c r="GHN138" s="774"/>
      <c r="GHO138" s="774"/>
      <c r="GHP138" s="774"/>
      <c r="GHQ138" s="774"/>
      <c r="GHR138" s="774"/>
      <c r="GHS138" s="774"/>
      <c r="GHT138" s="774"/>
      <c r="GHU138" s="774"/>
      <c r="GHV138" s="774"/>
      <c r="GHW138" s="774"/>
      <c r="GHX138" s="774"/>
      <c r="GHY138" s="774"/>
      <c r="GHZ138" s="774"/>
      <c r="GIA138" s="774"/>
      <c r="GIB138" s="774"/>
      <c r="GIC138" s="774"/>
      <c r="GID138" s="774"/>
      <c r="GIE138" s="774"/>
      <c r="GIF138" s="774"/>
      <c r="GIG138" s="774"/>
      <c r="GIH138" s="774"/>
      <c r="GII138" s="774"/>
      <c r="GIJ138" s="774"/>
      <c r="GIK138" s="774"/>
      <c r="GIL138" s="774"/>
      <c r="GIM138" s="774"/>
      <c r="GIN138" s="774"/>
      <c r="GIO138" s="774"/>
      <c r="GIP138" s="774"/>
      <c r="GIQ138" s="774"/>
      <c r="GIR138" s="774"/>
      <c r="GIS138" s="774"/>
      <c r="GIT138" s="774"/>
      <c r="GIU138" s="774"/>
      <c r="GIV138" s="774"/>
      <c r="GIW138" s="774"/>
      <c r="GIX138" s="774"/>
      <c r="GIY138" s="774"/>
      <c r="GIZ138" s="774"/>
      <c r="GJA138" s="774"/>
      <c r="GJB138" s="774"/>
      <c r="GJC138" s="774"/>
      <c r="GJD138" s="774"/>
      <c r="GJE138" s="774"/>
      <c r="GJF138" s="774"/>
      <c r="GJG138" s="774"/>
      <c r="GJH138" s="774"/>
      <c r="GJI138" s="774"/>
      <c r="GJJ138" s="774"/>
      <c r="GJK138" s="774"/>
      <c r="GJL138" s="774"/>
      <c r="GJM138" s="774"/>
      <c r="GJN138" s="774"/>
      <c r="GJO138" s="774"/>
      <c r="GJP138" s="774"/>
      <c r="GJQ138" s="774"/>
      <c r="GJR138" s="774"/>
      <c r="GJS138" s="774"/>
      <c r="GJT138" s="774"/>
      <c r="GJU138" s="774"/>
      <c r="GJV138" s="774"/>
      <c r="GJW138" s="774"/>
      <c r="GJX138" s="774"/>
      <c r="GJY138" s="774"/>
      <c r="GJZ138" s="774"/>
      <c r="GKA138" s="774"/>
      <c r="GKB138" s="774"/>
      <c r="GKC138" s="774"/>
      <c r="GKD138" s="774"/>
      <c r="GKE138" s="774"/>
      <c r="GKF138" s="774"/>
      <c r="GKG138" s="774"/>
      <c r="GKH138" s="774"/>
      <c r="GKI138" s="774"/>
      <c r="GKJ138" s="774"/>
      <c r="GKK138" s="774"/>
      <c r="GKL138" s="774"/>
      <c r="GKM138" s="774"/>
      <c r="GKN138" s="774"/>
      <c r="GKO138" s="774"/>
      <c r="GKP138" s="774"/>
      <c r="GKQ138" s="774"/>
      <c r="GKR138" s="774"/>
      <c r="GKS138" s="774"/>
      <c r="GKT138" s="774"/>
      <c r="GKU138" s="774"/>
      <c r="GKV138" s="774"/>
      <c r="GKW138" s="774"/>
      <c r="GKX138" s="774"/>
      <c r="GKY138" s="774"/>
      <c r="GKZ138" s="774"/>
      <c r="GLA138" s="774"/>
      <c r="GLB138" s="774"/>
      <c r="GLC138" s="774"/>
      <c r="GLD138" s="774"/>
      <c r="GLE138" s="774"/>
      <c r="GLF138" s="774"/>
      <c r="GLG138" s="774"/>
      <c r="GLH138" s="774"/>
      <c r="GLI138" s="774"/>
      <c r="GLJ138" s="774"/>
      <c r="GLK138" s="774"/>
      <c r="GLL138" s="774"/>
      <c r="GLM138" s="774"/>
      <c r="GLN138" s="774"/>
      <c r="GLO138" s="774"/>
      <c r="GLP138" s="774"/>
      <c r="GLQ138" s="774"/>
      <c r="GLR138" s="774"/>
      <c r="GLS138" s="774"/>
      <c r="GLT138" s="774"/>
      <c r="GLU138" s="774"/>
      <c r="GLV138" s="774"/>
      <c r="GLW138" s="774"/>
      <c r="GLX138" s="774"/>
      <c r="GLY138" s="774"/>
      <c r="GLZ138" s="774"/>
      <c r="GMA138" s="774"/>
      <c r="GMB138" s="774"/>
      <c r="GMC138" s="774"/>
      <c r="GMD138" s="774"/>
      <c r="GME138" s="774"/>
      <c r="GMF138" s="774"/>
      <c r="GMG138" s="774"/>
      <c r="GMH138" s="774"/>
      <c r="GMI138" s="774"/>
      <c r="GMJ138" s="774"/>
      <c r="GMK138" s="774"/>
      <c r="GML138" s="774"/>
      <c r="GMM138" s="774"/>
      <c r="GMN138" s="774"/>
      <c r="GMO138" s="774"/>
      <c r="GMP138" s="774"/>
      <c r="GMQ138" s="774"/>
      <c r="GMR138" s="774"/>
      <c r="GMS138" s="774"/>
      <c r="GMT138" s="774"/>
      <c r="GMU138" s="774"/>
      <c r="GMV138" s="774"/>
      <c r="GMW138" s="774"/>
      <c r="GMX138" s="774"/>
      <c r="GMY138" s="774"/>
      <c r="GMZ138" s="774"/>
      <c r="GNA138" s="774"/>
      <c r="GNB138" s="774"/>
      <c r="GNC138" s="774"/>
      <c r="GND138" s="774"/>
      <c r="GNE138" s="774"/>
      <c r="GNF138" s="774"/>
      <c r="GNG138" s="774"/>
      <c r="GNH138" s="774"/>
      <c r="GNI138" s="774"/>
      <c r="GNJ138" s="774"/>
      <c r="GNK138" s="774"/>
      <c r="GNL138" s="774"/>
      <c r="GNM138" s="774"/>
      <c r="GNN138" s="774"/>
      <c r="GNO138" s="774"/>
      <c r="GNP138" s="774"/>
      <c r="GNQ138" s="774"/>
      <c r="GNR138" s="774"/>
      <c r="GNS138" s="774"/>
      <c r="GNT138" s="774"/>
      <c r="GNU138" s="774"/>
      <c r="GNV138" s="774"/>
      <c r="GNW138" s="774"/>
      <c r="GNX138" s="774"/>
      <c r="GNY138" s="774"/>
      <c r="GNZ138" s="774"/>
      <c r="GOA138" s="774"/>
      <c r="GOB138" s="774"/>
      <c r="GOC138" s="774"/>
      <c r="GOD138" s="774"/>
      <c r="GOE138" s="774"/>
      <c r="GOF138" s="774"/>
      <c r="GOG138" s="774"/>
      <c r="GOH138" s="774"/>
      <c r="GOI138" s="774"/>
      <c r="GOJ138" s="774"/>
      <c r="GOK138" s="774"/>
      <c r="GOL138" s="774"/>
      <c r="GOM138" s="774"/>
      <c r="GON138" s="774"/>
      <c r="GOO138" s="774"/>
      <c r="GOP138" s="774"/>
      <c r="GOQ138" s="774"/>
      <c r="GOR138" s="774"/>
      <c r="GOS138" s="774"/>
      <c r="GOT138" s="774"/>
      <c r="GOU138" s="774"/>
      <c r="GOV138" s="774"/>
      <c r="GOW138" s="774"/>
      <c r="GOX138" s="774"/>
      <c r="GOY138" s="774"/>
      <c r="GOZ138" s="774"/>
      <c r="GPA138" s="774"/>
      <c r="GPB138" s="774"/>
      <c r="GPC138" s="774"/>
      <c r="GPD138" s="774"/>
      <c r="GPE138" s="774"/>
      <c r="GPF138" s="774"/>
      <c r="GPG138" s="774"/>
      <c r="GPH138" s="774"/>
      <c r="GPI138" s="774"/>
      <c r="GPJ138" s="774"/>
      <c r="GPK138" s="774"/>
      <c r="GPL138" s="774"/>
      <c r="GPM138" s="774"/>
      <c r="GPN138" s="774"/>
      <c r="GPO138" s="774"/>
      <c r="GPP138" s="774"/>
      <c r="GPQ138" s="774"/>
      <c r="GPR138" s="774"/>
      <c r="GPS138" s="774"/>
      <c r="GPT138" s="774"/>
      <c r="GPU138" s="774"/>
      <c r="GPV138" s="774"/>
      <c r="GPW138" s="774"/>
      <c r="GPX138" s="774"/>
      <c r="GPY138" s="774"/>
      <c r="GPZ138" s="774"/>
      <c r="GQA138" s="774"/>
      <c r="GQB138" s="774"/>
      <c r="GQC138" s="774"/>
      <c r="GQD138" s="774"/>
      <c r="GQE138" s="774"/>
      <c r="GQF138" s="774"/>
      <c r="GQG138" s="774"/>
      <c r="GQH138" s="774"/>
      <c r="GQI138" s="774"/>
      <c r="GQJ138" s="774"/>
      <c r="GQK138" s="774"/>
      <c r="GQL138" s="774"/>
      <c r="GQM138" s="774"/>
      <c r="GQN138" s="774"/>
      <c r="GQO138" s="774"/>
      <c r="GQP138" s="774"/>
      <c r="GQQ138" s="774"/>
      <c r="GQR138" s="774"/>
      <c r="GQS138" s="774"/>
      <c r="GQT138" s="774"/>
      <c r="GQU138" s="774"/>
      <c r="GQV138" s="774"/>
      <c r="GQW138" s="774"/>
      <c r="GQX138" s="774"/>
      <c r="GQY138" s="774"/>
      <c r="GQZ138" s="774"/>
      <c r="GRA138" s="774"/>
      <c r="GRB138" s="774"/>
      <c r="GRC138" s="774"/>
      <c r="GRD138" s="774"/>
      <c r="GRE138" s="774"/>
      <c r="GRF138" s="774"/>
      <c r="GRG138" s="774"/>
      <c r="GRH138" s="774"/>
      <c r="GRI138" s="774"/>
      <c r="GRJ138" s="774"/>
      <c r="GRK138" s="774"/>
      <c r="GRL138" s="774"/>
      <c r="GRM138" s="774"/>
      <c r="GRN138" s="774"/>
      <c r="GRO138" s="774"/>
      <c r="GRP138" s="774"/>
      <c r="GRQ138" s="774"/>
      <c r="GRR138" s="774"/>
      <c r="GRS138" s="774"/>
      <c r="GRT138" s="774"/>
      <c r="GRU138" s="774"/>
      <c r="GRV138" s="774"/>
      <c r="GRW138" s="774"/>
      <c r="GRX138" s="774"/>
      <c r="GRY138" s="774"/>
      <c r="GRZ138" s="774"/>
      <c r="GSA138" s="774"/>
      <c r="GSB138" s="774"/>
      <c r="GSC138" s="774"/>
      <c r="GSD138" s="774"/>
      <c r="GSE138" s="774"/>
      <c r="GSF138" s="774"/>
      <c r="GSG138" s="774"/>
      <c r="GSH138" s="774"/>
      <c r="GSI138" s="774"/>
      <c r="GSJ138" s="774"/>
      <c r="GSK138" s="774"/>
      <c r="GSL138" s="774"/>
      <c r="GSM138" s="774"/>
      <c r="GSN138" s="774"/>
      <c r="GSO138" s="774"/>
      <c r="GSP138" s="774"/>
      <c r="GSQ138" s="774"/>
      <c r="GSR138" s="774"/>
      <c r="GSS138" s="774"/>
      <c r="GST138" s="774"/>
      <c r="GSU138" s="774"/>
      <c r="GSV138" s="774"/>
      <c r="GSW138" s="774"/>
      <c r="GSX138" s="774"/>
      <c r="GSY138" s="774"/>
      <c r="GSZ138" s="774"/>
      <c r="GTA138" s="774"/>
      <c r="GTB138" s="774"/>
      <c r="GTC138" s="774"/>
      <c r="GTD138" s="774"/>
      <c r="GTE138" s="774"/>
      <c r="GTF138" s="774"/>
      <c r="GTG138" s="774"/>
      <c r="GTH138" s="774"/>
      <c r="GTI138" s="774"/>
      <c r="GTJ138" s="774"/>
      <c r="GTK138" s="774"/>
      <c r="GTL138" s="774"/>
      <c r="GTM138" s="774"/>
      <c r="GTN138" s="774"/>
      <c r="GTO138" s="774"/>
      <c r="GTP138" s="774"/>
      <c r="GTQ138" s="774"/>
      <c r="GTR138" s="774"/>
      <c r="GTS138" s="774"/>
      <c r="GTT138" s="774"/>
      <c r="GTU138" s="774"/>
      <c r="GTV138" s="774"/>
      <c r="GTW138" s="774"/>
      <c r="GTX138" s="774"/>
      <c r="GTY138" s="774"/>
      <c r="GTZ138" s="774"/>
      <c r="GUA138" s="774"/>
      <c r="GUB138" s="774"/>
      <c r="GUC138" s="774"/>
      <c r="GUD138" s="774"/>
      <c r="GUE138" s="774"/>
      <c r="GUF138" s="774"/>
      <c r="GUG138" s="774"/>
      <c r="GUH138" s="774"/>
      <c r="GUI138" s="774"/>
      <c r="GUJ138" s="774"/>
      <c r="GUK138" s="774"/>
      <c r="GUL138" s="774"/>
      <c r="GUM138" s="774"/>
      <c r="GUN138" s="774"/>
      <c r="GUO138" s="774"/>
      <c r="GUP138" s="774"/>
      <c r="GUQ138" s="774"/>
      <c r="GUR138" s="774"/>
      <c r="GUS138" s="774"/>
      <c r="GUT138" s="774"/>
      <c r="GUU138" s="774"/>
      <c r="GUV138" s="774"/>
      <c r="GUW138" s="774"/>
      <c r="GUX138" s="774"/>
      <c r="GUY138" s="774"/>
      <c r="GUZ138" s="774"/>
      <c r="GVA138" s="774"/>
      <c r="GVB138" s="774"/>
      <c r="GVC138" s="774"/>
      <c r="GVD138" s="774"/>
      <c r="GVE138" s="774"/>
      <c r="GVF138" s="774"/>
      <c r="GVG138" s="774"/>
      <c r="GVH138" s="774"/>
      <c r="GVI138" s="774"/>
      <c r="GVJ138" s="774"/>
      <c r="GVK138" s="774"/>
      <c r="GVL138" s="774"/>
      <c r="GVM138" s="774"/>
      <c r="GVN138" s="774"/>
      <c r="GVO138" s="774"/>
      <c r="GVP138" s="774"/>
      <c r="GVQ138" s="774"/>
      <c r="GVR138" s="774"/>
      <c r="GVS138" s="774"/>
      <c r="GVT138" s="774"/>
      <c r="GVU138" s="774"/>
      <c r="GVV138" s="774"/>
      <c r="GVW138" s="774"/>
      <c r="GVX138" s="774"/>
      <c r="GVY138" s="774"/>
      <c r="GVZ138" s="774"/>
      <c r="GWA138" s="774"/>
      <c r="GWB138" s="774"/>
      <c r="GWC138" s="774"/>
      <c r="GWD138" s="774"/>
      <c r="GWE138" s="774"/>
      <c r="GWF138" s="774"/>
      <c r="GWG138" s="774"/>
      <c r="GWH138" s="774"/>
      <c r="GWI138" s="774"/>
      <c r="GWJ138" s="774"/>
      <c r="GWK138" s="774"/>
      <c r="GWL138" s="774"/>
      <c r="GWM138" s="774"/>
      <c r="GWN138" s="774"/>
      <c r="GWO138" s="774"/>
      <c r="GWP138" s="774"/>
      <c r="GWQ138" s="774"/>
      <c r="GWR138" s="774"/>
      <c r="GWS138" s="774"/>
      <c r="GWT138" s="774"/>
      <c r="GWU138" s="774"/>
      <c r="GWV138" s="774"/>
      <c r="GWW138" s="774"/>
      <c r="GWX138" s="774"/>
      <c r="GWY138" s="774"/>
      <c r="GWZ138" s="774"/>
      <c r="GXA138" s="774"/>
      <c r="GXB138" s="774"/>
      <c r="GXC138" s="774"/>
      <c r="GXD138" s="774"/>
      <c r="GXE138" s="774"/>
      <c r="GXF138" s="774"/>
      <c r="GXG138" s="774"/>
      <c r="GXH138" s="774"/>
      <c r="GXI138" s="774"/>
      <c r="GXJ138" s="774"/>
      <c r="GXK138" s="774"/>
      <c r="GXL138" s="774"/>
      <c r="GXM138" s="774"/>
      <c r="GXN138" s="774"/>
      <c r="GXO138" s="774"/>
      <c r="GXP138" s="774"/>
      <c r="GXQ138" s="774"/>
      <c r="GXR138" s="774"/>
      <c r="GXS138" s="774"/>
      <c r="GXT138" s="774"/>
      <c r="GXU138" s="774"/>
      <c r="GXV138" s="774"/>
      <c r="GXW138" s="774"/>
      <c r="GXX138" s="774"/>
      <c r="GXY138" s="774"/>
      <c r="GXZ138" s="774"/>
      <c r="GYA138" s="774"/>
      <c r="GYB138" s="774"/>
      <c r="GYC138" s="774"/>
      <c r="GYD138" s="774"/>
      <c r="GYE138" s="774"/>
      <c r="GYF138" s="774"/>
      <c r="GYG138" s="774"/>
      <c r="GYH138" s="774"/>
      <c r="GYI138" s="774"/>
      <c r="GYJ138" s="774"/>
      <c r="GYK138" s="774"/>
      <c r="GYL138" s="774"/>
      <c r="GYM138" s="774"/>
      <c r="GYN138" s="774"/>
      <c r="GYO138" s="774"/>
      <c r="GYP138" s="774"/>
      <c r="GYQ138" s="774"/>
      <c r="GYR138" s="774"/>
      <c r="GYS138" s="774"/>
      <c r="GYT138" s="774"/>
      <c r="GYU138" s="774"/>
      <c r="GYV138" s="774"/>
      <c r="GYW138" s="774"/>
      <c r="GYX138" s="774"/>
      <c r="GYY138" s="774"/>
      <c r="GYZ138" s="774"/>
      <c r="GZA138" s="774"/>
      <c r="GZB138" s="774"/>
      <c r="GZC138" s="774"/>
      <c r="GZD138" s="774"/>
      <c r="GZE138" s="774"/>
      <c r="GZF138" s="774"/>
      <c r="GZG138" s="774"/>
      <c r="GZH138" s="774"/>
      <c r="GZI138" s="774"/>
      <c r="GZJ138" s="774"/>
      <c r="GZK138" s="774"/>
      <c r="GZL138" s="774"/>
      <c r="GZM138" s="774"/>
      <c r="GZN138" s="774"/>
      <c r="GZO138" s="774"/>
      <c r="GZP138" s="774"/>
      <c r="GZQ138" s="774"/>
      <c r="GZR138" s="774"/>
      <c r="GZS138" s="774"/>
      <c r="GZT138" s="774"/>
      <c r="GZU138" s="774"/>
      <c r="GZV138" s="774"/>
      <c r="GZW138" s="774"/>
      <c r="GZX138" s="774"/>
      <c r="GZY138" s="774"/>
      <c r="GZZ138" s="774"/>
      <c r="HAA138" s="774"/>
      <c r="HAB138" s="774"/>
      <c r="HAC138" s="774"/>
      <c r="HAD138" s="774"/>
      <c r="HAE138" s="774"/>
      <c r="HAF138" s="774"/>
      <c r="HAG138" s="774"/>
      <c r="HAH138" s="774"/>
      <c r="HAI138" s="774"/>
      <c r="HAJ138" s="774"/>
      <c r="HAK138" s="774"/>
      <c r="HAL138" s="774"/>
      <c r="HAM138" s="774"/>
      <c r="HAN138" s="774"/>
      <c r="HAO138" s="774"/>
      <c r="HAP138" s="774"/>
      <c r="HAQ138" s="774"/>
      <c r="HAR138" s="774"/>
      <c r="HAS138" s="774"/>
      <c r="HAT138" s="774"/>
      <c r="HAU138" s="774"/>
      <c r="HAV138" s="774"/>
      <c r="HAW138" s="774"/>
      <c r="HAX138" s="774"/>
      <c r="HAY138" s="774"/>
      <c r="HAZ138" s="774"/>
      <c r="HBA138" s="774"/>
      <c r="HBB138" s="774"/>
      <c r="HBC138" s="774"/>
      <c r="HBD138" s="774"/>
      <c r="HBE138" s="774"/>
      <c r="HBF138" s="774"/>
      <c r="HBG138" s="774"/>
      <c r="HBH138" s="774"/>
      <c r="HBI138" s="774"/>
      <c r="HBJ138" s="774"/>
      <c r="HBK138" s="774"/>
      <c r="HBL138" s="774"/>
      <c r="HBM138" s="774"/>
      <c r="HBN138" s="774"/>
      <c r="HBO138" s="774"/>
      <c r="HBP138" s="774"/>
      <c r="HBQ138" s="774"/>
      <c r="HBR138" s="774"/>
      <c r="HBS138" s="774"/>
      <c r="HBT138" s="774"/>
      <c r="HBU138" s="774"/>
      <c r="HBV138" s="774"/>
      <c r="HBW138" s="774"/>
      <c r="HBX138" s="774"/>
      <c r="HBY138" s="774"/>
      <c r="HBZ138" s="774"/>
      <c r="HCA138" s="774"/>
      <c r="HCB138" s="774"/>
      <c r="HCC138" s="774"/>
      <c r="HCD138" s="774"/>
      <c r="HCE138" s="774"/>
      <c r="HCF138" s="774"/>
      <c r="HCG138" s="774"/>
      <c r="HCH138" s="774"/>
      <c r="HCI138" s="774"/>
      <c r="HCJ138" s="774"/>
      <c r="HCK138" s="774"/>
      <c r="HCL138" s="774"/>
      <c r="HCM138" s="774"/>
      <c r="HCN138" s="774"/>
      <c r="HCO138" s="774"/>
      <c r="HCP138" s="774"/>
      <c r="HCQ138" s="774"/>
      <c r="HCR138" s="774"/>
      <c r="HCS138" s="774"/>
      <c r="HCT138" s="774"/>
      <c r="HCU138" s="774"/>
      <c r="HCV138" s="774"/>
      <c r="HCW138" s="774"/>
      <c r="HCX138" s="774"/>
      <c r="HCY138" s="774"/>
      <c r="HCZ138" s="774"/>
      <c r="HDA138" s="774"/>
      <c r="HDB138" s="774"/>
      <c r="HDC138" s="774"/>
      <c r="HDD138" s="774"/>
      <c r="HDE138" s="774"/>
      <c r="HDF138" s="774"/>
      <c r="HDG138" s="774"/>
      <c r="HDH138" s="774"/>
      <c r="HDI138" s="774"/>
      <c r="HDJ138" s="774"/>
      <c r="HDK138" s="774"/>
      <c r="HDL138" s="774"/>
      <c r="HDM138" s="774"/>
      <c r="HDN138" s="774"/>
      <c r="HDO138" s="774"/>
      <c r="HDP138" s="774"/>
      <c r="HDQ138" s="774"/>
      <c r="HDR138" s="774"/>
      <c r="HDS138" s="774"/>
      <c r="HDT138" s="774"/>
      <c r="HDU138" s="774"/>
      <c r="HDV138" s="774"/>
      <c r="HDW138" s="774"/>
      <c r="HDX138" s="774"/>
      <c r="HDY138" s="774"/>
      <c r="HDZ138" s="774"/>
      <c r="HEA138" s="774"/>
      <c r="HEB138" s="774"/>
      <c r="HEC138" s="774"/>
      <c r="HED138" s="774"/>
      <c r="HEE138" s="774"/>
      <c r="HEF138" s="774"/>
      <c r="HEG138" s="774"/>
      <c r="HEH138" s="774"/>
      <c r="HEI138" s="774"/>
      <c r="HEJ138" s="774"/>
      <c r="HEK138" s="774"/>
      <c r="HEL138" s="774"/>
      <c r="HEM138" s="774"/>
      <c r="HEN138" s="774"/>
      <c r="HEO138" s="774"/>
      <c r="HEP138" s="774"/>
      <c r="HEQ138" s="774"/>
      <c r="HER138" s="774"/>
      <c r="HES138" s="774"/>
      <c r="HET138" s="774"/>
      <c r="HEU138" s="774"/>
      <c r="HEV138" s="774"/>
      <c r="HEW138" s="774"/>
      <c r="HEX138" s="774"/>
      <c r="HEY138" s="774"/>
      <c r="HEZ138" s="774"/>
      <c r="HFA138" s="774"/>
      <c r="HFB138" s="774"/>
      <c r="HFC138" s="774"/>
      <c r="HFD138" s="774"/>
      <c r="HFE138" s="774"/>
      <c r="HFF138" s="774"/>
      <c r="HFG138" s="774"/>
      <c r="HFH138" s="774"/>
      <c r="HFI138" s="774"/>
      <c r="HFJ138" s="774"/>
      <c r="HFK138" s="774"/>
      <c r="HFL138" s="774"/>
      <c r="HFM138" s="774"/>
      <c r="HFN138" s="774"/>
      <c r="HFO138" s="774"/>
      <c r="HFP138" s="774"/>
      <c r="HFQ138" s="774"/>
      <c r="HFR138" s="774"/>
      <c r="HFS138" s="774"/>
      <c r="HFT138" s="774"/>
      <c r="HFU138" s="774"/>
      <c r="HFV138" s="774"/>
      <c r="HFW138" s="774"/>
      <c r="HFX138" s="774"/>
      <c r="HFY138" s="774"/>
      <c r="HFZ138" s="774"/>
      <c r="HGA138" s="774"/>
      <c r="HGB138" s="774"/>
      <c r="HGC138" s="774"/>
      <c r="HGD138" s="774"/>
      <c r="HGE138" s="774"/>
      <c r="HGF138" s="774"/>
      <c r="HGG138" s="774"/>
      <c r="HGH138" s="774"/>
      <c r="HGI138" s="774"/>
      <c r="HGJ138" s="774"/>
      <c r="HGK138" s="774"/>
      <c r="HGL138" s="774"/>
      <c r="HGM138" s="774"/>
      <c r="HGN138" s="774"/>
      <c r="HGO138" s="774"/>
      <c r="HGP138" s="774"/>
      <c r="HGQ138" s="774"/>
      <c r="HGR138" s="774"/>
      <c r="HGS138" s="774"/>
      <c r="HGT138" s="774"/>
      <c r="HGU138" s="774"/>
      <c r="HGV138" s="774"/>
      <c r="HGW138" s="774"/>
      <c r="HGX138" s="774"/>
      <c r="HGY138" s="774"/>
      <c r="HGZ138" s="774"/>
      <c r="HHA138" s="774"/>
      <c r="HHB138" s="774"/>
      <c r="HHC138" s="774"/>
      <c r="HHD138" s="774"/>
      <c r="HHE138" s="774"/>
      <c r="HHF138" s="774"/>
      <c r="HHG138" s="774"/>
      <c r="HHH138" s="774"/>
      <c r="HHI138" s="774"/>
      <c r="HHJ138" s="774"/>
      <c r="HHK138" s="774"/>
      <c r="HHL138" s="774"/>
      <c r="HHM138" s="774"/>
      <c r="HHN138" s="774"/>
      <c r="HHO138" s="774"/>
      <c r="HHP138" s="774"/>
      <c r="HHQ138" s="774"/>
      <c r="HHR138" s="774"/>
      <c r="HHS138" s="774"/>
      <c r="HHT138" s="774"/>
      <c r="HHU138" s="774"/>
      <c r="HHV138" s="774"/>
      <c r="HHW138" s="774"/>
      <c r="HHX138" s="774"/>
      <c r="HHY138" s="774"/>
      <c r="HHZ138" s="774"/>
      <c r="HIA138" s="774"/>
      <c r="HIB138" s="774"/>
      <c r="HIC138" s="774"/>
      <c r="HID138" s="774"/>
      <c r="HIE138" s="774"/>
      <c r="HIF138" s="774"/>
      <c r="HIG138" s="774"/>
      <c r="HIH138" s="774"/>
      <c r="HII138" s="774"/>
      <c r="HIJ138" s="774"/>
      <c r="HIK138" s="774"/>
      <c r="HIL138" s="774"/>
      <c r="HIM138" s="774"/>
      <c r="HIN138" s="774"/>
      <c r="HIO138" s="774"/>
      <c r="HIP138" s="774"/>
      <c r="HIQ138" s="774"/>
      <c r="HIR138" s="774"/>
      <c r="HIS138" s="774"/>
      <c r="HIT138" s="774"/>
      <c r="HIU138" s="774"/>
      <c r="HIV138" s="774"/>
      <c r="HIW138" s="774"/>
      <c r="HIX138" s="774"/>
      <c r="HIY138" s="774"/>
      <c r="HIZ138" s="774"/>
      <c r="HJA138" s="774"/>
      <c r="HJB138" s="774"/>
      <c r="HJC138" s="774"/>
      <c r="HJD138" s="774"/>
      <c r="HJE138" s="774"/>
      <c r="HJF138" s="774"/>
      <c r="HJG138" s="774"/>
      <c r="HJH138" s="774"/>
      <c r="HJI138" s="774"/>
      <c r="HJJ138" s="774"/>
      <c r="HJK138" s="774"/>
      <c r="HJL138" s="774"/>
      <c r="HJM138" s="774"/>
      <c r="HJN138" s="774"/>
      <c r="HJO138" s="774"/>
      <c r="HJP138" s="774"/>
      <c r="HJQ138" s="774"/>
      <c r="HJR138" s="774"/>
      <c r="HJS138" s="774"/>
      <c r="HJT138" s="774"/>
      <c r="HJU138" s="774"/>
      <c r="HJV138" s="774"/>
      <c r="HJW138" s="774"/>
      <c r="HJX138" s="774"/>
      <c r="HJY138" s="774"/>
      <c r="HJZ138" s="774"/>
      <c r="HKA138" s="774"/>
      <c r="HKB138" s="774"/>
      <c r="HKC138" s="774"/>
      <c r="HKD138" s="774"/>
      <c r="HKE138" s="774"/>
      <c r="HKF138" s="774"/>
      <c r="HKG138" s="774"/>
      <c r="HKH138" s="774"/>
      <c r="HKI138" s="774"/>
      <c r="HKJ138" s="774"/>
      <c r="HKK138" s="774"/>
      <c r="HKL138" s="774"/>
      <c r="HKM138" s="774"/>
      <c r="HKN138" s="774"/>
      <c r="HKO138" s="774"/>
      <c r="HKP138" s="774"/>
      <c r="HKQ138" s="774"/>
      <c r="HKR138" s="774"/>
      <c r="HKS138" s="774"/>
      <c r="HKT138" s="774"/>
      <c r="HKU138" s="774"/>
      <c r="HKV138" s="774"/>
      <c r="HKW138" s="774"/>
      <c r="HKX138" s="774"/>
      <c r="HKY138" s="774"/>
      <c r="HKZ138" s="774"/>
      <c r="HLA138" s="774"/>
      <c r="HLB138" s="774"/>
      <c r="HLC138" s="774"/>
      <c r="HLD138" s="774"/>
      <c r="HLE138" s="774"/>
      <c r="HLF138" s="774"/>
      <c r="HLG138" s="774"/>
      <c r="HLH138" s="774"/>
      <c r="HLI138" s="774"/>
      <c r="HLJ138" s="774"/>
      <c r="HLK138" s="774"/>
      <c r="HLL138" s="774"/>
      <c r="HLM138" s="774"/>
      <c r="HLN138" s="774"/>
      <c r="HLO138" s="774"/>
      <c r="HLP138" s="774"/>
      <c r="HLQ138" s="774"/>
      <c r="HLR138" s="774"/>
      <c r="HLS138" s="774"/>
      <c r="HLT138" s="774"/>
      <c r="HLU138" s="774"/>
      <c r="HLV138" s="774"/>
      <c r="HLW138" s="774"/>
      <c r="HLX138" s="774"/>
      <c r="HLY138" s="774"/>
      <c r="HLZ138" s="774"/>
      <c r="HMA138" s="774"/>
      <c r="HMB138" s="774"/>
      <c r="HMC138" s="774"/>
      <c r="HMD138" s="774"/>
      <c r="HME138" s="774"/>
      <c r="HMF138" s="774"/>
      <c r="HMG138" s="774"/>
      <c r="HMH138" s="774"/>
      <c r="HMI138" s="774"/>
      <c r="HMJ138" s="774"/>
      <c r="HMK138" s="774"/>
      <c r="HML138" s="774"/>
      <c r="HMM138" s="774"/>
      <c r="HMN138" s="774"/>
      <c r="HMO138" s="774"/>
      <c r="HMP138" s="774"/>
      <c r="HMQ138" s="774"/>
      <c r="HMR138" s="774"/>
      <c r="HMS138" s="774"/>
      <c r="HMT138" s="774"/>
      <c r="HMU138" s="774"/>
      <c r="HMV138" s="774"/>
      <c r="HMW138" s="774"/>
      <c r="HMX138" s="774"/>
      <c r="HMY138" s="774"/>
      <c r="HMZ138" s="774"/>
      <c r="HNA138" s="774"/>
      <c r="HNB138" s="774"/>
      <c r="HNC138" s="774"/>
      <c r="HND138" s="774"/>
      <c r="HNE138" s="774"/>
      <c r="HNF138" s="774"/>
      <c r="HNG138" s="774"/>
      <c r="HNH138" s="774"/>
      <c r="HNI138" s="774"/>
      <c r="HNJ138" s="774"/>
      <c r="HNK138" s="774"/>
      <c r="HNL138" s="774"/>
      <c r="HNM138" s="774"/>
      <c r="HNN138" s="774"/>
      <c r="HNO138" s="774"/>
      <c r="HNP138" s="774"/>
      <c r="HNQ138" s="774"/>
      <c r="HNR138" s="774"/>
      <c r="HNS138" s="774"/>
      <c r="HNT138" s="774"/>
      <c r="HNU138" s="774"/>
      <c r="HNV138" s="774"/>
      <c r="HNW138" s="774"/>
      <c r="HNX138" s="774"/>
      <c r="HNY138" s="774"/>
      <c r="HNZ138" s="774"/>
      <c r="HOA138" s="774"/>
      <c r="HOB138" s="774"/>
      <c r="HOC138" s="774"/>
      <c r="HOD138" s="774"/>
      <c r="HOE138" s="774"/>
      <c r="HOF138" s="774"/>
      <c r="HOG138" s="774"/>
      <c r="HOH138" s="774"/>
      <c r="HOI138" s="774"/>
      <c r="HOJ138" s="774"/>
      <c r="HOK138" s="774"/>
      <c r="HOL138" s="774"/>
      <c r="HOM138" s="774"/>
      <c r="HON138" s="774"/>
      <c r="HOO138" s="774"/>
      <c r="HOP138" s="774"/>
      <c r="HOQ138" s="774"/>
      <c r="HOR138" s="774"/>
      <c r="HOS138" s="774"/>
      <c r="HOT138" s="774"/>
      <c r="HOU138" s="774"/>
      <c r="HOV138" s="774"/>
      <c r="HOW138" s="774"/>
      <c r="HOX138" s="774"/>
      <c r="HOY138" s="774"/>
      <c r="HOZ138" s="774"/>
      <c r="HPA138" s="774"/>
      <c r="HPB138" s="774"/>
      <c r="HPC138" s="774"/>
      <c r="HPD138" s="774"/>
      <c r="HPE138" s="774"/>
      <c r="HPF138" s="774"/>
      <c r="HPG138" s="774"/>
      <c r="HPH138" s="774"/>
      <c r="HPI138" s="774"/>
      <c r="HPJ138" s="774"/>
      <c r="HPK138" s="774"/>
      <c r="HPL138" s="774"/>
      <c r="HPM138" s="774"/>
      <c r="HPN138" s="774"/>
      <c r="HPO138" s="774"/>
      <c r="HPP138" s="774"/>
      <c r="HPQ138" s="774"/>
      <c r="HPR138" s="774"/>
      <c r="HPS138" s="774"/>
      <c r="HPT138" s="774"/>
      <c r="HPU138" s="774"/>
      <c r="HPV138" s="774"/>
      <c r="HPW138" s="774"/>
      <c r="HPX138" s="774"/>
      <c r="HPY138" s="774"/>
      <c r="HPZ138" s="774"/>
      <c r="HQA138" s="774"/>
      <c r="HQB138" s="774"/>
      <c r="HQC138" s="774"/>
      <c r="HQD138" s="774"/>
      <c r="HQE138" s="774"/>
      <c r="HQF138" s="774"/>
      <c r="HQG138" s="774"/>
      <c r="HQH138" s="774"/>
      <c r="HQI138" s="774"/>
      <c r="HQJ138" s="774"/>
      <c r="HQK138" s="774"/>
      <c r="HQL138" s="774"/>
      <c r="HQM138" s="774"/>
      <c r="HQN138" s="774"/>
      <c r="HQO138" s="774"/>
      <c r="HQP138" s="774"/>
      <c r="HQQ138" s="774"/>
      <c r="HQR138" s="774"/>
      <c r="HQS138" s="774"/>
      <c r="HQT138" s="774"/>
      <c r="HQU138" s="774"/>
      <c r="HQV138" s="774"/>
      <c r="HQW138" s="774"/>
      <c r="HQX138" s="774"/>
      <c r="HQY138" s="774"/>
      <c r="HQZ138" s="774"/>
      <c r="HRA138" s="774"/>
      <c r="HRB138" s="774"/>
      <c r="HRC138" s="774"/>
      <c r="HRD138" s="774"/>
      <c r="HRE138" s="774"/>
      <c r="HRF138" s="774"/>
      <c r="HRG138" s="774"/>
      <c r="HRH138" s="774"/>
      <c r="HRI138" s="774"/>
      <c r="HRJ138" s="774"/>
      <c r="HRK138" s="774"/>
      <c r="HRL138" s="774"/>
      <c r="HRM138" s="774"/>
      <c r="HRN138" s="774"/>
      <c r="HRO138" s="774"/>
      <c r="HRP138" s="774"/>
      <c r="HRQ138" s="774"/>
      <c r="HRR138" s="774"/>
      <c r="HRS138" s="774"/>
      <c r="HRT138" s="774"/>
      <c r="HRU138" s="774"/>
      <c r="HRV138" s="774"/>
      <c r="HRW138" s="774"/>
      <c r="HRX138" s="774"/>
      <c r="HRY138" s="774"/>
      <c r="HRZ138" s="774"/>
      <c r="HSA138" s="774"/>
      <c r="HSB138" s="774"/>
      <c r="HSC138" s="774"/>
      <c r="HSD138" s="774"/>
      <c r="HSE138" s="774"/>
      <c r="HSF138" s="774"/>
      <c r="HSG138" s="774"/>
      <c r="HSH138" s="774"/>
      <c r="HSI138" s="774"/>
      <c r="HSJ138" s="774"/>
      <c r="HSK138" s="774"/>
      <c r="HSL138" s="774"/>
      <c r="HSM138" s="774"/>
      <c r="HSN138" s="774"/>
      <c r="HSO138" s="774"/>
      <c r="HSP138" s="774"/>
      <c r="HSQ138" s="774"/>
      <c r="HSR138" s="774"/>
      <c r="HSS138" s="774"/>
      <c r="HST138" s="774"/>
      <c r="HSU138" s="774"/>
      <c r="HSV138" s="774"/>
      <c r="HSW138" s="774"/>
      <c r="HSX138" s="774"/>
      <c r="HSY138" s="774"/>
      <c r="HSZ138" s="774"/>
      <c r="HTA138" s="774"/>
      <c r="HTB138" s="774"/>
      <c r="HTC138" s="774"/>
      <c r="HTD138" s="774"/>
      <c r="HTE138" s="774"/>
      <c r="HTF138" s="774"/>
      <c r="HTG138" s="774"/>
      <c r="HTH138" s="774"/>
      <c r="HTI138" s="774"/>
      <c r="HTJ138" s="774"/>
      <c r="HTK138" s="774"/>
      <c r="HTL138" s="774"/>
      <c r="HTM138" s="774"/>
      <c r="HTN138" s="774"/>
      <c r="HTO138" s="774"/>
      <c r="HTP138" s="774"/>
      <c r="HTQ138" s="774"/>
      <c r="HTR138" s="774"/>
      <c r="HTS138" s="774"/>
      <c r="HTT138" s="774"/>
      <c r="HTU138" s="774"/>
      <c r="HTV138" s="774"/>
      <c r="HTW138" s="774"/>
      <c r="HTX138" s="774"/>
      <c r="HTY138" s="774"/>
      <c r="HTZ138" s="774"/>
      <c r="HUA138" s="774"/>
      <c r="HUB138" s="774"/>
      <c r="HUC138" s="774"/>
      <c r="HUD138" s="774"/>
      <c r="HUE138" s="774"/>
      <c r="HUF138" s="774"/>
      <c r="HUG138" s="774"/>
      <c r="HUH138" s="774"/>
      <c r="HUI138" s="774"/>
      <c r="HUJ138" s="774"/>
      <c r="HUK138" s="774"/>
      <c r="HUL138" s="774"/>
      <c r="HUM138" s="774"/>
      <c r="HUN138" s="774"/>
      <c r="HUO138" s="774"/>
      <c r="HUP138" s="774"/>
      <c r="HUQ138" s="774"/>
      <c r="HUR138" s="774"/>
      <c r="HUS138" s="774"/>
      <c r="HUT138" s="774"/>
      <c r="HUU138" s="774"/>
      <c r="HUV138" s="774"/>
      <c r="HUW138" s="774"/>
      <c r="HUX138" s="774"/>
      <c r="HUY138" s="774"/>
      <c r="HUZ138" s="774"/>
      <c r="HVA138" s="774"/>
      <c r="HVB138" s="774"/>
      <c r="HVC138" s="774"/>
      <c r="HVD138" s="774"/>
      <c r="HVE138" s="774"/>
      <c r="HVF138" s="774"/>
      <c r="HVG138" s="774"/>
      <c r="HVH138" s="774"/>
      <c r="HVI138" s="774"/>
      <c r="HVJ138" s="774"/>
      <c r="HVK138" s="774"/>
      <c r="HVL138" s="774"/>
      <c r="HVM138" s="774"/>
      <c r="HVN138" s="774"/>
      <c r="HVO138" s="774"/>
      <c r="HVP138" s="774"/>
      <c r="HVQ138" s="774"/>
      <c r="HVR138" s="774"/>
      <c r="HVS138" s="774"/>
      <c r="HVT138" s="774"/>
      <c r="HVU138" s="774"/>
      <c r="HVV138" s="774"/>
      <c r="HVW138" s="774"/>
      <c r="HVX138" s="774"/>
      <c r="HVY138" s="774"/>
      <c r="HVZ138" s="774"/>
      <c r="HWA138" s="774"/>
      <c r="HWB138" s="774"/>
      <c r="HWC138" s="774"/>
      <c r="HWD138" s="774"/>
      <c r="HWE138" s="774"/>
      <c r="HWF138" s="774"/>
      <c r="HWG138" s="774"/>
      <c r="HWH138" s="774"/>
      <c r="HWI138" s="774"/>
      <c r="HWJ138" s="774"/>
      <c r="HWK138" s="774"/>
      <c r="HWL138" s="774"/>
      <c r="HWM138" s="774"/>
      <c r="HWN138" s="774"/>
      <c r="HWO138" s="774"/>
      <c r="HWP138" s="774"/>
      <c r="HWQ138" s="774"/>
      <c r="HWR138" s="774"/>
      <c r="HWS138" s="774"/>
      <c r="HWT138" s="774"/>
      <c r="HWU138" s="774"/>
      <c r="HWV138" s="774"/>
      <c r="HWW138" s="774"/>
      <c r="HWX138" s="774"/>
      <c r="HWY138" s="774"/>
      <c r="HWZ138" s="774"/>
      <c r="HXA138" s="774"/>
      <c r="HXB138" s="774"/>
      <c r="HXC138" s="774"/>
      <c r="HXD138" s="774"/>
      <c r="HXE138" s="774"/>
      <c r="HXF138" s="774"/>
      <c r="HXG138" s="774"/>
      <c r="HXH138" s="774"/>
      <c r="HXI138" s="774"/>
      <c r="HXJ138" s="774"/>
      <c r="HXK138" s="774"/>
      <c r="HXL138" s="774"/>
      <c r="HXM138" s="774"/>
      <c r="HXN138" s="774"/>
      <c r="HXO138" s="774"/>
      <c r="HXP138" s="774"/>
      <c r="HXQ138" s="774"/>
      <c r="HXR138" s="774"/>
      <c r="HXS138" s="774"/>
      <c r="HXT138" s="774"/>
      <c r="HXU138" s="774"/>
      <c r="HXV138" s="774"/>
      <c r="HXW138" s="774"/>
      <c r="HXX138" s="774"/>
      <c r="HXY138" s="774"/>
      <c r="HXZ138" s="774"/>
      <c r="HYA138" s="774"/>
      <c r="HYB138" s="774"/>
      <c r="HYC138" s="774"/>
      <c r="HYD138" s="774"/>
      <c r="HYE138" s="774"/>
      <c r="HYF138" s="774"/>
      <c r="HYG138" s="774"/>
      <c r="HYH138" s="774"/>
      <c r="HYI138" s="774"/>
      <c r="HYJ138" s="774"/>
      <c r="HYK138" s="774"/>
      <c r="HYL138" s="774"/>
      <c r="HYM138" s="774"/>
      <c r="HYN138" s="774"/>
      <c r="HYO138" s="774"/>
      <c r="HYP138" s="774"/>
      <c r="HYQ138" s="774"/>
      <c r="HYR138" s="774"/>
      <c r="HYS138" s="774"/>
      <c r="HYT138" s="774"/>
      <c r="HYU138" s="774"/>
      <c r="HYV138" s="774"/>
      <c r="HYW138" s="774"/>
      <c r="HYX138" s="774"/>
      <c r="HYY138" s="774"/>
      <c r="HYZ138" s="774"/>
      <c r="HZA138" s="774"/>
      <c r="HZB138" s="774"/>
      <c r="HZC138" s="774"/>
      <c r="HZD138" s="774"/>
      <c r="HZE138" s="774"/>
      <c r="HZF138" s="774"/>
      <c r="HZG138" s="774"/>
      <c r="HZH138" s="774"/>
      <c r="HZI138" s="774"/>
      <c r="HZJ138" s="774"/>
      <c r="HZK138" s="774"/>
      <c r="HZL138" s="774"/>
      <c r="HZM138" s="774"/>
      <c r="HZN138" s="774"/>
      <c r="HZO138" s="774"/>
      <c r="HZP138" s="774"/>
      <c r="HZQ138" s="774"/>
      <c r="HZR138" s="774"/>
      <c r="HZS138" s="774"/>
      <c r="HZT138" s="774"/>
      <c r="HZU138" s="774"/>
      <c r="HZV138" s="774"/>
      <c r="HZW138" s="774"/>
      <c r="HZX138" s="774"/>
      <c r="HZY138" s="774"/>
      <c r="HZZ138" s="774"/>
      <c r="IAA138" s="774"/>
      <c r="IAB138" s="774"/>
      <c r="IAC138" s="774"/>
      <c r="IAD138" s="774"/>
      <c r="IAE138" s="774"/>
      <c r="IAF138" s="774"/>
      <c r="IAG138" s="774"/>
      <c r="IAH138" s="774"/>
      <c r="IAI138" s="774"/>
      <c r="IAJ138" s="774"/>
      <c r="IAK138" s="774"/>
      <c r="IAL138" s="774"/>
      <c r="IAM138" s="774"/>
      <c r="IAN138" s="774"/>
      <c r="IAO138" s="774"/>
      <c r="IAP138" s="774"/>
      <c r="IAQ138" s="774"/>
      <c r="IAR138" s="774"/>
      <c r="IAS138" s="774"/>
      <c r="IAT138" s="774"/>
      <c r="IAU138" s="774"/>
      <c r="IAV138" s="774"/>
      <c r="IAW138" s="774"/>
      <c r="IAX138" s="774"/>
      <c r="IAY138" s="774"/>
      <c r="IAZ138" s="774"/>
      <c r="IBA138" s="774"/>
      <c r="IBB138" s="774"/>
      <c r="IBC138" s="774"/>
      <c r="IBD138" s="774"/>
      <c r="IBE138" s="774"/>
      <c r="IBF138" s="774"/>
      <c r="IBG138" s="774"/>
      <c r="IBH138" s="774"/>
      <c r="IBI138" s="774"/>
      <c r="IBJ138" s="774"/>
      <c r="IBK138" s="774"/>
      <c r="IBL138" s="774"/>
      <c r="IBM138" s="774"/>
      <c r="IBN138" s="774"/>
      <c r="IBO138" s="774"/>
      <c r="IBP138" s="774"/>
      <c r="IBQ138" s="774"/>
      <c r="IBR138" s="774"/>
      <c r="IBS138" s="774"/>
      <c r="IBT138" s="774"/>
      <c r="IBU138" s="774"/>
      <c r="IBV138" s="774"/>
      <c r="IBW138" s="774"/>
      <c r="IBX138" s="774"/>
      <c r="IBY138" s="774"/>
      <c r="IBZ138" s="774"/>
      <c r="ICA138" s="774"/>
      <c r="ICB138" s="774"/>
      <c r="ICC138" s="774"/>
      <c r="ICD138" s="774"/>
      <c r="ICE138" s="774"/>
      <c r="ICF138" s="774"/>
      <c r="ICG138" s="774"/>
      <c r="ICH138" s="774"/>
      <c r="ICI138" s="774"/>
      <c r="ICJ138" s="774"/>
      <c r="ICK138" s="774"/>
      <c r="ICL138" s="774"/>
      <c r="ICM138" s="774"/>
      <c r="ICN138" s="774"/>
      <c r="ICO138" s="774"/>
      <c r="ICP138" s="774"/>
      <c r="ICQ138" s="774"/>
      <c r="ICR138" s="774"/>
      <c r="ICS138" s="774"/>
      <c r="ICT138" s="774"/>
      <c r="ICU138" s="774"/>
      <c r="ICV138" s="774"/>
      <c r="ICW138" s="774"/>
      <c r="ICX138" s="774"/>
      <c r="ICY138" s="774"/>
      <c r="ICZ138" s="774"/>
      <c r="IDA138" s="774"/>
      <c r="IDB138" s="774"/>
      <c r="IDC138" s="774"/>
      <c r="IDD138" s="774"/>
      <c r="IDE138" s="774"/>
      <c r="IDF138" s="774"/>
      <c r="IDG138" s="774"/>
      <c r="IDH138" s="774"/>
      <c r="IDI138" s="774"/>
      <c r="IDJ138" s="774"/>
      <c r="IDK138" s="774"/>
      <c r="IDL138" s="774"/>
      <c r="IDM138" s="774"/>
      <c r="IDN138" s="774"/>
      <c r="IDO138" s="774"/>
      <c r="IDP138" s="774"/>
      <c r="IDQ138" s="774"/>
      <c r="IDR138" s="774"/>
      <c r="IDS138" s="774"/>
      <c r="IDT138" s="774"/>
      <c r="IDU138" s="774"/>
      <c r="IDV138" s="774"/>
      <c r="IDW138" s="774"/>
      <c r="IDX138" s="774"/>
      <c r="IDY138" s="774"/>
      <c r="IDZ138" s="774"/>
      <c r="IEA138" s="774"/>
      <c r="IEB138" s="774"/>
      <c r="IEC138" s="774"/>
      <c r="IED138" s="774"/>
      <c r="IEE138" s="774"/>
      <c r="IEF138" s="774"/>
      <c r="IEG138" s="774"/>
      <c r="IEH138" s="774"/>
      <c r="IEI138" s="774"/>
      <c r="IEJ138" s="774"/>
      <c r="IEK138" s="774"/>
      <c r="IEL138" s="774"/>
      <c r="IEM138" s="774"/>
      <c r="IEN138" s="774"/>
      <c r="IEO138" s="774"/>
      <c r="IEP138" s="774"/>
      <c r="IEQ138" s="774"/>
      <c r="IER138" s="774"/>
      <c r="IES138" s="774"/>
      <c r="IET138" s="774"/>
      <c r="IEU138" s="774"/>
      <c r="IEV138" s="774"/>
      <c r="IEW138" s="774"/>
      <c r="IEX138" s="774"/>
      <c r="IEY138" s="774"/>
      <c r="IEZ138" s="774"/>
      <c r="IFA138" s="774"/>
      <c r="IFB138" s="774"/>
      <c r="IFC138" s="774"/>
      <c r="IFD138" s="774"/>
      <c r="IFE138" s="774"/>
      <c r="IFF138" s="774"/>
      <c r="IFG138" s="774"/>
      <c r="IFH138" s="774"/>
      <c r="IFI138" s="774"/>
      <c r="IFJ138" s="774"/>
      <c r="IFK138" s="774"/>
      <c r="IFL138" s="774"/>
      <c r="IFM138" s="774"/>
      <c r="IFN138" s="774"/>
      <c r="IFO138" s="774"/>
      <c r="IFP138" s="774"/>
      <c r="IFQ138" s="774"/>
      <c r="IFR138" s="774"/>
      <c r="IFS138" s="774"/>
      <c r="IFT138" s="774"/>
      <c r="IFU138" s="774"/>
      <c r="IFV138" s="774"/>
      <c r="IFW138" s="774"/>
      <c r="IFX138" s="774"/>
      <c r="IFY138" s="774"/>
      <c r="IFZ138" s="774"/>
      <c r="IGA138" s="774"/>
      <c r="IGB138" s="774"/>
      <c r="IGC138" s="774"/>
      <c r="IGD138" s="774"/>
      <c r="IGE138" s="774"/>
      <c r="IGF138" s="774"/>
      <c r="IGG138" s="774"/>
      <c r="IGH138" s="774"/>
      <c r="IGI138" s="774"/>
      <c r="IGJ138" s="774"/>
      <c r="IGK138" s="774"/>
      <c r="IGL138" s="774"/>
      <c r="IGM138" s="774"/>
      <c r="IGN138" s="774"/>
      <c r="IGO138" s="774"/>
      <c r="IGP138" s="774"/>
      <c r="IGQ138" s="774"/>
      <c r="IGR138" s="774"/>
      <c r="IGS138" s="774"/>
      <c r="IGT138" s="774"/>
      <c r="IGU138" s="774"/>
      <c r="IGV138" s="774"/>
      <c r="IGW138" s="774"/>
      <c r="IGX138" s="774"/>
      <c r="IGY138" s="774"/>
      <c r="IGZ138" s="774"/>
      <c r="IHA138" s="774"/>
      <c r="IHB138" s="774"/>
      <c r="IHC138" s="774"/>
      <c r="IHD138" s="774"/>
      <c r="IHE138" s="774"/>
      <c r="IHF138" s="774"/>
      <c r="IHG138" s="774"/>
      <c r="IHH138" s="774"/>
      <c r="IHI138" s="774"/>
      <c r="IHJ138" s="774"/>
      <c r="IHK138" s="774"/>
      <c r="IHL138" s="774"/>
      <c r="IHM138" s="774"/>
      <c r="IHN138" s="774"/>
      <c r="IHO138" s="774"/>
      <c r="IHP138" s="774"/>
      <c r="IHQ138" s="774"/>
      <c r="IHR138" s="774"/>
      <c r="IHS138" s="774"/>
      <c r="IHT138" s="774"/>
      <c r="IHU138" s="774"/>
      <c r="IHV138" s="774"/>
      <c r="IHW138" s="774"/>
      <c r="IHX138" s="774"/>
      <c r="IHY138" s="774"/>
      <c r="IHZ138" s="774"/>
      <c r="IIA138" s="774"/>
      <c r="IIB138" s="774"/>
      <c r="IIC138" s="774"/>
      <c r="IID138" s="774"/>
      <c r="IIE138" s="774"/>
      <c r="IIF138" s="774"/>
      <c r="IIG138" s="774"/>
      <c r="IIH138" s="774"/>
      <c r="III138" s="774"/>
      <c r="IIJ138" s="774"/>
      <c r="IIK138" s="774"/>
      <c r="IIL138" s="774"/>
      <c r="IIM138" s="774"/>
      <c r="IIN138" s="774"/>
      <c r="IIO138" s="774"/>
      <c r="IIP138" s="774"/>
      <c r="IIQ138" s="774"/>
      <c r="IIR138" s="774"/>
      <c r="IIS138" s="774"/>
      <c r="IIT138" s="774"/>
      <c r="IIU138" s="774"/>
      <c r="IIV138" s="774"/>
      <c r="IIW138" s="774"/>
      <c r="IIX138" s="774"/>
      <c r="IIY138" s="774"/>
      <c r="IIZ138" s="774"/>
      <c r="IJA138" s="774"/>
      <c r="IJB138" s="774"/>
      <c r="IJC138" s="774"/>
      <c r="IJD138" s="774"/>
      <c r="IJE138" s="774"/>
      <c r="IJF138" s="774"/>
      <c r="IJG138" s="774"/>
      <c r="IJH138" s="774"/>
      <c r="IJI138" s="774"/>
      <c r="IJJ138" s="774"/>
      <c r="IJK138" s="774"/>
      <c r="IJL138" s="774"/>
      <c r="IJM138" s="774"/>
      <c r="IJN138" s="774"/>
      <c r="IJO138" s="774"/>
      <c r="IJP138" s="774"/>
      <c r="IJQ138" s="774"/>
      <c r="IJR138" s="774"/>
      <c r="IJS138" s="774"/>
      <c r="IJT138" s="774"/>
      <c r="IJU138" s="774"/>
      <c r="IJV138" s="774"/>
      <c r="IJW138" s="774"/>
      <c r="IJX138" s="774"/>
      <c r="IJY138" s="774"/>
      <c r="IJZ138" s="774"/>
      <c r="IKA138" s="774"/>
      <c r="IKB138" s="774"/>
      <c r="IKC138" s="774"/>
      <c r="IKD138" s="774"/>
      <c r="IKE138" s="774"/>
      <c r="IKF138" s="774"/>
      <c r="IKG138" s="774"/>
      <c r="IKH138" s="774"/>
      <c r="IKI138" s="774"/>
      <c r="IKJ138" s="774"/>
      <c r="IKK138" s="774"/>
      <c r="IKL138" s="774"/>
      <c r="IKM138" s="774"/>
      <c r="IKN138" s="774"/>
      <c r="IKO138" s="774"/>
      <c r="IKP138" s="774"/>
      <c r="IKQ138" s="774"/>
      <c r="IKR138" s="774"/>
      <c r="IKS138" s="774"/>
      <c r="IKT138" s="774"/>
      <c r="IKU138" s="774"/>
      <c r="IKV138" s="774"/>
      <c r="IKW138" s="774"/>
      <c r="IKX138" s="774"/>
      <c r="IKY138" s="774"/>
      <c r="IKZ138" s="774"/>
      <c r="ILA138" s="774"/>
      <c r="ILB138" s="774"/>
      <c r="ILC138" s="774"/>
      <c r="ILD138" s="774"/>
      <c r="ILE138" s="774"/>
      <c r="ILF138" s="774"/>
      <c r="ILG138" s="774"/>
      <c r="ILH138" s="774"/>
      <c r="ILI138" s="774"/>
      <c r="ILJ138" s="774"/>
      <c r="ILK138" s="774"/>
      <c r="ILL138" s="774"/>
      <c r="ILM138" s="774"/>
      <c r="ILN138" s="774"/>
      <c r="ILO138" s="774"/>
      <c r="ILP138" s="774"/>
      <c r="ILQ138" s="774"/>
      <c r="ILR138" s="774"/>
      <c r="ILS138" s="774"/>
      <c r="ILT138" s="774"/>
      <c r="ILU138" s="774"/>
      <c r="ILV138" s="774"/>
      <c r="ILW138" s="774"/>
      <c r="ILX138" s="774"/>
      <c r="ILY138" s="774"/>
      <c r="ILZ138" s="774"/>
      <c r="IMA138" s="774"/>
      <c r="IMB138" s="774"/>
      <c r="IMC138" s="774"/>
      <c r="IMD138" s="774"/>
      <c r="IME138" s="774"/>
      <c r="IMF138" s="774"/>
      <c r="IMG138" s="774"/>
      <c r="IMH138" s="774"/>
      <c r="IMI138" s="774"/>
      <c r="IMJ138" s="774"/>
      <c r="IMK138" s="774"/>
      <c r="IML138" s="774"/>
      <c r="IMM138" s="774"/>
      <c r="IMN138" s="774"/>
      <c r="IMO138" s="774"/>
      <c r="IMP138" s="774"/>
      <c r="IMQ138" s="774"/>
      <c r="IMR138" s="774"/>
      <c r="IMS138" s="774"/>
      <c r="IMT138" s="774"/>
      <c r="IMU138" s="774"/>
      <c r="IMV138" s="774"/>
      <c r="IMW138" s="774"/>
      <c r="IMX138" s="774"/>
      <c r="IMY138" s="774"/>
      <c r="IMZ138" s="774"/>
      <c r="INA138" s="774"/>
      <c r="INB138" s="774"/>
      <c r="INC138" s="774"/>
      <c r="IND138" s="774"/>
      <c r="INE138" s="774"/>
      <c r="INF138" s="774"/>
      <c r="ING138" s="774"/>
      <c r="INH138" s="774"/>
      <c r="INI138" s="774"/>
      <c r="INJ138" s="774"/>
      <c r="INK138" s="774"/>
      <c r="INL138" s="774"/>
      <c r="INM138" s="774"/>
      <c r="INN138" s="774"/>
      <c r="INO138" s="774"/>
      <c r="INP138" s="774"/>
      <c r="INQ138" s="774"/>
      <c r="INR138" s="774"/>
      <c r="INS138" s="774"/>
      <c r="INT138" s="774"/>
      <c r="INU138" s="774"/>
      <c r="INV138" s="774"/>
      <c r="INW138" s="774"/>
      <c r="INX138" s="774"/>
      <c r="INY138" s="774"/>
      <c r="INZ138" s="774"/>
      <c r="IOA138" s="774"/>
      <c r="IOB138" s="774"/>
      <c r="IOC138" s="774"/>
      <c r="IOD138" s="774"/>
      <c r="IOE138" s="774"/>
      <c r="IOF138" s="774"/>
      <c r="IOG138" s="774"/>
      <c r="IOH138" s="774"/>
      <c r="IOI138" s="774"/>
      <c r="IOJ138" s="774"/>
      <c r="IOK138" s="774"/>
      <c r="IOL138" s="774"/>
      <c r="IOM138" s="774"/>
      <c r="ION138" s="774"/>
      <c r="IOO138" s="774"/>
      <c r="IOP138" s="774"/>
      <c r="IOQ138" s="774"/>
      <c r="IOR138" s="774"/>
      <c r="IOS138" s="774"/>
      <c r="IOT138" s="774"/>
      <c r="IOU138" s="774"/>
      <c r="IOV138" s="774"/>
      <c r="IOW138" s="774"/>
      <c r="IOX138" s="774"/>
      <c r="IOY138" s="774"/>
      <c r="IOZ138" s="774"/>
      <c r="IPA138" s="774"/>
      <c r="IPB138" s="774"/>
      <c r="IPC138" s="774"/>
      <c r="IPD138" s="774"/>
      <c r="IPE138" s="774"/>
      <c r="IPF138" s="774"/>
      <c r="IPG138" s="774"/>
      <c r="IPH138" s="774"/>
      <c r="IPI138" s="774"/>
      <c r="IPJ138" s="774"/>
      <c r="IPK138" s="774"/>
      <c r="IPL138" s="774"/>
      <c r="IPM138" s="774"/>
      <c r="IPN138" s="774"/>
      <c r="IPO138" s="774"/>
      <c r="IPP138" s="774"/>
      <c r="IPQ138" s="774"/>
      <c r="IPR138" s="774"/>
      <c r="IPS138" s="774"/>
      <c r="IPT138" s="774"/>
      <c r="IPU138" s="774"/>
      <c r="IPV138" s="774"/>
      <c r="IPW138" s="774"/>
      <c r="IPX138" s="774"/>
      <c r="IPY138" s="774"/>
      <c r="IPZ138" s="774"/>
      <c r="IQA138" s="774"/>
      <c r="IQB138" s="774"/>
      <c r="IQC138" s="774"/>
      <c r="IQD138" s="774"/>
      <c r="IQE138" s="774"/>
      <c r="IQF138" s="774"/>
      <c r="IQG138" s="774"/>
      <c r="IQH138" s="774"/>
      <c r="IQI138" s="774"/>
      <c r="IQJ138" s="774"/>
      <c r="IQK138" s="774"/>
      <c r="IQL138" s="774"/>
      <c r="IQM138" s="774"/>
      <c r="IQN138" s="774"/>
      <c r="IQO138" s="774"/>
      <c r="IQP138" s="774"/>
      <c r="IQQ138" s="774"/>
      <c r="IQR138" s="774"/>
      <c r="IQS138" s="774"/>
      <c r="IQT138" s="774"/>
      <c r="IQU138" s="774"/>
      <c r="IQV138" s="774"/>
      <c r="IQW138" s="774"/>
      <c r="IQX138" s="774"/>
      <c r="IQY138" s="774"/>
      <c r="IQZ138" s="774"/>
      <c r="IRA138" s="774"/>
      <c r="IRB138" s="774"/>
      <c r="IRC138" s="774"/>
      <c r="IRD138" s="774"/>
      <c r="IRE138" s="774"/>
      <c r="IRF138" s="774"/>
      <c r="IRG138" s="774"/>
      <c r="IRH138" s="774"/>
      <c r="IRI138" s="774"/>
      <c r="IRJ138" s="774"/>
      <c r="IRK138" s="774"/>
      <c r="IRL138" s="774"/>
      <c r="IRM138" s="774"/>
      <c r="IRN138" s="774"/>
      <c r="IRO138" s="774"/>
      <c r="IRP138" s="774"/>
      <c r="IRQ138" s="774"/>
      <c r="IRR138" s="774"/>
      <c r="IRS138" s="774"/>
      <c r="IRT138" s="774"/>
      <c r="IRU138" s="774"/>
      <c r="IRV138" s="774"/>
      <c r="IRW138" s="774"/>
      <c r="IRX138" s="774"/>
      <c r="IRY138" s="774"/>
      <c r="IRZ138" s="774"/>
      <c r="ISA138" s="774"/>
      <c r="ISB138" s="774"/>
      <c r="ISC138" s="774"/>
      <c r="ISD138" s="774"/>
      <c r="ISE138" s="774"/>
      <c r="ISF138" s="774"/>
      <c r="ISG138" s="774"/>
      <c r="ISH138" s="774"/>
      <c r="ISI138" s="774"/>
      <c r="ISJ138" s="774"/>
      <c r="ISK138" s="774"/>
      <c r="ISL138" s="774"/>
      <c r="ISM138" s="774"/>
      <c r="ISN138" s="774"/>
      <c r="ISO138" s="774"/>
      <c r="ISP138" s="774"/>
      <c r="ISQ138" s="774"/>
      <c r="ISR138" s="774"/>
      <c r="ISS138" s="774"/>
      <c r="IST138" s="774"/>
      <c r="ISU138" s="774"/>
      <c r="ISV138" s="774"/>
      <c r="ISW138" s="774"/>
      <c r="ISX138" s="774"/>
      <c r="ISY138" s="774"/>
      <c r="ISZ138" s="774"/>
      <c r="ITA138" s="774"/>
      <c r="ITB138" s="774"/>
      <c r="ITC138" s="774"/>
      <c r="ITD138" s="774"/>
      <c r="ITE138" s="774"/>
      <c r="ITF138" s="774"/>
      <c r="ITG138" s="774"/>
      <c r="ITH138" s="774"/>
      <c r="ITI138" s="774"/>
      <c r="ITJ138" s="774"/>
      <c r="ITK138" s="774"/>
      <c r="ITL138" s="774"/>
      <c r="ITM138" s="774"/>
      <c r="ITN138" s="774"/>
      <c r="ITO138" s="774"/>
      <c r="ITP138" s="774"/>
      <c r="ITQ138" s="774"/>
      <c r="ITR138" s="774"/>
      <c r="ITS138" s="774"/>
      <c r="ITT138" s="774"/>
      <c r="ITU138" s="774"/>
      <c r="ITV138" s="774"/>
      <c r="ITW138" s="774"/>
      <c r="ITX138" s="774"/>
      <c r="ITY138" s="774"/>
      <c r="ITZ138" s="774"/>
      <c r="IUA138" s="774"/>
      <c r="IUB138" s="774"/>
      <c r="IUC138" s="774"/>
      <c r="IUD138" s="774"/>
      <c r="IUE138" s="774"/>
      <c r="IUF138" s="774"/>
      <c r="IUG138" s="774"/>
      <c r="IUH138" s="774"/>
      <c r="IUI138" s="774"/>
      <c r="IUJ138" s="774"/>
      <c r="IUK138" s="774"/>
      <c r="IUL138" s="774"/>
      <c r="IUM138" s="774"/>
      <c r="IUN138" s="774"/>
      <c r="IUO138" s="774"/>
      <c r="IUP138" s="774"/>
      <c r="IUQ138" s="774"/>
      <c r="IUR138" s="774"/>
      <c r="IUS138" s="774"/>
      <c r="IUT138" s="774"/>
      <c r="IUU138" s="774"/>
      <c r="IUV138" s="774"/>
      <c r="IUW138" s="774"/>
      <c r="IUX138" s="774"/>
      <c r="IUY138" s="774"/>
      <c r="IUZ138" s="774"/>
      <c r="IVA138" s="774"/>
      <c r="IVB138" s="774"/>
      <c r="IVC138" s="774"/>
      <c r="IVD138" s="774"/>
      <c r="IVE138" s="774"/>
      <c r="IVF138" s="774"/>
      <c r="IVG138" s="774"/>
      <c r="IVH138" s="774"/>
      <c r="IVI138" s="774"/>
      <c r="IVJ138" s="774"/>
      <c r="IVK138" s="774"/>
      <c r="IVL138" s="774"/>
      <c r="IVM138" s="774"/>
      <c r="IVN138" s="774"/>
      <c r="IVO138" s="774"/>
      <c r="IVP138" s="774"/>
      <c r="IVQ138" s="774"/>
      <c r="IVR138" s="774"/>
      <c r="IVS138" s="774"/>
      <c r="IVT138" s="774"/>
      <c r="IVU138" s="774"/>
      <c r="IVV138" s="774"/>
      <c r="IVW138" s="774"/>
      <c r="IVX138" s="774"/>
      <c r="IVY138" s="774"/>
      <c r="IVZ138" s="774"/>
      <c r="IWA138" s="774"/>
      <c r="IWB138" s="774"/>
      <c r="IWC138" s="774"/>
      <c r="IWD138" s="774"/>
      <c r="IWE138" s="774"/>
      <c r="IWF138" s="774"/>
      <c r="IWG138" s="774"/>
      <c r="IWH138" s="774"/>
      <c r="IWI138" s="774"/>
      <c r="IWJ138" s="774"/>
      <c r="IWK138" s="774"/>
      <c r="IWL138" s="774"/>
      <c r="IWM138" s="774"/>
      <c r="IWN138" s="774"/>
      <c r="IWO138" s="774"/>
      <c r="IWP138" s="774"/>
      <c r="IWQ138" s="774"/>
      <c r="IWR138" s="774"/>
      <c r="IWS138" s="774"/>
      <c r="IWT138" s="774"/>
      <c r="IWU138" s="774"/>
      <c r="IWV138" s="774"/>
      <c r="IWW138" s="774"/>
      <c r="IWX138" s="774"/>
      <c r="IWY138" s="774"/>
      <c r="IWZ138" s="774"/>
      <c r="IXA138" s="774"/>
      <c r="IXB138" s="774"/>
      <c r="IXC138" s="774"/>
      <c r="IXD138" s="774"/>
      <c r="IXE138" s="774"/>
      <c r="IXF138" s="774"/>
      <c r="IXG138" s="774"/>
      <c r="IXH138" s="774"/>
      <c r="IXI138" s="774"/>
      <c r="IXJ138" s="774"/>
      <c r="IXK138" s="774"/>
      <c r="IXL138" s="774"/>
      <c r="IXM138" s="774"/>
      <c r="IXN138" s="774"/>
      <c r="IXO138" s="774"/>
      <c r="IXP138" s="774"/>
      <c r="IXQ138" s="774"/>
      <c r="IXR138" s="774"/>
      <c r="IXS138" s="774"/>
      <c r="IXT138" s="774"/>
      <c r="IXU138" s="774"/>
      <c r="IXV138" s="774"/>
      <c r="IXW138" s="774"/>
      <c r="IXX138" s="774"/>
      <c r="IXY138" s="774"/>
      <c r="IXZ138" s="774"/>
      <c r="IYA138" s="774"/>
      <c r="IYB138" s="774"/>
      <c r="IYC138" s="774"/>
      <c r="IYD138" s="774"/>
      <c r="IYE138" s="774"/>
      <c r="IYF138" s="774"/>
      <c r="IYG138" s="774"/>
      <c r="IYH138" s="774"/>
      <c r="IYI138" s="774"/>
      <c r="IYJ138" s="774"/>
      <c r="IYK138" s="774"/>
      <c r="IYL138" s="774"/>
      <c r="IYM138" s="774"/>
      <c r="IYN138" s="774"/>
      <c r="IYO138" s="774"/>
      <c r="IYP138" s="774"/>
      <c r="IYQ138" s="774"/>
      <c r="IYR138" s="774"/>
      <c r="IYS138" s="774"/>
      <c r="IYT138" s="774"/>
      <c r="IYU138" s="774"/>
      <c r="IYV138" s="774"/>
      <c r="IYW138" s="774"/>
      <c r="IYX138" s="774"/>
      <c r="IYY138" s="774"/>
      <c r="IYZ138" s="774"/>
      <c r="IZA138" s="774"/>
      <c r="IZB138" s="774"/>
      <c r="IZC138" s="774"/>
      <c r="IZD138" s="774"/>
      <c r="IZE138" s="774"/>
      <c r="IZF138" s="774"/>
      <c r="IZG138" s="774"/>
      <c r="IZH138" s="774"/>
      <c r="IZI138" s="774"/>
      <c r="IZJ138" s="774"/>
      <c r="IZK138" s="774"/>
      <c r="IZL138" s="774"/>
      <c r="IZM138" s="774"/>
      <c r="IZN138" s="774"/>
      <c r="IZO138" s="774"/>
      <c r="IZP138" s="774"/>
      <c r="IZQ138" s="774"/>
      <c r="IZR138" s="774"/>
      <c r="IZS138" s="774"/>
      <c r="IZT138" s="774"/>
      <c r="IZU138" s="774"/>
      <c r="IZV138" s="774"/>
      <c r="IZW138" s="774"/>
      <c r="IZX138" s="774"/>
      <c r="IZY138" s="774"/>
      <c r="IZZ138" s="774"/>
      <c r="JAA138" s="774"/>
      <c r="JAB138" s="774"/>
      <c r="JAC138" s="774"/>
      <c r="JAD138" s="774"/>
      <c r="JAE138" s="774"/>
      <c r="JAF138" s="774"/>
      <c r="JAG138" s="774"/>
      <c r="JAH138" s="774"/>
      <c r="JAI138" s="774"/>
      <c r="JAJ138" s="774"/>
      <c r="JAK138" s="774"/>
      <c r="JAL138" s="774"/>
      <c r="JAM138" s="774"/>
      <c r="JAN138" s="774"/>
      <c r="JAO138" s="774"/>
      <c r="JAP138" s="774"/>
      <c r="JAQ138" s="774"/>
      <c r="JAR138" s="774"/>
      <c r="JAS138" s="774"/>
      <c r="JAT138" s="774"/>
      <c r="JAU138" s="774"/>
      <c r="JAV138" s="774"/>
      <c r="JAW138" s="774"/>
      <c r="JAX138" s="774"/>
      <c r="JAY138" s="774"/>
      <c r="JAZ138" s="774"/>
      <c r="JBA138" s="774"/>
      <c r="JBB138" s="774"/>
      <c r="JBC138" s="774"/>
      <c r="JBD138" s="774"/>
      <c r="JBE138" s="774"/>
      <c r="JBF138" s="774"/>
      <c r="JBG138" s="774"/>
      <c r="JBH138" s="774"/>
      <c r="JBI138" s="774"/>
      <c r="JBJ138" s="774"/>
      <c r="JBK138" s="774"/>
      <c r="JBL138" s="774"/>
      <c r="JBM138" s="774"/>
      <c r="JBN138" s="774"/>
      <c r="JBO138" s="774"/>
      <c r="JBP138" s="774"/>
      <c r="JBQ138" s="774"/>
      <c r="JBR138" s="774"/>
      <c r="JBS138" s="774"/>
      <c r="JBT138" s="774"/>
      <c r="JBU138" s="774"/>
      <c r="JBV138" s="774"/>
      <c r="JBW138" s="774"/>
      <c r="JBX138" s="774"/>
      <c r="JBY138" s="774"/>
      <c r="JBZ138" s="774"/>
      <c r="JCA138" s="774"/>
      <c r="JCB138" s="774"/>
      <c r="JCC138" s="774"/>
      <c r="JCD138" s="774"/>
      <c r="JCE138" s="774"/>
      <c r="JCF138" s="774"/>
      <c r="JCG138" s="774"/>
      <c r="JCH138" s="774"/>
      <c r="JCI138" s="774"/>
      <c r="JCJ138" s="774"/>
      <c r="JCK138" s="774"/>
      <c r="JCL138" s="774"/>
      <c r="JCM138" s="774"/>
      <c r="JCN138" s="774"/>
      <c r="JCO138" s="774"/>
      <c r="JCP138" s="774"/>
      <c r="JCQ138" s="774"/>
      <c r="JCR138" s="774"/>
      <c r="JCS138" s="774"/>
      <c r="JCT138" s="774"/>
      <c r="JCU138" s="774"/>
      <c r="JCV138" s="774"/>
      <c r="JCW138" s="774"/>
      <c r="JCX138" s="774"/>
      <c r="JCY138" s="774"/>
      <c r="JCZ138" s="774"/>
      <c r="JDA138" s="774"/>
      <c r="JDB138" s="774"/>
      <c r="JDC138" s="774"/>
      <c r="JDD138" s="774"/>
      <c r="JDE138" s="774"/>
      <c r="JDF138" s="774"/>
      <c r="JDG138" s="774"/>
      <c r="JDH138" s="774"/>
      <c r="JDI138" s="774"/>
      <c r="JDJ138" s="774"/>
      <c r="JDK138" s="774"/>
      <c r="JDL138" s="774"/>
      <c r="JDM138" s="774"/>
      <c r="JDN138" s="774"/>
      <c r="JDO138" s="774"/>
      <c r="JDP138" s="774"/>
      <c r="JDQ138" s="774"/>
      <c r="JDR138" s="774"/>
      <c r="JDS138" s="774"/>
      <c r="JDT138" s="774"/>
      <c r="JDU138" s="774"/>
      <c r="JDV138" s="774"/>
      <c r="JDW138" s="774"/>
      <c r="JDX138" s="774"/>
      <c r="JDY138" s="774"/>
      <c r="JDZ138" s="774"/>
      <c r="JEA138" s="774"/>
      <c r="JEB138" s="774"/>
      <c r="JEC138" s="774"/>
      <c r="JED138" s="774"/>
      <c r="JEE138" s="774"/>
      <c r="JEF138" s="774"/>
      <c r="JEG138" s="774"/>
      <c r="JEH138" s="774"/>
      <c r="JEI138" s="774"/>
      <c r="JEJ138" s="774"/>
      <c r="JEK138" s="774"/>
      <c r="JEL138" s="774"/>
      <c r="JEM138" s="774"/>
      <c r="JEN138" s="774"/>
      <c r="JEO138" s="774"/>
      <c r="JEP138" s="774"/>
      <c r="JEQ138" s="774"/>
      <c r="JER138" s="774"/>
      <c r="JES138" s="774"/>
      <c r="JET138" s="774"/>
      <c r="JEU138" s="774"/>
      <c r="JEV138" s="774"/>
      <c r="JEW138" s="774"/>
      <c r="JEX138" s="774"/>
      <c r="JEY138" s="774"/>
      <c r="JEZ138" s="774"/>
      <c r="JFA138" s="774"/>
      <c r="JFB138" s="774"/>
      <c r="JFC138" s="774"/>
      <c r="JFD138" s="774"/>
      <c r="JFE138" s="774"/>
      <c r="JFF138" s="774"/>
      <c r="JFG138" s="774"/>
      <c r="JFH138" s="774"/>
      <c r="JFI138" s="774"/>
      <c r="JFJ138" s="774"/>
      <c r="JFK138" s="774"/>
      <c r="JFL138" s="774"/>
      <c r="JFM138" s="774"/>
      <c r="JFN138" s="774"/>
      <c r="JFO138" s="774"/>
      <c r="JFP138" s="774"/>
      <c r="JFQ138" s="774"/>
      <c r="JFR138" s="774"/>
      <c r="JFS138" s="774"/>
      <c r="JFT138" s="774"/>
      <c r="JFU138" s="774"/>
      <c r="JFV138" s="774"/>
      <c r="JFW138" s="774"/>
      <c r="JFX138" s="774"/>
      <c r="JFY138" s="774"/>
      <c r="JFZ138" s="774"/>
      <c r="JGA138" s="774"/>
      <c r="JGB138" s="774"/>
      <c r="JGC138" s="774"/>
      <c r="JGD138" s="774"/>
      <c r="JGE138" s="774"/>
      <c r="JGF138" s="774"/>
      <c r="JGG138" s="774"/>
      <c r="JGH138" s="774"/>
      <c r="JGI138" s="774"/>
      <c r="JGJ138" s="774"/>
      <c r="JGK138" s="774"/>
      <c r="JGL138" s="774"/>
      <c r="JGM138" s="774"/>
      <c r="JGN138" s="774"/>
      <c r="JGO138" s="774"/>
      <c r="JGP138" s="774"/>
      <c r="JGQ138" s="774"/>
      <c r="JGR138" s="774"/>
      <c r="JGS138" s="774"/>
      <c r="JGT138" s="774"/>
      <c r="JGU138" s="774"/>
      <c r="JGV138" s="774"/>
      <c r="JGW138" s="774"/>
      <c r="JGX138" s="774"/>
      <c r="JGY138" s="774"/>
      <c r="JGZ138" s="774"/>
      <c r="JHA138" s="774"/>
      <c r="JHB138" s="774"/>
      <c r="JHC138" s="774"/>
      <c r="JHD138" s="774"/>
      <c r="JHE138" s="774"/>
      <c r="JHF138" s="774"/>
      <c r="JHG138" s="774"/>
      <c r="JHH138" s="774"/>
      <c r="JHI138" s="774"/>
      <c r="JHJ138" s="774"/>
      <c r="JHK138" s="774"/>
      <c r="JHL138" s="774"/>
      <c r="JHM138" s="774"/>
      <c r="JHN138" s="774"/>
      <c r="JHO138" s="774"/>
      <c r="JHP138" s="774"/>
      <c r="JHQ138" s="774"/>
      <c r="JHR138" s="774"/>
      <c r="JHS138" s="774"/>
      <c r="JHT138" s="774"/>
      <c r="JHU138" s="774"/>
      <c r="JHV138" s="774"/>
      <c r="JHW138" s="774"/>
      <c r="JHX138" s="774"/>
      <c r="JHY138" s="774"/>
      <c r="JHZ138" s="774"/>
      <c r="JIA138" s="774"/>
      <c r="JIB138" s="774"/>
      <c r="JIC138" s="774"/>
      <c r="JID138" s="774"/>
      <c r="JIE138" s="774"/>
      <c r="JIF138" s="774"/>
      <c r="JIG138" s="774"/>
      <c r="JIH138" s="774"/>
      <c r="JII138" s="774"/>
      <c r="JIJ138" s="774"/>
      <c r="JIK138" s="774"/>
      <c r="JIL138" s="774"/>
      <c r="JIM138" s="774"/>
      <c r="JIN138" s="774"/>
      <c r="JIO138" s="774"/>
      <c r="JIP138" s="774"/>
      <c r="JIQ138" s="774"/>
      <c r="JIR138" s="774"/>
      <c r="JIS138" s="774"/>
      <c r="JIT138" s="774"/>
      <c r="JIU138" s="774"/>
      <c r="JIV138" s="774"/>
      <c r="JIW138" s="774"/>
      <c r="JIX138" s="774"/>
      <c r="JIY138" s="774"/>
      <c r="JIZ138" s="774"/>
      <c r="JJA138" s="774"/>
      <c r="JJB138" s="774"/>
      <c r="JJC138" s="774"/>
      <c r="JJD138" s="774"/>
      <c r="JJE138" s="774"/>
      <c r="JJF138" s="774"/>
      <c r="JJG138" s="774"/>
      <c r="JJH138" s="774"/>
      <c r="JJI138" s="774"/>
      <c r="JJJ138" s="774"/>
      <c r="JJK138" s="774"/>
      <c r="JJL138" s="774"/>
      <c r="JJM138" s="774"/>
      <c r="JJN138" s="774"/>
      <c r="JJO138" s="774"/>
      <c r="JJP138" s="774"/>
      <c r="JJQ138" s="774"/>
      <c r="JJR138" s="774"/>
      <c r="JJS138" s="774"/>
      <c r="JJT138" s="774"/>
      <c r="JJU138" s="774"/>
      <c r="JJV138" s="774"/>
      <c r="JJW138" s="774"/>
      <c r="JJX138" s="774"/>
      <c r="JJY138" s="774"/>
      <c r="JJZ138" s="774"/>
      <c r="JKA138" s="774"/>
      <c r="JKB138" s="774"/>
      <c r="JKC138" s="774"/>
      <c r="JKD138" s="774"/>
      <c r="JKE138" s="774"/>
      <c r="JKF138" s="774"/>
      <c r="JKG138" s="774"/>
      <c r="JKH138" s="774"/>
      <c r="JKI138" s="774"/>
      <c r="JKJ138" s="774"/>
      <c r="JKK138" s="774"/>
      <c r="JKL138" s="774"/>
      <c r="JKM138" s="774"/>
      <c r="JKN138" s="774"/>
      <c r="JKO138" s="774"/>
      <c r="JKP138" s="774"/>
      <c r="JKQ138" s="774"/>
      <c r="JKR138" s="774"/>
      <c r="JKS138" s="774"/>
      <c r="JKT138" s="774"/>
      <c r="JKU138" s="774"/>
      <c r="JKV138" s="774"/>
      <c r="JKW138" s="774"/>
      <c r="JKX138" s="774"/>
      <c r="JKY138" s="774"/>
      <c r="JKZ138" s="774"/>
      <c r="JLA138" s="774"/>
      <c r="JLB138" s="774"/>
      <c r="JLC138" s="774"/>
      <c r="JLD138" s="774"/>
      <c r="JLE138" s="774"/>
      <c r="JLF138" s="774"/>
      <c r="JLG138" s="774"/>
      <c r="JLH138" s="774"/>
      <c r="JLI138" s="774"/>
      <c r="JLJ138" s="774"/>
      <c r="JLK138" s="774"/>
      <c r="JLL138" s="774"/>
      <c r="JLM138" s="774"/>
      <c r="JLN138" s="774"/>
      <c r="JLO138" s="774"/>
      <c r="JLP138" s="774"/>
      <c r="JLQ138" s="774"/>
      <c r="JLR138" s="774"/>
      <c r="JLS138" s="774"/>
      <c r="JLT138" s="774"/>
      <c r="JLU138" s="774"/>
      <c r="JLV138" s="774"/>
      <c r="JLW138" s="774"/>
      <c r="JLX138" s="774"/>
      <c r="JLY138" s="774"/>
      <c r="JLZ138" s="774"/>
      <c r="JMA138" s="774"/>
      <c r="JMB138" s="774"/>
      <c r="JMC138" s="774"/>
      <c r="JMD138" s="774"/>
      <c r="JME138" s="774"/>
      <c r="JMF138" s="774"/>
      <c r="JMG138" s="774"/>
      <c r="JMH138" s="774"/>
      <c r="JMI138" s="774"/>
      <c r="JMJ138" s="774"/>
      <c r="JMK138" s="774"/>
      <c r="JML138" s="774"/>
      <c r="JMM138" s="774"/>
      <c r="JMN138" s="774"/>
      <c r="JMO138" s="774"/>
      <c r="JMP138" s="774"/>
      <c r="JMQ138" s="774"/>
      <c r="JMR138" s="774"/>
      <c r="JMS138" s="774"/>
      <c r="JMT138" s="774"/>
      <c r="JMU138" s="774"/>
      <c r="JMV138" s="774"/>
      <c r="JMW138" s="774"/>
      <c r="JMX138" s="774"/>
      <c r="JMY138" s="774"/>
      <c r="JMZ138" s="774"/>
      <c r="JNA138" s="774"/>
      <c r="JNB138" s="774"/>
      <c r="JNC138" s="774"/>
      <c r="JND138" s="774"/>
      <c r="JNE138" s="774"/>
      <c r="JNF138" s="774"/>
      <c r="JNG138" s="774"/>
      <c r="JNH138" s="774"/>
      <c r="JNI138" s="774"/>
      <c r="JNJ138" s="774"/>
      <c r="JNK138" s="774"/>
      <c r="JNL138" s="774"/>
      <c r="JNM138" s="774"/>
      <c r="JNN138" s="774"/>
      <c r="JNO138" s="774"/>
      <c r="JNP138" s="774"/>
      <c r="JNQ138" s="774"/>
      <c r="JNR138" s="774"/>
      <c r="JNS138" s="774"/>
      <c r="JNT138" s="774"/>
      <c r="JNU138" s="774"/>
      <c r="JNV138" s="774"/>
      <c r="JNW138" s="774"/>
      <c r="JNX138" s="774"/>
      <c r="JNY138" s="774"/>
      <c r="JNZ138" s="774"/>
      <c r="JOA138" s="774"/>
      <c r="JOB138" s="774"/>
      <c r="JOC138" s="774"/>
      <c r="JOD138" s="774"/>
      <c r="JOE138" s="774"/>
      <c r="JOF138" s="774"/>
      <c r="JOG138" s="774"/>
      <c r="JOH138" s="774"/>
      <c r="JOI138" s="774"/>
      <c r="JOJ138" s="774"/>
      <c r="JOK138" s="774"/>
      <c r="JOL138" s="774"/>
      <c r="JOM138" s="774"/>
      <c r="JON138" s="774"/>
      <c r="JOO138" s="774"/>
      <c r="JOP138" s="774"/>
      <c r="JOQ138" s="774"/>
      <c r="JOR138" s="774"/>
      <c r="JOS138" s="774"/>
      <c r="JOT138" s="774"/>
      <c r="JOU138" s="774"/>
      <c r="JOV138" s="774"/>
      <c r="JOW138" s="774"/>
      <c r="JOX138" s="774"/>
      <c r="JOY138" s="774"/>
      <c r="JOZ138" s="774"/>
      <c r="JPA138" s="774"/>
      <c r="JPB138" s="774"/>
      <c r="JPC138" s="774"/>
      <c r="JPD138" s="774"/>
      <c r="JPE138" s="774"/>
      <c r="JPF138" s="774"/>
      <c r="JPG138" s="774"/>
      <c r="JPH138" s="774"/>
      <c r="JPI138" s="774"/>
      <c r="JPJ138" s="774"/>
      <c r="JPK138" s="774"/>
      <c r="JPL138" s="774"/>
      <c r="JPM138" s="774"/>
      <c r="JPN138" s="774"/>
      <c r="JPO138" s="774"/>
      <c r="JPP138" s="774"/>
      <c r="JPQ138" s="774"/>
      <c r="JPR138" s="774"/>
      <c r="JPS138" s="774"/>
      <c r="JPT138" s="774"/>
      <c r="JPU138" s="774"/>
      <c r="JPV138" s="774"/>
      <c r="JPW138" s="774"/>
      <c r="JPX138" s="774"/>
      <c r="JPY138" s="774"/>
      <c r="JPZ138" s="774"/>
      <c r="JQA138" s="774"/>
      <c r="JQB138" s="774"/>
      <c r="JQC138" s="774"/>
      <c r="JQD138" s="774"/>
      <c r="JQE138" s="774"/>
      <c r="JQF138" s="774"/>
      <c r="JQG138" s="774"/>
      <c r="JQH138" s="774"/>
      <c r="JQI138" s="774"/>
      <c r="JQJ138" s="774"/>
      <c r="JQK138" s="774"/>
      <c r="JQL138" s="774"/>
      <c r="JQM138" s="774"/>
      <c r="JQN138" s="774"/>
      <c r="JQO138" s="774"/>
      <c r="JQP138" s="774"/>
      <c r="JQQ138" s="774"/>
      <c r="JQR138" s="774"/>
      <c r="JQS138" s="774"/>
      <c r="JQT138" s="774"/>
      <c r="JQU138" s="774"/>
      <c r="JQV138" s="774"/>
      <c r="JQW138" s="774"/>
      <c r="JQX138" s="774"/>
      <c r="JQY138" s="774"/>
      <c r="JQZ138" s="774"/>
      <c r="JRA138" s="774"/>
      <c r="JRB138" s="774"/>
      <c r="JRC138" s="774"/>
      <c r="JRD138" s="774"/>
      <c r="JRE138" s="774"/>
      <c r="JRF138" s="774"/>
      <c r="JRG138" s="774"/>
      <c r="JRH138" s="774"/>
      <c r="JRI138" s="774"/>
      <c r="JRJ138" s="774"/>
      <c r="JRK138" s="774"/>
      <c r="JRL138" s="774"/>
      <c r="JRM138" s="774"/>
      <c r="JRN138" s="774"/>
      <c r="JRO138" s="774"/>
      <c r="JRP138" s="774"/>
      <c r="JRQ138" s="774"/>
      <c r="JRR138" s="774"/>
      <c r="JRS138" s="774"/>
      <c r="JRT138" s="774"/>
      <c r="JRU138" s="774"/>
      <c r="JRV138" s="774"/>
      <c r="JRW138" s="774"/>
      <c r="JRX138" s="774"/>
      <c r="JRY138" s="774"/>
      <c r="JRZ138" s="774"/>
      <c r="JSA138" s="774"/>
      <c r="JSB138" s="774"/>
      <c r="JSC138" s="774"/>
      <c r="JSD138" s="774"/>
      <c r="JSE138" s="774"/>
      <c r="JSF138" s="774"/>
      <c r="JSG138" s="774"/>
      <c r="JSH138" s="774"/>
      <c r="JSI138" s="774"/>
      <c r="JSJ138" s="774"/>
      <c r="JSK138" s="774"/>
      <c r="JSL138" s="774"/>
      <c r="JSM138" s="774"/>
      <c r="JSN138" s="774"/>
      <c r="JSO138" s="774"/>
      <c r="JSP138" s="774"/>
      <c r="JSQ138" s="774"/>
      <c r="JSR138" s="774"/>
      <c r="JSS138" s="774"/>
      <c r="JST138" s="774"/>
      <c r="JSU138" s="774"/>
      <c r="JSV138" s="774"/>
      <c r="JSW138" s="774"/>
      <c r="JSX138" s="774"/>
      <c r="JSY138" s="774"/>
      <c r="JSZ138" s="774"/>
      <c r="JTA138" s="774"/>
      <c r="JTB138" s="774"/>
      <c r="JTC138" s="774"/>
      <c r="JTD138" s="774"/>
      <c r="JTE138" s="774"/>
      <c r="JTF138" s="774"/>
      <c r="JTG138" s="774"/>
      <c r="JTH138" s="774"/>
      <c r="JTI138" s="774"/>
      <c r="JTJ138" s="774"/>
      <c r="JTK138" s="774"/>
      <c r="JTL138" s="774"/>
      <c r="JTM138" s="774"/>
      <c r="JTN138" s="774"/>
      <c r="JTO138" s="774"/>
      <c r="JTP138" s="774"/>
      <c r="JTQ138" s="774"/>
      <c r="JTR138" s="774"/>
      <c r="JTS138" s="774"/>
      <c r="JTT138" s="774"/>
      <c r="JTU138" s="774"/>
      <c r="JTV138" s="774"/>
      <c r="JTW138" s="774"/>
      <c r="JTX138" s="774"/>
      <c r="JTY138" s="774"/>
      <c r="JTZ138" s="774"/>
      <c r="JUA138" s="774"/>
      <c r="JUB138" s="774"/>
      <c r="JUC138" s="774"/>
      <c r="JUD138" s="774"/>
      <c r="JUE138" s="774"/>
      <c r="JUF138" s="774"/>
      <c r="JUG138" s="774"/>
      <c r="JUH138" s="774"/>
      <c r="JUI138" s="774"/>
      <c r="JUJ138" s="774"/>
      <c r="JUK138" s="774"/>
      <c r="JUL138" s="774"/>
      <c r="JUM138" s="774"/>
      <c r="JUN138" s="774"/>
      <c r="JUO138" s="774"/>
      <c r="JUP138" s="774"/>
      <c r="JUQ138" s="774"/>
      <c r="JUR138" s="774"/>
      <c r="JUS138" s="774"/>
      <c r="JUT138" s="774"/>
      <c r="JUU138" s="774"/>
      <c r="JUV138" s="774"/>
      <c r="JUW138" s="774"/>
      <c r="JUX138" s="774"/>
      <c r="JUY138" s="774"/>
      <c r="JUZ138" s="774"/>
      <c r="JVA138" s="774"/>
      <c r="JVB138" s="774"/>
      <c r="JVC138" s="774"/>
      <c r="JVD138" s="774"/>
      <c r="JVE138" s="774"/>
      <c r="JVF138" s="774"/>
      <c r="JVG138" s="774"/>
      <c r="JVH138" s="774"/>
      <c r="JVI138" s="774"/>
      <c r="JVJ138" s="774"/>
      <c r="JVK138" s="774"/>
      <c r="JVL138" s="774"/>
      <c r="JVM138" s="774"/>
      <c r="JVN138" s="774"/>
      <c r="JVO138" s="774"/>
      <c r="JVP138" s="774"/>
      <c r="JVQ138" s="774"/>
      <c r="JVR138" s="774"/>
      <c r="JVS138" s="774"/>
      <c r="JVT138" s="774"/>
      <c r="JVU138" s="774"/>
      <c r="JVV138" s="774"/>
      <c r="JVW138" s="774"/>
      <c r="JVX138" s="774"/>
      <c r="JVY138" s="774"/>
      <c r="JVZ138" s="774"/>
      <c r="JWA138" s="774"/>
      <c r="JWB138" s="774"/>
      <c r="JWC138" s="774"/>
      <c r="JWD138" s="774"/>
      <c r="JWE138" s="774"/>
      <c r="JWF138" s="774"/>
      <c r="JWG138" s="774"/>
      <c r="JWH138" s="774"/>
      <c r="JWI138" s="774"/>
      <c r="JWJ138" s="774"/>
      <c r="JWK138" s="774"/>
      <c r="JWL138" s="774"/>
      <c r="JWM138" s="774"/>
      <c r="JWN138" s="774"/>
      <c r="JWO138" s="774"/>
      <c r="JWP138" s="774"/>
      <c r="JWQ138" s="774"/>
      <c r="JWR138" s="774"/>
      <c r="JWS138" s="774"/>
      <c r="JWT138" s="774"/>
      <c r="JWU138" s="774"/>
      <c r="JWV138" s="774"/>
      <c r="JWW138" s="774"/>
      <c r="JWX138" s="774"/>
      <c r="JWY138" s="774"/>
      <c r="JWZ138" s="774"/>
      <c r="JXA138" s="774"/>
      <c r="JXB138" s="774"/>
      <c r="JXC138" s="774"/>
      <c r="JXD138" s="774"/>
      <c r="JXE138" s="774"/>
      <c r="JXF138" s="774"/>
      <c r="JXG138" s="774"/>
      <c r="JXH138" s="774"/>
      <c r="JXI138" s="774"/>
      <c r="JXJ138" s="774"/>
      <c r="JXK138" s="774"/>
      <c r="JXL138" s="774"/>
      <c r="JXM138" s="774"/>
      <c r="JXN138" s="774"/>
      <c r="JXO138" s="774"/>
      <c r="JXP138" s="774"/>
      <c r="JXQ138" s="774"/>
      <c r="JXR138" s="774"/>
      <c r="JXS138" s="774"/>
      <c r="JXT138" s="774"/>
      <c r="JXU138" s="774"/>
      <c r="JXV138" s="774"/>
      <c r="JXW138" s="774"/>
      <c r="JXX138" s="774"/>
      <c r="JXY138" s="774"/>
      <c r="JXZ138" s="774"/>
      <c r="JYA138" s="774"/>
      <c r="JYB138" s="774"/>
      <c r="JYC138" s="774"/>
      <c r="JYD138" s="774"/>
      <c r="JYE138" s="774"/>
      <c r="JYF138" s="774"/>
      <c r="JYG138" s="774"/>
      <c r="JYH138" s="774"/>
      <c r="JYI138" s="774"/>
      <c r="JYJ138" s="774"/>
      <c r="JYK138" s="774"/>
      <c r="JYL138" s="774"/>
      <c r="JYM138" s="774"/>
      <c r="JYN138" s="774"/>
      <c r="JYO138" s="774"/>
      <c r="JYP138" s="774"/>
      <c r="JYQ138" s="774"/>
      <c r="JYR138" s="774"/>
      <c r="JYS138" s="774"/>
      <c r="JYT138" s="774"/>
      <c r="JYU138" s="774"/>
      <c r="JYV138" s="774"/>
      <c r="JYW138" s="774"/>
      <c r="JYX138" s="774"/>
      <c r="JYY138" s="774"/>
      <c r="JYZ138" s="774"/>
      <c r="JZA138" s="774"/>
      <c r="JZB138" s="774"/>
      <c r="JZC138" s="774"/>
      <c r="JZD138" s="774"/>
      <c r="JZE138" s="774"/>
      <c r="JZF138" s="774"/>
      <c r="JZG138" s="774"/>
      <c r="JZH138" s="774"/>
      <c r="JZI138" s="774"/>
      <c r="JZJ138" s="774"/>
      <c r="JZK138" s="774"/>
      <c r="JZL138" s="774"/>
      <c r="JZM138" s="774"/>
      <c r="JZN138" s="774"/>
      <c r="JZO138" s="774"/>
      <c r="JZP138" s="774"/>
      <c r="JZQ138" s="774"/>
      <c r="JZR138" s="774"/>
      <c r="JZS138" s="774"/>
      <c r="JZT138" s="774"/>
      <c r="JZU138" s="774"/>
      <c r="JZV138" s="774"/>
      <c r="JZW138" s="774"/>
      <c r="JZX138" s="774"/>
      <c r="JZY138" s="774"/>
      <c r="JZZ138" s="774"/>
      <c r="KAA138" s="774"/>
      <c r="KAB138" s="774"/>
      <c r="KAC138" s="774"/>
      <c r="KAD138" s="774"/>
      <c r="KAE138" s="774"/>
      <c r="KAF138" s="774"/>
      <c r="KAG138" s="774"/>
      <c r="KAH138" s="774"/>
      <c r="KAI138" s="774"/>
      <c r="KAJ138" s="774"/>
      <c r="KAK138" s="774"/>
      <c r="KAL138" s="774"/>
      <c r="KAM138" s="774"/>
      <c r="KAN138" s="774"/>
      <c r="KAO138" s="774"/>
      <c r="KAP138" s="774"/>
      <c r="KAQ138" s="774"/>
      <c r="KAR138" s="774"/>
      <c r="KAS138" s="774"/>
      <c r="KAT138" s="774"/>
      <c r="KAU138" s="774"/>
      <c r="KAV138" s="774"/>
      <c r="KAW138" s="774"/>
      <c r="KAX138" s="774"/>
      <c r="KAY138" s="774"/>
      <c r="KAZ138" s="774"/>
      <c r="KBA138" s="774"/>
      <c r="KBB138" s="774"/>
      <c r="KBC138" s="774"/>
      <c r="KBD138" s="774"/>
      <c r="KBE138" s="774"/>
      <c r="KBF138" s="774"/>
      <c r="KBG138" s="774"/>
      <c r="KBH138" s="774"/>
      <c r="KBI138" s="774"/>
      <c r="KBJ138" s="774"/>
      <c r="KBK138" s="774"/>
      <c r="KBL138" s="774"/>
      <c r="KBM138" s="774"/>
      <c r="KBN138" s="774"/>
      <c r="KBO138" s="774"/>
      <c r="KBP138" s="774"/>
      <c r="KBQ138" s="774"/>
      <c r="KBR138" s="774"/>
      <c r="KBS138" s="774"/>
      <c r="KBT138" s="774"/>
      <c r="KBU138" s="774"/>
      <c r="KBV138" s="774"/>
      <c r="KBW138" s="774"/>
      <c r="KBX138" s="774"/>
      <c r="KBY138" s="774"/>
      <c r="KBZ138" s="774"/>
      <c r="KCA138" s="774"/>
      <c r="KCB138" s="774"/>
      <c r="KCC138" s="774"/>
      <c r="KCD138" s="774"/>
      <c r="KCE138" s="774"/>
      <c r="KCF138" s="774"/>
      <c r="KCG138" s="774"/>
      <c r="KCH138" s="774"/>
      <c r="KCI138" s="774"/>
      <c r="KCJ138" s="774"/>
      <c r="KCK138" s="774"/>
      <c r="KCL138" s="774"/>
      <c r="KCM138" s="774"/>
      <c r="KCN138" s="774"/>
      <c r="KCO138" s="774"/>
      <c r="KCP138" s="774"/>
      <c r="KCQ138" s="774"/>
      <c r="KCR138" s="774"/>
      <c r="KCS138" s="774"/>
      <c r="KCT138" s="774"/>
      <c r="KCU138" s="774"/>
      <c r="KCV138" s="774"/>
      <c r="KCW138" s="774"/>
      <c r="KCX138" s="774"/>
      <c r="KCY138" s="774"/>
      <c r="KCZ138" s="774"/>
      <c r="KDA138" s="774"/>
      <c r="KDB138" s="774"/>
      <c r="KDC138" s="774"/>
      <c r="KDD138" s="774"/>
      <c r="KDE138" s="774"/>
      <c r="KDF138" s="774"/>
      <c r="KDG138" s="774"/>
      <c r="KDH138" s="774"/>
      <c r="KDI138" s="774"/>
      <c r="KDJ138" s="774"/>
      <c r="KDK138" s="774"/>
      <c r="KDL138" s="774"/>
      <c r="KDM138" s="774"/>
      <c r="KDN138" s="774"/>
      <c r="KDO138" s="774"/>
      <c r="KDP138" s="774"/>
      <c r="KDQ138" s="774"/>
      <c r="KDR138" s="774"/>
      <c r="KDS138" s="774"/>
      <c r="KDT138" s="774"/>
      <c r="KDU138" s="774"/>
      <c r="KDV138" s="774"/>
      <c r="KDW138" s="774"/>
      <c r="KDX138" s="774"/>
      <c r="KDY138" s="774"/>
      <c r="KDZ138" s="774"/>
      <c r="KEA138" s="774"/>
      <c r="KEB138" s="774"/>
      <c r="KEC138" s="774"/>
      <c r="KED138" s="774"/>
      <c r="KEE138" s="774"/>
      <c r="KEF138" s="774"/>
      <c r="KEG138" s="774"/>
      <c r="KEH138" s="774"/>
      <c r="KEI138" s="774"/>
      <c r="KEJ138" s="774"/>
      <c r="KEK138" s="774"/>
      <c r="KEL138" s="774"/>
      <c r="KEM138" s="774"/>
      <c r="KEN138" s="774"/>
      <c r="KEO138" s="774"/>
      <c r="KEP138" s="774"/>
      <c r="KEQ138" s="774"/>
      <c r="KER138" s="774"/>
      <c r="KES138" s="774"/>
      <c r="KET138" s="774"/>
      <c r="KEU138" s="774"/>
      <c r="KEV138" s="774"/>
      <c r="KEW138" s="774"/>
      <c r="KEX138" s="774"/>
      <c r="KEY138" s="774"/>
      <c r="KEZ138" s="774"/>
      <c r="KFA138" s="774"/>
      <c r="KFB138" s="774"/>
      <c r="KFC138" s="774"/>
      <c r="KFD138" s="774"/>
      <c r="KFE138" s="774"/>
      <c r="KFF138" s="774"/>
      <c r="KFG138" s="774"/>
      <c r="KFH138" s="774"/>
      <c r="KFI138" s="774"/>
      <c r="KFJ138" s="774"/>
      <c r="KFK138" s="774"/>
      <c r="KFL138" s="774"/>
      <c r="KFM138" s="774"/>
      <c r="KFN138" s="774"/>
      <c r="KFO138" s="774"/>
      <c r="KFP138" s="774"/>
      <c r="KFQ138" s="774"/>
      <c r="KFR138" s="774"/>
      <c r="KFS138" s="774"/>
      <c r="KFT138" s="774"/>
      <c r="KFU138" s="774"/>
      <c r="KFV138" s="774"/>
      <c r="KFW138" s="774"/>
      <c r="KFX138" s="774"/>
      <c r="KFY138" s="774"/>
      <c r="KFZ138" s="774"/>
      <c r="KGA138" s="774"/>
      <c r="KGB138" s="774"/>
      <c r="KGC138" s="774"/>
      <c r="KGD138" s="774"/>
      <c r="KGE138" s="774"/>
      <c r="KGF138" s="774"/>
      <c r="KGG138" s="774"/>
      <c r="KGH138" s="774"/>
      <c r="KGI138" s="774"/>
      <c r="KGJ138" s="774"/>
      <c r="KGK138" s="774"/>
      <c r="KGL138" s="774"/>
      <c r="KGM138" s="774"/>
      <c r="KGN138" s="774"/>
      <c r="KGO138" s="774"/>
      <c r="KGP138" s="774"/>
      <c r="KGQ138" s="774"/>
      <c r="KGR138" s="774"/>
      <c r="KGS138" s="774"/>
      <c r="KGT138" s="774"/>
      <c r="KGU138" s="774"/>
      <c r="KGV138" s="774"/>
      <c r="KGW138" s="774"/>
      <c r="KGX138" s="774"/>
      <c r="KGY138" s="774"/>
      <c r="KGZ138" s="774"/>
      <c r="KHA138" s="774"/>
      <c r="KHB138" s="774"/>
      <c r="KHC138" s="774"/>
      <c r="KHD138" s="774"/>
      <c r="KHE138" s="774"/>
      <c r="KHF138" s="774"/>
      <c r="KHG138" s="774"/>
      <c r="KHH138" s="774"/>
      <c r="KHI138" s="774"/>
      <c r="KHJ138" s="774"/>
      <c r="KHK138" s="774"/>
      <c r="KHL138" s="774"/>
      <c r="KHM138" s="774"/>
      <c r="KHN138" s="774"/>
      <c r="KHO138" s="774"/>
      <c r="KHP138" s="774"/>
      <c r="KHQ138" s="774"/>
      <c r="KHR138" s="774"/>
      <c r="KHS138" s="774"/>
      <c r="KHT138" s="774"/>
      <c r="KHU138" s="774"/>
      <c r="KHV138" s="774"/>
      <c r="KHW138" s="774"/>
      <c r="KHX138" s="774"/>
      <c r="KHY138" s="774"/>
      <c r="KHZ138" s="774"/>
      <c r="KIA138" s="774"/>
      <c r="KIB138" s="774"/>
      <c r="KIC138" s="774"/>
      <c r="KID138" s="774"/>
      <c r="KIE138" s="774"/>
      <c r="KIF138" s="774"/>
      <c r="KIG138" s="774"/>
      <c r="KIH138" s="774"/>
      <c r="KII138" s="774"/>
      <c r="KIJ138" s="774"/>
      <c r="KIK138" s="774"/>
      <c r="KIL138" s="774"/>
      <c r="KIM138" s="774"/>
      <c r="KIN138" s="774"/>
      <c r="KIO138" s="774"/>
      <c r="KIP138" s="774"/>
      <c r="KIQ138" s="774"/>
      <c r="KIR138" s="774"/>
      <c r="KIS138" s="774"/>
      <c r="KIT138" s="774"/>
      <c r="KIU138" s="774"/>
      <c r="KIV138" s="774"/>
      <c r="KIW138" s="774"/>
      <c r="KIX138" s="774"/>
      <c r="KIY138" s="774"/>
      <c r="KIZ138" s="774"/>
      <c r="KJA138" s="774"/>
      <c r="KJB138" s="774"/>
      <c r="KJC138" s="774"/>
      <c r="KJD138" s="774"/>
      <c r="KJE138" s="774"/>
      <c r="KJF138" s="774"/>
      <c r="KJG138" s="774"/>
      <c r="KJH138" s="774"/>
      <c r="KJI138" s="774"/>
      <c r="KJJ138" s="774"/>
      <c r="KJK138" s="774"/>
      <c r="KJL138" s="774"/>
      <c r="KJM138" s="774"/>
      <c r="KJN138" s="774"/>
      <c r="KJO138" s="774"/>
      <c r="KJP138" s="774"/>
      <c r="KJQ138" s="774"/>
      <c r="KJR138" s="774"/>
      <c r="KJS138" s="774"/>
      <c r="KJT138" s="774"/>
      <c r="KJU138" s="774"/>
      <c r="KJV138" s="774"/>
      <c r="KJW138" s="774"/>
      <c r="KJX138" s="774"/>
      <c r="KJY138" s="774"/>
      <c r="KJZ138" s="774"/>
      <c r="KKA138" s="774"/>
      <c r="KKB138" s="774"/>
      <c r="KKC138" s="774"/>
      <c r="KKD138" s="774"/>
      <c r="KKE138" s="774"/>
      <c r="KKF138" s="774"/>
      <c r="KKG138" s="774"/>
      <c r="KKH138" s="774"/>
      <c r="KKI138" s="774"/>
      <c r="KKJ138" s="774"/>
      <c r="KKK138" s="774"/>
      <c r="KKL138" s="774"/>
      <c r="KKM138" s="774"/>
      <c r="KKN138" s="774"/>
      <c r="KKO138" s="774"/>
      <c r="KKP138" s="774"/>
      <c r="KKQ138" s="774"/>
      <c r="KKR138" s="774"/>
      <c r="KKS138" s="774"/>
      <c r="KKT138" s="774"/>
      <c r="KKU138" s="774"/>
      <c r="KKV138" s="774"/>
      <c r="KKW138" s="774"/>
      <c r="KKX138" s="774"/>
      <c r="KKY138" s="774"/>
      <c r="KKZ138" s="774"/>
      <c r="KLA138" s="774"/>
      <c r="KLB138" s="774"/>
      <c r="KLC138" s="774"/>
      <c r="KLD138" s="774"/>
      <c r="KLE138" s="774"/>
      <c r="KLF138" s="774"/>
      <c r="KLG138" s="774"/>
      <c r="KLH138" s="774"/>
      <c r="KLI138" s="774"/>
      <c r="KLJ138" s="774"/>
      <c r="KLK138" s="774"/>
      <c r="KLL138" s="774"/>
      <c r="KLM138" s="774"/>
      <c r="KLN138" s="774"/>
      <c r="KLO138" s="774"/>
      <c r="KLP138" s="774"/>
      <c r="KLQ138" s="774"/>
      <c r="KLR138" s="774"/>
      <c r="KLS138" s="774"/>
      <c r="KLT138" s="774"/>
      <c r="KLU138" s="774"/>
      <c r="KLV138" s="774"/>
      <c r="KLW138" s="774"/>
      <c r="KLX138" s="774"/>
      <c r="KLY138" s="774"/>
      <c r="KLZ138" s="774"/>
      <c r="KMA138" s="774"/>
      <c r="KMB138" s="774"/>
      <c r="KMC138" s="774"/>
      <c r="KMD138" s="774"/>
      <c r="KME138" s="774"/>
      <c r="KMF138" s="774"/>
      <c r="KMG138" s="774"/>
      <c r="KMH138" s="774"/>
      <c r="KMI138" s="774"/>
      <c r="KMJ138" s="774"/>
      <c r="KMK138" s="774"/>
      <c r="KML138" s="774"/>
      <c r="KMM138" s="774"/>
      <c r="KMN138" s="774"/>
      <c r="KMO138" s="774"/>
      <c r="KMP138" s="774"/>
      <c r="KMQ138" s="774"/>
      <c r="KMR138" s="774"/>
      <c r="KMS138" s="774"/>
      <c r="KMT138" s="774"/>
      <c r="KMU138" s="774"/>
      <c r="KMV138" s="774"/>
      <c r="KMW138" s="774"/>
      <c r="KMX138" s="774"/>
      <c r="KMY138" s="774"/>
      <c r="KMZ138" s="774"/>
      <c r="KNA138" s="774"/>
      <c r="KNB138" s="774"/>
      <c r="KNC138" s="774"/>
      <c r="KND138" s="774"/>
      <c r="KNE138" s="774"/>
      <c r="KNF138" s="774"/>
      <c r="KNG138" s="774"/>
      <c r="KNH138" s="774"/>
      <c r="KNI138" s="774"/>
      <c r="KNJ138" s="774"/>
      <c r="KNK138" s="774"/>
      <c r="KNL138" s="774"/>
      <c r="KNM138" s="774"/>
      <c r="KNN138" s="774"/>
      <c r="KNO138" s="774"/>
      <c r="KNP138" s="774"/>
      <c r="KNQ138" s="774"/>
      <c r="KNR138" s="774"/>
      <c r="KNS138" s="774"/>
      <c r="KNT138" s="774"/>
      <c r="KNU138" s="774"/>
      <c r="KNV138" s="774"/>
      <c r="KNW138" s="774"/>
      <c r="KNX138" s="774"/>
      <c r="KNY138" s="774"/>
      <c r="KNZ138" s="774"/>
      <c r="KOA138" s="774"/>
      <c r="KOB138" s="774"/>
      <c r="KOC138" s="774"/>
      <c r="KOD138" s="774"/>
      <c r="KOE138" s="774"/>
      <c r="KOF138" s="774"/>
      <c r="KOG138" s="774"/>
      <c r="KOH138" s="774"/>
      <c r="KOI138" s="774"/>
      <c r="KOJ138" s="774"/>
      <c r="KOK138" s="774"/>
      <c r="KOL138" s="774"/>
      <c r="KOM138" s="774"/>
      <c r="KON138" s="774"/>
      <c r="KOO138" s="774"/>
      <c r="KOP138" s="774"/>
      <c r="KOQ138" s="774"/>
      <c r="KOR138" s="774"/>
      <c r="KOS138" s="774"/>
      <c r="KOT138" s="774"/>
      <c r="KOU138" s="774"/>
      <c r="KOV138" s="774"/>
      <c r="KOW138" s="774"/>
      <c r="KOX138" s="774"/>
      <c r="KOY138" s="774"/>
      <c r="KOZ138" s="774"/>
      <c r="KPA138" s="774"/>
      <c r="KPB138" s="774"/>
      <c r="KPC138" s="774"/>
      <c r="KPD138" s="774"/>
      <c r="KPE138" s="774"/>
      <c r="KPF138" s="774"/>
      <c r="KPG138" s="774"/>
      <c r="KPH138" s="774"/>
      <c r="KPI138" s="774"/>
      <c r="KPJ138" s="774"/>
      <c r="KPK138" s="774"/>
      <c r="KPL138" s="774"/>
      <c r="KPM138" s="774"/>
      <c r="KPN138" s="774"/>
      <c r="KPO138" s="774"/>
      <c r="KPP138" s="774"/>
      <c r="KPQ138" s="774"/>
      <c r="KPR138" s="774"/>
      <c r="KPS138" s="774"/>
      <c r="KPT138" s="774"/>
      <c r="KPU138" s="774"/>
      <c r="KPV138" s="774"/>
      <c r="KPW138" s="774"/>
      <c r="KPX138" s="774"/>
      <c r="KPY138" s="774"/>
      <c r="KPZ138" s="774"/>
      <c r="KQA138" s="774"/>
      <c r="KQB138" s="774"/>
      <c r="KQC138" s="774"/>
      <c r="KQD138" s="774"/>
      <c r="KQE138" s="774"/>
      <c r="KQF138" s="774"/>
      <c r="KQG138" s="774"/>
      <c r="KQH138" s="774"/>
      <c r="KQI138" s="774"/>
      <c r="KQJ138" s="774"/>
      <c r="KQK138" s="774"/>
      <c r="KQL138" s="774"/>
      <c r="KQM138" s="774"/>
      <c r="KQN138" s="774"/>
      <c r="KQO138" s="774"/>
      <c r="KQP138" s="774"/>
      <c r="KQQ138" s="774"/>
      <c r="KQR138" s="774"/>
      <c r="KQS138" s="774"/>
      <c r="KQT138" s="774"/>
      <c r="KQU138" s="774"/>
      <c r="KQV138" s="774"/>
      <c r="KQW138" s="774"/>
      <c r="KQX138" s="774"/>
      <c r="KQY138" s="774"/>
      <c r="KQZ138" s="774"/>
      <c r="KRA138" s="774"/>
      <c r="KRB138" s="774"/>
      <c r="KRC138" s="774"/>
      <c r="KRD138" s="774"/>
      <c r="KRE138" s="774"/>
      <c r="KRF138" s="774"/>
      <c r="KRG138" s="774"/>
      <c r="KRH138" s="774"/>
      <c r="KRI138" s="774"/>
      <c r="KRJ138" s="774"/>
      <c r="KRK138" s="774"/>
      <c r="KRL138" s="774"/>
      <c r="KRM138" s="774"/>
      <c r="KRN138" s="774"/>
      <c r="KRO138" s="774"/>
      <c r="KRP138" s="774"/>
      <c r="KRQ138" s="774"/>
      <c r="KRR138" s="774"/>
      <c r="KRS138" s="774"/>
      <c r="KRT138" s="774"/>
      <c r="KRU138" s="774"/>
      <c r="KRV138" s="774"/>
      <c r="KRW138" s="774"/>
      <c r="KRX138" s="774"/>
      <c r="KRY138" s="774"/>
      <c r="KRZ138" s="774"/>
      <c r="KSA138" s="774"/>
      <c r="KSB138" s="774"/>
      <c r="KSC138" s="774"/>
      <c r="KSD138" s="774"/>
      <c r="KSE138" s="774"/>
      <c r="KSF138" s="774"/>
      <c r="KSG138" s="774"/>
      <c r="KSH138" s="774"/>
      <c r="KSI138" s="774"/>
      <c r="KSJ138" s="774"/>
      <c r="KSK138" s="774"/>
      <c r="KSL138" s="774"/>
      <c r="KSM138" s="774"/>
      <c r="KSN138" s="774"/>
      <c r="KSO138" s="774"/>
      <c r="KSP138" s="774"/>
      <c r="KSQ138" s="774"/>
      <c r="KSR138" s="774"/>
      <c r="KSS138" s="774"/>
      <c r="KST138" s="774"/>
      <c r="KSU138" s="774"/>
      <c r="KSV138" s="774"/>
      <c r="KSW138" s="774"/>
      <c r="KSX138" s="774"/>
      <c r="KSY138" s="774"/>
      <c r="KSZ138" s="774"/>
      <c r="KTA138" s="774"/>
      <c r="KTB138" s="774"/>
      <c r="KTC138" s="774"/>
      <c r="KTD138" s="774"/>
      <c r="KTE138" s="774"/>
      <c r="KTF138" s="774"/>
      <c r="KTG138" s="774"/>
      <c r="KTH138" s="774"/>
      <c r="KTI138" s="774"/>
      <c r="KTJ138" s="774"/>
      <c r="KTK138" s="774"/>
      <c r="KTL138" s="774"/>
      <c r="KTM138" s="774"/>
      <c r="KTN138" s="774"/>
      <c r="KTO138" s="774"/>
      <c r="KTP138" s="774"/>
      <c r="KTQ138" s="774"/>
      <c r="KTR138" s="774"/>
      <c r="KTS138" s="774"/>
      <c r="KTT138" s="774"/>
      <c r="KTU138" s="774"/>
      <c r="KTV138" s="774"/>
      <c r="KTW138" s="774"/>
      <c r="KTX138" s="774"/>
      <c r="KTY138" s="774"/>
      <c r="KTZ138" s="774"/>
      <c r="KUA138" s="774"/>
      <c r="KUB138" s="774"/>
      <c r="KUC138" s="774"/>
      <c r="KUD138" s="774"/>
      <c r="KUE138" s="774"/>
      <c r="KUF138" s="774"/>
      <c r="KUG138" s="774"/>
      <c r="KUH138" s="774"/>
      <c r="KUI138" s="774"/>
      <c r="KUJ138" s="774"/>
      <c r="KUK138" s="774"/>
      <c r="KUL138" s="774"/>
      <c r="KUM138" s="774"/>
      <c r="KUN138" s="774"/>
      <c r="KUO138" s="774"/>
      <c r="KUP138" s="774"/>
      <c r="KUQ138" s="774"/>
      <c r="KUR138" s="774"/>
      <c r="KUS138" s="774"/>
      <c r="KUT138" s="774"/>
      <c r="KUU138" s="774"/>
      <c r="KUV138" s="774"/>
      <c r="KUW138" s="774"/>
      <c r="KUX138" s="774"/>
      <c r="KUY138" s="774"/>
      <c r="KUZ138" s="774"/>
      <c r="KVA138" s="774"/>
      <c r="KVB138" s="774"/>
      <c r="KVC138" s="774"/>
      <c r="KVD138" s="774"/>
      <c r="KVE138" s="774"/>
      <c r="KVF138" s="774"/>
      <c r="KVG138" s="774"/>
      <c r="KVH138" s="774"/>
      <c r="KVI138" s="774"/>
      <c r="KVJ138" s="774"/>
      <c r="KVK138" s="774"/>
      <c r="KVL138" s="774"/>
      <c r="KVM138" s="774"/>
      <c r="KVN138" s="774"/>
      <c r="KVO138" s="774"/>
      <c r="KVP138" s="774"/>
      <c r="KVQ138" s="774"/>
      <c r="KVR138" s="774"/>
      <c r="KVS138" s="774"/>
      <c r="KVT138" s="774"/>
      <c r="KVU138" s="774"/>
      <c r="KVV138" s="774"/>
      <c r="KVW138" s="774"/>
      <c r="KVX138" s="774"/>
      <c r="KVY138" s="774"/>
      <c r="KVZ138" s="774"/>
      <c r="KWA138" s="774"/>
      <c r="KWB138" s="774"/>
      <c r="KWC138" s="774"/>
      <c r="KWD138" s="774"/>
      <c r="KWE138" s="774"/>
      <c r="KWF138" s="774"/>
      <c r="KWG138" s="774"/>
      <c r="KWH138" s="774"/>
      <c r="KWI138" s="774"/>
      <c r="KWJ138" s="774"/>
      <c r="KWK138" s="774"/>
      <c r="KWL138" s="774"/>
      <c r="KWM138" s="774"/>
      <c r="KWN138" s="774"/>
      <c r="KWO138" s="774"/>
      <c r="KWP138" s="774"/>
      <c r="KWQ138" s="774"/>
      <c r="KWR138" s="774"/>
      <c r="KWS138" s="774"/>
      <c r="KWT138" s="774"/>
      <c r="KWU138" s="774"/>
      <c r="KWV138" s="774"/>
      <c r="KWW138" s="774"/>
      <c r="KWX138" s="774"/>
      <c r="KWY138" s="774"/>
      <c r="KWZ138" s="774"/>
      <c r="KXA138" s="774"/>
      <c r="KXB138" s="774"/>
      <c r="KXC138" s="774"/>
      <c r="KXD138" s="774"/>
      <c r="KXE138" s="774"/>
      <c r="KXF138" s="774"/>
      <c r="KXG138" s="774"/>
      <c r="KXH138" s="774"/>
      <c r="KXI138" s="774"/>
      <c r="KXJ138" s="774"/>
      <c r="KXK138" s="774"/>
      <c r="KXL138" s="774"/>
      <c r="KXM138" s="774"/>
      <c r="KXN138" s="774"/>
      <c r="KXO138" s="774"/>
      <c r="KXP138" s="774"/>
      <c r="KXQ138" s="774"/>
      <c r="KXR138" s="774"/>
      <c r="KXS138" s="774"/>
      <c r="KXT138" s="774"/>
      <c r="KXU138" s="774"/>
      <c r="KXV138" s="774"/>
      <c r="KXW138" s="774"/>
      <c r="KXX138" s="774"/>
      <c r="KXY138" s="774"/>
      <c r="KXZ138" s="774"/>
      <c r="KYA138" s="774"/>
      <c r="KYB138" s="774"/>
      <c r="KYC138" s="774"/>
      <c r="KYD138" s="774"/>
      <c r="KYE138" s="774"/>
      <c r="KYF138" s="774"/>
      <c r="KYG138" s="774"/>
      <c r="KYH138" s="774"/>
      <c r="KYI138" s="774"/>
      <c r="KYJ138" s="774"/>
      <c r="KYK138" s="774"/>
      <c r="KYL138" s="774"/>
      <c r="KYM138" s="774"/>
      <c r="KYN138" s="774"/>
      <c r="KYO138" s="774"/>
      <c r="KYP138" s="774"/>
      <c r="KYQ138" s="774"/>
      <c r="KYR138" s="774"/>
      <c r="KYS138" s="774"/>
      <c r="KYT138" s="774"/>
      <c r="KYU138" s="774"/>
      <c r="KYV138" s="774"/>
      <c r="KYW138" s="774"/>
      <c r="KYX138" s="774"/>
      <c r="KYY138" s="774"/>
      <c r="KYZ138" s="774"/>
      <c r="KZA138" s="774"/>
      <c r="KZB138" s="774"/>
      <c r="KZC138" s="774"/>
      <c r="KZD138" s="774"/>
      <c r="KZE138" s="774"/>
      <c r="KZF138" s="774"/>
      <c r="KZG138" s="774"/>
      <c r="KZH138" s="774"/>
      <c r="KZI138" s="774"/>
      <c r="KZJ138" s="774"/>
      <c r="KZK138" s="774"/>
      <c r="KZL138" s="774"/>
      <c r="KZM138" s="774"/>
      <c r="KZN138" s="774"/>
      <c r="KZO138" s="774"/>
      <c r="KZP138" s="774"/>
      <c r="KZQ138" s="774"/>
      <c r="KZR138" s="774"/>
      <c r="KZS138" s="774"/>
      <c r="KZT138" s="774"/>
      <c r="KZU138" s="774"/>
      <c r="KZV138" s="774"/>
      <c r="KZW138" s="774"/>
      <c r="KZX138" s="774"/>
      <c r="KZY138" s="774"/>
      <c r="KZZ138" s="774"/>
      <c r="LAA138" s="774"/>
      <c r="LAB138" s="774"/>
      <c r="LAC138" s="774"/>
      <c r="LAD138" s="774"/>
      <c r="LAE138" s="774"/>
      <c r="LAF138" s="774"/>
      <c r="LAG138" s="774"/>
      <c r="LAH138" s="774"/>
      <c r="LAI138" s="774"/>
      <c r="LAJ138" s="774"/>
      <c r="LAK138" s="774"/>
      <c r="LAL138" s="774"/>
      <c r="LAM138" s="774"/>
      <c r="LAN138" s="774"/>
      <c r="LAO138" s="774"/>
      <c r="LAP138" s="774"/>
      <c r="LAQ138" s="774"/>
      <c r="LAR138" s="774"/>
      <c r="LAS138" s="774"/>
      <c r="LAT138" s="774"/>
      <c r="LAU138" s="774"/>
      <c r="LAV138" s="774"/>
      <c r="LAW138" s="774"/>
      <c r="LAX138" s="774"/>
      <c r="LAY138" s="774"/>
      <c r="LAZ138" s="774"/>
      <c r="LBA138" s="774"/>
      <c r="LBB138" s="774"/>
      <c r="LBC138" s="774"/>
      <c r="LBD138" s="774"/>
      <c r="LBE138" s="774"/>
      <c r="LBF138" s="774"/>
      <c r="LBG138" s="774"/>
      <c r="LBH138" s="774"/>
      <c r="LBI138" s="774"/>
      <c r="LBJ138" s="774"/>
      <c r="LBK138" s="774"/>
      <c r="LBL138" s="774"/>
      <c r="LBM138" s="774"/>
      <c r="LBN138" s="774"/>
      <c r="LBO138" s="774"/>
      <c r="LBP138" s="774"/>
      <c r="LBQ138" s="774"/>
      <c r="LBR138" s="774"/>
      <c r="LBS138" s="774"/>
      <c r="LBT138" s="774"/>
      <c r="LBU138" s="774"/>
      <c r="LBV138" s="774"/>
      <c r="LBW138" s="774"/>
      <c r="LBX138" s="774"/>
      <c r="LBY138" s="774"/>
      <c r="LBZ138" s="774"/>
      <c r="LCA138" s="774"/>
      <c r="LCB138" s="774"/>
      <c r="LCC138" s="774"/>
      <c r="LCD138" s="774"/>
      <c r="LCE138" s="774"/>
      <c r="LCF138" s="774"/>
      <c r="LCG138" s="774"/>
      <c r="LCH138" s="774"/>
      <c r="LCI138" s="774"/>
      <c r="LCJ138" s="774"/>
      <c r="LCK138" s="774"/>
      <c r="LCL138" s="774"/>
      <c r="LCM138" s="774"/>
      <c r="LCN138" s="774"/>
      <c r="LCO138" s="774"/>
      <c r="LCP138" s="774"/>
      <c r="LCQ138" s="774"/>
      <c r="LCR138" s="774"/>
      <c r="LCS138" s="774"/>
      <c r="LCT138" s="774"/>
      <c r="LCU138" s="774"/>
      <c r="LCV138" s="774"/>
      <c r="LCW138" s="774"/>
      <c r="LCX138" s="774"/>
      <c r="LCY138" s="774"/>
      <c r="LCZ138" s="774"/>
      <c r="LDA138" s="774"/>
      <c r="LDB138" s="774"/>
      <c r="LDC138" s="774"/>
      <c r="LDD138" s="774"/>
      <c r="LDE138" s="774"/>
      <c r="LDF138" s="774"/>
      <c r="LDG138" s="774"/>
      <c r="LDH138" s="774"/>
      <c r="LDI138" s="774"/>
      <c r="LDJ138" s="774"/>
      <c r="LDK138" s="774"/>
      <c r="LDL138" s="774"/>
      <c r="LDM138" s="774"/>
      <c r="LDN138" s="774"/>
      <c r="LDO138" s="774"/>
      <c r="LDP138" s="774"/>
      <c r="LDQ138" s="774"/>
      <c r="LDR138" s="774"/>
      <c r="LDS138" s="774"/>
      <c r="LDT138" s="774"/>
      <c r="LDU138" s="774"/>
      <c r="LDV138" s="774"/>
      <c r="LDW138" s="774"/>
      <c r="LDX138" s="774"/>
      <c r="LDY138" s="774"/>
      <c r="LDZ138" s="774"/>
      <c r="LEA138" s="774"/>
      <c r="LEB138" s="774"/>
      <c r="LEC138" s="774"/>
      <c r="LED138" s="774"/>
      <c r="LEE138" s="774"/>
      <c r="LEF138" s="774"/>
      <c r="LEG138" s="774"/>
      <c r="LEH138" s="774"/>
      <c r="LEI138" s="774"/>
      <c r="LEJ138" s="774"/>
      <c r="LEK138" s="774"/>
      <c r="LEL138" s="774"/>
      <c r="LEM138" s="774"/>
      <c r="LEN138" s="774"/>
      <c r="LEO138" s="774"/>
      <c r="LEP138" s="774"/>
      <c r="LEQ138" s="774"/>
      <c r="LER138" s="774"/>
      <c r="LES138" s="774"/>
      <c r="LET138" s="774"/>
      <c r="LEU138" s="774"/>
      <c r="LEV138" s="774"/>
      <c r="LEW138" s="774"/>
      <c r="LEX138" s="774"/>
      <c r="LEY138" s="774"/>
      <c r="LEZ138" s="774"/>
      <c r="LFA138" s="774"/>
      <c r="LFB138" s="774"/>
      <c r="LFC138" s="774"/>
      <c r="LFD138" s="774"/>
      <c r="LFE138" s="774"/>
      <c r="LFF138" s="774"/>
      <c r="LFG138" s="774"/>
      <c r="LFH138" s="774"/>
      <c r="LFI138" s="774"/>
      <c r="LFJ138" s="774"/>
      <c r="LFK138" s="774"/>
      <c r="LFL138" s="774"/>
      <c r="LFM138" s="774"/>
      <c r="LFN138" s="774"/>
      <c r="LFO138" s="774"/>
      <c r="LFP138" s="774"/>
      <c r="LFQ138" s="774"/>
      <c r="LFR138" s="774"/>
      <c r="LFS138" s="774"/>
      <c r="LFT138" s="774"/>
      <c r="LFU138" s="774"/>
      <c r="LFV138" s="774"/>
      <c r="LFW138" s="774"/>
      <c r="LFX138" s="774"/>
      <c r="LFY138" s="774"/>
      <c r="LFZ138" s="774"/>
      <c r="LGA138" s="774"/>
      <c r="LGB138" s="774"/>
      <c r="LGC138" s="774"/>
      <c r="LGD138" s="774"/>
      <c r="LGE138" s="774"/>
      <c r="LGF138" s="774"/>
      <c r="LGG138" s="774"/>
      <c r="LGH138" s="774"/>
      <c r="LGI138" s="774"/>
      <c r="LGJ138" s="774"/>
      <c r="LGK138" s="774"/>
      <c r="LGL138" s="774"/>
      <c r="LGM138" s="774"/>
      <c r="LGN138" s="774"/>
      <c r="LGO138" s="774"/>
      <c r="LGP138" s="774"/>
      <c r="LGQ138" s="774"/>
      <c r="LGR138" s="774"/>
      <c r="LGS138" s="774"/>
      <c r="LGT138" s="774"/>
      <c r="LGU138" s="774"/>
      <c r="LGV138" s="774"/>
      <c r="LGW138" s="774"/>
      <c r="LGX138" s="774"/>
      <c r="LGY138" s="774"/>
      <c r="LGZ138" s="774"/>
      <c r="LHA138" s="774"/>
      <c r="LHB138" s="774"/>
      <c r="LHC138" s="774"/>
      <c r="LHD138" s="774"/>
      <c r="LHE138" s="774"/>
      <c r="LHF138" s="774"/>
      <c r="LHG138" s="774"/>
      <c r="LHH138" s="774"/>
      <c r="LHI138" s="774"/>
      <c r="LHJ138" s="774"/>
      <c r="LHK138" s="774"/>
      <c r="LHL138" s="774"/>
      <c r="LHM138" s="774"/>
      <c r="LHN138" s="774"/>
      <c r="LHO138" s="774"/>
      <c r="LHP138" s="774"/>
      <c r="LHQ138" s="774"/>
      <c r="LHR138" s="774"/>
      <c r="LHS138" s="774"/>
      <c r="LHT138" s="774"/>
      <c r="LHU138" s="774"/>
      <c r="LHV138" s="774"/>
      <c r="LHW138" s="774"/>
      <c r="LHX138" s="774"/>
      <c r="LHY138" s="774"/>
      <c r="LHZ138" s="774"/>
      <c r="LIA138" s="774"/>
      <c r="LIB138" s="774"/>
      <c r="LIC138" s="774"/>
      <c r="LID138" s="774"/>
      <c r="LIE138" s="774"/>
      <c r="LIF138" s="774"/>
      <c r="LIG138" s="774"/>
      <c r="LIH138" s="774"/>
      <c r="LII138" s="774"/>
      <c r="LIJ138" s="774"/>
      <c r="LIK138" s="774"/>
      <c r="LIL138" s="774"/>
      <c r="LIM138" s="774"/>
      <c r="LIN138" s="774"/>
      <c r="LIO138" s="774"/>
      <c r="LIP138" s="774"/>
      <c r="LIQ138" s="774"/>
      <c r="LIR138" s="774"/>
      <c r="LIS138" s="774"/>
      <c r="LIT138" s="774"/>
      <c r="LIU138" s="774"/>
      <c r="LIV138" s="774"/>
      <c r="LIW138" s="774"/>
      <c r="LIX138" s="774"/>
      <c r="LIY138" s="774"/>
      <c r="LIZ138" s="774"/>
      <c r="LJA138" s="774"/>
      <c r="LJB138" s="774"/>
      <c r="LJC138" s="774"/>
      <c r="LJD138" s="774"/>
      <c r="LJE138" s="774"/>
      <c r="LJF138" s="774"/>
      <c r="LJG138" s="774"/>
      <c r="LJH138" s="774"/>
      <c r="LJI138" s="774"/>
      <c r="LJJ138" s="774"/>
      <c r="LJK138" s="774"/>
      <c r="LJL138" s="774"/>
      <c r="LJM138" s="774"/>
      <c r="LJN138" s="774"/>
      <c r="LJO138" s="774"/>
      <c r="LJP138" s="774"/>
      <c r="LJQ138" s="774"/>
      <c r="LJR138" s="774"/>
      <c r="LJS138" s="774"/>
      <c r="LJT138" s="774"/>
      <c r="LJU138" s="774"/>
      <c r="LJV138" s="774"/>
      <c r="LJW138" s="774"/>
      <c r="LJX138" s="774"/>
      <c r="LJY138" s="774"/>
      <c r="LJZ138" s="774"/>
      <c r="LKA138" s="774"/>
      <c r="LKB138" s="774"/>
      <c r="LKC138" s="774"/>
      <c r="LKD138" s="774"/>
      <c r="LKE138" s="774"/>
      <c r="LKF138" s="774"/>
      <c r="LKG138" s="774"/>
      <c r="LKH138" s="774"/>
      <c r="LKI138" s="774"/>
      <c r="LKJ138" s="774"/>
      <c r="LKK138" s="774"/>
      <c r="LKL138" s="774"/>
      <c r="LKM138" s="774"/>
      <c r="LKN138" s="774"/>
      <c r="LKO138" s="774"/>
      <c r="LKP138" s="774"/>
      <c r="LKQ138" s="774"/>
      <c r="LKR138" s="774"/>
      <c r="LKS138" s="774"/>
      <c r="LKT138" s="774"/>
      <c r="LKU138" s="774"/>
      <c r="LKV138" s="774"/>
      <c r="LKW138" s="774"/>
      <c r="LKX138" s="774"/>
      <c r="LKY138" s="774"/>
      <c r="LKZ138" s="774"/>
      <c r="LLA138" s="774"/>
      <c r="LLB138" s="774"/>
      <c r="LLC138" s="774"/>
      <c r="LLD138" s="774"/>
      <c r="LLE138" s="774"/>
      <c r="LLF138" s="774"/>
      <c r="LLG138" s="774"/>
      <c r="LLH138" s="774"/>
      <c r="LLI138" s="774"/>
      <c r="LLJ138" s="774"/>
      <c r="LLK138" s="774"/>
      <c r="LLL138" s="774"/>
      <c r="LLM138" s="774"/>
      <c r="LLN138" s="774"/>
      <c r="LLO138" s="774"/>
      <c r="LLP138" s="774"/>
      <c r="LLQ138" s="774"/>
      <c r="LLR138" s="774"/>
      <c r="LLS138" s="774"/>
      <c r="LLT138" s="774"/>
      <c r="LLU138" s="774"/>
      <c r="LLV138" s="774"/>
      <c r="LLW138" s="774"/>
      <c r="LLX138" s="774"/>
      <c r="LLY138" s="774"/>
      <c r="LLZ138" s="774"/>
      <c r="LMA138" s="774"/>
      <c r="LMB138" s="774"/>
      <c r="LMC138" s="774"/>
      <c r="LMD138" s="774"/>
      <c r="LME138" s="774"/>
      <c r="LMF138" s="774"/>
      <c r="LMG138" s="774"/>
      <c r="LMH138" s="774"/>
      <c r="LMI138" s="774"/>
      <c r="LMJ138" s="774"/>
      <c r="LMK138" s="774"/>
      <c r="LML138" s="774"/>
      <c r="LMM138" s="774"/>
      <c r="LMN138" s="774"/>
      <c r="LMO138" s="774"/>
      <c r="LMP138" s="774"/>
      <c r="LMQ138" s="774"/>
      <c r="LMR138" s="774"/>
      <c r="LMS138" s="774"/>
      <c r="LMT138" s="774"/>
      <c r="LMU138" s="774"/>
      <c r="LMV138" s="774"/>
      <c r="LMW138" s="774"/>
      <c r="LMX138" s="774"/>
      <c r="LMY138" s="774"/>
      <c r="LMZ138" s="774"/>
      <c r="LNA138" s="774"/>
      <c r="LNB138" s="774"/>
      <c r="LNC138" s="774"/>
      <c r="LND138" s="774"/>
      <c r="LNE138" s="774"/>
      <c r="LNF138" s="774"/>
      <c r="LNG138" s="774"/>
      <c r="LNH138" s="774"/>
      <c r="LNI138" s="774"/>
      <c r="LNJ138" s="774"/>
      <c r="LNK138" s="774"/>
      <c r="LNL138" s="774"/>
      <c r="LNM138" s="774"/>
      <c r="LNN138" s="774"/>
      <c r="LNO138" s="774"/>
      <c r="LNP138" s="774"/>
      <c r="LNQ138" s="774"/>
      <c r="LNR138" s="774"/>
      <c r="LNS138" s="774"/>
      <c r="LNT138" s="774"/>
      <c r="LNU138" s="774"/>
      <c r="LNV138" s="774"/>
      <c r="LNW138" s="774"/>
      <c r="LNX138" s="774"/>
      <c r="LNY138" s="774"/>
      <c r="LNZ138" s="774"/>
      <c r="LOA138" s="774"/>
      <c r="LOB138" s="774"/>
      <c r="LOC138" s="774"/>
      <c r="LOD138" s="774"/>
      <c r="LOE138" s="774"/>
      <c r="LOF138" s="774"/>
      <c r="LOG138" s="774"/>
      <c r="LOH138" s="774"/>
      <c r="LOI138" s="774"/>
      <c r="LOJ138" s="774"/>
      <c r="LOK138" s="774"/>
      <c r="LOL138" s="774"/>
      <c r="LOM138" s="774"/>
      <c r="LON138" s="774"/>
      <c r="LOO138" s="774"/>
      <c r="LOP138" s="774"/>
      <c r="LOQ138" s="774"/>
      <c r="LOR138" s="774"/>
      <c r="LOS138" s="774"/>
      <c r="LOT138" s="774"/>
      <c r="LOU138" s="774"/>
      <c r="LOV138" s="774"/>
      <c r="LOW138" s="774"/>
      <c r="LOX138" s="774"/>
      <c r="LOY138" s="774"/>
      <c r="LOZ138" s="774"/>
      <c r="LPA138" s="774"/>
      <c r="LPB138" s="774"/>
      <c r="LPC138" s="774"/>
      <c r="LPD138" s="774"/>
      <c r="LPE138" s="774"/>
      <c r="LPF138" s="774"/>
      <c r="LPG138" s="774"/>
      <c r="LPH138" s="774"/>
      <c r="LPI138" s="774"/>
      <c r="LPJ138" s="774"/>
      <c r="LPK138" s="774"/>
      <c r="LPL138" s="774"/>
      <c r="LPM138" s="774"/>
      <c r="LPN138" s="774"/>
      <c r="LPO138" s="774"/>
      <c r="LPP138" s="774"/>
      <c r="LPQ138" s="774"/>
      <c r="LPR138" s="774"/>
      <c r="LPS138" s="774"/>
      <c r="LPT138" s="774"/>
      <c r="LPU138" s="774"/>
      <c r="LPV138" s="774"/>
      <c r="LPW138" s="774"/>
      <c r="LPX138" s="774"/>
      <c r="LPY138" s="774"/>
      <c r="LPZ138" s="774"/>
      <c r="LQA138" s="774"/>
      <c r="LQB138" s="774"/>
      <c r="LQC138" s="774"/>
      <c r="LQD138" s="774"/>
      <c r="LQE138" s="774"/>
      <c r="LQF138" s="774"/>
      <c r="LQG138" s="774"/>
      <c r="LQH138" s="774"/>
      <c r="LQI138" s="774"/>
      <c r="LQJ138" s="774"/>
      <c r="LQK138" s="774"/>
      <c r="LQL138" s="774"/>
      <c r="LQM138" s="774"/>
      <c r="LQN138" s="774"/>
      <c r="LQO138" s="774"/>
      <c r="LQP138" s="774"/>
      <c r="LQQ138" s="774"/>
      <c r="LQR138" s="774"/>
      <c r="LQS138" s="774"/>
      <c r="LQT138" s="774"/>
      <c r="LQU138" s="774"/>
      <c r="LQV138" s="774"/>
      <c r="LQW138" s="774"/>
      <c r="LQX138" s="774"/>
      <c r="LQY138" s="774"/>
      <c r="LQZ138" s="774"/>
      <c r="LRA138" s="774"/>
      <c r="LRB138" s="774"/>
      <c r="LRC138" s="774"/>
      <c r="LRD138" s="774"/>
      <c r="LRE138" s="774"/>
      <c r="LRF138" s="774"/>
      <c r="LRG138" s="774"/>
      <c r="LRH138" s="774"/>
      <c r="LRI138" s="774"/>
      <c r="LRJ138" s="774"/>
      <c r="LRK138" s="774"/>
      <c r="LRL138" s="774"/>
      <c r="LRM138" s="774"/>
      <c r="LRN138" s="774"/>
      <c r="LRO138" s="774"/>
      <c r="LRP138" s="774"/>
      <c r="LRQ138" s="774"/>
      <c r="LRR138" s="774"/>
      <c r="LRS138" s="774"/>
      <c r="LRT138" s="774"/>
      <c r="LRU138" s="774"/>
      <c r="LRV138" s="774"/>
      <c r="LRW138" s="774"/>
      <c r="LRX138" s="774"/>
      <c r="LRY138" s="774"/>
      <c r="LRZ138" s="774"/>
      <c r="LSA138" s="774"/>
      <c r="LSB138" s="774"/>
      <c r="LSC138" s="774"/>
      <c r="LSD138" s="774"/>
      <c r="LSE138" s="774"/>
      <c r="LSF138" s="774"/>
      <c r="LSG138" s="774"/>
      <c r="LSH138" s="774"/>
      <c r="LSI138" s="774"/>
      <c r="LSJ138" s="774"/>
      <c r="LSK138" s="774"/>
      <c r="LSL138" s="774"/>
      <c r="LSM138" s="774"/>
      <c r="LSN138" s="774"/>
      <c r="LSO138" s="774"/>
      <c r="LSP138" s="774"/>
      <c r="LSQ138" s="774"/>
      <c r="LSR138" s="774"/>
      <c r="LSS138" s="774"/>
      <c r="LST138" s="774"/>
      <c r="LSU138" s="774"/>
      <c r="LSV138" s="774"/>
      <c r="LSW138" s="774"/>
      <c r="LSX138" s="774"/>
      <c r="LSY138" s="774"/>
      <c r="LSZ138" s="774"/>
      <c r="LTA138" s="774"/>
      <c r="LTB138" s="774"/>
      <c r="LTC138" s="774"/>
      <c r="LTD138" s="774"/>
      <c r="LTE138" s="774"/>
      <c r="LTF138" s="774"/>
      <c r="LTG138" s="774"/>
      <c r="LTH138" s="774"/>
      <c r="LTI138" s="774"/>
      <c r="LTJ138" s="774"/>
      <c r="LTK138" s="774"/>
      <c r="LTL138" s="774"/>
      <c r="LTM138" s="774"/>
      <c r="LTN138" s="774"/>
      <c r="LTO138" s="774"/>
      <c r="LTP138" s="774"/>
      <c r="LTQ138" s="774"/>
      <c r="LTR138" s="774"/>
      <c r="LTS138" s="774"/>
      <c r="LTT138" s="774"/>
      <c r="LTU138" s="774"/>
      <c r="LTV138" s="774"/>
      <c r="LTW138" s="774"/>
      <c r="LTX138" s="774"/>
      <c r="LTY138" s="774"/>
      <c r="LTZ138" s="774"/>
      <c r="LUA138" s="774"/>
      <c r="LUB138" s="774"/>
      <c r="LUC138" s="774"/>
      <c r="LUD138" s="774"/>
      <c r="LUE138" s="774"/>
      <c r="LUF138" s="774"/>
      <c r="LUG138" s="774"/>
      <c r="LUH138" s="774"/>
      <c r="LUI138" s="774"/>
      <c r="LUJ138" s="774"/>
      <c r="LUK138" s="774"/>
      <c r="LUL138" s="774"/>
      <c r="LUM138" s="774"/>
      <c r="LUN138" s="774"/>
      <c r="LUO138" s="774"/>
      <c r="LUP138" s="774"/>
      <c r="LUQ138" s="774"/>
      <c r="LUR138" s="774"/>
      <c r="LUS138" s="774"/>
      <c r="LUT138" s="774"/>
      <c r="LUU138" s="774"/>
      <c r="LUV138" s="774"/>
      <c r="LUW138" s="774"/>
      <c r="LUX138" s="774"/>
      <c r="LUY138" s="774"/>
      <c r="LUZ138" s="774"/>
      <c r="LVA138" s="774"/>
      <c r="LVB138" s="774"/>
      <c r="LVC138" s="774"/>
      <c r="LVD138" s="774"/>
      <c r="LVE138" s="774"/>
      <c r="LVF138" s="774"/>
      <c r="LVG138" s="774"/>
      <c r="LVH138" s="774"/>
      <c r="LVI138" s="774"/>
      <c r="LVJ138" s="774"/>
      <c r="LVK138" s="774"/>
      <c r="LVL138" s="774"/>
      <c r="LVM138" s="774"/>
      <c r="LVN138" s="774"/>
      <c r="LVO138" s="774"/>
      <c r="LVP138" s="774"/>
      <c r="LVQ138" s="774"/>
      <c r="LVR138" s="774"/>
      <c r="LVS138" s="774"/>
      <c r="LVT138" s="774"/>
      <c r="LVU138" s="774"/>
      <c r="LVV138" s="774"/>
      <c r="LVW138" s="774"/>
      <c r="LVX138" s="774"/>
      <c r="LVY138" s="774"/>
      <c r="LVZ138" s="774"/>
      <c r="LWA138" s="774"/>
      <c r="LWB138" s="774"/>
      <c r="LWC138" s="774"/>
      <c r="LWD138" s="774"/>
      <c r="LWE138" s="774"/>
      <c r="LWF138" s="774"/>
      <c r="LWG138" s="774"/>
      <c r="LWH138" s="774"/>
      <c r="LWI138" s="774"/>
      <c r="LWJ138" s="774"/>
      <c r="LWK138" s="774"/>
      <c r="LWL138" s="774"/>
      <c r="LWM138" s="774"/>
      <c r="LWN138" s="774"/>
      <c r="LWO138" s="774"/>
      <c r="LWP138" s="774"/>
      <c r="LWQ138" s="774"/>
      <c r="LWR138" s="774"/>
      <c r="LWS138" s="774"/>
      <c r="LWT138" s="774"/>
      <c r="LWU138" s="774"/>
      <c r="LWV138" s="774"/>
      <c r="LWW138" s="774"/>
      <c r="LWX138" s="774"/>
      <c r="LWY138" s="774"/>
      <c r="LWZ138" s="774"/>
      <c r="LXA138" s="774"/>
      <c r="LXB138" s="774"/>
      <c r="LXC138" s="774"/>
      <c r="LXD138" s="774"/>
      <c r="LXE138" s="774"/>
      <c r="LXF138" s="774"/>
      <c r="LXG138" s="774"/>
      <c r="LXH138" s="774"/>
      <c r="LXI138" s="774"/>
      <c r="LXJ138" s="774"/>
      <c r="LXK138" s="774"/>
      <c r="LXL138" s="774"/>
      <c r="LXM138" s="774"/>
      <c r="LXN138" s="774"/>
      <c r="LXO138" s="774"/>
      <c r="LXP138" s="774"/>
      <c r="LXQ138" s="774"/>
      <c r="LXR138" s="774"/>
      <c r="LXS138" s="774"/>
      <c r="LXT138" s="774"/>
      <c r="LXU138" s="774"/>
      <c r="LXV138" s="774"/>
      <c r="LXW138" s="774"/>
      <c r="LXX138" s="774"/>
      <c r="LXY138" s="774"/>
      <c r="LXZ138" s="774"/>
      <c r="LYA138" s="774"/>
      <c r="LYB138" s="774"/>
      <c r="LYC138" s="774"/>
      <c r="LYD138" s="774"/>
      <c r="LYE138" s="774"/>
      <c r="LYF138" s="774"/>
      <c r="LYG138" s="774"/>
      <c r="LYH138" s="774"/>
      <c r="LYI138" s="774"/>
      <c r="LYJ138" s="774"/>
      <c r="LYK138" s="774"/>
      <c r="LYL138" s="774"/>
      <c r="LYM138" s="774"/>
      <c r="LYN138" s="774"/>
      <c r="LYO138" s="774"/>
      <c r="LYP138" s="774"/>
      <c r="LYQ138" s="774"/>
      <c r="LYR138" s="774"/>
      <c r="LYS138" s="774"/>
      <c r="LYT138" s="774"/>
      <c r="LYU138" s="774"/>
      <c r="LYV138" s="774"/>
      <c r="LYW138" s="774"/>
      <c r="LYX138" s="774"/>
      <c r="LYY138" s="774"/>
      <c r="LYZ138" s="774"/>
      <c r="LZA138" s="774"/>
      <c r="LZB138" s="774"/>
      <c r="LZC138" s="774"/>
      <c r="LZD138" s="774"/>
      <c r="LZE138" s="774"/>
      <c r="LZF138" s="774"/>
      <c r="LZG138" s="774"/>
      <c r="LZH138" s="774"/>
      <c r="LZI138" s="774"/>
      <c r="LZJ138" s="774"/>
      <c r="LZK138" s="774"/>
      <c r="LZL138" s="774"/>
      <c r="LZM138" s="774"/>
      <c r="LZN138" s="774"/>
      <c r="LZO138" s="774"/>
      <c r="LZP138" s="774"/>
      <c r="LZQ138" s="774"/>
      <c r="LZR138" s="774"/>
      <c r="LZS138" s="774"/>
      <c r="LZT138" s="774"/>
      <c r="LZU138" s="774"/>
      <c r="LZV138" s="774"/>
      <c r="LZW138" s="774"/>
      <c r="LZX138" s="774"/>
      <c r="LZY138" s="774"/>
      <c r="LZZ138" s="774"/>
      <c r="MAA138" s="774"/>
      <c r="MAB138" s="774"/>
      <c r="MAC138" s="774"/>
      <c r="MAD138" s="774"/>
      <c r="MAE138" s="774"/>
      <c r="MAF138" s="774"/>
      <c r="MAG138" s="774"/>
      <c r="MAH138" s="774"/>
      <c r="MAI138" s="774"/>
      <c r="MAJ138" s="774"/>
      <c r="MAK138" s="774"/>
      <c r="MAL138" s="774"/>
      <c r="MAM138" s="774"/>
      <c r="MAN138" s="774"/>
      <c r="MAO138" s="774"/>
      <c r="MAP138" s="774"/>
      <c r="MAQ138" s="774"/>
      <c r="MAR138" s="774"/>
      <c r="MAS138" s="774"/>
      <c r="MAT138" s="774"/>
      <c r="MAU138" s="774"/>
      <c r="MAV138" s="774"/>
      <c r="MAW138" s="774"/>
      <c r="MAX138" s="774"/>
      <c r="MAY138" s="774"/>
      <c r="MAZ138" s="774"/>
      <c r="MBA138" s="774"/>
      <c r="MBB138" s="774"/>
      <c r="MBC138" s="774"/>
      <c r="MBD138" s="774"/>
      <c r="MBE138" s="774"/>
      <c r="MBF138" s="774"/>
      <c r="MBG138" s="774"/>
      <c r="MBH138" s="774"/>
      <c r="MBI138" s="774"/>
      <c r="MBJ138" s="774"/>
      <c r="MBK138" s="774"/>
      <c r="MBL138" s="774"/>
      <c r="MBM138" s="774"/>
      <c r="MBN138" s="774"/>
      <c r="MBO138" s="774"/>
      <c r="MBP138" s="774"/>
      <c r="MBQ138" s="774"/>
      <c r="MBR138" s="774"/>
      <c r="MBS138" s="774"/>
      <c r="MBT138" s="774"/>
      <c r="MBU138" s="774"/>
      <c r="MBV138" s="774"/>
      <c r="MBW138" s="774"/>
      <c r="MBX138" s="774"/>
      <c r="MBY138" s="774"/>
      <c r="MBZ138" s="774"/>
      <c r="MCA138" s="774"/>
      <c r="MCB138" s="774"/>
      <c r="MCC138" s="774"/>
      <c r="MCD138" s="774"/>
      <c r="MCE138" s="774"/>
      <c r="MCF138" s="774"/>
      <c r="MCG138" s="774"/>
      <c r="MCH138" s="774"/>
      <c r="MCI138" s="774"/>
      <c r="MCJ138" s="774"/>
      <c r="MCK138" s="774"/>
      <c r="MCL138" s="774"/>
      <c r="MCM138" s="774"/>
      <c r="MCN138" s="774"/>
      <c r="MCO138" s="774"/>
      <c r="MCP138" s="774"/>
      <c r="MCQ138" s="774"/>
      <c r="MCR138" s="774"/>
      <c r="MCS138" s="774"/>
      <c r="MCT138" s="774"/>
      <c r="MCU138" s="774"/>
      <c r="MCV138" s="774"/>
      <c r="MCW138" s="774"/>
      <c r="MCX138" s="774"/>
      <c r="MCY138" s="774"/>
      <c r="MCZ138" s="774"/>
      <c r="MDA138" s="774"/>
      <c r="MDB138" s="774"/>
      <c r="MDC138" s="774"/>
      <c r="MDD138" s="774"/>
      <c r="MDE138" s="774"/>
      <c r="MDF138" s="774"/>
      <c r="MDG138" s="774"/>
      <c r="MDH138" s="774"/>
      <c r="MDI138" s="774"/>
      <c r="MDJ138" s="774"/>
      <c r="MDK138" s="774"/>
      <c r="MDL138" s="774"/>
      <c r="MDM138" s="774"/>
      <c r="MDN138" s="774"/>
      <c r="MDO138" s="774"/>
      <c r="MDP138" s="774"/>
      <c r="MDQ138" s="774"/>
      <c r="MDR138" s="774"/>
      <c r="MDS138" s="774"/>
      <c r="MDT138" s="774"/>
      <c r="MDU138" s="774"/>
      <c r="MDV138" s="774"/>
      <c r="MDW138" s="774"/>
      <c r="MDX138" s="774"/>
      <c r="MDY138" s="774"/>
      <c r="MDZ138" s="774"/>
      <c r="MEA138" s="774"/>
      <c r="MEB138" s="774"/>
      <c r="MEC138" s="774"/>
      <c r="MED138" s="774"/>
      <c r="MEE138" s="774"/>
      <c r="MEF138" s="774"/>
      <c r="MEG138" s="774"/>
      <c r="MEH138" s="774"/>
      <c r="MEI138" s="774"/>
      <c r="MEJ138" s="774"/>
      <c r="MEK138" s="774"/>
      <c r="MEL138" s="774"/>
      <c r="MEM138" s="774"/>
      <c r="MEN138" s="774"/>
      <c r="MEO138" s="774"/>
      <c r="MEP138" s="774"/>
      <c r="MEQ138" s="774"/>
      <c r="MER138" s="774"/>
      <c r="MES138" s="774"/>
      <c r="MET138" s="774"/>
      <c r="MEU138" s="774"/>
      <c r="MEV138" s="774"/>
      <c r="MEW138" s="774"/>
      <c r="MEX138" s="774"/>
      <c r="MEY138" s="774"/>
      <c r="MEZ138" s="774"/>
      <c r="MFA138" s="774"/>
      <c r="MFB138" s="774"/>
      <c r="MFC138" s="774"/>
      <c r="MFD138" s="774"/>
      <c r="MFE138" s="774"/>
      <c r="MFF138" s="774"/>
      <c r="MFG138" s="774"/>
      <c r="MFH138" s="774"/>
      <c r="MFI138" s="774"/>
      <c r="MFJ138" s="774"/>
      <c r="MFK138" s="774"/>
      <c r="MFL138" s="774"/>
      <c r="MFM138" s="774"/>
      <c r="MFN138" s="774"/>
      <c r="MFO138" s="774"/>
      <c r="MFP138" s="774"/>
      <c r="MFQ138" s="774"/>
      <c r="MFR138" s="774"/>
      <c r="MFS138" s="774"/>
      <c r="MFT138" s="774"/>
      <c r="MFU138" s="774"/>
      <c r="MFV138" s="774"/>
      <c r="MFW138" s="774"/>
      <c r="MFX138" s="774"/>
      <c r="MFY138" s="774"/>
      <c r="MFZ138" s="774"/>
      <c r="MGA138" s="774"/>
      <c r="MGB138" s="774"/>
      <c r="MGC138" s="774"/>
      <c r="MGD138" s="774"/>
      <c r="MGE138" s="774"/>
      <c r="MGF138" s="774"/>
      <c r="MGG138" s="774"/>
      <c r="MGH138" s="774"/>
      <c r="MGI138" s="774"/>
      <c r="MGJ138" s="774"/>
      <c r="MGK138" s="774"/>
      <c r="MGL138" s="774"/>
      <c r="MGM138" s="774"/>
      <c r="MGN138" s="774"/>
      <c r="MGO138" s="774"/>
      <c r="MGP138" s="774"/>
      <c r="MGQ138" s="774"/>
      <c r="MGR138" s="774"/>
      <c r="MGS138" s="774"/>
      <c r="MGT138" s="774"/>
      <c r="MGU138" s="774"/>
      <c r="MGV138" s="774"/>
      <c r="MGW138" s="774"/>
      <c r="MGX138" s="774"/>
      <c r="MGY138" s="774"/>
      <c r="MGZ138" s="774"/>
      <c r="MHA138" s="774"/>
      <c r="MHB138" s="774"/>
      <c r="MHC138" s="774"/>
      <c r="MHD138" s="774"/>
      <c r="MHE138" s="774"/>
      <c r="MHF138" s="774"/>
      <c r="MHG138" s="774"/>
      <c r="MHH138" s="774"/>
      <c r="MHI138" s="774"/>
      <c r="MHJ138" s="774"/>
      <c r="MHK138" s="774"/>
      <c r="MHL138" s="774"/>
      <c r="MHM138" s="774"/>
      <c r="MHN138" s="774"/>
      <c r="MHO138" s="774"/>
      <c r="MHP138" s="774"/>
      <c r="MHQ138" s="774"/>
      <c r="MHR138" s="774"/>
      <c r="MHS138" s="774"/>
      <c r="MHT138" s="774"/>
      <c r="MHU138" s="774"/>
      <c r="MHV138" s="774"/>
      <c r="MHW138" s="774"/>
      <c r="MHX138" s="774"/>
      <c r="MHY138" s="774"/>
      <c r="MHZ138" s="774"/>
      <c r="MIA138" s="774"/>
      <c r="MIB138" s="774"/>
      <c r="MIC138" s="774"/>
      <c r="MID138" s="774"/>
      <c r="MIE138" s="774"/>
      <c r="MIF138" s="774"/>
      <c r="MIG138" s="774"/>
      <c r="MIH138" s="774"/>
      <c r="MII138" s="774"/>
      <c r="MIJ138" s="774"/>
      <c r="MIK138" s="774"/>
      <c r="MIL138" s="774"/>
      <c r="MIM138" s="774"/>
      <c r="MIN138" s="774"/>
      <c r="MIO138" s="774"/>
      <c r="MIP138" s="774"/>
      <c r="MIQ138" s="774"/>
      <c r="MIR138" s="774"/>
      <c r="MIS138" s="774"/>
      <c r="MIT138" s="774"/>
      <c r="MIU138" s="774"/>
      <c r="MIV138" s="774"/>
      <c r="MIW138" s="774"/>
      <c r="MIX138" s="774"/>
      <c r="MIY138" s="774"/>
      <c r="MIZ138" s="774"/>
      <c r="MJA138" s="774"/>
      <c r="MJB138" s="774"/>
      <c r="MJC138" s="774"/>
      <c r="MJD138" s="774"/>
      <c r="MJE138" s="774"/>
      <c r="MJF138" s="774"/>
      <c r="MJG138" s="774"/>
      <c r="MJH138" s="774"/>
      <c r="MJI138" s="774"/>
      <c r="MJJ138" s="774"/>
      <c r="MJK138" s="774"/>
      <c r="MJL138" s="774"/>
      <c r="MJM138" s="774"/>
      <c r="MJN138" s="774"/>
      <c r="MJO138" s="774"/>
      <c r="MJP138" s="774"/>
      <c r="MJQ138" s="774"/>
      <c r="MJR138" s="774"/>
      <c r="MJS138" s="774"/>
      <c r="MJT138" s="774"/>
      <c r="MJU138" s="774"/>
      <c r="MJV138" s="774"/>
      <c r="MJW138" s="774"/>
      <c r="MJX138" s="774"/>
      <c r="MJY138" s="774"/>
      <c r="MJZ138" s="774"/>
      <c r="MKA138" s="774"/>
      <c r="MKB138" s="774"/>
      <c r="MKC138" s="774"/>
      <c r="MKD138" s="774"/>
      <c r="MKE138" s="774"/>
      <c r="MKF138" s="774"/>
      <c r="MKG138" s="774"/>
      <c r="MKH138" s="774"/>
      <c r="MKI138" s="774"/>
      <c r="MKJ138" s="774"/>
      <c r="MKK138" s="774"/>
      <c r="MKL138" s="774"/>
      <c r="MKM138" s="774"/>
      <c r="MKN138" s="774"/>
      <c r="MKO138" s="774"/>
      <c r="MKP138" s="774"/>
      <c r="MKQ138" s="774"/>
      <c r="MKR138" s="774"/>
      <c r="MKS138" s="774"/>
      <c r="MKT138" s="774"/>
      <c r="MKU138" s="774"/>
      <c r="MKV138" s="774"/>
      <c r="MKW138" s="774"/>
      <c r="MKX138" s="774"/>
      <c r="MKY138" s="774"/>
      <c r="MKZ138" s="774"/>
      <c r="MLA138" s="774"/>
      <c r="MLB138" s="774"/>
      <c r="MLC138" s="774"/>
      <c r="MLD138" s="774"/>
      <c r="MLE138" s="774"/>
      <c r="MLF138" s="774"/>
      <c r="MLG138" s="774"/>
      <c r="MLH138" s="774"/>
      <c r="MLI138" s="774"/>
      <c r="MLJ138" s="774"/>
      <c r="MLK138" s="774"/>
      <c r="MLL138" s="774"/>
      <c r="MLM138" s="774"/>
      <c r="MLN138" s="774"/>
      <c r="MLO138" s="774"/>
      <c r="MLP138" s="774"/>
      <c r="MLQ138" s="774"/>
      <c r="MLR138" s="774"/>
      <c r="MLS138" s="774"/>
      <c r="MLT138" s="774"/>
      <c r="MLU138" s="774"/>
      <c r="MLV138" s="774"/>
      <c r="MLW138" s="774"/>
      <c r="MLX138" s="774"/>
      <c r="MLY138" s="774"/>
      <c r="MLZ138" s="774"/>
      <c r="MMA138" s="774"/>
      <c r="MMB138" s="774"/>
      <c r="MMC138" s="774"/>
      <c r="MMD138" s="774"/>
      <c r="MME138" s="774"/>
      <c r="MMF138" s="774"/>
      <c r="MMG138" s="774"/>
      <c r="MMH138" s="774"/>
      <c r="MMI138" s="774"/>
      <c r="MMJ138" s="774"/>
      <c r="MMK138" s="774"/>
      <c r="MML138" s="774"/>
      <c r="MMM138" s="774"/>
      <c r="MMN138" s="774"/>
      <c r="MMO138" s="774"/>
      <c r="MMP138" s="774"/>
      <c r="MMQ138" s="774"/>
      <c r="MMR138" s="774"/>
      <c r="MMS138" s="774"/>
      <c r="MMT138" s="774"/>
      <c r="MMU138" s="774"/>
      <c r="MMV138" s="774"/>
      <c r="MMW138" s="774"/>
      <c r="MMX138" s="774"/>
      <c r="MMY138" s="774"/>
      <c r="MMZ138" s="774"/>
      <c r="MNA138" s="774"/>
      <c r="MNB138" s="774"/>
      <c r="MNC138" s="774"/>
      <c r="MND138" s="774"/>
      <c r="MNE138" s="774"/>
      <c r="MNF138" s="774"/>
      <c r="MNG138" s="774"/>
      <c r="MNH138" s="774"/>
      <c r="MNI138" s="774"/>
      <c r="MNJ138" s="774"/>
      <c r="MNK138" s="774"/>
      <c r="MNL138" s="774"/>
      <c r="MNM138" s="774"/>
      <c r="MNN138" s="774"/>
      <c r="MNO138" s="774"/>
      <c r="MNP138" s="774"/>
      <c r="MNQ138" s="774"/>
      <c r="MNR138" s="774"/>
      <c r="MNS138" s="774"/>
      <c r="MNT138" s="774"/>
      <c r="MNU138" s="774"/>
      <c r="MNV138" s="774"/>
      <c r="MNW138" s="774"/>
      <c r="MNX138" s="774"/>
      <c r="MNY138" s="774"/>
      <c r="MNZ138" s="774"/>
      <c r="MOA138" s="774"/>
      <c r="MOB138" s="774"/>
      <c r="MOC138" s="774"/>
      <c r="MOD138" s="774"/>
      <c r="MOE138" s="774"/>
      <c r="MOF138" s="774"/>
      <c r="MOG138" s="774"/>
      <c r="MOH138" s="774"/>
      <c r="MOI138" s="774"/>
      <c r="MOJ138" s="774"/>
      <c r="MOK138" s="774"/>
      <c r="MOL138" s="774"/>
      <c r="MOM138" s="774"/>
      <c r="MON138" s="774"/>
      <c r="MOO138" s="774"/>
      <c r="MOP138" s="774"/>
      <c r="MOQ138" s="774"/>
      <c r="MOR138" s="774"/>
      <c r="MOS138" s="774"/>
      <c r="MOT138" s="774"/>
      <c r="MOU138" s="774"/>
      <c r="MOV138" s="774"/>
      <c r="MOW138" s="774"/>
      <c r="MOX138" s="774"/>
      <c r="MOY138" s="774"/>
      <c r="MOZ138" s="774"/>
      <c r="MPA138" s="774"/>
      <c r="MPB138" s="774"/>
      <c r="MPC138" s="774"/>
      <c r="MPD138" s="774"/>
      <c r="MPE138" s="774"/>
      <c r="MPF138" s="774"/>
      <c r="MPG138" s="774"/>
      <c r="MPH138" s="774"/>
      <c r="MPI138" s="774"/>
      <c r="MPJ138" s="774"/>
      <c r="MPK138" s="774"/>
      <c r="MPL138" s="774"/>
      <c r="MPM138" s="774"/>
      <c r="MPN138" s="774"/>
      <c r="MPO138" s="774"/>
      <c r="MPP138" s="774"/>
      <c r="MPQ138" s="774"/>
      <c r="MPR138" s="774"/>
      <c r="MPS138" s="774"/>
      <c r="MPT138" s="774"/>
      <c r="MPU138" s="774"/>
      <c r="MPV138" s="774"/>
      <c r="MPW138" s="774"/>
      <c r="MPX138" s="774"/>
      <c r="MPY138" s="774"/>
      <c r="MPZ138" s="774"/>
      <c r="MQA138" s="774"/>
      <c r="MQB138" s="774"/>
      <c r="MQC138" s="774"/>
      <c r="MQD138" s="774"/>
      <c r="MQE138" s="774"/>
      <c r="MQF138" s="774"/>
      <c r="MQG138" s="774"/>
      <c r="MQH138" s="774"/>
      <c r="MQI138" s="774"/>
      <c r="MQJ138" s="774"/>
      <c r="MQK138" s="774"/>
      <c r="MQL138" s="774"/>
      <c r="MQM138" s="774"/>
      <c r="MQN138" s="774"/>
      <c r="MQO138" s="774"/>
      <c r="MQP138" s="774"/>
      <c r="MQQ138" s="774"/>
      <c r="MQR138" s="774"/>
      <c r="MQS138" s="774"/>
      <c r="MQT138" s="774"/>
      <c r="MQU138" s="774"/>
      <c r="MQV138" s="774"/>
      <c r="MQW138" s="774"/>
      <c r="MQX138" s="774"/>
      <c r="MQY138" s="774"/>
      <c r="MQZ138" s="774"/>
      <c r="MRA138" s="774"/>
      <c r="MRB138" s="774"/>
      <c r="MRC138" s="774"/>
      <c r="MRD138" s="774"/>
      <c r="MRE138" s="774"/>
      <c r="MRF138" s="774"/>
      <c r="MRG138" s="774"/>
      <c r="MRH138" s="774"/>
      <c r="MRI138" s="774"/>
      <c r="MRJ138" s="774"/>
      <c r="MRK138" s="774"/>
      <c r="MRL138" s="774"/>
      <c r="MRM138" s="774"/>
      <c r="MRN138" s="774"/>
      <c r="MRO138" s="774"/>
      <c r="MRP138" s="774"/>
      <c r="MRQ138" s="774"/>
      <c r="MRR138" s="774"/>
      <c r="MRS138" s="774"/>
      <c r="MRT138" s="774"/>
      <c r="MRU138" s="774"/>
      <c r="MRV138" s="774"/>
      <c r="MRW138" s="774"/>
      <c r="MRX138" s="774"/>
      <c r="MRY138" s="774"/>
      <c r="MRZ138" s="774"/>
      <c r="MSA138" s="774"/>
      <c r="MSB138" s="774"/>
      <c r="MSC138" s="774"/>
      <c r="MSD138" s="774"/>
      <c r="MSE138" s="774"/>
      <c r="MSF138" s="774"/>
      <c r="MSG138" s="774"/>
      <c r="MSH138" s="774"/>
      <c r="MSI138" s="774"/>
      <c r="MSJ138" s="774"/>
      <c r="MSK138" s="774"/>
      <c r="MSL138" s="774"/>
      <c r="MSM138" s="774"/>
      <c r="MSN138" s="774"/>
      <c r="MSO138" s="774"/>
      <c r="MSP138" s="774"/>
      <c r="MSQ138" s="774"/>
      <c r="MSR138" s="774"/>
      <c r="MSS138" s="774"/>
      <c r="MST138" s="774"/>
      <c r="MSU138" s="774"/>
      <c r="MSV138" s="774"/>
      <c r="MSW138" s="774"/>
      <c r="MSX138" s="774"/>
      <c r="MSY138" s="774"/>
      <c r="MSZ138" s="774"/>
      <c r="MTA138" s="774"/>
      <c r="MTB138" s="774"/>
      <c r="MTC138" s="774"/>
      <c r="MTD138" s="774"/>
      <c r="MTE138" s="774"/>
      <c r="MTF138" s="774"/>
      <c r="MTG138" s="774"/>
      <c r="MTH138" s="774"/>
      <c r="MTI138" s="774"/>
      <c r="MTJ138" s="774"/>
      <c r="MTK138" s="774"/>
      <c r="MTL138" s="774"/>
      <c r="MTM138" s="774"/>
      <c r="MTN138" s="774"/>
      <c r="MTO138" s="774"/>
      <c r="MTP138" s="774"/>
      <c r="MTQ138" s="774"/>
      <c r="MTR138" s="774"/>
      <c r="MTS138" s="774"/>
      <c r="MTT138" s="774"/>
      <c r="MTU138" s="774"/>
      <c r="MTV138" s="774"/>
      <c r="MTW138" s="774"/>
      <c r="MTX138" s="774"/>
      <c r="MTY138" s="774"/>
      <c r="MTZ138" s="774"/>
      <c r="MUA138" s="774"/>
      <c r="MUB138" s="774"/>
      <c r="MUC138" s="774"/>
      <c r="MUD138" s="774"/>
      <c r="MUE138" s="774"/>
      <c r="MUF138" s="774"/>
      <c r="MUG138" s="774"/>
      <c r="MUH138" s="774"/>
      <c r="MUI138" s="774"/>
      <c r="MUJ138" s="774"/>
      <c r="MUK138" s="774"/>
      <c r="MUL138" s="774"/>
      <c r="MUM138" s="774"/>
      <c r="MUN138" s="774"/>
      <c r="MUO138" s="774"/>
      <c r="MUP138" s="774"/>
      <c r="MUQ138" s="774"/>
      <c r="MUR138" s="774"/>
      <c r="MUS138" s="774"/>
      <c r="MUT138" s="774"/>
      <c r="MUU138" s="774"/>
      <c r="MUV138" s="774"/>
      <c r="MUW138" s="774"/>
      <c r="MUX138" s="774"/>
      <c r="MUY138" s="774"/>
      <c r="MUZ138" s="774"/>
      <c r="MVA138" s="774"/>
      <c r="MVB138" s="774"/>
      <c r="MVC138" s="774"/>
      <c r="MVD138" s="774"/>
      <c r="MVE138" s="774"/>
      <c r="MVF138" s="774"/>
      <c r="MVG138" s="774"/>
      <c r="MVH138" s="774"/>
      <c r="MVI138" s="774"/>
      <c r="MVJ138" s="774"/>
      <c r="MVK138" s="774"/>
      <c r="MVL138" s="774"/>
      <c r="MVM138" s="774"/>
      <c r="MVN138" s="774"/>
      <c r="MVO138" s="774"/>
      <c r="MVP138" s="774"/>
      <c r="MVQ138" s="774"/>
      <c r="MVR138" s="774"/>
      <c r="MVS138" s="774"/>
      <c r="MVT138" s="774"/>
      <c r="MVU138" s="774"/>
      <c r="MVV138" s="774"/>
      <c r="MVW138" s="774"/>
      <c r="MVX138" s="774"/>
      <c r="MVY138" s="774"/>
      <c r="MVZ138" s="774"/>
      <c r="MWA138" s="774"/>
      <c r="MWB138" s="774"/>
      <c r="MWC138" s="774"/>
      <c r="MWD138" s="774"/>
      <c r="MWE138" s="774"/>
      <c r="MWF138" s="774"/>
      <c r="MWG138" s="774"/>
      <c r="MWH138" s="774"/>
      <c r="MWI138" s="774"/>
      <c r="MWJ138" s="774"/>
      <c r="MWK138" s="774"/>
      <c r="MWL138" s="774"/>
      <c r="MWM138" s="774"/>
      <c r="MWN138" s="774"/>
      <c r="MWO138" s="774"/>
      <c r="MWP138" s="774"/>
      <c r="MWQ138" s="774"/>
      <c r="MWR138" s="774"/>
      <c r="MWS138" s="774"/>
      <c r="MWT138" s="774"/>
      <c r="MWU138" s="774"/>
      <c r="MWV138" s="774"/>
      <c r="MWW138" s="774"/>
      <c r="MWX138" s="774"/>
      <c r="MWY138" s="774"/>
      <c r="MWZ138" s="774"/>
      <c r="MXA138" s="774"/>
      <c r="MXB138" s="774"/>
      <c r="MXC138" s="774"/>
      <c r="MXD138" s="774"/>
      <c r="MXE138" s="774"/>
      <c r="MXF138" s="774"/>
      <c r="MXG138" s="774"/>
      <c r="MXH138" s="774"/>
      <c r="MXI138" s="774"/>
      <c r="MXJ138" s="774"/>
      <c r="MXK138" s="774"/>
      <c r="MXL138" s="774"/>
      <c r="MXM138" s="774"/>
      <c r="MXN138" s="774"/>
      <c r="MXO138" s="774"/>
      <c r="MXP138" s="774"/>
      <c r="MXQ138" s="774"/>
      <c r="MXR138" s="774"/>
      <c r="MXS138" s="774"/>
      <c r="MXT138" s="774"/>
      <c r="MXU138" s="774"/>
      <c r="MXV138" s="774"/>
      <c r="MXW138" s="774"/>
      <c r="MXX138" s="774"/>
      <c r="MXY138" s="774"/>
      <c r="MXZ138" s="774"/>
      <c r="MYA138" s="774"/>
      <c r="MYB138" s="774"/>
      <c r="MYC138" s="774"/>
      <c r="MYD138" s="774"/>
      <c r="MYE138" s="774"/>
      <c r="MYF138" s="774"/>
      <c r="MYG138" s="774"/>
      <c r="MYH138" s="774"/>
      <c r="MYI138" s="774"/>
      <c r="MYJ138" s="774"/>
      <c r="MYK138" s="774"/>
      <c r="MYL138" s="774"/>
      <c r="MYM138" s="774"/>
      <c r="MYN138" s="774"/>
      <c r="MYO138" s="774"/>
      <c r="MYP138" s="774"/>
      <c r="MYQ138" s="774"/>
      <c r="MYR138" s="774"/>
      <c r="MYS138" s="774"/>
      <c r="MYT138" s="774"/>
      <c r="MYU138" s="774"/>
      <c r="MYV138" s="774"/>
      <c r="MYW138" s="774"/>
      <c r="MYX138" s="774"/>
      <c r="MYY138" s="774"/>
      <c r="MYZ138" s="774"/>
      <c r="MZA138" s="774"/>
      <c r="MZB138" s="774"/>
      <c r="MZC138" s="774"/>
      <c r="MZD138" s="774"/>
      <c r="MZE138" s="774"/>
      <c r="MZF138" s="774"/>
      <c r="MZG138" s="774"/>
      <c r="MZH138" s="774"/>
      <c r="MZI138" s="774"/>
      <c r="MZJ138" s="774"/>
      <c r="MZK138" s="774"/>
      <c r="MZL138" s="774"/>
      <c r="MZM138" s="774"/>
      <c r="MZN138" s="774"/>
      <c r="MZO138" s="774"/>
      <c r="MZP138" s="774"/>
      <c r="MZQ138" s="774"/>
      <c r="MZR138" s="774"/>
      <c r="MZS138" s="774"/>
      <c r="MZT138" s="774"/>
      <c r="MZU138" s="774"/>
      <c r="MZV138" s="774"/>
      <c r="MZW138" s="774"/>
      <c r="MZX138" s="774"/>
      <c r="MZY138" s="774"/>
      <c r="MZZ138" s="774"/>
      <c r="NAA138" s="774"/>
      <c r="NAB138" s="774"/>
      <c r="NAC138" s="774"/>
      <c r="NAD138" s="774"/>
      <c r="NAE138" s="774"/>
      <c r="NAF138" s="774"/>
      <c r="NAG138" s="774"/>
      <c r="NAH138" s="774"/>
      <c r="NAI138" s="774"/>
      <c r="NAJ138" s="774"/>
      <c r="NAK138" s="774"/>
      <c r="NAL138" s="774"/>
      <c r="NAM138" s="774"/>
      <c r="NAN138" s="774"/>
      <c r="NAO138" s="774"/>
      <c r="NAP138" s="774"/>
      <c r="NAQ138" s="774"/>
      <c r="NAR138" s="774"/>
      <c r="NAS138" s="774"/>
      <c r="NAT138" s="774"/>
      <c r="NAU138" s="774"/>
      <c r="NAV138" s="774"/>
      <c r="NAW138" s="774"/>
      <c r="NAX138" s="774"/>
      <c r="NAY138" s="774"/>
      <c r="NAZ138" s="774"/>
      <c r="NBA138" s="774"/>
      <c r="NBB138" s="774"/>
      <c r="NBC138" s="774"/>
      <c r="NBD138" s="774"/>
      <c r="NBE138" s="774"/>
      <c r="NBF138" s="774"/>
      <c r="NBG138" s="774"/>
      <c r="NBH138" s="774"/>
      <c r="NBI138" s="774"/>
      <c r="NBJ138" s="774"/>
      <c r="NBK138" s="774"/>
      <c r="NBL138" s="774"/>
      <c r="NBM138" s="774"/>
      <c r="NBN138" s="774"/>
      <c r="NBO138" s="774"/>
      <c r="NBP138" s="774"/>
      <c r="NBQ138" s="774"/>
      <c r="NBR138" s="774"/>
      <c r="NBS138" s="774"/>
      <c r="NBT138" s="774"/>
      <c r="NBU138" s="774"/>
      <c r="NBV138" s="774"/>
      <c r="NBW138" s="774"/>
      <c r="NBX138" s="774"/>
      <c r="NBY138" s="774"/>
      <c r="NBZ138" s="774"/>
      <c r="NCA138" s="774"/>
      <c r="NCB138" s="774"/>
      <c r="NCC138" s="774"/>
      <c r="NCD138" s="774"/>
      <c r="NCE138" s="774"/>
      <c r="NCF138" s="774"/>
      <c r="NCG138" s="774"/>
      <c r="NCH138" s="774"/>
      <c r="NCI138" s="774"/>
      <c r="NCJ138" s="774"/>
      <c r="NCK138" s="774"/>
      <c r="NCL138" s="774"/>
      <c r="NCM138" s="774"/>
      <c r="NCN138" s="774"/>
      <c r="NCO138" s="774"/>
      <c r="NCP138" s="774"/>
      <c r="NCQ138" s="774"/>
      <c r="NCR138" s="774"/>
      <c r="NCS138" s="774"/>
      <c r="NCT138" s="774"/>
      <c r="NCU138" s="774"/>
      <c r="NCV138" s="774"/>
      <c r="NCW138" s="774"/>
      <c r="NCX138" s="774"/>
      <c r="NCY138" s="774"/>
      <c r="NCZ138" s="774"/>
      <c r="NDA138" s="774"/>
      <c r="NDB138" s="774"/>
      <c r="NDC138" s="774"/>
      <c r="NDD138" s="774"/>
      <c r="NDE138" s="774"/>
      <c r="NDF138" s="774"/>
      <c r="NDG138" s="774"/>
      <c r="NDH138" s="774"/>
      <c r="NDI138" s="774"/>
      <c r="NDJ138" s="774"/>
      <c r="NDK138" s="774"/>
      <c r="NDL138" s="774"/>
      <c r="NDM138" s="774"/>
      <c r="NDN138" s="774"/>
      <c r="NDO138" s="774"/>
      <c r="NDP138" s="774"/>
      <c r="NDQ138" s="774"/>
      <c r="NDR138" s="774"/>
      <c r="NDS138" s="774"/>
      <c r="NDT138" s="774"/>
      <c r="NDU138" s="774"/>
      <c r="NDV138" s="774"/>
      <c r="NDW138" s="774"/>
      <c r="NDX138" s="774"/>
      <c r="NDY138" s="774"/>
      <c r="NDZ138" s="774"/>
      <c r="NEA138" s="774"/>
      <c r="NEB138" s="774"/>
      <c r="NEC138" s="774"/>
      <c r="NED138" s="774"/>
      <c r="NEE138" s="774"/>
      <c r="NEF138" s="774"/>
      <c r="NEG138" s="774"/>
      <c r="NEH138" s="774"/>
      <c r="NEI138" s="774"/>
      <c r="NEJ138" s="774"/>
      <c r="NEK138" s="774"/>
      <c r="NEL138" s="774"/>
      <c r="NEM138" s="774"/>
      <c r="NEN138" s="774"/>
      <c r="NEO138" s="774"/>
      <c r="NEP138" s="774"/>
      <c r="NEQ138" s="774"/>
      <c r="NER138" s="774"/>
      <c r="NES138" s="774"/>
      <c r="NET138" s="774"/>
      <c r="NEU138" s="774"/>
      <c r="NEV138" s="774"/>
      <c r="NEW138" s="774"/>
      <c r="NEX138" s="774"/>
      <c r="NEY138" s="774"/>
      <c r="NEZ138" s="774"/>
      <c r="NFA138" s="774"/>
      <c r="NFB138" s="774"/>
      <c r="NFC138" s="774"/>
      <c r="NFD138" s="774"/>
      <c r="NFE138" s="774"/>
      <c r="NFF138" s="774"/>
      <c r="NFG138" s="774"/>
      <c r="NFH138" s="774"/>
      <c r="NFI138" s="774"/>
      <c r="NFJ138" s="774"/>
      <c r="NFK138" s="774"/>
      <c r="NFL138" s="774"/>
      <c r="NFM138" s="774"/>
      <c r="NFN138" s="774"/>
      <c r="NFO138" s="774"/>
      <c r="NFP138" s="774"/>
      <c r="NFQ138" s="774"/>
      <c r="NFR138" s="774"/>
      <c r="NFS138" s="774"/>
      <c r="NFT138" s="774"/>
      <c r="NFU138" s="774"/>
      <c r="NFV138" s="774"/>
      <c r="NFW138" s="774"/>
      <c r="NFX138" s="774"/>
      <c r="NFY138" s="774"/>
      <c r="NFZ138" s="774"/>
      <c r="NGA138" s="774"/>
      <c r="NGB138" s="774"/>
      <c r="NGC138" s="774"/>
      <c r="NGD138" s="774"/>
      <c r="NGE138" s="774"/>
      <c r="NGF138" s="774"/>
      <c r="NGG138" s="774"/>
      <c r="NGH138" s="774"/>
      <c r="NGI138" s="774"/>
      <c r="NGJ138" s="774"/>
      <c r="NGK138" s="774"/>
      <c r="NGL138" s="774"/>
      <c r="NGM138" s="774"/>
      <c r="NGN138" s="774"/>
      <c r="NGO138" s="774"/>
      <c r="NGP138" s="774"/>
      <c r="NGQ138" s="774"/>
      <c r="NGR138" s="774"/>
      <c r="NGS138" s="774"/>
      <c r="NGT138" s="774"/>
      <c r="NGU138" s="774"/>
      <c r="NGV138" s="774"/>
      <c r="NGW138" s="774"/>
      <c r="NGX138" s="774"/>
      <c r="NGY138" s="774"/>
      <c r="NGZ138" s="774"/>
      <c r="NHA138" s="774"/>
      <c r="NHB138" s="774"/>
      <c r="NHC138" s="774"/>
      <c r="NHD138" s="774"/>
      <c r="NHE138" s="774"/>
      <c r="NHF138" s="774"/>
      <c r="NHG138" s="774"/>
      <c r="NHH138" s="774"/>
      <c r="NHI138" s="774"/>
      <c r="NHJ138" s="774"/>
      <c r="NHK138" s="774"/>
      <c r="NHL138" s="774"/>
      <c r="NHM138" s="774"/>
      <c r="NHN138" s="774"/>
      <c r="NHO138" s="774"/>
      <c r="NHP138" s="774"/>
      <c r="NHQ138" s="774"/>
      <c r="NHR138" s="774"/>
      <c r="NHS138" s="774"/>
      <c r="NHT138" s="774"/>
      <c r="NHU138" s="774"/>
      <c r="NHV138" s="774"/>
      <c r="NHW138" s="774"/>
      <c r="NHX138" s="774"/>
      <c r="NHY138" s="774"/>
      <c r="NHZ138" s="774"/>
      <c r="NIA138" s="774"/>
      <c r="NIB138" s="774"/>
      <c r="NIC138" s="774"/>
      <c r="NID138" s="774"/>
      <c r="NIE138" s="774"/>
      <c r="NIF138" s="774"/>
      <c r="NIG138" s="774"/>
      <c r="NIH138" s="774"/>
      <c r="NII138" s="774"/>
      <c r="NIJ138" s="774"/>
      <c r="NIK138" s="774"/>
      <c r="NIL138" s="774"/>
      <c r="NIM138" s="774"/>
      <c r="NIN138" s="774"/>
      <c r="NIO138" s="774"/>
      <c r="NIP138" s="774"/>
      <c r="NIQ138" s="774"/>
      <c r="NIR138" s="774"/>
      <c r="NIS138" s="774"/>
      <c r="NIT138" s="774"/>
      <c r="NIU138" s="774"/>
      <c r="NIV138" s="774"/>
      <c r="NIW138" s="774"/>
      <c r="NIX138" s="774"/>
      <c r="NIY138" s="774"/>
      <c r="NIZ138" s="774"/>
      <c r="NJA138" s="774"/>
      <c r="NJB138" s="774"/>
      <c r="NJC138" s="774"/>
      <c r="NJD138" s="774"/>
      <c r="NJE138" s="774"/>
      <c r="NJF138" s="774"/>
      <c r="NJG138" s="774"/>
      <c r="NJH138" s="774"/>
      <c r="NJI138" s="774"/>
      <c r="NJJ138" s="774"/>
      <c r="NJK138" s="774"/>
      <c r="NJL138" s="774"/>
      <c r="NJM138" s="774"/>
      <c r="NJN138" s="774"/>
      <c r="NJO138" s="774"/>
      <c r="NJP138" s="774"/>
      <c r="NJQ138" s="774"/>
      <c r="NJR138" s="774"/>
      <c r="NJS138" s="774"/>
      <c r="NJT138" s="774"/>
      <c r="NJU138" s="774"/>
      <c r="NJV138" s="774"/>
      <c r="NJW138" s="774"/>
      <c r="NJX138" s="774"/>
      <c r="NJY138" s="774"/>
      <c r="NJZ138" s="774"/>
      <c r="NKA138" s="774"/>
      <c r="NKB138" s="774"/>
      <c r="NKC138" s="774"/>
      <c r="NKD138" s="774"/>
      <c r="NKE138" s="774"/>
      <c r="NKF138" s="774"/>
      <c r="NKG138" s="774"/>
      <c r="NKH138" s="774"/>
      <c r="NKI138" s="774"/>
      <c r="NKJ138" s="774"/>
      <c r="NKK138" s="774"/>
      <c r="NKL138" s="774"/>
      <c r="NKM138" s="774"/>
      <c r="NKN138" s="774"/>
      <c r="NKO138" s="774"/>
      <c r="NKP138" s="774"/>
      <c r="NKQ138" s="774"/>
      <c r="NKR138" s="774"/>
      <c r="NKS138" s="774"/>
      <c r="NKT138" s="774"/>
      <c r="NKU138" s="774"/>
      <c r="NKV138" s="774"/>
      <c r="NKW138" s="774"/>
      <c r="NKX138" s="774"/>
      <c r="NKY138" s="774"/>
      <c r="NKZ138" s="774"/>
      <c r="NLA138" s="774"/>
      <c r="NLB138" s="774"/>
      <c r="NLC138" s="774"/>
      <c r="NLD138" s="774"/>
      <c r="NLE138" s="774"/>
      <c r="NLF138" s="774"/>
      <c r="NLG138" s="774"/>
      <c r="NLH138" s="774"/>
      <c r="NLI138" s="774"/>
      <c r="NLJ138" s="774"/>
      <c r="NLK138" s="774"/>
      <c r="NLL138" s="774"/>
      <c r="NLM138" s="774"/>
      <c r="NLN138" s="774"/>
      <c r="NLO138" s="774"/>
      <c r="NLP138" s="774"/>
      <c r="NLQ138" s="774"/>
      <c r="NLR138" s="774"/>
      <c r="NLS138" s="774"/>
      <c r="NLT138" s="774"/>
      <c r="NLU138" s="774"/>
      <c r="NLV138" s="774"/>
      <c r="NLW138" s="774"/>
      <c r="NLX138" s="774"/>
      <c r="NLY138" s="774"/>
      <c r="NLZ138" s="774"/>
      <c r="NMA138" s="774"/>
      <c r="NMB138" s="774"/>
      <c r="NMC138" s="774"/>
      <c r="NMD138" s="774"/>
      <c r="NME138" s="774"/>
      <c r="NMF138" s="774"/>
      <c r="NMG138" s="774"/>
      <c r="NMH138" s="774"/>
      <c r="NMI138" s="774"/>
      <c r="NMJ138" s="774"/>
      <c r="NMK138" s="774"/>
      <c r="NML138" s="774"/>
      <c r="NMM138" s="774"/>
      <c r="NMN138" s="774"/>
      <c r="NMO138" s="774"/>
      <c r="NMP138" s="774"/>
      <c r="NMQ138" s="774"/>
      <c r="NMR138" s="774"/>
      <c r="NMS138" s="774"/>
      <c r="NMT138" s="774"/>
      <c r="NMU138" s="774"/>
      <c r="NMV138" s="774"/>
      <c r="NMW138" s="774"/>
      <c r="NMX138" s="774"/>
      <c r="NMY138" s="774"/>
      <c r="NMZ138" s="774"/>
      <c r="NNA138" s="774"/>
      <c r="NNB138" s="774"/>
      <c r="NNC138" s="774"/>
      <c r="NND138" s="774"/>
      <c r="NNE138" s="774"/>
      <c r="NNF138" s="774"/>
      <c r="NNG138" s="774"/>
      <c r="NNH138" s="774"/>
      <c r="NNI138" s="774"/>
      <c r="NNJ138" s="774"/>
      <c r="NNK138" s="774"/>
      <c r="NNL138" s="774"/>
      <c r="NNM138" s="774"/>
      <c r="NNN138" s="774"/>
      <c r="NNO138" s="774"/>
      <c r="NNP138" s="774"/>
      <c r="NNQ138" s="774"/>
      <c r="NNR138" s="774"/>
      <c r="NNS138" s="774"/>
      <c r="NNT138" s="774"/>
      <c r="NNU138" s="774"/>
      <c r="NNV138" s="774"/>
      <c r="NNW138" s="774"/>
      <c r="NNX138" s="774"/>
      <c r="NNY138" s="774"/>
      <c r="NNZ138" s="774"/>
      <c r="NOA138" s="774"/>
      <c r="NOB138" s="774"/>
      <c r="NOC138" s="774"/>
      <c r="NOD138" s="774"/>
      <c r="NOE138" s="774"/>
      <c r="NOF138" s="774"/>
      <c r="NOG138" s="774"/>
      <c r="NOH138" s="774"/>
      <c r="NOI138" s="774"/>
      <c r="NOJ138" s="774"/>
      <c r="NOK138" s="774"/>
      <c r="NOL138" s="774"/>
      <c r="NOM138" s="774"/>
      <c r="NON138" s="774"/>
      <c r="NOO138" s="774"/>
      <c r="NOP138" s="774"/>
      <c r="NOQ138" s="774"/>
      <c r="NOR138" s="774"/>
      <c r="NOS138" s="774"/>
      <c r="NOT138" s="774"/>
      <c r="NOU138" s="774"/>
      <c r="NOV138" s="774"/>
      <c r="NOW138" s="774"/>
      <c r="NOX138" s="774"/>
      <c r="NOY138" s="774"/>
      <c r="NOZ138" s="774"/>
      <c r="NPA138" s="774"/>
      <c r="NPB138" s="774"/>
      <c r="NPC138" s="774"/>
      <c r="NPD138" s="774"/>
      <c r="NPE138" s="774"/>
      <c r="NPF138" s="774"/>
      <c r="NPG138" s="774"/>
      <c r="NPH138" s="774"/>
      <c r="NPI138" s="774"/>
      <c r="NPJ138" s="774"/>
      <c r="NPK138" s="774"/>
      <c r="NPL138" s="774"/>
      <c r="NPM138" s="774"/>
      <c r="NPN138" s="774"/>
      <c r="NPO138" s="774"/>
      <c r="NPP138" s="774"/>
      <c r="NPQ138" s="774"/>
      <c r="NPR138" s="774"/>
      <c r="NPS138" s="774"/>
      <c r="NPT138" s="774"/>
      <c r="NPU138" s="774"/>
      <c r="NPV138" s="774"/>
      <c r="NPW138" s="774"/>
      <c r="NPX138" s="774"/>
      <c r="NPY138" s="774"/>
      <c r="NPZ138" s="774"/>
      <c r="NQA138" s="774"/>
      <c r="NQB138" s="774"/>
      <c r="NQC138" s="774"/>
      <c r="NQD138" s="774"/>
      <c r="NQE138" s="774"/>
      <c r="NQF138" s="774"/>
      <c r="NQG138" s="774"/>
      <c r="NQH138" s="774"/>
      <c r="NQI138" s="774"/>
      <c r="NQJ138" s="774"/>
      <c r="NQK138" s="774"/>
      <c r="NQL138" s="774"/>
      <c r="NQM138" s="774"/>
      <c r="NQN138" s="774"/>
      <c r="NQO138" s="774"/>
      <c r="NQP138" s="774"/>
      <c r="NQQ138" s="774"/>
      <c r="NQR138" s="774"/>
      <c r="NQS138" s="774"/>
      <c r="NQT138" s="774"/>
      <c r="NQU138" s="774"/>
      <c r="NQV138" s="774"/>
      <c r="NQW138" s="774"/>
      <c r="NQX138" s="774"/>
      <c r="NQY138" s="774"/>
      <c r="NQZ138" s="774"/>
      <c r="NRA138" s="774"/>
      <c r="NRB138" s="774"/>
      <c r="NRC138" s="774"/>
      <c r="NRD138" s="774"/>
      <c r="NRE138" s="774"/>
      <c r="NRF138" s="774"/>
      <c r="NRG138" s="774"/>
      <c r="NRH138" s="774"/>
      <c r="NRI138" s="774"/>
      <c r="NRJ138" s="774"/>
      <c r="NRK138" s="774"/>
      <c r="NRL138" s="774"/>
      <c r="NRM138" s="774"/>
      <c r="NRN138" s="774"/>
      <c r="NRO138" s="774"/>
      <c r="NRP138" s="774"/>
      <c r="NRQ138" s="774"/>
      <c r="NRR138" s="774"/>
      <c r="NRS138" s="774"/>
      <c r="NRT138" s="774"/>
      <c r="NRU138" s="774"/>
      <c r="NRV138" s="774"/>
      <c r="NRW138" s="774"/>
      <c r="NRX138" s="774"/>
      <c r="NRY138" s="774"/>
      <c r="NRZ138" s="774"/>
      <c r="NSA138" s="774"/>
      <c r="NSB138" s="774"/>
      <c r="NSC138" s="774"/>
      <c r="NSD138" s="774"/>
      <c r="NSE138" s="774"/>
      <c r="NSF138" s="774"/>
      <c r="NSG138" s="774"/>
      <c r="NSH138" s="774"/>
      <c r="NSI138" s="774"/>
      <c r="NSJ138" s="774"/>
      <c r="NSK138" s="774"/>
      <c r="NSL138" s="774"/>
      <c r="NSM138" s="774"/>
      <c r="NSN138" s="774"/>
      <c r="NSO138" s="774"/>
      <c r="NSP138" s="774"/>
      <c r="NSQ138" s="774"/>
      <c r="NSR138" s="774"/>
      <c r="NSS138" s="774"/>
      <c r="NST138" s="774"/>
      <c r="NSU138" s="774"/>
      <c r="NSV138" s="774"/>
      <c r="NSW138" s="774"/>
      <c r="NSX138" s="774"/>
      <c r="NSY138" s="774"/>
      <c r="NSZ138" s="774"/>
      <c r="NTA138" s="774"/>
      <c r="NTB138" s="774"/>
      <c r="NTC138" s="774"/>
      <c r="NTD138" s="774"/>
      <c r="NTE138" s="774"/>
      <c r="NTF138" s="774"/>
      <c r="NTG138" s="774"/>
      <c r="NTH138" s="774"/>
      <c r="NTI138" s="774"/>
      <c r="NTJ138" s="774"/>
      <c r="NTK138" s="774"/>
      <c r="NTL138" s="774"/>
      <c r="NTM138" s="774"/>
      <c r="NTN138" s="774"/>
      <c r="NTO138" s="774"/>
      <c r="NTP138" s="774"/>
      <c r="NTQ138" s="774"/>
      <c r="NTR138" s="774"/>
      <c r="NTS138" s="774"/>
      <c r="NTT138" s="774"/>
      <c r="NTU138" s="774"/>
      <c r="NTV138" s="774"/>
      <c r="NTW138" s="774"/>
      <c r="NTX138" s="774"/>
      <c r="NTY138" s="774"/>
      <c r="NTZ138" s="774"/>
      <c r="NUA138" s="774"/>
      <c r="NUB138" s="774"/>
      <c r="NUC138" s="774"/>
      <c r="NUD138" s="774"/>
      <c r="NUE138" s="774"/>
      <c r="NUF138" s="774"/>
      <c r="NUG138" s="774"/>
      <c r="NUH138" s="774"/>
      <c r="NUI138" s="774"/>
      <c r="NUJ138" s="774"/>
      <c r="NUK138" s="774"/>
      <c r="NUL138" s="774"/>
      <c r="NUM138" s="774"/>
      <c r="NUN138" s="774"/>
      <c r="NUO138" s="774"/>
      <c r="NUP138" s="774"/>
      <c r="NUQ138" s="774"/>
      <c r="NUR138" s="774"/>
      <c r="NUS138" s="774"/>
      <c r="NUT138" s="774"/>
      <c r="NUU138" s="774"/>
      <c r="NUV138" s="774"/>
      <c r="NUW138" s="774"/>
      <c r="NUX138" s="774"/>
      <c r="NUY138" s="774"/>
      <c r="NUZ138" s="774"/>
      <c r="NVA138" s="774"/>
      <c r="NVB138" s="774"/>
      <c r="NVC138" s="774"/>
      <c r="NVD138" s="774"/>
      <c r="NVE138" s="774"/>
      <c r="NVF138" s="774"/>
      <c r="NVG138" s="774"/>
      <c r="NVH138" s="774"/>
      <c r="NVI138" s="774"/>
      <c r="NVJ138" s="774"/>
      <c r="NVK138" s="774"/>
      <c r="NVL138" s="774"/>
      <c r="NVM138" s="774"/>
      <c r="NVN138" s="774"/>
      <c r="NVO138" s="774"/>
      <c r="NVP138" s="774"/>
      <c r="NVQ138" s="774"/>
      <c r="NVR138" s="774"/>
      <c r="NVS138" s="774"/>
      <c r="NVT138" s="774"/>
      <c r="NVU138" s="774"/>
      <c r="NVV138" s="774"/>
      <c r="NVW138" s="774"/>
      <c r="NVX138" s="774"/>
      <c r="NVY138" s="774"/>
      <c r="NVZ138" s="774"/>
      <c r="NWA138" s="774"/>
      <c r="NWB138" s="774"/>
      <c r="NWC138" s="774"/>
      <c r="NWD138" s="774"/>
      <c r="NWE138" s="774"/>
      <c r="NWF138" s="774"/>
      <c r="NWG138" s="774"/>
      <c r="NWH138" s="774"/>
      <c r="NWI138" s="774"/>
      <c r="NWJ138" s="774"/>
      <c r="NWK138" s="774"/>
      <c r="NWL138" s="774"/>
      <c r="NWM138" s="774"/>
      <c r="NWN138" s="774"/>
      <c r="NWO138" s="774"/>
      <c r="NWP138" s="774"/>
      <c r="NWQ138" s="774"/>
      <c r="NWR138" s="774"/>
      <c r="NWS138" s="774"/>
      <c r="NWT138" s="774"/>
      <c r="NWU138" s="774"/>
      <c r="NWV138" s="774"/>
      <c r="NWW138" s="774"/>
      <c r="NWX138" s="774"/>
      <c r="NWY138" s="774"/>
      <c r="NWZ138" s="774"/>
      <c r="NXA138" s="774"/>
      <c r="NXB138" s="774"/>
      <c r="NXC138" s="774"/>
      <c r="NXD138" s="774"/>
      <c r="NXE138" s="774"/>
      <c r="NXF138" s="774"/>
      <c r="NXG138" s="774"/>
      <c r="NXH138" s="774"/>
      <c r="NXI138" s="774"/>
      <c r="NXJ138" s="774"/>
      <c r="NXK138" s="774"/>
      <c r="NXL138" s="774"/>
      <c r="NXM138" s="774"/>
      <c r="NXN138" s="774"/>
      <c r="NXO138" s="774"/>
      <c r="NXP138" s="774"/>
      <c r="NXQ138" s="774"/>
      <c r="NXR138" s="774"/>
      <c r="NXS138" s="774"/>
      <c r="NXT138" s="774"/>
      <c r="NXU138" s="774"/>
      <c r="NXV138" s="774"/>
      <c r="NXW138" s="774"/>
      <c r="NXX138" s="774"/>
      <c r="NXY138" s="774"/>
      <c r="NXZ138" s="774"/>
      <c r="NYA138" s="774"/>
      <c r="NYB138" s="774"/>
      <c r="NYC138" s="774"/>
      <c r="NYD138" s="774"/>
      <c r="NYE138" s="774"/>
      <c r="NYF138" s="774"/>
      <c r="NYG138" s="774"/>
      <c r="NYH138" s="774"/>
      <c r="NYI138" s="774"/>
      <c r="NYJ138" s="774"/>
      <c r="NYK138" s="774"/>
      <c r="NYL138" s="774"/>
      <c r="NYM138" s="774"/>
      <c r="NYN138" s="774"/>
      <c r="NYO138" s="774"/>
      <c r="NYP138" s="774"/>
      <c r="NYQ138" s="774"/>
      <c r="NYR138" s="774"/>
      <c r="NYS138" s="774"/>
      <c r="NYT138" s="774"/>
      <c r="NYU138" s="774"/>
      <c r="NYV138" s="774"/>
      <c r="NYW138" s="774"/>
      <c r="NYX138" s="774"/>
      <c r="NYY138" s="774"/>
      <c r="NYZ138" s="774"/>
      <c r="NZA138" s="774"/>
      <c r="NZB138" s="774"/>
      <c r="NZC138" s="774"/>
      <c r="NZD138" s="774"/>
      <c r="NZE138" s="774"/>
      <c r="NZF138" s="774"/>
      <c r="NZG138" s="774"/>
      <c r="NZH138" s="774"/>
      <c r="NZI138" s="774"/>
      <c r="NZJ138" s="774"/>
      <c r="NZK138" s="774"/>
      <c r="NZL138" s="774"/>
      <c r="NZM138" s="774"/>
      <c r="NZN138" s="774"/>
      <c r="NZO138" s="774"/>
      <c r="NZP138" s="774"/>
      <c r="NZQ138" s="774"/>
      <c r="NZR138" s="774"/>
      <c r="NZS138" s="774"/>
      <c r="NZT138" s="774"/>
      <c r="NZU138" s="774"/>
      <c r="NZV138" s="774"/>
      <c r="NZW138" s="774"/>
      <c r="NZX138" s="774"/>
      <c r="NZY138" s="774"/>
      <c r="NZZ138" s="774"/>
      <c r="OAA138" s="774"/>
      <c r="OAB138" s="774"/>
      <c r="OAC138" s="774"/>
      <c r="OAD138" s="774"/>
      <c r="OAE138" s="774"/>
      <c r="OAF138" s="774"/>
      <c r="OAG138" s="774"/>
      <c r="OAH138" s="774"/>
      <c r="OAI138" s="774"/>
      <c r="OAJ138" s="774"/>
      <c r="OAK138" s="774"/>
      <c r="OAL138" s="774"/>
      <c r="OAM138" s="774"/>
      <c r="OAN138" s="774"/>
      <c r="OAO138" s="774"/>
      <c r="OAP138" s="774"/>
      <c r="OAQ138" s="774"/>
      <c r="OAR138" s="774"/>
      <c r="OAS138" s="774"/>
      <c r="OAT138" s="774"/>
      <c r="OAU138" s="774"/>
      <c r="OAV138" s="774"/>
      <c r="OAW138" s="774"/>
      <c r="OAX138" s="774"/>
      <c r="OAY138" s="774"/>
      <c r="OAZ138" s="774"/>
      <c r="OBA138" s="774"/>
      <c r="OBB138" s="774"/>
      <c r="OBC138" s="774"/>
      <c r="OBD138" s="774"/>
      <c r="OBE138" s="774"/>
      <c r="OBF138" s="774"/>
      <c r="OBG138" s="774"/>
      <c r="OBH138" s="774"/>
      <c r="OBI138" s="774"/>
      <c r="OBJ138" s="774"/>
      <c r="OBK138" s="774"/>
      <c r="OBL138" s="774"/>
      <c r="OBM138" s="774"/>
      <c r="OBN138" s="774"/>
      <c r="OBO138" s="774"/>
      <c r="OBP138" s="774"/>
      <c r="OBQ138" s="774"/>
      <c r="OBR138" s="774"/>
      <c r="OBS138" s="774"/>
      <c r="OBT138" s="774"/>
      <c r="OBU138" s="774"/>
      <c r="OBV138" s="774"/>
      <c r="OBW138" s="774"/>
      <c r="OBX138" s="774"/>
      <c r="OBY138" s="774"/>
      <c r="OBZ138" s="774"/>
      <c r="OCA138" s="774"/>
      <c r="OCB138" s="774"/>
      <c r="OCC138" s="774"/>
      <c r="OCD138" s="774"/>
      <c r="OCE138" s="774"/>
      <c r="OCF138" s="774"/>
      <c r="OCG138" s="774"/>
      <c r="OCH138" s="774"/>
      <c r="OCI138" s="774"/>
      <c r="OCJ138" s="774"/>
      <c r="OCK138" s="774"/>
      <c r="OCL138" s="774"/>
      <c r="OCM138" s="774"/>
      <c r="OCN138" s="774"/>
      <c r="OCO138" s="774"/>
      <c r="OCP138" s="774"/>
      <c r="OCQ138" s="774"/>
      <c r="OCR138" s="774"/>
      <c r="OCS138" s="774"/>
      <c r="OCT138" s="774"/>
      <c r="OCU138" s="774"/>
      <c r="OCV138" s="774"/>
      <c r="OCW138" s="774"/>
      <c r="OCX138" s="774"/>
      <c r="OCY138" s="774"/>
      <c r="OCZ138" s="774"/>
      <c r="ODA138" s="774"/>
      <c r="ODB138" s="774"/>
      <c r="ODC138" s="774"/>
      <c r="ODD138" s="774"/>
      <c r="ODE138" s="774"/>
      <c r="ODF138" s="774"/>
      <c r="ODG138" s="774"/>
      <c r="ODH138" s="774"/>
      <c r="ODI138" s="774"/>
      <c r="ODJ138" s="774"/>
      <c r="ODK138" s="774"/>
      <c r="ODL138" s="774"/>
      <c r="ODM138" s="774"/>
      <c r="ODN138" s="774"/>
      <c r="ODO138" s="774"/>
      <c r="ODP138" s="774"/>
      <c r="ODQ138" s="774"/>
      <c r="ODR138" s="774"/>
      <c r="ODS138" s="774"/>
      <c r="ODT138" s="774"/>
      <c r="ODU138" s="774"/>
      <c r="ODV138" s="774"/>
      <c r="ODW138" s="774"/>
      <c r="ODX138" s="774"/>
      <c r="ODY138" s="774"/>
      <c r="ODZ138" s="774"/>
      <c r="OEA138" s="774"/>
      <c r="OEB138" s="774"/>
      <c r="OEC138" s="774"/>
      <c r="OED138" s="774"/>
      <c r="OEE138" s="774"/>
      <c r="OEF138" s="774"/>
      <c r="OEG138" s="774"/>
      <c r="OEH138" s="774"/>
      <c r="OEI138" s="774"/>
      <c r="OEJ138" s="774"/>
      <c r="OEK138" s="774"/>
      <c r="OEL138" s="774"/>
      <c r="OEM138" s="774"/>
      <c r="OEN138" s="774"/>
      <c r="OEO138" s="774"/>
      <c r="OEP138" s="774"/>
      <c r="OEQ138" s="774"/>
      <c r="OER138" s="774"/>
      <c r="OES138" s="774"/>
      <c r="OET138" s="774"/>
      <c r="OEU138" s="774"/>
      <c r="OEV138" s="774"/>
      <c r="OEW138" s="774"/>
      <c r="OEX138" s="774"/>
      <c r="OEY138" s="774"/>
      <c r="OEZ138" s="774"/>
      <c r="OFA138" s="774"/>
      <c r="OFB138" s="774"/>
      <c r="OFC138" s="774"/>
      <c r="OFD138" s="774"/>
      <c r="OFE138" s="774"/>
      <c r="OFF138" s="774"/>
      <c r="OFG138" s="774"/>
      <c r="OFH138" s="774"/>
      <c r="OFI138" s="774"/>
      <c r="OFJ138" s="774"/>
      <c r="OFK138" s="774"/>
      <c r="OFL138" s="774"/>
      <c r="OFM138" s="774"/>
      <c r="OFN138" s="774"/>
      <c r="OFO138" s="774"/>
      <c r="OFP138" s="774"/>
      <c r="OFQ138" s="774"/>
      <c r="OFR138" s="774"/>
      <c r="OFS138" s="774"/>
      <c r="OFT138" s="774"/>
      <c r="OFU138" s="774"/>
      <c r="OFV138" s="774"/>
      <c r="OFW138" s="774"/>
      <c r="OFX138" s="774"/>
      <c r="OFY138" s="774"/>
      <c r="OFZ138" s="774"/>
      <c r="OGA138" s="774"/>
      <c r="OGB138" s="774"/>
      <c r="OGC138" s="774"/>
      <c r="OGD138" s="774"/>
      <c r="OGE138" s="774"/>
      <c r="OGF138" s="774"/>
      <c r="OGG138" s="774"/>
      <c r="OGH138" s="774"/>
      <c r="OGI138" s="774"/>
      <c r="OGJ138" s="774"/>
      <c r="OGK138" s="774"/>
      <c r="OGL138" s="774"/>
      <c r="OGM138" s="774"/>
      <c r="OGN138" s="774"/>
      <c r="OGO138" s="774"/>
      <c r="OGP138" s="774"/>
      <c r="OGQ138" s="774"/>
      <c r="OGR138" s="774"/>
      <c r="OGS138" s="774"/>
      <c r="OGT138" s="774"/>
      <c r="OGU138" s="774"/>
      <c r="OGV138" s="774"/>
      <c r="OGW138" s="774"/>
      <c r="OGX138" s="774"/>
      <c r="OGY138" s="774"/>
      <c r="OGZ138" s="774"/>
      <c r="OHA138" s="774"/>
      <c r="OHB138" s="774"/>
      <c r="OHC138" s="774"/>
      <c r="OHD138" s="774"/>
      <c r="OHE138" s="774"/>
      <c r="OHF138" s="774"/>
      <c r="OHG138" s="774"/>
      <c r="OHH138" s="774"/>
      <c r="OHI138" s="774"/>
      <c r="OHJ138" s="774"/>
      <c r="OHK138" s="774"/>
      <c r="OHL138" s="774"/>
      <c r="OHM138" s="774"/>
      <c r="OHN138" s="774"/>
      <c r="OHO138" s="774"/>
      <c r="OHP138" s="774"/>
      <c r="OHQ138" s="774"/>
      <c r="OHR138" s="774"/>
      <c r="OHS138" s="774"/>
      <c r="OHT138" s="774"/>
      <c r="OHU138" s="774"/>
      <c r="OHV138" s="774"/>
      <c r="OHW138" s="774"/>
      <c r="OHX138" s="774"/>
      <c r="OHY138" s="774"/>
      <c r="OHZ138" s="774"/>
      <c r="OIA138" s="774"/>
      <c r="OIB138" s="774"/>
      <c r="OIC138" s="774"/>
      <c r="OID138" s="774"/>
      <c r="OIE138" s="774"/>
      <c r="OIF138" s="774"/>
      <c r="OIG138" s="774"/>
      <c r="OIH138" s="774"/>
      <c r="OII138" s="774"/>
      <c r="OIJ138" s="774"/>
      <c r="OIK138" s="774"/>
      <c r="OIL138" s="774"/>
      <c r="OIM138" s="774"/>
      <c r="OIN138" s="774"/>
      <c r="OIO138" s="774"/>
      <c r="OIP138" s="774"/>
      <c r="OIQ138" s="774"/>
      <c r="OIR138" s="774"/>
      <c r="OIS138" s="774"/>
      <c r="OIT138" s="774"/>
      <c r="OIU138" s="774"/>
      <c r="OIV138" s="774"/>
      <c r="OIW138" s="774"/>
      <c r="OIX138" s="774"/>
      <c r="OIY138" s="774"/>
      <c r="OIZ138" s="774"/>
      <c r="OJA138" s="774"/>
      <c r="OJB138" s="774"/>
      <c r="OJC138" s="774"/>
      <c r="OJD138" s="774"/>
      <c r="OJE138" s="774"/>
      <c r="OJF138" s="774"/>
      <c r="OJG138" s="774"/>
      <c r="OJH138" s="774"/>
      <c r="OJI138" s="774"/>
      <c r="OJJ138" s="774"/>
      <c r="OJK138" s="774"/>
      <c r="OJL138" s="774"/>
      <c r="OJM138" s="774"/>
      <c r="OJN138" s="774"/>
      <c r="OJO138" s="774"/>
      <c r="OJP138" s="774"/>
      <c r="OJQ138" s="774"/>
      <c r="OJR138" s="774"/>
      <c r="OJS138" s="774"/>
      <c r="OJT138" s="774"/>
      <c r="OJU138" s="774"/>
      <c r="OJV138" s="774"/>
      <c r="OJW138" s="774"/>
      <c r="OJX138" s="774"/>
      <c r="OJY138" s="774"/>
      <c r="OJZ138" s="774"/>
      <c r="OKA138" s="774"/>
      <c r="OKB138" s="774"/>
      <c r="OKC138" s="774"/>
      <c r="OKD138" s="774"/>
      <c r="OKE138" s="774"/>
      <c r="OKF138" s="774"/>
      <c r="OKG138" s="774"/>
      <c r="OKH138" s="774"/>
      <c r="OKI138" s="774"/>
      <c r="OKJ138" s="774"/>
      <c r="OKK138" s="774"/>
      <c r="OKL138" s="774"/>
      <c r="OKM138" s="774"/>
      <c r="OKN138" s="774"/>
      <c r="OKO138" s="774"/>
      <c r="OKP138" s="774"/>
      <c r="OKQ138" s="774"/>
      <c r="OKR138" s="774"/>
      <c r="OKS138" s="774"/>
      <c r="OKT138" s="774"/>
      <c r="OKU138" s="774"/>
      <c r="OKV138" s="774"/>
      <c r="OKW138" s="774"/>
      <c r="OKX138" s="774"/>
      <c r="OKY138" s="774"/>
      <c r="OKZ138" s="774"/>
      <c r="OLA138" s="774"/>
      <c r="OLB138" s="774"/>
      <c r="OLC138" s="774"/>
      <c r="OLD138" s="774"/>
      <c r="OLE138" s="774"/>
      <c r="OLF138" s="774"/>
      <c r="OLG138" s="774"/>
      <c r="OLH138" s="774"/>
      <c r="OLI138" s="774"/>
      <c r="OLJ138" s="774"/>
      <c r="OLK138" s="774"/>
      <c r="OLL138" s="774"/>
      <c r="OLM138" s="774"/>
      <c r="OLN138" s="774"/>
      <c r="OLO138" s="774"/>
      <c r="OLP138" s="774"/>
      <c r="OLQ138" s="774"/>
      <c r="OLR138" s="774"/>
      <c r="OLS138" s="774"/>
      <c r="OLT138" s="774"/>
      <c r="OLU138" s="774"/>
      <c r="OLV138" s="774"/>
      <c r="OLW138" s="774"/>
      <c r="OLX138" s="774"/>
      <c r="OLY138" s="774"/>
      <c r="OLZ138" s="774"/>
      <c r="OMA138" s="774"/>
      <c r="OMB138" s="774"/>
      <c r="OMC138" s="774"/>
      <c r="OMD138" s="774"/>
      <c r="OME138" s="774"/>
      <c r="OMF138" s="774"/>
      <c r="OMG138" s="774"/>
      <c r="OMH138" s="774"/>
      <c r="OMI138" s="774"/>
      <c r="OMJ138" s="774"/>
      <c r="OMK138" s="774"/>
      <c r="OML138" s="774"/>
      <c r="OMM138" s="774"/>
      <c r="OMN138" s="774"/>
      <c r="OMO138" s="774"/>
      <c r="OMP138" s="774"/>
      <c r="OMQ138" s="774"/>
      <c r="OMR138" s="774"/>
      <c r="OMS138" s="774"/>
      <c r="OMT138" s="774"/>
      <c r="OMU138" s="774"/>
      <c r="OMV138" s="774"/>
      <c r="OMW138" s="774"/>
      <c r="OMX138" s="774"/>
      <c r="OMY138" s="774"/>
      <c r="OMZ138" s="774"/>
      <c r="ONA138" s="774"/>
      <c r="ONB138" s="774"/>
      <c r="ONC138" s="774"/>
      <c r="OND138" s="774"/>
      <c r="ONE138" s="774"/>
      <c r="ONF138" s="774"/>
      <c r="ONG138" s="774"/>
      <c r="ONH138" s="774"/>
      <c r="ONI138" s="774"/>
      <c r="ONJ138" s="774"/>
      <c r="ONK138" s="774"/>
      <c r="ONL138" s="774"/>
      <c r="ONM138" s="774"/>
      <c r="ONN138" s="774"/>
      <c r="ONO138" s="774"/>
      <c r="ONP138" s="774"/>
      <c r="ONQ138" s="774"/>
      <c r="ONR138" s="774"/>
      <c r="ONS138" s="774"/>
      <c r="ONT138" s="774"/>
      <c r="ONU138" s="774"/>
      <c r="ONV138" s="774"/>
      <c r="ONW138" s="774"/>
      <c r="ONX138" s="774"/>
      <c r="ONY138" s="774"/>
      <c r="ONZ138" s="774"/>
      <c r="OOA138" s="774"/>
      <c r="OOB138" s="774"/>
      <c r="OOC138" s="774"/>
      <c r="OOD138" s="774"/>
      <c r="OOE138" s="774"/>
      <c r="OOF138" s="774"/>
      <c r="OOG138" s="774"/>
      <c r="OOH138" s="774"/>
      <c r="OOI138" s="774"/>
      <c r="OOJ138" s="774"/>
      <c r="OOK138" s="774"/>
      <c r="OOL138" s="774"/>
      <c r="OOM138" s="774"/>
      <c r="OON138" s="774"/>
      <c r="OOO138" s="774"/>
      <c r="OOP138" s="774"/>
      <c r="OOQ138" s="774"/>
      <c r="OOR138" s="774"/>
      <c r="OOS138" s="774"/>
      <c r="OOT138" s="774"/>
      <c r="OOU138" s="774"/>
      <c r="OOV138" s="774"/>
      <c r="OOW138" s="774"/>
      <c r="OOX138" s="774"/>
      <c r="OOY138" s="774"/>
      <c r="OOZ138" s="774"/>
      <c r="OPA138" s="774"/>
      <c r="OPB138" s="774"/>
      <c r="OPC138" s="774"/>
      <c r="OPD138" s="774"/>
      <c r="OPE138" s="774"/>
      <c r="OPF138" s="774"/>
      <c r="OPG138" s="774"/>
      <c r="OPH138" s="774"/>
      <c r="OPI138" s="774"/>
      <c r="OPJ138" s="774"/>
      <c r="OPK138" s="774"/>
      <c r="OPL138" s="774"/>
      <c r="OPM138" s="774"/>
      <c r="OPN138" s="774"/>
      <c r="OPO138" s="774"/>
      <c r="OPP138" s="774"/>
      <c r="OPQ138" s="774"/>
      <c r="OPR138" s="774"/>
      <c r="OPS138" s="774"/>
      <c r="OPT138" s="774"/>
      <c r="OPU138" s="774"/>
      <c r="OPV138" s="774"/>
      <c r="OPW138" s="774"/>
      <c r="OPX138" s="774"/>
      <c r="OPY138" s="774"/>
      <c r="OPZ138" s="774"/>
      <c r="OQA138" s="774"/>
      <c r="OQB138" s="774"/>
      <c r="OQC138" s="774"/>
      <c r="OQD138" s="774"/>
      <c r="OQE138" s="774"/>
      <c r="OQF138" s="774"/>
      <c r="OQG138" s="774"/>
      <c r="OQH138" s="774"/>
      <c r="OQI138" s="774"/>
      <c r="OQJ138" s="774"/>
      <c r="OQK138" s="774"/>
      <c r="OQL138" s="774"/>
      <c r="OQM138" s="774"/>
      <c r="OQN138" s="774"/>
      <c r="OQO138" s="774"/>
      <c r="OQP138" s="774"/>
      <c r="OQQ138" s="774"/>
      <c r="OQR138" s="774"/>
      <c r="OQS138" s="774"/>
      <c r="OQT138" s="774"/>
      <c r="OQU138" s="774"/>
      <c r="OQV138" s="774"/>
      <c r="OQW138" s="774"/>
      <c r="OQX138" s="774"/>
      <c r="OQY138" s="774"/>
      <c r="OQZ138" s="774"/>
      <c r="ORA138" s="774"/>
      <c r="ORB138" s="774"/>
      <c r="ORC138" s="774"/>
      <c r="ORD138" s="774"/>
      <c r="ORE138" s="774"/>
      <c r="ORF138" s="774"/>
      <c r="ORG138" s="774"/>
      <c r="ORH138" s="774"/>
      <c r="ORI138" s="774"/>
      <c r="ORJ138" s="774"/>
      <c r="ORK138" s="774"/>
      <c r="ORL138" s="774"/>
      <c r="ORM138" s="774"/>
      <c r="ORN138" s="774"/>
      <c r="ORO138" s="774"/>
      <c r="ORP138" s="774"/>
      <c r="ORQ138" s="774"/>
      <c r="ORR138" s="774"/>
      <c r="ORS138" s="774"/>
      <c r="ORT138" s="774"/>
      <c r="ORU138" s="774"/>
      <c r="ORV138" s="774"/>
      <c r="ORW138" s="774"/>
      <c r="ORX138" s="774"/>
      <c r="ORY138" s="774"/>
      <c r="ORZ138" s="774"/>
      <c r="OSA138" s="774"/>
      <c r="OSB138" s="774"/>
      <c r="OSC138" s="774"/>
      <c r="OSD138" s="774"/>
      <c r="OSE138" s="774"/>
      <c r="OSF138" s="774"/>
      <c r="OSG138" s="774"/>
      <c r="OSH138" s="774"/>
      <c r="OSI138" s="774"/>
      <c r="OSJ138" s="774"/>
      <c r="OSK138" s="774"/>
      <c r="OSL138" s="774"/>
      <c r="OSM138" s="774"/>
      <c r="OSN138" s="774"/>
      <c r="OSO138" s="774"/>
      <c r="OSP138" s="774"/>
      <c r="OSQ138" s="774"/>
      <c r="OSR138" s="774"/>
      <c r="OSS138" s="774"/>
      <c r="OST138" s="774"/>
      <c r="OSU138" s="774"/>
      <c r="OSV138" s="774"/>
      <c r="OSW138" s="774"/>
      <c r="OSX138" s="774"/>
      <c r="OSY138" s="774"/>
      <c r="OSZ138" s="774"/>
      <c r="OTA138" s="774"/>
      <c r="OTB138" s="774"/>
      <c r="OTC138" s="774"/>
      <c r="OTD138" s="774"/>
      <c r="OTE138" s="774"/>
      <c r="OTF138" s="774"/>
      <c r="OTG138" s="774"/>
      <c r="OTH138" s="774"/>
      <c r="OTI138" s="774"/>
      <c r="OTJ138" s="774"/>
      <c r="OTK138" s="774"/>
      <c r="OTL138" s="774"/>
      <c r="OTM138" s="774"/>
      <c r="OTN138" s="774"/>
      <c r="OTO138" s="774"/>
      <c r="OTP138" s="774"/>
      <c r="OTQ138" s="774"/>
      <c r="OTR138" s="774"/>
      <c r="OTS138" s="774"/>
      <c r="OTT138" s="774"/>
      <c r="OTU138" s="774"/>
      <c r="OTV138" s="774"/>
      <c r="OTW138" s="774"/>
      <c r="OTX138" s="774"/>
      <c r="OTY138" s="774"/>
      <c r="OTZ138" s="774"/>
      <c r="OUA138" s="774"/>
      <c r="OUB138" s="774"/>
      <c r="OUC138" s="774"/>
      <c r="OUD138" s="774"/>
      <c r="OUE138" s="774"/>
      <c r="OUF138" s="774"/>
      <c r="OUG138" s="774"/>
      <c r="OUH138" s="774"/>
      <c r="OUI138" s="774"/>
      <c r="OUJ138" s="774"/>
      <c r="OUK138" s="774"/>
      <c r="OUL138" s="774"/>
      <c r="OUM138" s="774"/>
      <c r="OUN138" s="774"/>
      <c r="OUO138" s="774"/>
      <c r="OUP138" s="774"/>
      <c r="OUQ138" s="774"/>
      <c r="OUR138" s="774"/>
      <c r="OUS138" s="774"/>
      <c r="OUT138" s="774"/>
      <c r="OUU138" s="774"/>
      <c r="OUV138" s="774"/>
      <c r="OUW138" s="774"/>
      <c r="OUX138" s="774"/>
      <c r="OUY138" s="774"/>
      <c r="OUZ138" s="774"/>
      <c r="OVA138" s="774"/>
      <c r="OVB138" s="774"/>
      <c r="OVC138" s="774"/>
      <c r="OVD138" s="774"/>
      <c r="OVE138" s="774"/>
      <c r="OVF138" s="774"/>
      <c r="OVG138" s="774"/>
      <c r="OVH138" s="774"/>
      <c r="OVI138" s="774"/>
      <c r="OVJ138" s="774"/>
      <c r="OVK138" s="774"/>
      <c r="OVL138" s="774"/>
      <c r="OVM138" s="774"/>
      <c r="OVN138" s="774"/>
      <c r="OVO138" s="774"/>
      <c r="OVP138" s="774"/>
      <c r="OVQ138" s="774"/>
      <c r="OVR138" s="774"/>
      <c r="OVS138" s="774"/>
      <c r="OVT138" s="774"/>
      <c r="OVU138" s="774"/>
      <c r="OVV138" s="774"/>
      <c r="OVW138" s="774"/>
      <c r="OVX138" s="774"/>
      <c r="OVY138" s="774"/>
      <c r="OVZ138" s="774"/>
      <c r="OWA138" s="774"/>
      <c r="OWB138" s="774"/>
      <c r="OWC138" s="774"/>
      <c r="OWD138" s="774"/>
      <c r="OWE138" s="774"/>
      <c r="OWF138" s="774"/>
      <c r="OWG138" s="774"/>
      <c r="OWH138" s="774"/>
      <c r="OWI138" s="774"/>
      <c r="OWJ138" s="774"/>
      <c r="OWK138" s="774"/>
      <c r="OWL138" s="774"/>
      <c r="OWM138" s="774"/>
      <c r="OWN138" s="774"/>
      <c r="OWO138" s="774"/>
      <c r="OWP138" s="774"/>
      <c r="OWQ138" s="774"/>
      <c r="OWR138" s="774"/>
      <c r="OWS138" s="774"/>
      <c r="OWT138" s="774"/>
      <c r="OWU138" s="774"/>
      <c r="OWV138" s="774"/>
      <c r="OWW138" s="774"/>
      <c r="OWX138" s="774"/>
      <c r="OWY138" s="774"/>
      <c r="OWZ138" s="774"/>
      <c r="OXA138" s="774"/>
      <c r="OXB138" s="774"/>
      <c r="OXC138" s="774"/>
      <c r="OXD138" s="774"/>
      <c r="OXE138" s="774"/>
      <c r="OXF138" s="774"/>
      <c r="OXG138" s="774"/>
      <c r="OXH138" s="774"/>
      <c r="OXI138" s="774"/>
      <c r="OXJ138" s="774"/>
      <c r="OXK138" s="774"/>
      <c r="OXL138" s="774"/>
      <c r="OXM138" s="774"/>
      <c r="OXN138" s="774"/>
      <c r="OXO138" s="774"/>
      <c r="OXP138" s="774"/>
      <c r="OXQ138" s="774"/>
      <c r="OXR138" s="774"/>
      <c r="OXS138" s="774"/>
      <c r="OXT138" s="774"/>
      <c r="OXU138" s="774"/>
      <c r="OXV138" s="774"/>
      <c r="OXW138" s="774"/>
      <c r="OXX138" s="774"/>
      <c r="OXY138" s="774"/>
      <c r="OXZ138" s="774"/>
      <c r="OYA138" s="774"/>
      <c r="OYB138" s="774"/>
      <c r="OYC138" s="774"/>
      <c r="OYD138" s="774"/>
      <c r="OYE138" s="774"/>
      <c r="OYF138" s="774"/>
      <c r="OYG138" s="774"/>
      <c r="OYH138" s="774"/>
      <c r="OYI138" s="774"/>
      <c r="OYJ138" s="774"/>
      <c r="OYK138" s="774"/>
      <c r="OYL138" s="774"/>
      <c r="OYM138" s="774"/>
      <c r="OYN138" s="774"/>
      <c r="OYO138" s="774"/>
      <c r="OYP138" s="774"/>
      <c r="OYQ138" s="774"/>
      <c r="OYR138" s="774"/>
      <c r="OYS138" s="774"/>
      <c r="OYT138" s="774"/>
      <c r="OYU138" s="774"/>
      <c r="OYV138" s="774"/>
      <c r="OYW138" s="774"/>
      <c r="OYX138" s="774"/>
      <c r="OYY138" s="774"/>
      <c r="OYZ138" s="774"/>
      <c r="OZA138" s="774"/>
      <c r="OZB138" s="774"/>
      <c r="OZC138" s="774"/>
      <c r="OZD138" s="774"/>
      <c r="OZE138" s="774"/>
      <c r="OZF138" s="774"/>
      <c r="OZG138" s="774"/>
      <c r="OZH138" s="774"/>
      <c r="OZI138" s="774"/>
      <c r="OZJ138" s="774"/>
      <c r="OZK138" s="774"/>
      <c r="OZL138" s="774"/>
      <c r="OZM138" s="774"/>
      <c r="OZN138" s="774"/>
      <c r="OZO138" s="774"/>
      <c r="OZP138" s="774"/>
      <c r="OZQ138" s="774"/>
      <c r="OZR138" s="774"/>
      <c r="OZS138" s="774"/>
      <c r="OZT138" s="774"/>
      <c r="OZU138" s="774"/>
      <c r="OZV138" s="774"/>
      <c r="OZW138" s="774"/>
      <c r="OZX138" s="774"/>
      <c r="OZY138" s="774"/>
      <c r="OZZ138" s="774"/>
      <c r="PAA138" s="774"/>
      <c r="PAB138" s="774"/>
      <c r="PAC138" s="774"/>
      <c r="PAD138" s="774"/>
      <c r="PAE138" s="774"/>
      <c r="PAF138" s="774"/>
      <c r="PAG138" s="774"/>
      <c r="PAH138" s="774"/>
      <c r="PAI138" s="774"/>
      <c r="PAJ138" s="774"/>
      <c r="PAK138" s="774"/>
      <c r="PAL138" s="774"/>
      <c r="PAM138" s="774"/>
      <c r="PAN138" s="774"/>
      <c r="PAO138" s="774"/>
      <c r="PAP138" s="774"/>
      <c r="PAQ138" s="774"/>
      <c r="PAR138" s="774"/>
      <c r="PAS138" s="774"/>
      <c r="PAT138" s="774"/>
      <c r="PAU138" s="774"/>
      <c r="PAV138" s="774"/>
      <c r="PAW138" s="774"/>
      <c r="PAX138" s="774"/>
      <c r="PAY138" s="774"/>
      <c r="PAZ138" s="774"/>
      <c r="PBA138" s="774"/>
      <c r="PBB138" s="774"/>
      <c r="PBC138" s="774"/>
      <c r="PBD138" s="774"/>
      <c r="PBE138" s="774"/>
      <c r="PBF138" s="774"/>
      <c r="PBG138" s="774"/>
      <c r="PBH138" s="774"/>
      <c r="PBI138" s="774"/>
      <c r="PBJ138" s="774"/>
      <c r="PBK138" s="774"/>
      <c r="PBL138" s="774"/>
      <c r="PBM138" s="774"/>
      <c r="PBN138" s="774"/>
      <c r="PBO138" s="774"/>
      <c r="PBP138" s="774"/>
      <c r="PBQ138" s="774"/>
      <c r="PBR138" s="774"/>
      <c r="PBS138" s="774"/>
      <c r="PBT138" s="774"/>
      <c r="PBU138" s="774"/>
      <c r="PBV138" s="774"/>
      <c r="PBW138" s="774"/>
      <c r="PBX138" s="774"/>
      <c r="PBY138" s="774"/>
      <c r="PBZ138" s="774"/>
      <c r="PCA138" s="774"/>
      <c r="PCB138" s="774"/>
      <c r="PCC138" s="774"/>
      <c r="PCD138" s="774"/>
      <c r="PCE138" s="774"/>
      <c r="PCF138" s="774"/>
      <c r="PCG138" s="774"/>
      <c r="PCH138" s="774"/>
      <c r="PCI138" s="774"/>
      <c r="PCJ138" s="774"/>
      <c r="PCK138" s="774"/>
      <c r="PCL138" s="774"/>
      <c r="PCM138" s="774"/>
      <c r="PCN138" s="774"/>
      <c r="PCO138" s="774"/>
      <c r="PCP138" s="774"/>
      <c r="PCQ138" s="774"/>
      <c r="PCR138" s="774"/>
      <c r="PCS138" s="774"/>
      <c r="PCT138" s="774"/>
      <c r="PCU138" s="774"/>
      <c r="PCV138" s="774"/>
      <c r="PCW138" s="774"/>
      <c r="PCX138" s="774"/>
      <c r="PCY138" s="774"/>
      <c r="PCZ138" s="774"/>
      <c r="PDA138" s="774"/>
      <c r="PDB138" s="774"/>
      <c r="PDC138" s="774"/>
      <c r="PDD138" s="774"/>
      <c r="PDE138" s="774"/>
      <c r="PDF138" s="774"/>
      <c r="PDG138" s="774"/>
      <c r="PDH138" s="774"/>
      <c r="PDI138" s="774"/>
      <c r="PDJ138" s="774"/>
      <c r="PDK138" s="774"/>
      <c r="PDL138" s="774"/>
      <c r="PDM138" s="774"/>
      <c r="PDN138" s="774"/>
      <c r="PDO138" s="774"/>
      <c r="PDP138" s="774"/>
      <c r="PDQ138" s="774"/>
      <c r="PDR138" s="774"/>
      <c r="PDS138" s="774"/>
      <c r="PDT138" s="774"/>
      <c r="PDU138" s="774"/>
      <c r="PDV138" s="774"/>
      <c r="PDW138" s="774"/>
      <c r="PDX138" s="774"/>
      <c r="PDY138" s="774"/>
      <c r="PDZ138" s="774"/>
      <c r="PEA138" s="774"/>
      <c r="PEB138" s="774"/>
      <c r="PEC138" s="774"/>
      <c r="PED138" s="774"/>
      <c r="PEE138" s="774"/>
      <c r="PEF138" s="774"/>
      <c r="PEG138" s="774"/>
      <c r="PEH138" s="774"/>
      <c r="PEI138" s="774"/>
      <c r="PEJ138" s="774"/>
      <c r="PEK138" s="774"/>
      <c r="PEL138" s="774"/>
      <c r="PEM138" s="774"/>
      <c r="PEN138" s="774"/>
      <c r="PEO138" s="774"/>
      <c r="PEP138" s="774"/>
      <c r="PEQ138" s="774"/>
      <c r="PER138" s="774"/>
      <c r="PES138" s="774"/>
      <c r="PET138" s="774"/>
      <c r="PEU138" s="774"/>
      <c r="PEV138" s="774"/>
      <c r="PEW138" s="774"/>
      <c r="PEX138" s="774"/>
      <c r="PEY138" s="774"/>
      <c r="PEZ138" s="774"/>
      <c r="PFA138" s="774"/>
      <c r="PFB138" s="774"/>
      <c r="PFC138" s="774"/>
      <c r="PFD138" s="774"/>
      <c r="PFE138" s="774"/>
      <c r="PFF138" s="774"/>
      <c r="PFG138" s="774"/>
      <c r="PFH138" s="774"/>
      <c r="PFI138" s="774"/>
      <c r="PFJ138" s="774"/>
      <c r="PFK138" s="774"/>
      <c r="PFL138" s="774"/>
      <c r="PFM138" s="774"/>
      <c r="PFN138" s="774"/>
      <c r="PFO138" s="774"/>
      <c r="PFP138" s="774"/>
      <c r="PFQ138" s="774"/>
      <c r="PFR138" s="774"/>
      <c r="PFS138" s="774"/>
      <c r="PFT138" s="774"/>
      <c r="PFU138" s="774"/>
      <c r="PFV138" s="774"/>
      <c r="PFW138" s="774"/>
      <c r="PFX138" s="774"/>
      <c r="PFY138" s="774"/>
      <c r="PFZ138" s="774"/>
      <c r="PGA138" s="774"/>
      <c r="PGB138" s="774"/>
      <c r="PGC138" s="774"/>
      <c r="PGD138" s="774"/>
      <c r="PGE138" s="774"/>
      <c r="PGF138" s="774"/>
      <c r="PGG138" s="774"/>
      <c r="PGH138" s="774"/>
      <c r="PGI138" s="774"/>
      <c r="PGJ138" s="774"/>
      <c r="PGK138" s="774"/>
      <c r="PGL138" s="774"/>
      <c r="PGM138" s="774"/>
      <c r="PGN138" s="774"/>
      <c r="PGO138" s="774"/>
      <c r="PGP138" s="774"/>
      <c r="PGQ138" s="774"/>
      <c r="PGR138" s="774"/>
      <c r="PGS138" s="774"/>
      <c r="PGT138" s="774"/>
      <c r="PGU138" s="774"/>
      <c r="PGV138" s="774"/>
      <c r="PGW138" s="774"/>
      <c r="PGX138" s="774"/>
      <c r="PGY138" s="774"/>
      <c r="PGZ138" s="774"/>
      <c r="PHA138" s="774"/>
      <c r="PHB138" s="774"/>
      <c r="PHC138" s="774"/>
      <c r="PHD138" s="774"/>
      <c r="PHE138" s="774"/>
      <c r="PHF138" s="774"/>
      <c r="PHG138" s="774"/>
      <c r="PHH138" s="774"/>
      <c r="PHI138" s="774"/>
      <c r="PHJ138" s="774"/>
      <c r="PHK138" s="774"/>
      <c r="PHL138" s="774"/>
      <c r="PHM138" s="774"/>
      <c r="PHN138" s="774"/>
      <c r="PHO138" s="774"/>
      <c r="PHP138" s="774"/>
      <c r="PHQ138" s="774"/>
      <c r="PHR138" s="774"/>
      <c r="PHS138" s="774"/>
      <c r="PHT138" s="774"/>
      <c r="PHU138" s="774"/>
      <c r="PHV138" s="774"/>
      <c r="PHW138" s="774"/>
      <c r="PHX138" s="774"/>
      <c r="PHY138" s="774"/>
      <c r="PHZ138" s="774"/>
      <c r="PIA138" s="774"/>
      <c r="PIB138" s="774"/>
      <c r="PIC138" s="774"/>
      <c r="PID138" s="774"/>
      <c r="PIE138" s="774"/>
      <c r="PIF138" s="774"/>
      <c r="PIG138" s="774"/>
      <c r="PIH138" s="774"/>
      <c r="PII138" s="774"/>
      <c r="PIJ138" s="774"/>
      <c r="PIK138" s="774"/>
      <c r="PIL138" s="774"/>
      <c r="PIM138" s="774"/>
      <c r="PIN138" s="774"/>
      <c r="PIO138" s="774"/>
      <c r="PIP138" s="774"/>
      <c r="PIQ138" s="774"/>
      <c r="PIR138" s="774"/>
      <c r="PIS138" s="774"/>
      <c r="PIT138" s="774"/>
      <c r="PIU138" s="774"/>
      <c r="PIV138" s="774"/>
      <c r="PIW138" s="774"/>
      <c r="PIX138" s="774"/>
      <c r="PIY138" s="774"/>
      <c r="PIZ138" s="774"/>
      <c r="PJA138" s="774"/>
      <c r="PJB138" s="774"/>
      <c r="PJC138" s="774"/>
      <c r="PJD138" s="774"/>
      <c r="PJE138" s="774"/>
      <c r="PJF138" s="774"/>
      <c r="PJG138" s="774"/>
      <c r="PJH138" s="774"/>
      <c r="PJI138" s="774"/>
      <c r="PJJ138" s="774"/>
      <c r="PJK138" s="774"/>
      <c r="PJL138" s="774"/>
      <c r="PJM138" s="774"/>
      <c r="PJN138" s="774"/>
      <c r="PJO138" s="774"/>
      <c r="PJP138" s="774"/>
      <c r="PJQ138" s="774"/>
      <c r="PJR138" s="774"/>
      <c r="PJS138" s="774"/>
      <c r="PJT138" s="774"/>
      <c r="PJU138" s="774"/>
      <c r="PJV138" s="774"/>
      <c r="PJW138" s="774"/>
      <c r="PJX138" s="774"/>
      <c r="PJY138" s="774"/>
      <c r="PJZ138" s="774"/>
      <c r="PKA138" s="774"/>
      <c r="PKB138" s="774"/>
      <c r="PKC138" s="774"/>
      <c r="PKD138" s="774"/>
      <c r="PKE138" s="774"/>
      <c r="PKF138" s="774"/>
      <c r="PKG138" s="774"/>
      <c r="PKH138" s="774"/>
      <c r="PKI138" s="774"/>
      <c r="PKJ138" s="774"/>
      <c r="PKK138" s="774"/>
      <c r="PKL138" s="774"/>
      <c r="PKM138" s="774"/>
      <c r="PKN138" s="774"/>
      <c r="PKO138" s="774"/>
      <c r="PKP138" s="774"/>
      <c r="PKQ138" s="774"/>
      <c r="PKR138" s="774"/>
      <c r="PKS138" s="774"/>
      <c r="PKT138" s="774"/>
      <c r="PKU138" s="774"/>
      <c r="PKV138" s="774"/>
      <c r="PKW138" s="774"/>
      <c r="PKX138" s="774"/>
      <c r="PKY138" s="774"/>
      <c r="PKZ138" s="774"/>
      <c r="PLA138" s="774"/>
      <c r="PLB138" s="774"/>
      <c r="PLC138" s="774"/>
      <c r="PLD138" s="774"/>
      <c r="PLE138" s="774"/>
      <c r="PLF138" s="774"/>
      <c r="PLG138" s="774"/>
      <c r="PLH138" s="774"/>
      <c r="PLI138" s="774"/>
      <c r="PLJ138" s="774"/>
      <c r="PLK138" s="774"/>
      <c r="PLL138" s="774"/>
      <c r="PLM138" s="774"/>
      <c r="PLN138" s="774"/>
      <c r="PLO138" s="774"/>
      <c r="PLP138" s="774"/>
      <c r="PLQ138" s="774"/>
      <c r="PLR138" s="774"/>
      <c r="PLS138" s="774"/>
      <c r="PLT138" s="774"/>
      <c r="PLU138" s="774"/>
      <c r="PLV138" s="774"/>
      <c r="PLW138" s="774"/>
      <c r="PLX138" s="774"/>
      <c r="PLY138" s="774"/>
      <c r="PLZ138" s="774"/>
      <c r="PMA138" s="774"/>
      <c r="PMB138" s="774"/>
      <c r="PMC138" s="774"/>
      <c r="PMD138" s="774"/>
      <c r="PME138" s="774"/>
      <c r="PMF138" s="774"/>
      <c r="PMG138" s="774"/>
      <c r="PMH138" s="774"/>
      <c r="PMI138" s="774"/>
      <c r="PMJ138" s="774"/>
      <c r="PMK138" s="774"/>
      <c r="PML138" s="774"/>
      <c r="PMM138" s="774"/>
      <c r="PMN138" s="774"/>
      <c r="PMO138" s="774"/>
      <c r="PMP138" s="774"/>
      <c r="PMQ138" s="774"/>
      <c r="PMR138" s="774"/>
      <c r="PMS138" s="774"/>
      <c r="PMT138" s="774"/>
      <c r="PMU138" s="774"/>
      <c r="PMV138" s="774"/>
      <c r="PMW138" s="774"/>
      <c r="PMX138" s="774"/>
      <c r="PMY138" s="774"/>
      <c r="PMZ138" s="774"/>
      <c r="PNA138" s="774"/>
      <c r="PNB138" s="774"/>
      <c r="PNC138" s="774"/>
      <c r="PND138" s="774"/>
      <c r="PNE138" s="774"/>
      <c r="PNF138" s="774"/>
      <c r="PNG138" s="774"/>
      <c r="PNH138" s="774"/>
      <c r="PNI138" s="774"/>
      <c r="PNJ138" s="774"/>
      <c r="PNK138" s="774"/>
      <c r="PNL138" s="774"/>
      <c r="PNM138" s="774"/>
      <c r="PNN138" s="774"/>
      <c r="PNO138" s="774"/>
      <c r="PNP138" s="774"/>
      <c r="PNQ138" s="774"/>
      <c r="PNR138" s="774"/>
      <c r="PNS138" s="774"/>
      <c r="PNT138" s="774"/>
      <c r="PNU138" s="774"/>
      <c r="PNV138" s="774"/>
      <c r="PNW138" s="774"/>
      <c r="PNX138" s="774"/>
      <c r="PNY138" s="774"/>
      <c r="PNZ138" s="774"/>
      <c r="POA138" s="774"/>
      <c r="POB138" s="774"/>
      <c r="POC138" s="774"/>
      <c r="POD138" s="774"/>
      <c r="POE138" s="774"/>
      <c r="POF138" s="774"/>
      <c r="POG138" s="774"/>
      <c r="POH138" s="774"/>
      <c r="POI138" s="774"/>
      <c r="POJ138" s="774"/>
      <c r="POK138" s="774"/>
      <c r="POL138" s="774"/>
      <c r="POM138" s="774"/>
      <c r="PON138" s="774"/>
      <c r="POO138" s="774"/>
      <c r="POP138" s="774"/>
      <c r="POQ138" s="774"/>
      <c r="POR138" s="774"/>
      <c r="POS138" s="774"/>
      <c r="POT138" s="774"/>
      <c r="POU138" s="774"/>
      <c r="POV138" s="774"/>
      <c r="POW138" s="774"/>
      <c r="POX138" s="774"/>
      <c r="POY138" s="774"/>
      <c r="POZ138" s="774"/>
      <c r="PPA138" s="774"/>
      <c r="PPB138" s="774"/>
      <c r="PPC138" s="774"/>
      <c r="PPD138" s="774"/>
      <c r="PPE138" s="774"/>
      <c r="PPF138" s="774"/>
      <c r="PPG138" s="774"/>
      <c r="PPH138" s="774"/>
      <c r="PPI138" s="774"/>
      <c r="PPJ138" s="774"/>
      <c r="PPK138" s="774"/>
      <c r="PPL138" s="774"/>
      <c r="PPM138" s="774"/>
      <c r="PPN138" s="774"/>
      <c r="PPO138" s="774"/>
      <c r="PPP138" s="774"/>
      <c r="PPQ138" s="774"/>
      <c r="PPR138" s="774"/>
      <c r="PPS138" s="774"/>
      <c r="PPT138" s="774"/>
      <c r="PPU138" s="774"/>
      <c r="PPV138" s="774"/>
      <c r="PPW138" s="774"/>
      <c r="PPX138" s="774"/>
      <c r="PPY138" s="774"/>
      <c r="PPZ138" s="774"/>
      <c r="PQA138" s="774"/>
      <c r="PQB138" s="774"/>
      <c r="PQC138" s="774"/>
      <c r="PQD138" s="774"/>
      <c r="PQE138" s="774"/>
      <c r="PQF138" s="774"/>
      <c r="PQG138" s="774"/>
      <c r="PQH138" s="774"/>
      <c r="PQI138" s="774"/>
      <c r="PQJ138" s="774"/>
      <c r="PQK138" s="774"/>
      <c r="PQL138" s="774"/>
      <c r="PQM138" s="774"/>
      <c r="PQN138" s="774"/>
      <c r="PQO138" s="774"/>
      <c r="PQP138" s="774"/>
      <c r="PQQ138" s="774"/>
      <c r="PQR138" s="774"/>
      <c r="PQS138" s="774"/>
      <c r="PQT138" s="774"/>
      <c r="PQU138" s="774"/>
      <c r="PQV138" s="774"/>
      <c r="PQW138" s="774"/>
      <c r="PQX138" s="774"/>
      <c r="PQY138" s="774"/>
      <c r="PQZ138" s="774"/>
      <c r="PRA138" s="774"/>
      <c r="PRB138" s="774"/>
      <c r="PRC138" s="774"/>
      <c r="PRD138" s="774"/>
      <c r="PRE138" s="774"/>
      <c r="PRF138" s="774"/>
      <c r="PRG138" s="774"/>
      <c r="PRH138" s="774"/>
      <c r="PRI138" s="774"/>
      <c r="PRJ138" s="774"/>
      <c r="PRK138" s="774"/>
      <c r="PRL138" s="774"/>
      <c r="PRM138" s="774"/>
      <c r="PRN138" s="774"/>
      <c r="PRO138" s="774"/>
      <c r="PRP138" s="774"/>
      <c r="PRQ138" s="774"/>
      <c r="PRR138" s="774"/>
      <c r="PRS138" s="774"/>
      <c r="PRT138" s="774"/>
      <c r="PRU138" s="774"/>
      <c r="PRV138" s="774"/>
      <c r="PRW138" s="774"/>
      <c r="PRX138" s="774"/>
      <c r="PRY138" s="774"/>
      <c r="PRZ138" s="774"/>
      <c r="PSA138" s="774"/>
      <c r="PSB138" s="774"/>
      <c r="PSC138" s="774"/>
      <c r="PSD138" s="774"/>
      <c r="PSE138" s="774"/>
      <c r="PSF138" s="774"/>
      <c r="PSG138" s="774"/>
      <c r="PSH138" s="774"/>
      <c r="PSI138" s="774"/>
      <c r="PSJ138" s="774"/>
      <c r="PSK138" s="774"/>
      <c r="PSL138" s="774"/>
      <c r="PSM138" s="774"/>
      <c r="PSN138" s="774"/>
      <c r="PSO138" s="774"/>
      <c r="PSP138" s="774"/>
      <c r="PSQ138" s="774"/>
      <c r="PSR138" s="774"/>
      <c r="PSS138" s="774"/>
      <c r="PST138" s="774"/>
      <c r="PSU138" s="774"/>
      <c r="PSV138" s="774"/>
      <c r="PSW138" s="774"/>
      <c r="PSX138" s="774"/>
      <c r="PSY138" s="774"/>
      <c r="PSZ138" s="774"/>
      <c r="PTA138" s="774"/>
      <c r="PTB138" s="774"/>
      <c r="PTC138" s="774"/>
      <c r="PTD138" s="774"/>
      <c r="PTE138" s="774"/>
      <c r="PTF138" s="774"/>
      <c r="PTG138" s="774"/>
      <c r="PTH138" s="774"/>
      <c r="PTI138" s="774"/>
      <c r="PTJ138" s="774"/>
      <c r="PTK138" s="774"/>
      <c r="PTL138" s="774"/>
      <c r="PTM138" s="774"/>
      <c r="PTN138" s="774"/>
      <c r="PTO138" s="774"/>
      <c r="PTP138" s="774"/>
      <c r="PTQ138" s="774"/>
      <c r="PTR138" s="774"/>
      <c r="PTS138" s="774"/>
      <c r="PTT138" s="774"/>
      <c r="PTU138" s="774"/>
      <c r="PTV138" s="774"/>
      <c r="PTW138" s="774"/>
      <c r="PTX138" s="774"/>
      <c r="PTY138" s="774"/>
      <c r="PTZ138" s="774"/>
      <c r="PUA138" s="774"/>
      <c r="PUB138" s="774"/>
      <c r="PUC138" s="774"/>
      <c r="PUD138" s="774"/>
      <c r="PUE138" s="774"/>
      <c r="PUF138" s="774"/>
      <c r="PUG138" s="774"/>
      <c r="PUH138" s="774"/>
      <c r="PUI138" s="774"/>
      <c r="PUJ138" s="774"/>
      <c r="PUK138" s="774"/>
      <c r="PUL138" s="774"/>
      <c r="PUM138" s="774"/>
      <c r="PUN138" s="774"/>
      <c r="PUO138" s="774"/>
      <c r="PUP138" s="774"/>
      <c r="PUQ138" s="774"/>
      <c r="PUR138" s="774"/>
      <c r="PUS138" s="774"/>
      <c r="PUT138" s="774"/>
      <c r="PUU138" s="774"/>
      <c r="PUV138" s="774"/>
      <c r="PUW138" s="774"/>
      <c r="PUX138" s="774"/>
      <c r="PUY138" s="774"/>
      <c r="PUZ138" s="774"/>
      <c r="PVA138" s="774"/>
      <c r="PVB138" s="774"/>
      <c r="PVC138" s="774"/>
      <c r="PVD138" s="774"/>
      <c r="PVE138" s="774"/>
      <c r="PVF138" s="774"/>
      <c r="PVG138" s="774"/>
      <c r="PVH138" s="774"/>
      <c r="PVI138" s="774"/>
      <c r="PVJ138" s="774"/>
      <c r="PVK138" s="774"/>
      <c r="PVL138" s="774"/>
      <c r="PVM138" s="774"/>
      <c r="PVN138" s="774"/>
      <c r="PVO138" s="774"/>
      <c r="PVP138" s="774"/>
      <c r="PVQ138" s="774"/>
      <c r="PVR138" s="774"/>
      <c r="PVS138" s="774"/>
      <c r="PVT138" s="774"/>
      <c r="PVU138" s="774"/>
      <c r="PVV138" s="774"/>
      <c r="PVW138" s="774"/>
      <c r="PVX138" s="774"/>
      <c r="PVY138" s="774"/>
      <c r="PVZ138" s="774"/>
      <c r="PWA138" s="774"/>
      <c r="PWB138" s="774"/>
      <c r="PWC138" s="774"/>
      <c r="PWD138" s="774"/>
      <c r="PWE138" s="774"/>
      <c r="PWF138" s="774"/>
      <c r="PWG138" s="774"/>
      <c r="PWH138" s="774"/>
      <c r="PWI138" s="774"/>
      <c r="PWJ138" s="774"/>
      <c r="PWK138" s="774"/>
      <c r="PWL138" s="774"/>
      <c r="PWM138" s="774"/>
      <c r="PWN138" s="774"/>
      <c r="PWO138" s="774"/>
      <c r="PWP138" s="774"/>
      <c r="PWQ138" s="774"/>
      <c r="PWR138" s="774"/>
      <c r="PWS138" s="774"/>
      <c r="PWT138" s="774"/>
      <c r="PWU138" s="774"/>
      <c r="PWV138" s="774"/>
      <c r="PWW138" s="774"/>
      <c r="PWX138" s="774"/>
      <c r="PWY138" s="774"/>
      <c r="PWZ138" s="774"/>
      <c r="PXA138" s="774"/>
      <c r="PXB138" s="774"/>
      <c r="PXC138" s="774"/>
      <c r="PXD138" s="774"/>
      <c r="PXE138" s="774"/>
      <c r="PXF138" s="774"/>
      <c r="PXG138" s="774"/>
      <c r="PXH138" s="774"/>
      <c r="PXI138" s="774"/>
      <c r="PXJ138" s="774"/>
      <c r="PXK138" s="774"/>
      <c r="PXL138" s="774"/>
      <c r="PXM138" s="774"/>
      <c r="PXN138" s="774"/>
      <c r="PXO138" s="774"/>
      <c r="PXP138" s="774"/>
      <c r="PXQ138" s="774"/>
      <c r="PXR138" s="774"/>
      <c r="PXS138" s="774"/>
      <c r="PXT138" s="774"/>
      <c r="PXU138" s="774"/>
      <c r="PXV138" s="774"/>
      <c r="PXW138" s="774"/>
      <c r="PXX138" s="774"/>
      <c r="PXY138" s="774"/>
      <c r="PXZ138" s="774"/>
      <c r="PYA138" s="774"/>
      <c r="PYB138" s="774"/>
      <c r="PYC138" s="774"/>
      <c r="PYD138" s="774"/>
      <c r="PYE138" s="774"/>
      <c r="PYF138" s="774"/>
      <c r="PYG138" s="774"/>
      <c r="PYH138" s="774"/>
      <c r="PYI138" s="774"/>
      <c r="PYJ138" s="774"/>
      <c r="PYK138" s="774"/>
      <c r="PYL138" s="774"/>
      <c r="PYM138" s="774"/>
      <c r="PYN138" s="774"/>
      <c r="PYO138" s="774"/>
      <c r="PYP138" s="774"/>
      <c r="PYQ138" s="774"/>
      <c r="PYR138" s="774"/>
      <c r="PYS138" s="774"/>
      <c r="PYT138" s="774"/>
      <c r="PYU138" s="774"/>
      <c r="PYV138" s="774"/>
      <c r="PYW138" s="774"/>
      <c r="PYX138" s="774"/>
      <c r="PYY138" s="774"/>
      <c r="PYZ138" s="774"/>
      <c r="PZA138" s="774"/>
      <c r="PZB138" s="774"/>
      <c r="PZC138" s="774"/>
      <c r="PZD138" s="774"/>
      <c r="PZE138" s="774"/>
      <c r="PZF138" s="774"/>
      <c r="PZG138" s="774"/>
      <c r="PZH138" s="774"/>
      <c r="PZI138" s="774"/>
      <c r="PZJ138" s="774"/>
      <c r="PZK138" s="774"/>
      <c r="PZL138" s="774"/>
      <c r="PZM138" s="774"/>
      <c r="PZN138" s="774"/>
      <c r="PZO138" s="774"/>
      <c r="PZP138" s="774"/>
      <c r="PZQ138" s="774"/>
      <c r="PZR138" s="774"/>
      <c r="PZS138" s="774"/>
      <c r="PZT138" s="774"/>
      <c r="PZU138" s="774"/>
      <c r="PZV138" s="774"/>
      <c r="PZW138" s="774"/>
      <c r="PZX138" s="774"/>
      <c r="PZY138" s="774"/>
      <c r="PZZ138" s="774"/>
      <c r="QAA138" s="774"/>
      <c r="QAB138" s="774"/>
      <c r="QAC138" s="774"/>
      <c r="QAD138" s="774"/>
      <c r="QAE138" s="774"/>
      <c r="QAF138" s="774"/>
      <c r="QAG138" s="774"/>
      <c r="QAH138" s="774"/>
      <c r="QAI138" s="774"/>
      <c r="QAJ138" s="774"/>
      <c r="QAK138" s="774"/>
      <c r="QAL138" s="774"/>
      <c r="QAM138" s="774"/>
      <c r="QAN138" s="774"/>
      <c r="QAO138" s="774"/>
      <c r="QAP138" s="774"/>
      <c r="QAQ138" s="774"/>
      <c r="QAR138" s="774"/>
      <c r="QAS138" s="774"/>
      <c r="QAT138" s="774"/>
      <c r="QAU138" s="774"/>
      <c r="QAV138" s="774"/>
      <c r="QAW138" s="774"/>
      <c r="QAX138" s="774"/>
      <c r="QAY138" s="774"/>
      <c r="QAZ138" s="774"/>
      <c r="QBA138" s="774"/>
      <c r="QBB138" s="774"/>
      <c r="QBC138" s="774"/>
      <c r="QBD138" s="774"/>
      <c r="QBE138" s="774"/>
      <c r="QBF138" s="774"/>
      <c r="QBG138" s="774"/>
      <c r="QBH138" s="774"/>
      <c r="QBI138" s="774"/>
      <c r="QBJ138" s="774"/>
      <c r="QBK138" s="774"/>
      <c r="QBL138" s="774"/>
      <c r="QBM138" s="774"/>
      <c r="QBN138" s="774"/>
      <c r="QBO138" s="774"/>
      <c r="QBP138" s="774"/>
      <c r="QBQ138" s="774"/>
      <c r="QBR138" s="774"/>
      <c r="QBS138" s="774"/>
      <c r="QBT138" s="774"/>
      <c r="QBU138" s="774"/>
      <c r="QBV138" s="774"/>
      <c r="QBW138" s="774"/>
      <c r="QBX138" s="774"/>
      <c r="QBY138" s="774"/>
      <c r="QBZ138" s="774"/>
      <c r="QCA138" s="774"/>
      <c r="QCB138" s="774"/>
      <c r="QCC138" s="774"/>
      <c r="QCD138" s="774"/>
      <c r="QCE138" s="774"/>
      <c r="QCF138" s="774"/>
      <c r="QCG138" s="774"/>
      <c r="QCH138" s="774"/>
      <c r="QCI138" s="774"/>
      <c r="QCJ138" s="774"/>
      <c r="QCK138" s="774"/>
      <c r="QCL138" s="774"/>
      <c r="QCM138" s="774"/>
      <c r="QCN138" s="774"/>
      <c r="QCO138" s="774"/>
      <c r="QCP138" s="774"/>
      <c r="QCQ138" s="774"/>
      <c r="QCR138" s="774"/>
      <c r="QCS138" s="774"/>
      <c r="QCT138" s="774"/>
      <c r="QCU138" s="774"/>
      <c r="QCV138" s="774"/>
      <c r="QCW138" s="774"/>
      <c r="QCX138" s="774"/>
      <c r="QCY138" s="774"/>
      <c r="QCZ138" s="774"/>
      <c r="QDA138" s="774"/>
      <c r="QDB138" s="774"/>
      <c r="QDC138" s="774"/>
      <c r="QDD138" s="774"/>
      <c r="QDE138" s="774"/>
      <c r="QDF138" s="774"/>
      <c r="QDG138" s="774"/>
      <c r="QDH138" s="774"/>
      <c r="QDI138" s="774"/>
      <c r="QDJ138" s="774"/>
      <c r="QDK138" s="774"/>
      <c r="QDL138" s="774"/>
      <c r="QDM138" s="774"/>
      <c r="QDN138" s="774"/>
      <c r="QDO138" s="774"/>
      <c r="QDP138" s="774"/>
      <c r="QDQ138" s="774"/>
      <c r="QDR138" s="774"/>
      <c r="QDS138" s="774"/>
      <c r="QDT138" s="774"/>
      <c r="QDU138" s="774"/>
      <c r="QDV138" s="774"/>
      <c r="QDW138" s="774"/>
      <c r="QDX138" s="774"/>
      <c r="QDY138" s="774"/>
      <c r="QDZ138" s="774"/>
      <c r="QEA138" s="774"/>
      <c r="QEB138" s="774"/>
      <c r="QEC138" s="774"/>
      <c r="QED138" s="774"/>
      <c r="QEE138" s="774"/>
      <c r="QEF138" s="774"/>
      <c r="QEG138" s="774"/>
      <c r="QEH138" s="774"/>
      <c r="QEI138" s="774"/>
      <c r="QEJ138" s="774"/>
      <c r="QEK138" s="774"/>
      <c r="QEL138" s="774"/>
      <c r="QEM138" s="774"/>
      <c r="QEN138" s="774"/>
      <c r="QEO138" s="774"/>
      <c r="QEP138" s="774"/>
      <c r="QEQ138" s="774"/>
      <c r="QER138" s="774"/>
      <c r="QES138" s="774"/>
      <c r="QET138" s="774"/>
      <c r="QEU138" s="774"/>
      <c r="QEV138" s="774"/>
      <c r="QEW138" s="774"/>
      <c r="QEX138" s="774"/>
      <c r="QEY138" s="774"/>
      <c r="QEZ138" s="774"/>
      <c r="QFA138" s="774"/>
      <c r="QFB138" s="774"/>
      <c r="QFC138" s="774"/>
      <c r="QFD138" s="774"/>
      <c r="QFE138" s="774"/>
      <c r="QFF138" s="774"/>
      <c r="QFG138" s="774"/>
      <c r="QFH138" s="774"/>
      <c r="QFI138" s="774"/>
      <c r="QFJ138" s="774"/>
      <c r="QFK138" s="774"/>
      <c r="QFL138" s="774"/>
      <c r="QFM138" s="774"/>
      <c r="QFN138" s="774"/>
      <c r="QFO138" s="774"/>
      <c r="QFP138" s="774"/>
      <c r="QFQ138" s="774"/>
      <c r="QFR138" s="774"/>
      <c r="QFS138" s="774"/>
      <c r="QFT138" s="774"/>
      <c r="QFU138" s="774"/>
      <c r="QFV138" s="774"/>
      <c r="QFW138" s="774"/>
      <c r="QFX138" s="774"/>
      <c r="QFY138" s="774"/>
      <c r="QFZ138" s="774"/>
      <c r="QGA138" s="774"/>
      <c r="QGB138" s="774"/>
      <c r="QGC138" s="774"/>
      <c r="QGD138" s="774"/>
      <c r="QGE138" s="774"/>
      <c r="QGF138" s="774"/>
      <c r="QGG138" s="774"/>
      <c r="QGH138" s="774"/>
      <c r="QGI138" s="774"/>
      <c r="QGJ138" s="774"/>
      <c r="QGK138" s="774"/>
      <c r="QGL138" s="774"/>
      <c r="QGM138" s="774"/>
      <c r="QGN138" s="774"/>
      <c r="QGO138" s="774"/>
      <c r="QGP138" s="774"/>
      <c r="QGQ138" s="774"/>
      <c r="QGR138" s="774"/>
      <c r="QGS138" s="774"/>
      <c r="QGT138" s="774"/>
      <c r="QGU138" s="774"/>
      <c r="QGV138" s="774"/>
      <c r="QGW138" s="774"/>
      <c r="QGX138" s="774"/>
      <c r="QGY138" s="774"/>
      <c r="QGZ138" s="774"/>
      <c r="QHA138" s="774"/>
      <c r="QHB138" s="774"/>
      <c r="QHC138" s="774"/>
      <c r="QHD138" s="774"/>
      <c r="QHE138" s="774"/>
      <c r="QHF138" s="774"/>
      <c r="QHG138" s="774"/>
      <c r="QHH138" s="774"/>
      <c r="QHI138" s="774"/>
      <c r="QHJ138" s="774"/>
      <c r="QHK138" s="774"/>
      <c r="QHL138" s="774"/>
      <c r="QHM138" s="774"/>
      <c r="QHN138" s="774"/>
      <c r="QHO138" s="774"/>
      <c r="QHP138" s="774"/>
      <c r="QHQ138" s="774"/>
      <c r="QHR138" s="774"/>
      <c r="QHS138" s="774"/>
      <c r="QHT138" s="774"/>
      <c r="QHU138" s="774"/>
      <c r="QHV138" s="774"/>
      <c r="QHW138" s="774"/>
      <c r="QHX138" s="774"/>
      <c r="QHY138" s="774"/>
      <c r="QHZ138" s="774"/>
      <c r="QIA138" s="774"/>
      <c r="QIB138" s="774"/>
      <c r="QIC138" s="774"/>
      <c r="QID138" s="774"/>
      <c r="QIE138" s="774"/>
      <c r="QIF138" s="774"/>
      <c r="QIG138" s="774"/>
      <c r="QIH138" s="774"/>
      <c r="QII138" s="774"/>
      <c r="QIJ138" s="774"/>
      <c r="QIK138" s="774"/>
      <c r="QIL138" s="774"/>
      <c r="QIM138" s="774"/>
      <c r="QIN138" s="774"/>
      <c r="QIO138" s="774"/>
      <c r="QIP138" s="774"/>
      <c r="QIQ138" s="774"/>
      <c r="QIR138" s="774"/>
      <c r="QIS138" s="774"/>
      <c r="QIT138" s="774"/>
      <c r="QIU138" s="774"/>
      <c r="QIV138" s="774"/>
      <c r="QIW138" s="774"/>
      <c r="QIX138" s="774"/>
      <c r="QIY138" s="774"/>
      <c r="QIZ138" s="774"/>
      <c r="QJA138" s="774"/>
      <c r="QJB138" s="774"/>
      <c r="QJC138" s="774"/>
      <c r="QJD138" s="774"/>
      <c r="QJE138" s="774"/>
      <c r="QJF138" s="774"/>
      <c r="QJG138" s="774"/>
      <c r="QJH138" s="774"/>
      <c r="QJI138" s="774"/>
      <c r="QJJ138" s="774"/>
      <c r="QJK138" s="774"/>
      <c r="QJL138" s="774"/>
      <c r="QJM138" s="774"/>
      <c r="QJN138" s="774"/>
      <c r="QJO138" s="774"/>
      <c r="QJP138" s="774"/>
      <c r="QJQ138" s="774"/>
      <c r="QJR138" s="774"/>
      <c r="QJS138" s="774"/>
      <c r="QJT138" s="774"/>
      <c r="QJU138" s="774"/>
      <c r="QJV138" s="774"/>
      <c r="QJW138" s="774"/>
      <c r="QJX138" s="774"/>
      <c r="QJY138" s="774"/>
      <c r="QJZ138" s="774"/>
      <c r="QKA138" s="774"/>
      <c r="QKB138" s="774"/>
      <c r="QKC138" s="774"/>
      <c r="QKD138" s="774"/>
      <c r="QKE138" s="774"/>
      <c r="QKF138" s="774"/>
      <c r="QKG138" s="774"/>
      <c r="QKH138" s="774"/>
      <c r="QKI138" s="774"/>
      <c r="QKJ138" s="774"/>
      <c r="QKK138" s="774"/>
      <c r="QKL138" s="774"/>
      <c r="QKM138" s="774"/>
      <c r="QKN138" s="774"/>
      <c r="QKO138" s="774"/>
      <c r="QKP138" s="774"/>
      <c r="QKQ138" s="774"/>
      <c r="QKR138" s="774"/>
      <c r="QKS138" s="774"/>
      <c r="QKT138" s="774"/>
      <c r="QKU138" s="774"/>
      <c r="QKV138" s="774"/>
      <c r="QKW138" s="774"/>
      <c r="QKX138" s="774"/>
      <c r="QKY138" s="774"/>
      <c r="QKZ138" s="774"/>
      <c r="QLA138" s="774"/>
      <c r="QLB138" s="774"/>
      <c r="QLC138" s="774"/>
      <c r="QLD138" s="774"/>
      <c r="QLE138" s="774"/>
      <c r="QLF138" s="774"/>
      <c r="QLG138" s="774"/>
      <c r="QLH138" s="774"/>
      <c r="QLI138" s="774"/>
      <c r="QLJ138" s="774"/>
      <c r="QLK138" s="774"/>
      <c r="QLL138" s="774"/>
      <c r="QLM138" s="774"/>
      <c r="QLN138" s="774"/>
      <c r="QLO138" s="774"/>
      <c r="QLP138" s="774"/>
      <c r="QLQ138" s="774"/>
      <c r="QLR138" s="774"/>
      <c r="QLS138" s="774"/>
      <c r="QLT138" s="774"/>
      <c r="QLU138" s="774"/>
      <c r="QLV138" s="774"/>
      <c r="QLW138" s="774"/>
      <c r="QLX138" s="774"/>
      <c r="QLY138" s="774"/>
      <c r="QLZ138" s="774"/>
      <c r="QMA138" s="774"/>
      <c r="QMB138" s="774"/>
      <c r="QMC138" s="774"/>
      <c r="QMD138" s="774"/>
      <c r="QME138" s="774"/>
      <c r="QMF138" s="774"/>
      <c r="QMG138" s="774"/>
      <c r="QMH138" s="774"/>
      <c r="QMI138" s="774"/>
      <c r="QMJ138" s="774"/>
      <c r="QMK138" s="774"/>
      <c r="QML138" s="774"/>
      <c r="QMM138" s="774"/>
      <c r="QMN138" s="774"/>
      <c r="QMO138" s="774"/>
      <c r="QMP138" s="774"/>
      <c r="QMQ138" s="774"/>
      <c r="QMR138" s="774"/>
      <c r="QMS138" s="774"/>
      <c r="QMT138" s="774"/>
      <c r="QMU138" s="774"/>
      <c r="QMV138" s="774"/>
      <c r="QMW138" s="774"/>
      <c r="QMX138" s="774"/>
      <c r="QMY138" s="774"/>
      <c r="QMZ138" s="774"/>
      <c r="QNA138" s="774"/>
      <c r="QNB138" s="774"/>
      <c r="QNC138" s="774"/>
      <c r="QND138" s="774"/>
      <c r="QNE138" s="774"/>
      <c r="QNF138" s="774"/>
      <c r="QNG138" s="774"/>
      <c r="QNH138" s="774"/>
      <c r="QNI138" s="774"/>
      <c r="QNJ138" s="774"/>
      <c r="QNK138" s="774"/>
      <c r="QNL138" s="774"/>
      <c r="QNM138" s="774"/>
      <c r="QNN138" s="774"/>
      <c r="QNO138" s="774"/>
      <c r="QNP138" s="774"/>
      <c r="QNQ138" s="774"/>
      <c r="QNR138" s="774"/>
      <c r="QNS138" s="774"/>
      <c r="QNT138" s="774"/>
      <c r="QNU138" s="774"/>
      <c r="QNV138" s="774"/>
      <c r="QNW138" s="774"/>
      <c r="QNX138" s="774"/>
      <c r="QNY138" s="774"/>
      <c r="QNZ138" s="774"/>
      <c r="QOA138" s="774"/>
      <c r="QOB138" s="774"/>
      <c r="QOC138" s="774"/>
      <c r="QOD138" s="774"/>
      <c r="QOE138" s="774"/>
      <c r="QOF138" s="774"/>
      <c r="QOG138" s="774"/>
      <c r="QOH138" s="774"/>
      <c r="QOI138" s="774"/>
      <c r="QOJ138" s="774"/>
      <c r="QOK138" s="774"/>
      <c r="QOL138" s="774"/>
      <c r="QOM138" s="774"/>
      <c r="QON138" s="774"/>
      <c r="QOO138" s="774"/>
      <c r="QOP138" s="774"/>
      <c r="QOQ138" s="774"/>
      <c r="QOR138" s="774"/>
      <c r="QOS138" s="774"/>
      <c r="QOT138" s="774"/>
      <c r="QOU138" s="774"/>
      <c r="QOV138" s="774"/>
      <c r="QOW138" s="774"/>
      <c r="QOX138" s="774"/>
      <c r="QOY138" s="774"/>
      <c r="QOZ138" s="774"/>
      <c r="QPA138" s="774"/>
      <c r="QPB138" s="774"/>
      <c r="QPC138" s="774"/>
      <c r="QPD138" s="774"/>
      <c r="QPE138" s="774"/>
      <c r="QPF138" s="774"/>
      <c r="QPG138" s="774"/>
      <c r="QPH138" s="774"/>
      <c r="QPI138" s="774"/>
      <c r="QPJ138" s="774"/>
      <c r="QPK138" s="774"/>
      <c r="QPL138" s="774"/>
      <c r="QPM138" s="774"/>
      <c r="QPN138" s="774"/>
      <c r="QPO138" s="774"/>
      <c r="QPP138" s="774"/>
      <c r="QPQ138" s="774"/>
      <c r="QPR138" s="774"/>
      <c r="QPS138" s="774"/>
      <c r="QPT138" s="774"/>
      <c r="QPU138" s="774"/>
      <c r="QPV138" s="774"/>
      <c r="QPW138" s="774"/>
      <c r="QPX138" s="774"/>
      <c r="QPY138" s="774"/>
      <c r="QPZ138" s="774"/>
      <c r="QQA138" s="774"/>
      <c r="QQB138" s="774"/>
      <c r="QQC138" s="774"/>
      <c r="QQD138" s="774"/>
      <c r="QQE138" s="774"/>
      <c r="QQF138" s="774"/>
      <c r="QQG138" s="774"/>
      <c r="QQH138" s="774"/>
      <c r="QQI138" s="774"/>
      <c r="QQJ138" s="774"/>
      <c r="QQK138" s="774"/>
      <c r="QQL138" s="774"/>
      <c r="QQM138" s="774"/>
      <c r="QQN138" s="774"/>
      <c r="QQO138" s="774"/>
      <c r="QQP138" s="774"/>
      <c r="QQQ138" s="774"/>
      <c r="QQR138" s="774"/>
      <c r="QQS138" s="774"/>
      <c r="QQT138" s="774"/>
      <c r="QQU138" s="774"/>
      <c r="QQV138" s="774"/>
      <c r="QQW138" s="774"/>
      <c r="QQX138" s="774"/>
      <c r="QQY138" s="774"/>
      <c r="QQZ138" s="774"/>
      <c r="QRA138" s="774"/>
      <c r="QRB138" s="774"/>
      <c r="QRC138" s="774"/>
      <c r="QRD138" s="774"/>
      <c r="QRE138" s="774"/>
      <c r="QRF138" s="774"/>
      <c r="QRG138" s="774"/>
      <c r="QRH138" s="774"/>
      <c r="QRI138" s="774"/>
      <c r="QRJ138" s="774"/>
      <c r="QRK138" s="774"/>
      <c r="QRL138" s="774"/>
      <c r="QRM138" s="774"/>
      <c r="QRN138" s="774"/>
      <c r="QRO138" s="774"/>
      <c r="QRP138" s="774"/>
      <c r="QRQ138" s="774"/>
      <c r="QRR138" s="774"/>
      <c r="QRS138" s="774"/>
      <c r="QRT138" s="774"/>
      <c r="QRU138" s="774"/>
      <c r="QRV138" s="774"/>
      <c r="QRW138" s="774"/>
      <c r="QRX138" s="774"/>
      <c r="QRY138" s="774"/>
      <c r="QRZ138" s="774"/>
      <c r="QSA138" s="774"/>
      <c r="QSB138" s="774"/>
      <c r="QSC138" s="774"/>
      <c r="QSD138" s="774"/>
      <c r="QSE138" s="774"/>
      <c r="QSF138" s="774"/>
      <c r="QSG138" s="774"/>
      <c r="QSH138" s="774"/>
      <c r="QSI138" s="774"/>
      <c r="QSJ138" s="774"/>
      <c r="QSK138" s="774"/>
      <c r="QSL138" s="774"/>
      <c r="QSM138" s="774"/>
      <c r="QSN138" s="774"/>
      <c r="QSO138" s="774"/>
      <c r="QSP138" s="774"/>
      <c r="QSQ138" s="774"/>
      <c r="QSR138" s="774"/>
      <c r="QSS138" s="774"/>
      <c r="QST138" s="774"/>
      <c r="QSU138" s="774"/>
      <c r="QSV138" s="774"/>
      <c r="QSW138" s="774"/>
      <c r="QSX138" s="774"/>
      <c r="QSY138" s="774"/>
      <c r="QSZ138" s="774"/>
      <c r="QTA138" s="774"/>
      <c r="QTB138" s="774"/>
      <c r="QTC138" s="774"/>
      <c r="QTD138" s="774"/>
      <c r="QTE138" s="774"/>
      <c r="QTF138" s="774"/>
      <c r="QTG138" s="774"/>
      <c r="QTH138" s="774"/>
      <c r="QTI138" s="774"/>
      <c r="QTJ138" s="774"/>
      <c r="QTK138" s="774"/>
      <c r="QTL138" s="774"/>
      <c r="QTM138" s="774"/>
      <c r="QTN138" s="774"/>
      <c r="QTO138" s="774"/>
      <c r="QTP138" s="774"/>
      <c r="QTQ138" s="774"/>
      <c r="QTR138" s="774"/>
      <c r="QTS138" s="774"/>
      <c r="QTT138" s="774"/>
      <c r="QTU138" s="774"/>
      <c r="QTV138" s="774"/>
      <c r="QTW138" s="774"/>
      <c r="QTX138" s="774"/>
      <c r="QTY138" s="774"/>
      <c r="QTZ138" s="774"/>
      <c r="QUA138" s="774"/>
      <c r="QUB138" s="774"/>
      <c r="QUC138" s="774"/>
      <c r="QUD138" s="774"/>
      <c r="QUE138" s="774"/>
      <c r="QUF138" s="774"/>
      <c r="QUG138" s="774"/>
      <c r="QUH138" s="774"/>
      <c r="QUI138" s="774"/>
      <c r="QUJ138" s="774"/>
      <c r="QUK138" s="774"/>
      <c r="QUL138" s="774"/>
      <c r="QUM138" s="774"/>
      <c r="QUN138" s="774"/>
      <c r="QUO138" s="774"/>
      <c r="QUP138" s="774"/>
      <c r="QUQ138" s="774"/>
      <c r="QUR138" s="774"/>
      <c r="QUS138" s="774"/>
      <c r="QUT138" s="774"/>
      <c r="QUU138" s="774"/>
      <c r="QUV138" s="774"/>
      <c r="QUW138" s="774"/>
      <c r="QUX138" s="774"/>
      <c r="QUY138" s="774"/>
      <c r="QUZ138" s="774"/>
      <c r="QVA138" s="774"/>
      <c r="QVB138" s="774"/>
      <c r="QVC138" s="774"/>
      <c r="QVD138" s="774"/>
      <c r="QVE138" s="774"/>
      <c r="QVF138" s="774"/>
      <c r="QVG138" s="774"/>
      <c r="QVH138" s="774"/>
      <c r="QVI138" s="774"/>
      <c r="QVJ138" s="774"/>
      <c r="QVK138" s="774"/>
      <c r="QVL138" s="774"/>
      <c r="QVM138" s="774"/>
      <c r="QVN138" s="774"/>
      <c r="QVO138" s="774"/>
      <c r="QVP138" s="774"/>
      <c r="QVQ138" s="774"/>
      <c r="QVR138" s="774"/>
      <c r="QVS138" s="774"/>
      <c r="QVT138" s="774"/>
      <c r="QVU138" s="774"/>
      <c r="QVV138" s="774"/>
      <c r="QVW138" s="774"/>
      <c r="QVX138" s="774"/>
      <c r="QVY138" s="774"/>
      <c r="QVZ138" s="774"/>
      <c r="QWA138" s="774"/>
      <c r="QWB138" s="774"/>
      <c r="QWC138" s="774"/>
      <c r="QWD138" s="774"/>
      <c r="QWE138" s="774"/>
      <c r="QWF138" s="774"/>
      <c r="QWG138" s="774"/>
      <c r="QWH138" s="774"/>
      <c r="QWI138" s="774"/>
      <c r="QWJ138" s="774"/>
      <c r="QWK138" s="774"/>
      <c r="QWL138" s="774"/>
      <c r="QWM138" s="774"/>
      <c r="QWN138" s="774"/>
      <c r="QWO138" s="774"/>
      <c r="QWP138" s="774"/>
      <c r="QWQ138" s="774"/>
      <c r="QWR138" s="774"/>
      <c r="QWS138" s="774"/>
      <c r="QWT138" s="774"/>
      <c r="QWU138" s="774"/>
      <c r="QWV138" s="774"/>
      <c r="QWW138" s="774"/>
      <c r="QWX138" s="774"/>
      <c r="QWY138" s="774"/>
      <c r="QWZ138" s="774"/>
      <c r="QXA138" s="774"/>
      <c r="QXB138" s="774"/>
      <c r="QXC138" s="774"/>
      <c r="QXD138" s="774"/>
      <c r="QXE138" s="774"/>
      <c r="QXF138" s="774"/>
      <c r="QXG138" s="774"/>
      <c r="QXH138" s="774"/>
      <c r="QXI138" s="774"/>
      <c r="QXJ138" s="774"/>
      <c r="QXK138" s="774"/>
      <c r="QXL138" s="774"/>
      <c r="QXM138" s="774"/>
      <c r="QXN138" s="774"/>
      <c r="QXO138" s="774"/>
      <c r="QXP138" s="774"/>
      <c r="QXQ138" s="774"/>
      <c r="QXR138" s="774"/>
      <c r="QXS138" s="774"/>
      <c r="QXT138" s="774"/>
      <c r="QXU138" s="774"/>
      <c r="QXV138" s="774"/>
      <c r="QXW138" s="774"/>
      <c r="QXX138" s="774"/>
      <c r="QXY138" s="774"/>
      <c r="QXZ138" s="774"/>
      <c r="QYA138" s="774"/>
      <c r="QYB138" s="774"/>
      <c r="QYC138" s="774"/>
      <c r="QYD138" s="774"/>
      <c r="QYE138" s="774"/>
      <c r="QYF138" s="774"/>
      <c r="QYG138" s="774"/>
      <c r="QYH138" s="774"/>
      <c r="QYI138" s="774"/>
      <c r="QYJ138" s="774"/>
      <c r="QYK138" s="774"/>
      <c r="QYL138" s="774"/>
      <c r="QYM138" s="774"/>
      <c r="QYN138" s="774"/>
      <c r="QYO138" s="774"/>
      <c r="QYP138" s="774"/>
      <c r="QYQ138" s="774"/>
      <c r="QYR138" s="774"/>
      <c r="QYS138" s="774"/>
      <c r="QYT138" s="774"/>
      <c r="QYU138" s="774"/>
      <c r="QYV138" s="774"/>
      <c r="QYW138" s="774"/>
      <c r="QYX138" s="774"/>
      <c r="QYY138" s="774"/>
      <c r="QYZ138" s="774"/>
      <c r="QZA138" s="774"/>
      <c r="QZB138" s="774"/>
      <c r="QZC138" s="774"/>
      <c r="QZD138" s="774"/>
      <c r="QZE138" s="774"/>
      <c r="QZF138" s="774"/>
      <c r="QZG138" s="774"/>
      <c r="QZH138" s="774"/>
      <c r="QZI138" s="774"/>
      <c r="QZJ138" s="774"/>
      <c r="QZK138" s="774"/>
      <c r="QZL138" s="774"/>
      <c r="QZM138" s="774"/>
      <c r="QZN138" s="774"/>
      <c r="QZO138" s="774"/>
      <c r="QZP138" s="774"/>
      <c r="QZQ138" s="774"/>
      <c r="QZR138" s="774"/>
      <c r="QZS138" s="774"/>
      <c r="QZT138" s="774"/>
      <c r="QZU138" s="774"/>
      <c r="QZV138" s="774"/>
      <c r="QZW138" s="774"/>
      <c r="QZX138" s="774"/>
      <c r="QZY138" s="774"/>
      <c r="QZZ138" s="774"/>
      <c r="RAA138" s="774"/>
      <c r="RAB138" s="774"/>
      <c r="RAC138" s="774"/>
      <c r="RAD138" s="774"/>
      <c r="RAE138" s="774"/>
      <c r="RAF138" s="774"/>
      <c r="RAG138" s="774"/>
      <c r="RAH138" s="774"/>
      <c r="RAI138" s="774"/>
      <c r="RAJ138" s="774"/>
      <c r="RAK138" s="774"/>
      <c r="RAL138" s="774"/>
      <c r="RAM138" s="774"/>
      <c r="RAN138" s="774"/>
      <c r="RAO138" s="774"/>
      <c r="RAP138" s="774"/>
      <c r="RAQ138" s="774"/>
      <c r="RAR138" s="774"/>
      <c r="RAS138" s="774"/>
      <c r="RAT138" s="774"/>
      <c r="RAU138" s="774"/>
      <c r="RAV138" s="774"/>
      <c r="RAW138" s="774"/>
      <c r="RAX138" s="774"/>
      <c r="RAY138" s="774"/>
      <c r="RAZ138" s="774"/>
      <c r="RBA138" s="774"/>
      <c r="RBB138" s="774"/>
      <c r="RBC138" s="774"/>
      <c r="RBD138" s="774"/>
      <c r="RBE138" s="774"/>
      <c r="RBF138" s="774"/>
      <c r="RBG138" s="774"/>
      <c r="RBH138" s="774"/>
      <c r="RBI138" s="774"/>
      <c r="RBJ138" s="774"/>
      <c r="RBK138" s="774"/>
      <c r="RBL138" s="774"/>
      <c r="RBM138" s="774"/>
      <c r="RBN138" s="774"/>
      <c r="RBO138" s="774"/>
      <c r="RBP138" s="774"/>
      <c r="RBQ138" s="774"/>
      <c r="RBR138" s="774"/>
      <c r="RBS138" s="774"/>
      <c r="RBT138" s="774"/>
      <c r="RBU138" s="774"/>
      <c r="RBV138" s="774"/>
      <c r="RBW138" s="774"/>
      <c r="RBX138" s="774"/>
      <c r="RBY138" s="774"/>
      <c r="RBZ138" s="774"/>
      <c r="RCA138" s="774"/>
      <c r="RCB138" s="774"/>
      <c r="RCC138" s="774"/>
      <c r="RCD138" s="774"/>
      <c r="RCE138" s="774"/>
      <c r="RCF138" s="774"/>
      <c r="RCG138" s="774"/>
      <c r="RCH138" s="774"/>
      <c r="RCI138" s="774"/>
      <c r="RCJ138" s="774"/>
      <c r="RCK138" s="774"/>
      <c r="RCL138" s="774"/>
      <c r="RCM138" s="774"/>
      <c r="RCN138" s="774"/>
      <c r="RCO138" s="774"/>
      <c r="RCP138" s="774"/>
      <c r="RCQ138" s="774"/>
      <c r="RCR138" s="774"/>
      <c r="RCS138" s="774"/>
      <c r="RCT138" s="774"/>
      <c r="RCU138" s="774"/>
      <c r="RCV138" s="774"/>
      <c r="RCW138" s="774"/>
      <c r="RCX138" s="774"/>
      <c r="RCY138" s="774"/>
      <c r="RCZ138" s="774"/>
      <c r="RDA138" s="774"/>
      <c r="RDB138" s="774"/>
      <c r="RDC138" s="774"/>
      <c r="RDD138" s="774"/>
      <c r="RDE138" s="774"/>
      <c r="RDF138" s="774"/>
      <c r="RDG138" s="774"/>
      <c r="RDH138" s="774"/>
      <c r="RDI138" s="774"/>
      <c r="RDJ138" s="774"/>
      <c r="RDK138" s="774"/>
      <c r="RDL138" s="774"/>
      <c r="RDM138" s="774"/>
      <c r="RDN138" s="774"/>
      <c r="RDO138" s="774"/>
      <c r="RDP138" s="774"/>
      <c r="RDQ138" s="774"/>
      <c r="RDR138" s="774"/>
      <c r="RDS138" s="774"/>
      <c r="RDT138" s="774"/>
      <c r="RDU138" s="774"/>
      <c r="RDV138" s="774"/>
      <c r="RDW138" s="774"/>
      <c r="RDX138" s="774"/>
      <c r="RDY138" s="774"/>
      <c r="RDZ138" s="774"/>
      <c r="REA138" s="774"/>
      <c r="REB138" s="774"/>
      <c r="REC138" s="774"/>
      <c r="RED138" s="774"/>
      <c r="REE138" s="774"/>
      <c r="REF138" s="774"/>
      <c r="REG138" s="774"/>
      <c r="REH138" s="774"/>
      <c r="REI138" s="774"/>
      <c r="REJ138" s="774"/>
      <c r="REK138" s="774"/>
      <c r="REL138" s="774"/>
      <c r="REM138" s="774"/>
      <c r="REN138" s="774"/>
      <c r="REO138" s="774"/>
      <c r="REP138" s="774"/>
      <c r="REQ138" s="774"/>
      <c r="RER138" s="774"/>
      <c r="RES138" s="774"/>
      <c r="RET138" s="774"/>
      <c r="REU138" s="774"/>
      <c r="REV138" s="774"/>
      <c r="REW138" s="774"/>
      <c r="REX138" s="774"/>
      <c r="REY138" s="774"/>
      <c r="REZ138" s="774"/>
      <c r="RFA138" s="774"/>
      <c r="RFB138" s="774"/>
      <c r="RFC138" s="774"/>
      <c r="RFD138" s="774"/>
      <c r="RFE138" s="774"/>
      <c r="RFF138" s="774"/>
      <c r="RFG138" s="774"/>
      <c r="RFH138" s="774"/>
      <c r="RFI138" s="774"/>
      <c r="RFJ138" s="774"/>
      <c r="RFK138" s="774"/>
      <c r="RFL138" s="774"/>
      <c r="RFM138" s="774"/>
      <c r="RFN138" s="774"/>
      <c r="RFO138" s="774"/>
      <c r="RFP138" s="774"/>
      <c r="RFQ138" s="774"/>
      <c r="RFR138" s="774"/>
      <c r="RFS138" s="774"/>
      <c r="RFT138" s="774"/>
      <c r="RFU138" s="774"/>
      <c r="RFV138" s="774"/>
      <c r="RFW138" s="774"/>
      <c r="RFX138" s="774"/>
      <c r="RFY138" s="774"/>
      <c r="RFZ138" s="774"/>
      <c r="RGA138" s="774"/>
      <c r="RGB138" s="774"/>
      <c r="RGC138" s="774"/>
      <c r="RGD138" s="774"/>
      <c r="RGE138" s="774"/>
      <c r="RGF138" s="774"/>
      <c r="RGG138" s="774"/>
      <c r="RGH138" s="774"/>
      <c r="RGI138" s="774"/>
      <c r="RGJ138" s="774"/>
      <c r="RGK138" s="774"/>
      <c r="RGL138" s="774"/>
      <c r="RGM138" s="774"/>
      <c r="RGN138" s="774"/>
      <c r="RGO138" s="774"/>
      <c r="RGP138" s="774"/>
      <c r="RGQ138" s="774"/>
      <c r="RGR138" s="774"/>
      <c r="RGS138" s="774"/>
      <c r="RGT138" s="774"/>
      <c r="RGU138" s="774"/>
      <c r="RGV138" s="774"/>
      <c r="RGW138" s="774"/>
      <c r="RGX138" s="774"/>
      <c r="RGY138" s="774"/>
      <c r="RGZ138" s="774"/>
      <c r="RHA138" s="774"/>
      <c r="RHB138" s="774"/>
      <c r="RHC138" s="774"/>
      <c r="RHD138" s="774"/>
      <c r="RHE138" s="774"/>
      <c r="RHF138" s="774"/>
      <c r="RHG138" s="774"/>
      <c r="RHH138" s="774"/>
      <c r="RHI138" s="774"/>
      <c r="RHJ138" s="774"/>
      <c r="RHK138" s="774"/>
      <c r="RHL138" s="774"/>
      <c r="RHM138" s="774"/>
      <c r="RHN138" s="774"/>
      <c r="RHO138" s="774"/>
      <c r="RHP138" s="774"/>
      <c r="RHQ138" s="774"/>
      <c r="RHR138" s="774"/>
      <c r="RHS138" s="774"/>
      <c r="RHT138" s="774"/>
      <c r="RHU138" s="774"/>
      <c r="RHV138" s="774"/>
      <c r="RHW138" s="774"/>
      <c r="RHX138" s="774"/>
      <c r="RHY138" s="774"/>
      <c r="RHZ138" s="774"/>
      <c r="RIA138" s="774"/>
      <c r="RIB138" s="774"/>
      <c r="RIC138" s="774"/>
      <c r="RID138" s="774"/>
      <c r="RIE138" s="774"/>
      <c r="RIF138" s="774"/>
      <c r="RIG138" s="774"/>
      <c r="RIH138" s="774"/>
      <c r="RII138" s="774"/>
      <c r="RIJ138" s="774"/>
      <c r="RIK138" s="774"/>
      <c r="RIL138" s="774"/>
      <c r="RIM138" s="774"/>
      <c r="RIN138" s="774"/>
      <c r="RIO138" s="774"/>
      <c r="RIP138" s="774"/>
      <c r="RIQ138" s="774"/>
      <c r="RIR138" s="774"/>
      <c r="RIS138" s="774"/>
      <c r="RIT138" s="774"/>
      <c r="RIU138" s="774"/>
      <c r="RIV138" s="774"/>
      <c r="RIW138" s="774"/>
      <c r="RIX138" s="774"/>
      <c r="RIY138" s="774"/>
      <c r="RIZ138" s="774"/>
      <c r="RJA138" s="774"/>
      <c r="RJB138" s="774"/>
      <c r="RJC138" s="774"/>
      <c r="RJD138" s="774"/>
      <c r="RJE138" s="774"/>
      <c r="RJF138" s="774"/>
      <c r="RJG138" s="774"/>
      <c r="RJH138" s="774"/>
      <c r="RJI138" s="774"/>
      <c r="RJJ138" s="774"/>
      <c r="RJK138" s="774"/>
      <c r="RJL138" s="774"/>
      <c r="RJM138" s="774"/>
      <c r="RJN138" s="774"/>
      <c r="RJO138" s="774"/>
      <c r="RJP138" s="774"/>
      <c r="RJQ138" s="774"/>
      <c r="RJR138" s="774"/>
      <c r="RJS138" s="774"/>
      <c r="RJT138" s="774"/>
      <c r="RJU138" s="774"/>
      <c r="RJV138" s="774"/>
      <c r="RJW138" s="774"/>
      <c r="RJX138" s="774"/>
      <c r="RJY138" s="774"/>
      <c r="RJZ138" s="774"/>
      <c r="RKA138" s="774"/>
      <c r="RKB138" s="774"/>
      <c r="RKC138" s="774"/>
      <c r="RKD138" s="774"/>
      <c r="RKE138" s="774"/>
      <c r="RKF138" s="774"/>
      <c r="RKG138" s="774"/>
      <c r="RKH138" s="774"/>
      <c r="RKI138" s="774"/>
      <c r="RKJ138" s="774"/>
      <c r="RKK138" s="774"/>
      <c r="RKL138" s="774"/>
      <c r="RKM138" s="774"/>
      <c r="RKN138" s="774"/>
      <c r="RKO138" s="774"/>
      <c r="RKP138" s="774"/>
      <c r="RKQ138" s="774"/>
      <c r="RKR138" s="774"/>
      <c r="RKS138" s="774"/>
      <c r="RKT138" s="774"/>
      <c r="RKU138" s="774"/>
      <c r="RKV138" s="774"/>
      <c r="RKW138" s="774"/>
      <c r="RKX138" s="774"/>
      <c r="RKY138" s="774"/>
      <c r="RKZ138" s="774"/>
      <c r="RLA138" s="774"/>
      <c r="RLB138" s="774"/>
      <c r="RLC138" s="774"/>
      <c r="RLD138" s="774"/>
      <c r="RLE138" s="774"/>
      <c r="RLF138" s="774"/>
      <c r="RLG138" s="774"/>
      <c r="RLH138" s="774"/>
      <c r="RLI138" s="774"/>
      <c r="RLJ138" s="774"/>
      <c r="RLK138" s="774"/>
      <c r="RLL138" s="774"/>
      <c r="RLM138" s="774"/>
      <c r="RLN138" s="774"/>
      <c r="RLO138" s="774"/>
      <c r="RLP138" s="774"/>
      <c r="RLQ138" s="774"/>
      <c r="RLR138" s="774"/>
      <c r="RLS138" s="774"/>
      <c r="RLT138" s="774"/>
      <c r="RLU138" s="774"/>
      <c r="RLV138" s="774"/>
      <c r="RLW138" s="774"/>
      <c r="RLX138" s="774"/>
      <c r="RLY138" s="774"/>
      <c r="RLZ138" s="774"/>
      <c r="RMA138" s="774"/>
      <c r="RMB138" s="774"/>
      <c r="RMC138" s="774"/>
      <c r="RMD138" s="774"/>
      <c r="RME138" s="774"/>
      <c r="RMF138" s="774"/>
      <c r="RMG138" s="774"/>
      <c r="RMH138" s="774"/>
      <c r="RMI138" s="774"/>
      <c r="RMJ138" s="774"/>
      <c r="RMK138" s="774"/>
      <c r="RML138" s="774"/>
      <c r="RMM138" s="774"/>
      <c r="RMN138" s="774"/>
      <c r="RMO138" s="774"/>
      <c r="RMP138" s="774"/>
      <c r="RMQ138" s="774"/>
      <c r="RMR138" s="774"/>
      <c r="RMS138" s="774"/>
      <c r="RMT138" s="774"/>
      <c r="RMU138" s="774"/>
      <c r="RMV138" s="774"/>
      <c r="RMW138" s="774"/>
      <c r="RMX138" s="774"/>
      <c r="RMY138" s="774"/>
      <c r="RMZ138" s="774"/>
      <c r="RNA138" s="774"/>
      <c r="RNB138" s="774"/>
      <c r="RNC138" s="774"/>
      <c r="RND138" s="774"/>
      <c r="RNE138" s="774"/>
      <c r="RNF138" s="774"/>
      <c r="RNG138" s="774"/>
      <c r="RNH138" s="774"/>
      <c r="RNI138" s="774"/>
      <c r="RNJ138" s="774"/>
      <c r="RNK138" s="774"/>
      <c r="RNL138" s="774"/>
      <c r="RNM138" s="774"/>
      <c r="RNN138" s="774"/>
      <c r="RNO138" s="774"/>
      <c r="RNP138" s="774"/>
      <c r="RNQ138" s="774"/>
      <c r="RNR138" s="774"/>
      <c r="RNS138" s="774"/>
      <c r="RNT138" s="774"/>
      <c r="RNU138" s="774"/>
      <c r="RNV138" s="774"/>
      <c r="RNW138" s="774"/>
      <c r="RNX138" s="774"/>
      <c r="RNY138" s="774"/>
      <c r="RNZ138" s="774"/>
      <c r="ROA138" s="774"/>
      <c r="ROB138" s="774"/>
      <c r="ROC138" s="774"/>
      <c r="ROD138" s="774"/>
      <c r="ROE138" s="774"/>
      <c r="ROF138" s="774"/>
      <c r="ROG138" s="774"/>
      <c r="ROH138" s="774"/>
      <c r="ROI138" s="774"/>
      <c r="ROJ138" s="774"/>
      <c r="ROK138" s="774"/>
      <c r="ROL138" s="774"/>
      <c r="ROM138" s="774"/>
      <c r="RON138" s="774"/>
      <c r="ROO138" s="774"/>
      <c r="ROP138" s="774"/>
      <c r="ROQ138" s="774"/>
      <c r="ROR138" s="774"/>
      <c r="ROS138" s="774"/>
      <c r="ROT138" s="774"/>
      <c r="ROU138" s="774"/>
      <c r="ROV138" s="774"/>
      <c r="ROW138" s="774"/>
      <c r="ROX138" s="774"/>
      <c r="ROY138" s="774"/>
      <c r="ROZ138" s="774"/>
      <c r="RPA138" s="774"/>
      <c r="RPB138" s="774"/>
      <c r="RPC138" s="774"/>
      <c r="RPD138" s="774"/>
      <c r="RPE138" s="774"/>
      <c r="RPF138" s="774"/>
      <c r="RPG138" s="774"/>
      <c r="RPH138" s="774"/>
      <c r="RPI138" s="774"/>
      <c r="RPJ138" s="774"/>
      <c r="RPK138" s="774"/>
      <c r="RPL138" s="774"/>
      <c r="RPM138" s="774"/>
      <c r="RPN138" s="774"/>
      <c r="RPO138" s="774"/>
      <c r="RPP138" s="774"/>
      <c r="RPQ138" s="774"/>
      <c r="RPR138" s="774"/>
      <c r="RPS138" s="774"/>
      <c r="RPT138" s="774"/>
      <c r="RPU138" s="774"/>
      <c r="RPV138" s="774"/>
      <c r="RPW138" s="774"/>
      <c r="RPX138" s="774"/>
      <c r="RPY138" s="774"/>
      <c r="RPZ138" s="774"/>
      <c r="RQA138" s="774"/>
      <c r="RQB138" s="774"/>
      <c r="RQC138" s="774"/>
      <c r="RQD138" s="774"/>
      <c r="RQE138" s="774"/>
      <c r="RQF138" s="774"/>
      <c r="RQG138" s="774"/>
      <c r="RQH138" s="774"/>
      <c r="RQI138" s="774"/>
      <c r="RQJ138" s="774"/>
      <c r="RQK138" s="774"/>
      <c r="RQL138" s="774"/>
      <c r="RQM138" s="774"/>
      <c r="RQN138" s="774"/>
      <c r="RQO138" s="774"/>
      <c r="RQP138" s="774"/>
      <c r="RQQ138" s="774"/>
      <c r="RQR138" s="774"/>
      <c r="RQS138" s="774"/>
      <c r="RQT138" s="774"/>
      <c r="RQU138" s="774"/>
      <c r="RQV138" s="774"/>
      <c r="RQW138" s="774"/>
      <c r="RQX138" s="774"/>
      <c r="RQY138" s="774"/>
      <c r="RQZ138" s="774"/>
      <c r="RRA138" s="774"/>
      <c r="RRB138" s="774"/>
      <c r="RRC138" s="774"/>
      <c r="RRD138" s="774"/>
      <c r="RRE138" s="774"/>
      <c r="RRF138" s="774"/>
      <c r="RRG138" s="774"/>
      <c r="RRH138" s="774"/>
      <c r="RRI138" s="774"/>
      <c r="RRJ138" s="774"/>
      <c r="RRK138" s="774"/>
      <c r="RRL138" s="774"/>
      <c r="RRM138" s="774"/>
      <c r="RRN138" s="774"/>
      <c r="RRO138" s="774"/>
      <c r="RRP138" s="774"/>
      <c r="RRQ138" s="774"/>
      <c r="RRR138" s="774"/>
      <c r="RRS138" s="774"/>
      <c r="RRT138" s="774"/>
      <c r="RRU138" s="774"/>
      <c r="RRV138" s="774"/>
      <c r="RRW138" s="774"/>
      <c r="RRX138" s="774"/>
      <c r="RRY138" s="774"/>
      <c r="RRZ138" s="774"/>
      <c r="RSA138" s="774"/>
      <c r="RSB138" s="774"/>
      <c r="RSC138" s="774"/>
      <c r="RSD138" s="774"/>
      <c r="RSE138" s="774"/>
      <c r="RSF138" s="774"/>
      <c r="RSG138" s="774"/>
      <c r="RSH138" s="774"/>
      <c r="RSI138" s="774"/>
      <c r="RSJ138" s="774"/>
      <c r="RSK138" s="774"/>
      <c r="RSL138" s="774"/>
      <c r="RSM138" s="774"/>
      <c r="RSN138" s="774"/>
      <c r="RSO138" s="774"/>
      <c r="RSP138" s="774"/>
      <c r="RSQ138" s="774"/>
      <c r="RSR138" s="774"/>
      <c r="RSS138" s="774"/>
      <c r="RST138" s="774"/>
      <c r="RSU138" s="774"/>
      <c r="RSV138" s="774"/>
      <c r="RSW138" s="774"/>
      <c r="RSX138" s="774"/>
      <c r="RSY138" s="774"/>
      <c r="RSZ138" s="774"/>
      <c r="RTA138" s="774"/>
      <c r="RTB138" s="774"/>
      <c r="RTC138" s="774"/>
      <c r="RTD138" s="774"/>
      <c r="RTE138" s="774"/>
      <c r="RTF138" s="774"/>
      <c r="RTG138" s="774"/>
      <c r="RTH138" s="774"/>
      <c r="RTI138" s="774"/>
      <c r="RTJ138" s="774"/>
      <c r="RTK138" s="774"/>
      <c r="RTL138" s="774"/>
      <c r="RTM138" s="774"/>
      <c r="RTN138" s="774"/>
      <c r="RTO138" s="774"/>
      <c r="RTP138" s="774"/>
      <c r="RTQ138" s="774"/>
      <c r="RTR138" s="774"/>
      <c r="RTS138" s="774"/>
      <c r="RTT138" s="774"/>
      <c r="RTU138" s="774"/>
      <c r="RTV138" s="774"/>
      <c r="RTW138" s="774"/>
      <c r="RTX138" s="774"/>
      <c r="RTY138" s="774"/>
      <c r="RTZ138" s="774"/>
      <c r="RUA138" s="774"/>
      <c r="RUB138" s="774"/>
      <c r="RUC138" s="774"/>
      <c r="RUD138" s="774"/>
      <c r="RUE138" s="774"/>
      <c r="RUF138" s="774"/>
      <c r="RUG138" s="774"/>
      <c r="RUH138" s="774"/>
      <c r="RUI138" s="774"/>
      <c r="RUJ138" s="774"/>
      <c r="RUK138" s="774"/>
      <c r="RUL138" s="774"/>
      <c r="RUM138" s="774"/>
      <c r="RUN138" s="774"/>
      <c r="RUO138" s="774"/>
      <c r="RUP138" s="774"/>
      <c r="RUQ138" s="774"/>
      <c r="RUR138" s="774"/>
      <c r="RUS138" s="774"/>
      <c r="RUT138" s="774"/>
      <c r="RUU138" s="774"/>
      <c r="RUV138" s="774"/>
      <c r="RUW138" s="774"/>
      <c r="RUX138" s="774"/>
      <c r="RUY138" s="774"/>
      <c r="RUZ138" s="774"/>
      <c r="RVA138" s="774"/>
      <c r="RVB138" s="774"/>
      <c r="RVC138" s="774"/>
      <c r="RVD138" s="774"/>
      <c r="RVE138" s="774"/>
      <c r="RVF138" s="774"/>
      <c r="RVG138" s="774"/>
      <c r="RVH138" s="774"/>
      <c r="RVI138" s="774"/>
      <c r="RVJ138" s="774"/>
      <c r="RVK138" s="774"/>
      <c r="RVL138" s="774"/>
      <c r="RVM138" s="774"/>
      <c r="RVN138" s="774"/>
      <c r="RVO138" s="774"/>
      <c r="RVP138" s="774"/>
      <c r="RVQ138" s="774"/>
      <c r="RVR138" s="774"/>
      <c r="RVS138" s="774"/>
      <c r="RVT138" s="774"/>
      <c r="RVU138" s="774"/>
      <c r="RVV138" s="774"/>
      <c r="RVW138" s="774"/>
      <c r="RVX138" s="774"/>
      <c r="RVY138" s="774"/>
      <c r="RVZ138" s="774"/>
      <c r="RWA138" s="774"/>
      <c r="RWB138" s="774"/>
      <c r="RWC138" s="774"/>
      <c r="RWD138" s="774"/>
      <c r="RWE138" s="774"/>
      <c r="RWF138" s="774"/>
      <c r="RWG138" s="774"/>
      <c r="RWH138" s="774"/>
      <c r="RWI138" s="774"/>
      <c r="RWJ138" s="774"/>
      <c r="RWK138" s="774"/>
      <c r="RWL138" s="774"/>
      <c r="RWM138" s="774"/>
      <c r="RWN138" s="774"/>
      <c r="RWO138" s="774"/>
      <c r="RWP138" s="774"/>
      <c r="RWQ138" s="774"/>
      <c r="RWR138" s="774"/>
      <c r="RWS138" s="774"/>
      <c r="RWT138" s="774"/>
      <c r="RWU138" s="774"/>
      <c r="RWV138" s="774"/>
      <c r="RWW138" s="774"/>
      <c r="RWX138" s="774"/>
      <c r="RWY138" s="774"/>
      <c r="RWZ138" s="774"/>
      <c r="RXA138" s="774"/>
      <c r="RXB138" s="774"/>
      <c r="RXC138" s="774"/>
      <c r="RXD138" s="774"/>
      <c r="RXE138" s="774"/>
      <c r="RXF138" s="774"/>
      <c r="RXG138" s="774"/>
      <c r="RXH138" s="774"/>
      <c r="RXI138" s="774"/>
      <c r="RXJ138" s="774"/>
      <c r="RXK138" s="774"/>
      <c r="RXL138" s="774"/>
      <c r="RXM138" s="774"/>
      <c r="RXN138" s="774"/>
      <c r="RXO138" s="774"/>
      <c r="RXP138" s="774"/>
      <c r="RXQ138" s="774"/>
      <c r="RXR138" s="774"/>
      <c r="RXS138" s="774"/>
      <c r="RXT138" s="774"/>
      <c r="RXU138" s="774"/>
      <c r="RXV138" s="774"/>
      <c r="RXW138" s="774"/>
      <c r="RXX138" s="774"/>
      <c r="RXY138" s="774"/>
      <c r="RXZ138" s="774"/>
      <c r="RYA138" s="774"/>
      <c r="RYB138" s="774"/>
      <c r="RYC138" s="774"/>
      <c r="RYD138" s="774"/>
      <c r="RYE138" s="774"/>
      <c r="RYF138" s="774"/>
      <c r="RYG138" s="774"/>
      <c r="RYH138" s="774"/>
      <c r="RYI138" s="774"/>
      <c r="RYJ138" s="774"/>
      <c r="RYK138" s="774"/>
      <c r="RYL138" s="774"/>
      <c r="RYM138" s="774"/>
      <c r="RYN138" s="774"/>
      <c r="RYO138" s="774"/>
      <c r="RYP138" s="774"/>
      <c r="RYQ138" s="774"/>
      <c r="RYR138" s="774"/>
      <c r="RYS138" s="774"/>
      <c r="RYT138" s="774"/>
      <c r="RYU138" s="774"/>
      <c r="RYV138" s="774"/>
      <c r="RYW138" s="774"/>
      <c r="RYX138" s="774"/>
      <c r="RYY138" s="774"/>
      <c r="RYZ138" s="774"/>
      <c r="RZA138" s="774"/>
      <c r="RZB138" s="774"/>
      <c r="RZC138" s="774"/>
      <c r="RZD138" s="774"/>
      <c r="RZE138" s="774"/>
      <c r="RZF138" s="774"/>
      <c r="RZG138" s="774"/>
      <c r="RZH138" s="774"/>
      <c r="RZI138" s="774"/>
      <c r="RZJ138" s="774"/>
      <c r="RZK138" s="774"/>
      <c r="RZL138" s="774"/>
      <c r="RZM138" s="774"/>
      <c r="RZN138" s="774"/>
      <c r="RZO138" s="774"/>
      <c r="RZP138" s="774"/>
      <c r="RZQ138" s="774"/>
      <c r="RZR138" s="774"/>
      <c r="RZS138" s="774"/>
      <c r="RZT138" s="774"/>
      <c r="RZU138" s="774"/>
      <c r="RZV138" s="774"/>
      <c r="RZW138" s="774"/>
      <c r="RZX138" s="774"/>
      <c r="RZY138" s="774"/>
      <c r="RZZ138" s="774"/>
      <c r="SAA138" s="774"/>
      <c r="SAB138" s="774"/>
      <c r="SAC138" s="774"/>
      <c r="SAD138" s="774"/>
      <c r="SAE138" s="774"/>
      <c r="SAF138" s="774"/>
      <c r="SAG138" s="774"/>
      <c r="SAH138" s="774"/>
      <c r="SAI138" s="774"/>
      <c r="SAJ138" s="774"/>
      <c r="SAK138" s="774"/>
      <c r="SAL138" s="774"/>
      <c r="SAM138" s="774"/>
      <c r="SAN138" s="774"/>
      <c r="SAO138" s="774"/>
      <c r="SAP138" s="774"/>
      <c r="SAQ138" s="774"/>
      <c r="SAR138" s="774"/>
      <c r="SAS138" s="774"/>
      <c r="SAT138" s="774"/>
      <c r="SAU138" s="774"/>
      <c r="SAV138" s="774"/>
      <c r="SAW138" s="774"/>
      <c r="SAX138" s="774"/>
      <c r="SAY138" s="774"/>
      <c r="SAZ138" s="774"/>
      <c r="SBA138" s="774"/>
      <c r="SBB138" s="774"/>
      <c r="SBC138" s="774"/>
      <c r="SBD138" s="774"/>
      <c r="SBE138" s="774"/>
      <c r="SBF138" s="774"/>
      <c r="SBG138" s="774"/>
      <c r="SBH138" s="774"/>
      <c r="SBI138" s="774"/>
      <c r="SBJ138" s="774"/>
      <c r="SBK138" s="774"/>
      <c r="SBL138" s="774"/>
      <c r="SBM138" s="774"/>
      <c r="SBN138" s="774"/>
      <c r="SBO138" s="774"/>
      <c r="SBP138" s="774"/>
      <c r="SBQ138" s="774"/>
      <c r="SBR138" s="774"/>
      <c r="SBS138" s="774"/>
      <c r="SBT138" s="774"/>
      <c r="SBU138" s="774"/>
      <c r="SBV138" s="774"/>
      <c r="SBW138" s="774"/>
      <c r="SBX138" s="774"/>
      <c r="SBY138" s="774"/>
      <c r="SBZ138" s="774"/>
      <c r="SCA138" s="774"/>
      <c r="SCB138" s="774"/>
      <c r="SCC138" s="774"/>
      <c r="SCD138" s="774"/>
      <c r="SCE138" s="774"/>
      <c r="SCF138" s="774"/>
      <c r="SCG138" s="774"/>
      <c r="SCH138" s="774"/>
      <c r="SCI138" s="774"/>
      <c r="SCJ138" s="774"/>
      <c r="SCK138" s="774"/>
      <c r="SCL138" s="774"/>
      <c r="SCM138" s="774"/>
      <c r="SCN138" s="774"/>
      <c r="SCO138" s="774"/>
      <c r="SCP138" s="774"/>
      <c r="SCQ138" s="774"/>
      <c r="SCR138" s="774"/>
      <c r="SCS138" s="774"/>
      <c r="SCT138" s="774"/>
      <c r="SCU138" s="774"/>
      <c r="SCV138" s="774"/>
      <c r="SCW138" s="774"/>
      <c r="SCX138" s="774"/>
      <c r="SCY138" s="774"/>
      <c r="SCZ138" s="774"/>
      <c r="SDA138" s="774"/>
      <c r="SDB138" s="774"/>
      <c r="SDC138" s="774"/>
      <c r="SDD138" s="774"/>
      <c r="SDE138" s="774"/>
      <c r="SDF138" s="774"/>
      <c r="SDG138" s="774"/>
      <c r="SDH138" s="774"/>
      <c r="SDI138" s="774"/>
      <c r="SDJ138" s="774"/>
      <c r="SDK138" s="774"/>
      <c r="SDL138" s="774"/>
      <c r="SDM138" s="774"/>
      <c r="SDN138" s="774"/>
      <c r="SDO138" s="774"/>
      <c r="SDP138" s="774"/>
      <c r="SDQ138" s="774"/>
      <c r="SDR138" s="774"/>
      <c r="SDS138" s="774"/>
      <c r="SDT138" s="774"/>
      <c r="SDU138" s="774"/>
      <c r="SDV138" s="774"/>
      <c r="SDW138" s="774"/>
      <c r="SDX138" s="774"/>
      <c r="SDY138" s="774"/>
      <c r="SDZ138" s="774"/>
      <c r="SEA138" s="774"/>
      <c r="SEB138" s="774"/>
      <c r="SEC138" s="774"/>
      <c r="SED138" s="774"/>
      <c r="SEE138" s="774"/>
      <c r="SEF138" s="774"/>
      <c r="SEG138" s="774"/>
      <c r="SEH138" s="774"/>
      <c r="SEI138" s="774"/>
      <c r="SEJ138" s="774"/>
      <c r="SEK138" s="774"/>
      <c r="SEL138" s="774"/>
      <c r="SEM138" s="774"/>
      <c r="SEN138" s="774"/>
      <c r="SEO138" s="774"/>
      <c r="SEP138" s="774"/>
      <c r="SEQ138" s="774"/>
      <c r="SER138" s="774"/>
      <c r="SES138" s="774"/>
      <c r="SET138" s="774"/>
      <c r="SEU138" s="774"/>
      <c r="SEV138" s="774"/>
      <c r="SEW138" s="774"/>
      <c r="SEX138" s="774"/>
      <c r="SEY138" s="774"/>
      <c r="SEZ138" s="774"/>
      <c r="SFA138" s="774"/>
      <c r="SFB138" s="774"/>
      <c r="SFC138" s="774"/>
      <c r="SFD138" s="774"/>
      <c r="SFE138" s="774"/>
      <c r="SFF138" s="774"/>
      <c r="SFG138" s="774"/>
      <c r="SFH138" s="774"/>
      <c r="SFI138" s="774"/>
      <c r="SFJ138" s="774"/>
      <c r="SFK138" s="774"/>
      <c r="SFL138" s="774"/>
      <c r="SFM138" s="774"/>
      <c r="SFN138" s="774"/>
      <c r="SFO138" s="774"/>
      <c r="SFP138" s="774"/>
      <c r="SFQ138" s="774"/>
      <c r="SFR138" s="774"/>
      <c r="SFS138" s="774"/>
      <c r="SFT138" s="774"/>
      <c r="SFU138" s="774"/>
      <c r="SFV138" s="774"/>
      <c r="SFW138" s="774"/>
      <c r="SFX138" s="774"/>
      <c r="SFY138" s="774"/>
      <c r="SFZ138" s="774"/>
      <c r="SGA138" s="774"/>
      <c r="SGB138" s="774"/>
      <c r="SGC138" s="774"/>
      <c r="SGD138" s="774"/>
      <c r="SGE138" s="774"/>
      <c r="SGF138" s="774"/>
      <c r="SGG138" s="774"/>
      <c r="SGH138" s="774"/>
      <c r="SGI138" s="774"/>
      <c r="SGJ138" s="774"/>
      <c r="SGK138" s="774"/>
      <c r="SGL138" s="774"/>
      <c r="SGM138" s="774"/>
      <c r="SGN138" s="774"/>
      <c r="SGO138" s="774"/>
      <c r="SGP138" s="774"/>
      <c r="SGQ138" s="774"/>
      <c r="SGR138" s="774"/>
      <c r="SGS138" s="774"/>
      <c r="SGT138" s="774"/>
      <c r="SGU138" s="774"/>
      <c r="SGV138" s="774"/>
      <c r="SGW138" s="774"/>
      <c r="SGX138" s="774"/>
      <c r="SGY138" s="774"/>
      <c r="SGZ138" s="774"/>
      <c r="SHA138" s="774"/>
      <c r="SHB138" s="774"/>
      <c r="SHC138" s="774"/>
      <c r="SHD138" s="774"/>
      <c r="SHE138" s="774"/>
      <c r="SHF138" s="774"/>
      <c r="SHG138" s="774"/>
      <c r="SHH138" s="774"/>
      <c r="SHI138" s="774"/>
      <c r="SHJ138" s="774"/>
      <c r="SHK138" s="774"/>
      <c r="SHL138" s="774"/>
      <c r="SHM138" s="774"/>
      <c r="SHN138" s="774"/>
      <c r="SHO138" s="774"/>
      <c r="SHP138" s="774"/>
      <c r="SHQ138" s="774"/>
      <c r="SHR138" s="774"/>
      <c r="SHS138" s="774"/>
      <c r="SHT138" s="774"/>
      <c r="SHU138" s="774"/>
      <c r="SHV138" s="774"/>
      <c r="SHW138" s="774"/>
      <c r="SHX138" s="774"/>
      <c r="SHY138" s="774"/>
      <c r="SHZ138" s="774"/>
      <c r="SIA138" s="774"/>
      <c r="SIB138" s="774"/>
      <c r="SIC138" s="774"/>
      <c r="SID138" s="774"/>
      <c r="SIE138" s="774"/>
      <c r="SIF138" s="774"/>
      <c r="SIG138" s="774"/>
      <c r="SIH138" s="774"/>
      <c r="SII138" s="774"/>
      <c r="SIJ138" s="774"/>
      <c r="SIK138" s="774"/>
      <c r="SIL138" s="774"/>
      <c r="SIM138" s="774"/>
      <c r="SIN138" s="774"/>
      <c r="SIO138" s="774"/>
      <c r="SIP138" s="774"/>
      <c r="SIQ138" s="774"/>
      <c r="SIR138" s="774"/>
      <c r="SIS138" s="774"/>
      <c r="SIT138" s="774"/>
      <c r="SIU138" s="774"/>
      <c r="SIV138" s="774"/>
      <c r="SIW138" s="774"/>
      <c r="SIX138" s="774"/>
      <c r="SIY138" s="774"/>
      <c r="SIZ138" s="774"/>
      <c r="SJA138" s="774"/>
      <c r="SJB138" s="774"/>
      <c r="SJC138" s="774"/>
      <c r="SJD138" s="774"/>
      <c r="SJE138" s="774"/>
      <c r="SJF138" s="774"/>
      <c r="SJG138" s="774"/>
      <c r="SJH138" s="774"/>
      <c r="SJI138" s="774"/>
      <c r="SJJ138" s="774"/>
      <c r="SJK138" s="774"/>
      <c r="SJL138" s="774"/>
      <c r="SJM138" s="774"/>
      <c r="SJN138" s="774"/>
      <c r="SJO138" s="774"/>
      <c r="SJP138" s="774"/>
      <c r="SJQ138" s="774"/>
      <c r="SJR138" s="774"/>
      <c r="SJS138" s="774"/>
      <c r="SJT138" s="774"/>
      <c r="SJU138" s="774"/>
      <c r="SJV138" s="774"/>
      <c r="SJW138" s="774"/>
      <c r="SJX138" s="774"/>
      <c r="SJY138" s="774"/>
      <c r="SJZ138" s="774"/>
      <c r="SKA138" s="774"/>
      <c r="SKB138" s="774"/>
      <c r="SKC138" s="774"/>
      <c r="SKD138" s="774"/>
      <c r="SKE138" s="774"/>
      <c r="SKF138" s="774"/>
      <c r="SKG138" s="774"/>
      <c r="SKH138" s="774"/>
      <c r="SKI138" s="774"/>
      <c r="SKJ138" s="774"/>
      <c r="SKK138" s="774"/>
      <c r="SKL138" s="774"/>
      <c r="SKM138" s="774"/>
      <c r="SKN138" s="774"/>
      <c r="SKO138" s="774"/>
      <c r="SKP138" s="774"/>
      <c r="SKQ138" s="774"/>
      <c r="SKR138" s="774"/>
      <c r="SKS138" s="774"/>
      <c r="SKT138" s="774"/>
      <c r="SKU138" s="774"/>
      <c r="SKV138" s="774"/>
      <c r="SKW138" s="774"/>
      <c r="SKX138" s="774"/>
      <c r="SKY138" s="774"/>
      <c r="SKZ138" s="774"/>
      <c r="SLA138" s="774"/>
      <c r="SLB138" s="774"/>
      <c r="SLC138" s="774"/>
      <c r="SLD138" s="774"/>
      <c r="SLE138" s="774"/>
      <c r="SLF138" s="774"/>
      <c r="SLG138" s="774"/>
      <c r="SLH138" s="774"/>
      <c r="SLI138" s="774"/>
      <c r="SLJ138" s="774"/>
      <c r="SLK138" s="774"/>
      <c r="SLL138" s="774"/>
      <c r="SLM138" s="774"/>
      <c r="SLN138" s="774"/>
      <c r="SLO138" s="774"/>
      <c r="SLP138" s="774"/>
      <c r="SLQ138" s="774"/>
      <c r="SLR138" s="774"/>
      <c r="SLS138" s="774"/>
      <c r="SLT138" s="774"/>
      <c r="SLU138" s="774"/>
      <c r="SLV138" s="774"/>
      <c r="SLW138" s="774"/>
      <c r="SLX138" s="774"/>
      <c r="SLY138" s="774"/>
      <c r="SLZ138" s="774"/>
      <c r="SMA138" s="774"/>
      <c r="SMB138" s="774"/>
      <c r="SMC138" s="774"/>
      <c r="SMD138" s="774"/>
      <c r="SME138" s="774"/>
      <c r="SMF138" s="774"/>
      <c r="SMG138" s="774"/>
      <c r="SMH138" s="774"/>
      <c r="SMI138" s="774"/>
      <c r="SMJ138" s="774"/>
      <c r="SMK138" s="774"/>
      <c r="SML138" s="774"/>
      <c r="SMM138" s="774"/>
      <c r="SMN138" s="774"/>
      <c r="SMO138" s="774"/>
      <c r="SMP138" s="774"/>
      <c r="SMQ138" s="774"/>
      <c r="SMR138" s="774"/>
      <c r="SMS138" s="774"/>
      <c r="SMT138" s="774"/>
      <c r="SMU138" s="774"/>
      <c r="SMV138" s="774"/>
      <c r="SMW138" s="774"/>
      <c r="SMX138" s="774"/>
      <c r="SMY138" s="774"/>
      <c r="SMZ138" s="774"/>
      <c r="SNA138" s="774"/>
      <c r="SNB138" s="774"/>
      <c r="SNC138" s="774"/>
      <c r="SND138" s="774"/>
      <c r="SNE138" s="774"/>
      <c r="SNF138" s="774"/>
      <c r="SNG138" s="774"/>
      <c r="SNH138" s="774"/>
      <c r="SNI138" s="774"/>
      <c r="SNJ138" s="774"/>
      <c r="SNK138" s="774"/>
      <c r="SNL138" s="774"/>
      <c r="SNM138" s="774"/>
      <c r="SNN138" s="774"/>
      <c r="SNO138" s="774"/>
      <c r="SNP138" s="774"/>
      <c r="SNQ138" s="774"/>
      <c r="SNR138" s="774"/>
      <c r="SNS138" s="774"/>
      <c r="SNT138" s="774"/>
      <c r="SNU138" s="774"/>
      <c r="SNV138" s="774"/>
      <c r="SNW138" s="774"/>
      <c r="SNX138" s="774"/>
      <c r="SNY138" s="774"/>
      <c r="SNZ138" s="774"/>
      <c r="SOA138" s="774"/>
      <c r="SOB138" s="774"/>
      <c r="SOC138" s="774"/>
      <c r="SOD138" s="774"/>
      <c r="SOE138" s="774"/>
      <c r="SOF138" s="774"/>
      <c r="SOG138" s="774"/>
      <c r="SOH138" s="774"/>
      <c r="SOI138" s="774"/>
      <c r="SOJ138" s="774"/>
      <c r="SOK138" s="774"/>
      <c r="SOL138" s="774"/>
      <c r="SOM138" s="774"/>
      <c r="SON138" s="774"/>
      <c r="SOO138" s="774"/>
      <c r="SOP138" s="774"/>
      <c r="SOQ138" s="774"/>
      <c r="SOR138" s="774"/>
      <c r="SOS138" s="774"/>
      <c r="SOT138" s="774"/>
      <c r="SOU138" s="774"/>
      <c r="SOV138" s="774"/>
      <c r="SOW138" s="774"/>
      <c r="SOX138" s="774"/>
      <c r="SOY138" s="774"/>
      <c r="SOZ138" s="774"/>
      <c r="SPA138" s="774"/>
      <c r="SPB138" s="774"/>
      <c r="SPC138" s="774"/>
      <c r="SPD138" s="774"/>
      <c r="SPE138" s="774"/>
      <c r="SPF138" s="774"/>
      <c r="SPG138" s="774"/>
      <c r="SPH138" s="774"/>
      <c r="SPI138" s="774"/>
      <c r="SPJ138" s="774"/>
      <c r="SPK138" s="774"/>
      <c r="SPL138" s="774"/>
      <c r="SPM138" s="774"/>
      <c r="SPN138" s="774"/>
      <c r="SPO138" s="774"/>
      <c r="SPP138" s="774"/>
      <c r="SPQ138" s="774"/>
      <c r="SPR138" s="774"/>
      <c r="SPS138" s="774"/>
      <c r="SPT138" s="774"/>
      <c r="SPU138" s="774"/>
      <c r="SPV138" s="774"/>
      <c r="SPW138" s="774"/>
      <c r="SPX138" s="774"/>
      <c r="SPY138" s="774"/>
      <c r="SPZ138" s="774"/>
      <c r="SQA138" s="774"/>
      <c r="SQB138" s="774"/>
      <c r="SQC138" s="774"/>
      <c r="SQD138" s="774"/>
      <c r="SQE138" s="774"/>
      <c r="SQF138" s="774"/>
      <c r="SQG138" s="774"/>
      <c r="SQH138" s="774"/>
      <c r="SQI138" s="774"/>
      <c r="SQJ138" s="774"/>
      <c r="SQK138" s="774"/>
      <c r="SQL138" s="774"/>
      <c r="SQM138" s="774"/>
      <c r="SQN138" s="774"/>
      <c r="SQO138" s="774"/>
      <c r="SQP138" s="774"/>
      <c r="SQQ138" s="774"/>
      <c r="SQR138" s="774"/>
      <c r="SQS138" s="774"/>
      <c r="SQT138" s="774"/>
      <c r="SQU138" s="774"/>
      <c r="SQV138" s="774"/>
      <c r="SQW138" s="774"/>
      <c r="SQX138" s="774"/>
      <c r="SQY138" s="774"/>
      <c r="SQZ138" s="774"/>
      <c r="SRA138" s="774"/>
      <c r="SRB138" s="774"/>
      <c r="SRC138" s="774"/>
      <c r="SRD138" s="774"/>
      <c r="SRE138" s="774"/>
      <c r="SRF138" s="774"/>
      <c r="SRG138" s="774"/>
      <c r="SRH138" s="774"/>
      <c r="SRI138" s="774"/>
      <c r="SRJ138" s="774"/>
      <c r="SRK138" s="774"/>
      <c r="SRL138" s="774"/>
      <c r="SRM138" s="774"/>
      <c r="SRN138" s="774"/>
      <c r="SRO138" s="774"/>
      <c r="SRP138" s="774"/>
      <c r="SRQ138" s="774"/>
      <c r="SRR138" s="774"/>
      <c r="SRS138" s="774"/>
      <c r="SRT138" s="774"/>
      <c r="SRU138" s="774"/>
      <c r="SRV138" s="774"/>
      <c r="SRW138" s="774"/>
      <c r="SRX138" s="774"/>
      <c r="SRY138" s="774"/>
      <c r="SRZ138" s="774"/>
      <c r="SSA138" s="774"/>
      <c r="SSB138" s="774"/>
      <c r="SSC138" s="774"/>
      <c r="SSD138" s="774"/>
      <c r="SSE138" s="774"/>
      <c r="SSF138" s="774"/>
      <c r="SSG138" s="774"/>
      <c r="SSH138" s="774"/>
      <c r="SSI138" s="774"/>
      <c r="SSJ138" s="774"/>
      <c r="SSK138" s="774"/>
      <c r="SSL138" s="774"/>
      <c r="SSM138" s="774"/>
      <c r="SSN138" s="774"/>
      <c r="SSO138" s="774"/>
      <c r="SSP138" s="774"/>
      <c r="SSQ138" s="774"/>
      <c r="SSR138" s="774"/>
      <c r="SSS138" s="774"/>
      <c r="SST138" s="774"/>
      <c r="SSU138" s="774"/>
      <c r="SSV138" s="774"/>
      <c r="SSW138" s="774"/>
      <c r="SSX138" s="774"/>
      <c r="SSY138" s="774"/>
      <c r="SSZ138" s="774"/>
      <c r="STA138" s="774"/>
      <c r="STB138" s="774"/>
      <c r="STC138" s="774"/>
      <c r="STD138" s="774"/>
      <c r="STE138" s="774"/>
      <c r="STF138" s="774"/>
      <c r="STG138" s="774"/>
      <c r="STH138" s="774"/>
      <c r="STI138" s="774"/>
      <c r="STJ138" s="774"/>
      <c r="STK138" s="774"/>
      <c r="STL138" s="774"/>
      <c r="STM138" s="774"/>
      <c r="STN138" s="774"/>
      <c r="STO138" s="774"/>
      <c r="STP138" s="774"/>
      <c r="STQ138" s="774"/>
      <c r="STR138" s="774"/>
      <c r="STS138" s="774"/>
      <c r="STT138" s="774"/>
      <c r="STU138" s="774"/>
      <c r="STV138" s="774"/>
      <c r="STW138" s="774"/>
      <c r="STX138" s="774"/>
      <c r="STY138" s="774"/>
      <c r="STZ138" s="774"/>
      <c r="SUA138" s="774"/>
      <c r="SUB138" s="774"/>
      <c r="SUC138" s="774"/>
      <c r="SUD138" s="774"/>
      <c r="SUE138" s="774"/>
      <c r="SUF138" s="774"/>
      <c r="SUG138" s="774"/>
      <c r="SUH138" s="774"/>
      <c r="SUI138" s="774"/>
      <c r="SUJ138" s="774"/>
      <c r="SUK138" s="774"/>
      <c r="SUL138" s="774"/>
      <c r="SUM138" s="774"/>
      <c r="SUN138" s="774"/>
      <c r="SUO138" s="774"/>
      <c r="SUP138" s="774"/>
      <c r="SUQ138" s="774"/>
      <c r="SUR138" s="774"/>
      <c r="SUS138" s="774"/>
      <c r="SUT138" s="774"/>
      <c r="SUU138" s="774"/>
      <c r="SUV138" s="774"/>
      <c r="SUW138" s="774"/>
      <c r="SUX138" s="774"/>
      <c r="SUY138" s="774"/>
      <c r="SUZ138" s="774"/>
      <c r="SVA138" s="774"/>
      <c r="SVB138" s="774"/>
      <c r="SVC138" s="774"/>
      <c r="SVD138" s="774"/>
      <c r="SVE138" s="774"/>
      <c r="SVF138" s="774"/>
      <c r="SVG138" s="774"/>
      <c r="SVH138" s="774"/>
      <c r="SVI138" s="774"/>
      <c r="SVJ138" s="774"/>
      <c r="SVK138" s="774"/>
      <c r="SVL138" s="774"/>
      <c r="SVM138" s="774"/>
      <c r="SVN138" s="774"/>
      <c r="SVO138" s="774"/>
      <c r="SVP138" s="774"/>
      <c r="SVQ138" s="774"/>
      <c r="SVR138" s="774"/>
      <c r="SVS138" s="774"/>
      <c r="SVT138" s="774"/>
      <c r="SVU138" s="774"/>
      <c r="SVV138" s="774"/>
      <c r="SVW138" s="774"/>
      <c r="SVX138" s="774"/>
      <c r="SVY138" s="774"/>
      <c r="SVZ138" s="774"/>
      <c r="SWA138" s="774"/>
      <c r="SWB138" s="774"/>
      <c r="SWC138" s="774"/>
      <c r="SWD138" s="774"/>
      <c r="SWE138" s="774"/>
      <c r="SWF138" s="774"/>
      <c r="SWG138" s="774"/>
      <c r="SWH138" s="774"/>
      <c r="SWI138" s="774"/>
      <c r="SWJ138" s="774"/>
      <c r="SWK138" s="774"/>
      <c r="SWL138" s="774"/>
      <c r="SWM138" s="774"/>
      <c r="SWN138" s="774"/>
      <c r="SWO138" s="774"/>
      <c r="SWP138" s="774"/>
      <c r="SWQ138" s="774"/>
      <c r="SWR138" s="774"/>
      <c r="SWS138" s="774"/>
      <c r="SWT138" s="774"/>
      <c r="SWU138" s="774"/>
      <c r="SWV138" s="774"/>
      <c r="SWW138" s="774"/>
      <c r="SWX138" s="774"/>
      <c r="SWY138" s="774"/>
      <c r="SWZ138" s="774"/>
      <c r="SXA138" s="774"/>
      <c r="SXB138" s="774"/>
      <c r="SXC138" s="774"/>
      <c r="SXD138" s="774"/>
      <c r="SXE138" s="774"/>
      <c r="SXF138" s="774"/>
      <c r="SXG138" s="774"/>
      <c r="SXH138" s="774"/>
      <c r="SXI138" s="774"/>
      <c r="SXJ138" s="774"/>
      <c r="SXK138" s="774"/>
      <c r="SXL138" s="774"/>
      <c r="SXM138" s="774"/>
      <c r="SXN138" s="774"/>
      <c r="SXO138" s="774"/>
      <c r="SXP138" s="774"/>
      <c r="SXQ138" s="774"/>
      <c r="SXR138" s="774"/>
      <c r="SXS138" s="774"/>
      <c r="SXT138" s="774"/>
      <c r="SXU138" s="774"/>
      <c r="SXV138" s="774"/>
      <c r="SXW138" s="774"/>
      <c r="SXX138" s="774"/>
      <c r="SXY138" s="774"/>
      <c r="SXZ138" s="774"/>
      <c r="SYA138" s="774"/>
      <c r="SYB138" s="774"/>
      <c r="SYC138" s="774"/>
      <c r="SYD138" s="774"/>
      <c r="SYE138" s="774"/>
      <c r="SYF138" s="774"/>
      <c r="SYG138" s="774"/>
      <c r="SYH138" s="774"/>
      <c r="SYI138" s="774"/>
      <c r="SYJ138" s="774"/>
      <c r="SYK138" s="774"/>
      <c r="SYL138" s="774"/>
      <c r="SYM138" s="774"/>
      <c r="SYN138" s="774"/>
      <c r="SYO138" s="774"/>
      <c r="SYP138" s="774"/>
      <c r="SYQ138" s="774"/>
      <c r="SYR138" s="774"/>
      <c r="SYS138" s="774"/>
      <c r="SYT138" s="774"/>
      <c r="SYU138" s="774"/>
      <c r="SYV138" s="774"/>
      <c r="SYW138" s="774"/>
      <c r="SYX138" s="774"/>
      <c r="SYY138" s="774"/>
      <c r="SYZ138" s="774"/>
      <c r="SZA138" s="774"/>
      <c r="SZB138" s="774"/>
      <c r="SZC138" s="774"/>
      <c r="SZD138" s="774"/>
      <c r="SZE138" s="774"/>
      <c r="SZF138" s="774"/>
      <c r="SZG138" s="774"/>
      <c r="SZH138" s="774"/>
      <c r="SZI138" s="774"/>
      <c r="SZJ138" s="774"/>
      <c r="SZK138" s="774"/>
      <c r="SZL138" s="774"/>
      <c r="SZM138" s="774"/>
      <c r="SZN138" s="774"/>
      <c r="SZO138" s="774"/>
      <c r="SZP138" s="774"/>
      <c r="SZQ138" s="774"/>
      <c r="SZR138" s="774"/>
      <c r="SZS138" s="774"/>
      <c r="SZT138" s="774"/>
      <c r="SZU138" s="774"/>
      <c r="SZV138" s="774"/>
      <c r="SZW138" s="774"/>
      <c r="SZX138" s="774"/>
      <c r="SZY138" s="774"/>
      <c r="SZZ138" s="774"/>
      <c r="TAA138" s="774"/>
      <c r="TAB138" s="774"/>
      <c r="TAC138" s="774"/>
      <c r="TAD138" s="774"/>
      <c r="TAE138" s="774"/>
      <c r="TAF138" s="774"/>
      <c r="TAG138" s="774"/>
      <c r="TAH138" s="774"/>
      <c r="TAI138" s="774"/>
      <c r="TAJ138" s="774"/>
      <c r="TAK138" s="774"/>
      <c r="TAL138" s="774"/>
      <c r="TAM138" s="774"/>
      <c r="TAN138" s="774"/>
      <c r="TAO138" s="774"/>
      <c r="TAP138" s="774"/>
      <c r="TAQ138" s="774"/>
      <c r="TAR138" s="774"/>
      <c r="TAS138" s="774"/>
      <c r="TAT138" s="774"/>
      <c r="TAU138" s="774"/>
      <c r="TAV138" s="774"/>
      <c r="TAW138" s="774"/>
      <c r="TAX138" s="774"/>
      <c r="TAY138" s="774"/>
      <c r="TAZ138" s="774"/>
      <c r="TBA138" s="774"/>
      <c r="TBB138" s="774"/>
      <c r="TBC138" s="774"/>
      <c r="TBD138" s="774"/>
      <c r="TBE138" s="774"/>
      <c r="TBF138" s="774"/>
      <c r="TBG138" s="774"/>
      <c r="TBH138" s="774"/>
      <c r="TBI138" s="774"/>
      <c r="TBJ138" s="774"/>
      <c r="TBK138" s="774"/>
      <c r="TBL138" s="774"/>
      <c r="TBM138" s="774"/>
      <c r="TBN138" s="774"/>
      <c r="TBO138" s="774"/>
      <c r="TBP138" s="774"/>
      <c r="TBQ138" s="774"/>
      <c r="TBR138" s="774"/>
      <c r="TBS138" s="774"/>
      <c r="TBT138" s="774"/>
      <c r="TBU138" s="774"/>
      <c r="TBV138" s="774"/>
      <c r="TBW138" s="774"/>
      <c r="TBX138" s="774"/>
      <c r="TBY138" s="774"/>
      <c r="TBZ138" s="774"/>
      <c r="TCA138" s="774"/>
      <c r="TCB138" s="774"/>
      <c r="TCC138" s="774"/>
      <c r="TCD138" s="774"/>
      <c r="TCE138" s="774"/>
      <c r="TCF138" s="774"/>
      <c r="TCG138" s="774"/>
      <c r="TCH138" s="774"/>
      <c r="TCI138" s="774"/>
      <c r="TCJ138" s="774"/>
      <c r="TCK138" s="774"/>
      <c r="TCL138" s="774"/>
      <c r="TCM138" s="774"/>
      <c r="TCN138" s="774"/>
      <c r="TCO138" s="774"/>
      <c r="TCP138" s="774"/>
      <c r="TCQ138" s="774"/>
      <c r="TCR138" s="774"/>
      <c r="TCS138" s="774"/>
      <c r="TCT138" s="774"/>
      <c r="TCU138" s="774"/>
      <c r="TCV138" s="774"/>
      <c r="TCW138" s="774"/>
      <c r="TCX138" s="774"/>
      <c r="TCY138" s="774"/>
      <c r="TCZ138" s="774"/>
      <c r="TDA138" s="774"/>
      <c r="TDB138" s="774"/>
      <c r="TDC138" s="774"/>
      <c r="TDD138" s="774"/>
      <c r="TDE138" s="774"/>
      <c r="TDF138" s="774"/>
      <c r="TDG138" s="774"/>
      <c r="TDH138" s="774"/>
      <c r="TDI138" s="774"/>
      <c r="TDJ138" s="774"/>
      <c r="TDK138" s="774"/>
      <c r="TDL138" s="774"/>
      <c r="TDM138" s="774"/>
      <c r="TDN138" s="774"/>
      <c r="TDO138" s="774"/>
      <c r="TDP138" s="774"/>
      <c r="TDQ138" s="774"/>
      <c r="TDR138" s="774"/>
      <c r="TDS138" s="774"/>
      <c r="TDT138" s="774"/>
      <c r="TDU138" s="774"/>
      <c r="TDV138" s="774"/>
      <c r="TDW138" s="774"/>
      <c r="TDX138" s="774"/>
      <c r="TDY138" s="774"/>
      <c r="TDZ138" s="774"/>
      <c r="TEA138" s="774"/>
      <c r="TEB138" s="774"/>
      <c r="TEC138" s="774"/>
      <c r="TED138" s="774"/>
      <c r="TEE138" s="774"/>
      <c r="TEF138" s="774"/>
      <c r="TEG138" s="774"/>
      <c r="TEH138" s="774"/>
      <c r="TEI138" s="774"/>
      <c r="TEJ138" s="774"/>
      <c r="TEK138" s="774"/>
      <c r="TEL138" s="774"/>
      <c r="TEM138" s="774"/>
      <c r="TEN138" s="774"/>
      <c r="TEO138" s="774"/>
      <c r="TEP138" s="774"/>
      <c r="TEQ138" s="774"/>
      <c r="TER138" s="774"/>
      <c r="TES138" s="774"/>
      <c r="TET138" s="774"/>
      <c r="TEU138" s="774"/>
      <c r="TEV138" s="774"/>
      <c r="TEW138" s="774"/>
      <c r="TEX138" s="774"/>
      <c r="TEY138" s="774"/>
      <c r="TEZ138" s="774"/>
      <c r="TFA138" s="774"/>
      <c r="TFB138" s="774"/>
      <c r="TFC138" s="774"/>
      <c r="TFD138" s="774"/>
      <c r="TFE138" s="774"/>
      <c r="TFF138" s="774"/>
      <c r="TFG138" s="774"/>
      <c r="TFH138" s="774"/>
      <c r="TFI138" s="774"/>
      <c r="TFJ138" s="774"/>
      <c r="TFK138" s="774"/>
      <c r="TFL138" s="774"/>
      <c r="TFM138" s="774"/>
      <c r="TFN138" s="774"/>
      <c r="TFO138" s="774"/>
      <c r="TFP138" s="774"/>
      <c r="TFQ138" s="774"/>
      <c r="TFR138" s="774"/>
      <c r="TFS138" s="774"/>
      <c r="TFT138" s="774"/>
      <c r="TFU138" s="774"/>
      <c r="TFV138" s="774"/>
      <c r="TFW138" s="774"/>
      <c r="TFX138" s="774"/>
      <c r="TFY138" s="774"/>
      <c r="TFZ138" s="774"/>
      <c r="TGA138" s="774"/>
      <c r="TGB138" s="774"/>
      <c r="TGC138" s="774"/>
      <c r="TGD138" s="774"/>
      <c r="TGE138" s="774"/>
      <c r="TGF138" s="774"/>
      <c r="TGG138" s="774"/>
      <c r="TGH138" s="774"/>
      <c r="TGI138" s="774"/>
      <c r="TGJ138" s="774"/>
      <c r="TGK138" s="774"/>
      <c r="TGL138" s="774"/>
      <c r="TGM138" s="774"/>
      <c r="TGN138" s="774"/>
      <c r="TGO138" s="774"/>
      <c r="TGP138" s="774"/>
      <c r="TGQ138" s="774"/>
      <c r="TGR138" s="774"/>
      <c r="TGS138" s="774"/>
      <c r="TGT138" s="774"/>
      <c r="TGU138" s="774"/>
      <c r="TGV138" s="774"/>
      <c r="TGW138" s="774"/>
      <c r="TGX138" s="774"/>
      <c r="TGY138" s="774"/>
      <c r="TGZ138" s="774"/>
      <c r="THA138" s="774"/>
      <c r="THB138" s="774"/>
      <c r="THC138" s="774"/>
      <c r="THD138" s="774"/>
      <c r="THE138" s="774"/>
      <c r="THF138" s="774"/>
      <c r="THG138" s="774"/>
      <c r="THH138" s="774"/>
      <c r="THI138" s="774"/>
      <c r="THJ138" s="774"/>
      <c r="THK138" s="774"/>
      <c r="THL138" s="774"/>
      <c r="THM138" s="774"/>
      <c r="THN138" s="774"/>
      <c r="THO138" s="774"/>
      <c r="THP138" s="774"/>
      <c r="THQ138" s="774"/>
      <c r="THR138" s="774"/>
      <c r="THS138" s="774"/>
      <c r="THT138" s="774"/>
      <c r="THU138" s="774"/>
      <c r="THV138" s="774"/>
      <c r="THW138" s="774"/>
      <c r="THX138" s="774"/>
      <c r="THY138" s="774"/>
      <c r="THZ138" s="774"/>
      <c r="TIA138" s="774"/>
      <c r="TIB138" s="774"/>
      <c r="TIC138" s="774"/>
      <c r="TID138" s="774"/>
      <c r="TIE138" s="774"/>
      <c r="TIF138" s="774"/>
      <c r="TIG138" s="774"/>
      <c r="TIH138" s="774"/>
      <c r="TII138" s="774"/>
      <c r="TIJ138" s="774"/>
      <c r="TIK138" s="774"/>
      <c r="TIL138" s="774"/>
      <c r="TIM138" s="774"/>
      <c r="TIN138" s="774"/>
      <c r="TIO138" s="774"/>
      <c r="TIP138" s="774"/>
      <c r="TIQ138" s="774"/>
      <c r="TIR138" s="774"/>
      <c r="TIS138" s="774"/>
      <c r="TIT138" s="774"/>
      <c r="TIU138" s="774"/>
      <c r="TIV138" s="774"/>
      <c r="TIW138" s="774"/>
      <c r="TIX138" s="774"/>
      <c r="TIY138" s="774"/>
      <c r="TIZ138" s="774"/>
      <c r="TJA138" s="774"/>
      <c r="TJB138" s="774"/>
      <c r="TJC138" s="774"/>
      <c r="TJD138" s="774"/>
      <c r="TJE138" s="774"/>
      <c r="TJF138" s="774"/>
      <c r="TJG138" s="774"/>
      <c r="TJH138" s="774"/>
      <c r="TJI138" s="774"/>
      <c r="TJJ138" s="774"/>
      <c r="TJK138" s="774"/>
      <c r="TJL138" s="774"/>
      <c r="TJM138" s="774"/>
      <c r="TJN138" s="774"/>
      <c r="TJO138" s="774"/>
      <c r="TJP138" s="774"/>
      <c r="TJQ138" s="774"/>
      <c r="TJR138" s="774"/>
      <c r="TJS138" s="774"/>
      <c r="TJT138" s="774"/>
      <c r="TJU138" s="774"/>
      <c r="TJV138" s="774"/>
      <c r="TJW138" s="774"/>
      <c r="TJX138" s="774"/>
      <c r="TJY138" s="774"/>
      <c r="TJZ138" s="774"/>
      <c r="TKA138" s="774"/>
      <c r="TKB138" s="774"/>
      <c r="TKC138" s="774"/>
      <c r="TKD138" s="774"/>
      <c r="TKE138" s="774"/>
      <c r="TKF138" s="774"/>
      <c r="TKG138" s="774"/>
      <c r="TKH138" s="774"/>
      <c r="TKI138" s="774"/>
      <c r="TKJ138" s="774"/>
      <c r="TKK138" s="774"/>
      <c r="TKL138" s="774"/>
      <c r="TKM138" s="774"/>
      <c r="TKN138" s="774"/>
      <c r="TKO138" s="774"/>
      <c r="TKP138" s="774"/>
      <c r="TKQ138" s="774"/>
      <c r="TKR138" s="774"/>
      <c r="TKS138" s="774"/>
      <c r="TKT138" s="774"/>
      <c r="TKU138" s="774"/>
      <c r="TKV138" s="774"/>
      <c r="TKW138" s="774"/>
      <c r="TKX138" s="774"/>
      <c r="TKY138" s="774"/>
      <c r="TKZ138" s="774"/>
      <c r="TLA138" s="774"/>
      <c r="TLB138" s="774"/>
      <c r="TLC138" s="774"/>
      <c r="TLD138" s="774"/>
      <c r="TLE138" s="774"/>
      <c r="TLF138" s="774"/>
      <c r="TLG138" s="774"/>
      <c r="TLH138" s="774"/>
      <c r="TLI138" s="774"/>
      <c r="TLJ138" s="774"/>
      <c r="TLK138" s="774"/>
      <c r="TLL138" s="774"/>
      <c r="TLM138" s="774"/>
      <c r="TLN138" s="774"/>
      <c r="TLO138" s="774"/>
      <c r="TLP138" s="774"/>
      <c r="TLQ138" s="774"/>
      <c r="TLR138" s="774"/>
      <c r="TLS138" s="774"/>
      <c r="TLT138" s="774"/>
      <c r="TLU138" s="774"/>
      <c r="TLV138" s="774"/>
      <c r="TLW138" s="774"/>
      <c r="TLX138" s="774"/>
      <c r="TLY138" s="774"/>
      <c r="TLZ138" s="774"/>
      <c r="TMA138" s="774"/>
      <c r="TMB138" s="774"/>
      <c r="TMC138" s="774"/>
      <c r="TMD138" s="774"/>
      <c r="TME138" s="774"/>
      <c r="TMF138" s="774"/>
      <c r="TMG138" s="774"/>
      <c r="TMH138" s="774"/>
      <c r="TMI138" s="774"/>
      <c r="TMJ138" s="774"/>
      <c r="TMK138" s="774"/>
      <c r="TML138" s="774"/>
      <c r="TMM138" s="774"/>
      <c r="TMN138" s="774"/>
      <c r="TMO138" s="774"/>
      <c r="TMP138" s="774"/>
      <c r="TMQ138" s="774"/>
      <c r="TMR138" s="774"/>
      <c r="TMS138" s="774"/>
      <c r="TMT138" s="774"/>
      <c r="TMU138" s="774"/>
      <c r="TMV138" s="774"/>
      <c r="TMW138" s="774"/>
      <c r="TMX138" s="774"/>
      <c r="TMY138" s="774"/>
      <c r="TMZ138" s="774"/>
      <c r="TNA138" s="774"/>
      <c r="TNB138" s="774"/>
      <c r="TNC138" s="774"/>
      <c r="TND138" s="774"/>
      <c r="TNE138" s="774"/>
      <c r="TNF138" s="774"/>
      <c r="TNG138" s="774"/>
      <c r="TNH138" s="774"/>
      <c r="TNI138" s="774"/>
      <c r="TNJ138" s="774"/>
      <c r="TNK138" s="774"/>
      <c r="TNL138" s="774"/>
      <c r="TNM138" s="774"/>
      <c r="TNN138" s="774"/>
      <c r="TNO138" s="774"/>
      <c r="TNP138" s="774"/>
      <c r="TNQ138" s="774"/>
      <c r="TNR138" s="774"/>
      <c r="TNS138" s="774"/>
      <c r="TNT138" s="774"/>
      <c r="TNU138" s="774"/>
      <c r="TNV138" s="774"/>
      <c r="TNW138" s="774"/>
      <c r="TNX138" s="774"/>
      <c r="TNY138" s="774"/>
      <c r="TNZ138" s="774"/>
      <c r="TOA138" s="774"/>
      <c r="TOB138" s="774"/>
      <c r="TOC138" s="774"/>
      <c r="TOD138" s="774"/>
      <c r="TOE138" s="774"/>
      <c r="TOF138" s="774"/>
      <c r="TOG138" s="774"/>
      <c r="TOH138" s="774"/>
      <c r="TOI138" s="774"/>
      <c r="TOJ138" s="774"/>
      <c r="TOK138" s="774"/>
      <c r="TOL138" s="774"/>
      <c r="TOM138" s="774"/>
      <c r="TON138" s="774"/>
      <c r="TOO138" s="774"/>
      <c r="TOP138" s="774"/>
      <c r="TOQ138" s="774"/>
      <c r="TOR138" s="774"/>
      <c r="TOS138" s="774"/>
      <c r="TOT138" s="774"/>
      <c r="TOU138" s="774"/>
      <c r="TOV138" s="774"/>
      <c r="TOW138" s="774"/>
      <c r="TOX138" s="774"/>
      <c r="TOY138" s="774"/>
      <c r="TOZ138" s="774"/>
      <c r="TPA138" s="774"/>
      <c r="TPB138" s="774"/>
      <c r="TPC138" s="774"/>
      <c r="TPD138" s="774"/>
      <c r="TPE138" s="774"/>
      <c r="TPF138" s="774"/>
      <c r="TPG138" s="774"/>
      <c r="TPH138" s="774"/>
      <c r="TPI138" s="774"/>
      <c r="TPJ138" s="774"/>
      <c r="TPK138" s="774"/>
      <c r="TPL138" s="774"/>
      <c r="TPM138" s="774"/>
      <c r="TPN138" s="774"/>
      <c r="TPO138" s="774"/>
      <c r="TPP138" s="774"/>
      <c r="TPQ138" s="774"/>
      <c r="TPR138" s="774"/>
      <c r="TPS138" s="774"/>
      <c r="TPT138" s="774"/>
      <c r="TPU138" s="774"/>
      <c r="TPV138" s="774"/>
      <c r="TPW138" s="774"/>
      <c r="TPX138" s="774"/>
      <c r="TPY138" s="774"/>
      <c r="TPZ138" s="774"/>
      <c r="TQA138" s="774"/>
      <c r="TQB138" s="774"/>
      <c r="TQC138" s="774"/>
      <c r="TQD138" s="774"/>
      <c r="TQE138" s="774"/>
      <c r="TQF138" s="774"/>
      <c r="TQG138" s="774"/>
      <c r="TQH138" s="774"/>
      <c r="TQI138" s="774"/>
      <c r="TQJ138" s="774"/>
      <c r="TQK138" s="774"/>
      <c r="TQL138" s="774"/>
      <c r="TQM138" s="774"/>
      <c r="TQN138" s="774"/>
      <c r="TQO138" s="774"/>
      <c r="TQP138" s="774"/>
      <c r="TQQ138" s="774"/>
      <c r="TQR138" s="774"/>
      <c r="TQS138" s="774"/>
      <c r="TQT138" s="774"/>
      <c r="TQU138" s="774"/>
      <c r="TQV138" s="774"/>
      <c r="TQW138" s="774"/>
      <c r="TQX138" s="774"/>
      <c r="TQY138" s="774"/>
      <c r="TQZ138" s="774"/>
      <c r="TRA138" s="774"/>
      <c r="TRB138" s="774"/>
      <c r="TRC138" s="774"/>
      <c r="TRD138" s="774"/>
      <c r="TRE138" s="774"/>
      <c r="TRF138" s="774"/>
      <c r="TRG138" s="774"/>
      <c r="TRH138" s="774"/>
      <c r="TRI138" s="774"/>
      <c r="TRJ138" s="774"/>
      <c r="TRK138" s="774"/>
      <c r="TRL138" s="774"/>
      <c r="TRM138" s="774"/>
      <c r="TRN138" s="774"/>
      <c r="TRO138" s="774"/>
      <c r="TRP138" s="774"/>
      <c r="TRQ138" s="774"/>
      <c r="TRR138" s="774"/>
      <c r="TRS138" s="774"/>
      <c r="TRT138" s="774"/>
      <c r="TRU138" s="774"/>
      <c r="TRV138" s="774"/>
      <c r="TRW138" s="774"/>
      <c r="TRX138" s="774"/>
      <c r="TRY138" s="774"/>
      <c r="TRZ138" s="774"/>
      <c r="TSA138" s="774"/>
      <c r="TSB138" s="774"/>
      <c r="TSC138" s="774"/>
      <c r="TSD138" s="774"/>
      <c r="TSE138" s="774"/>
      <c r="TSF138" s="774"/>
      <c r="TSG138" s="774"/>
      <c r="TSH138" s="774"/>
      <c r="TSI138" s="774"/>
      <c r="TSJ138" s="774"/>
      <c r="TSK138" s="774"/>
      <c r="TSL138" s="774"/>
      <c r="TSM138" s="774"/>
      <c r="TSN138" s="774"/>
      <c r="TSO138" s="774"/>
      <c r="TSP138" s="774"/>
      <c r="TSQ138" s="774"/>
      <c r="TSR138" s="774"/>
      <c r="TSS138" s="774"/>
      <c r="TST138" s="774"/>
      <c r="TSU138" s="774"/>
      <c r="TSV138" s="774"/>
      <c r="TSW138" s="774"/>
      <c r="TSX138" s="774"/>
      <c r="TSY138" s="774"/>
      <c r="TSZ138" s="774"/>
      <c r="TTA138" s="774"/>
      <c r="TTB138" s="774"/>
      <c r="TTC138" s="774"/>
      <c r="TTD138" s="774"/>
      <c r="TTE138" s="774"/>
      <c r="TTF138" s="774"/>
      <c r="TTG138" s="774"/>
      <c r="TTH138" s="774"/>
      <c r="TTI138" s="774"/>
      <c r="TTJ138" s="774"/>
      <c r="TTK138" s="774"/>
      <c r="TTL138" s="774"/>
      <c r="TTM138" s="774"/>
      <c r="TTN138" s="774"/>
      <c r="TTO138" s="774"/>
      <c r="TTP138" s="774"/>
      <c r="TTQ138" s="774"/>
      <c r="TTR138" s="774"/>
      <c r="TTS138" s="774"/>
      <c r="TTT138" s="774"/>
      <c r="TTU138" s="774"/>
      <c r="TTV138" s="774"/>
      <c r="TTW138" s="774"/>
      <c r="TTX138" s="774"/>
      <c r="TTY138" s="774"/>
      <c r="TTZ138" s="774"/>
      <c r="TUA138" s="774"/>
      <c r="TUB138" s="774"/>
      <c r="TUC138" s="774"/>
      <c r="TUD138" s="774"/>
      <c r="TUE138" s="774"/>
      <c r="TUF138" s="774"/>
      <c r="TUG138" s="774"/>
      <c r="TUH138" s="774"/>
      <c r="TUI138" s="774"/>
      <c r="TUJ138" s="774"/>
      <c r="TUK138" s="774"/>
      <c r="TUL138" s="774"/>
      <c r="TUM138" s="774"/>
      <c r="TUN138" s="774"/>
      <c r="TUO138" s="774"/>
      <c r="TUP138" s="774"/>
      <c r="TUQ138" s="774"/>
      <c r="TUR138" s="774"/>
      <c r="TUS138" s="774"/>
      <c r="TUT138" s="774"/>
      <c r="TUU138" s="774"/>
      <c r="TUV138" s="774"/>
      <c r="TUW138" s="774"/>
      <c r="TUX138" s="774"/>
      <c r="TUY138" s="774"/>
      <c r="TUZ138" s="774"/>
      <c r="TVA138" s="774"/>
      <c r="TVB138" s="774"/>
      <c r="TVC138" s="774"/>
      <c r="TVD138" s="774"/>
      <c r="TVE138" s="774"/>
      <c r="TVF138" s="774"/>
      <c r="TVG138" s="774"/>
      <c r="TVH138" s="774"/>
      <c r="TVI138" s="774"/>
      <c r="TVJ138" s="774"/>
      <c r="TVK138" s="774"/>
      <c r="TVL138" s="774"/>
      <c r="TVM138" s="774"/>
      <c r="TVN138" s="774"/>
      <c r="TVO138" s="774"/>
      <c r="TVP138" s="774"/>
      <c r="TVQ138" s="774"/>
      <c r="TVR138" s="774"/>
      <c r="TVS138" s="774"/>
      <c r="TVT138" s="774"/>
      <c r="TVU138" s="774"/>
      <c r="TVV138" s="774"/>
      <c r="TVW138" s="774"/>
      <c r="TVX138" s="774"/>
      <c r="TVY138" s="774"/>
      <c r="TVZ138" s="774"/>
      <c r="TWA138" s="774"/>
      <c r="TWB138" s="774"/>
      <c r="TWC138" s="774"/>
      <c r="TWD138" s="774"/>
      <c r="TWE138" s="774"/>
      <c r="TWF138" s="774"/>
      <c r="TWG138" s="774"/>
      <c r="TWH138" s="774"/>
      <c r="TWI138" s="774"/>
      <c r="TWJ138" s="774"/>
      <c r="TWK138" s="774"/>
      <c r="TWL138" s="774"/>
      <c r="TWM138" s="774"/>
      <c r="TWN138" s="774"/>
      <c r="TWO138" s="774"/>
      <c r="TWP138" s="774"/>
      <c r="TWQ138" s="774"/>
      <c r="TWR138" s="774"/>
      <c r="TWS138" s="774"/>
      <c r="TWT138" s="774"/>
      <c r="TWU138" s="774"/>
      <c r="TWV138" s="774"/>
      <c r="TWW138" s="774"/>
      <c r="TWX138" s="774"/>
      <c r="TWY138" s="774"/>
      <c r="TWZ138" s="774"/>
      <c r="TXA138" s="774"/>
      <c r="TXB138" s="774"/>
      <c r="TXC138" s="774"/>
      <c r="TXD138" s="774"/>
      <c r="TXE138" s="774"/>
      <c r="TXF138" s="774"/>
      <c r="TXG138" s="774"/>
      <c r="TXH138" s="774"/>
      <c r="TXI138" s="774"/>
      <c r="TXJ138" s="774"/>
      <c r="TXK138" s="774"/>
      <c r="TXL138" s="774"/>
      <c r="TXM138" s="774"/>
      <c r="TXN138" s="774"/>
      <c r="TXO138" s="774"/>
      <c r="TXP138" s="774"/>
      <c r="TXQ138" s="774"/>
      <c r="TXR138" s="774"/>
      <c r="TXS138" s="774"/>
      <c r="TXT138" s="774"/>
      <c r="TXU138" s="774"/>
      <c r="TXV138" s="774"/>
      <c r="TXW138" s="774"/>
      <c r="TXX138" s="774"/>
      <c r="TXY138" s="774"/>
      <c r="TXZ138" s="774"/>
      <c r="TYA138" s="774"/>
      <c r="TYB138" s="774"/>
      <c r="TYC138" s="774"/>
      <c r="TYD138" s="774"/>
      <c r="TYE138" s="774"/>
      <c r="TYF138" s="774"/>
      <c r="TYG138" s="774"/>
      <c r="TYH138" s="774"/>
      <c r="TYI138" s="774"/>
      <c r="TYJ138" s="774"/>
      <c r="TYK138" s="774"/>
      <c r="TYL138" s="774"/>
      <c r="TYM138" s="774"/>
      <c r="TYN138" s="774"/>
      <c r="TYO138" s="774"/>
      <c r="TYP138" s="774"/>
      <c r="TYQ138" s="774"/>
      <c r="TYR138" s="774"/>
      <c r="TYS138" s="774"/>
      <c r="TYT138" s="774"/>
      <c r="TYU138" s="774"/>
      <c r="TYV138" s="774"/>
      <c r="TYW138" s="774"/>
      <c r="TYX138" s="774"/>
      <c r="TYY138" s="774"/>
      <c r="TYZ138" s="774"/>
      <c r="TZA138" s="774"/>
      <c r="TZB138" s="774"/>
      <c r="TZC138" s="774"/>
      <c r="TZD138" s="774"/>
      <c r="TZE138" s="774"/>
      <c r="TZF138" s="774"/>
      <c r="TZG138" s="774"/>
      <c r="TZH138" s="774"/>
      <c r="TZI138" s="774"/>
      <c r="TZJ138" s="774"/>
      <c r="TZK138" s="774"/>
      <c r="TZL138" s="774"/>
      <c r="TZM138" s="774"/>
      <c r="TZN138" s="774"/>
      <c r="TZO138" s="774"/>
      <c r="TZP138" s="774"/>
      <c r="TZQ138" s="774"/>
      <c r="TZR138" s="774"/>
      <c r="TZS138" s="774"/>
      <c r="TZT138" s="774"/>
      <c r="TZU138" s="774"/>
      <c r="TZV138" s="774"/>
      <c r="TZW138" s="774"/>
      <c r="TZX138" s="774"/>
      <c r="TZY138" s="774"/>
      <c r="TZZ138" s="774"/>
      <c r="UAA138" s="774"/>
      <c r="UAB138" s="774"/>
      <c r="UAC138" s="774"/>
      <c r="UAD138" s="774"/>
      <c r="UAE138" s="774"/>
      <c r="UAF138" s="774"/>
      <c r="UAG138" s="774"/>
      <c r="UAH138" s="774"/>
      <c r="UAI138" s="774"/>
      <c r="UAJ138" s="774"/>
      <c r="UAK138" s="774"/>
      <c r="UAL138" s="774"/>
      <c r="UAM138" s="774"/>
      <c r="UAN138" s="774"/>
      <c r="UAO138" s="774"/>
      <c r="UAP138" s="774"/>
      <c r="UAQ138" s="774"/>
      <c r="UAR138" s="774"/>
      <c r="UAS138" s="774"/>
      <c r="UAT138" s="774"/>
      <c r="UAU138" s="774"/>
      <c r="UAV138" s="774"/>
      <c r="UAW138" s="774"/>
      <c r="UAX138" s="774"/>
      <c r="UAY138" s="774"/>
      <c r="UAZ138" s="774"/>
      <c r="UBA138" s="774"/>
      <c r="UBB138" s="774"/>
      <c r="UBC138" s="774"/>
      <c r="UBD138" s="774"/>
      <c r="UBE138" s="774"/>
      <c r="UBF138" s="774"/>
      <c r="UBG138" s="774"/>
      <c r="UBH138" s="774"/>
      <c r="UBI138" s="774"/>
      <c r="UBJ138" s="774"/>
      <c r="UBK138" s="774"/>
      <c r="UBL138" s="774"/>
      <c r="UBM138" s="774"/>
      <c r="UBN138" s="774"/>
      <c r="UBO138" s="774"/>
      <c r="UBP138" s="774"/>
      <c r="UBQ138" s="774"/>
      <c r="UBR138" s="774"/>
      <c r="UBS138" s="774"/>
      <c r="UBT138" s="774"/>
      <c r="UBU138" s="774"/>
      <c r="UBV138" s="774"/>
      <c r="UBW138" s="774"/>
      <c r="UBX138" s="774"/>
      <c r="UBY138" s="774"/>
      <c r="UBZ138" s="774"/>
      <c r="UCA138" s="774"/>
      <c r="UCB138" s="774"/>
      <c r="UCC138" s="774"/>
      <c r="UCD138" s="774"/>
      <c r="UCE138" s="774"/>
      <c r="UCF138" s="774"/>
      <c r="UCG138" s="774"/>
      <c r="UCH138" s="774"/>
      <c r="UCI138" s="774"/>
      <c r="UCJ138" s="774"/>
      <c r="UCK138" s="774"/>
      <c r="UCL138" s="774"/>
      <c r="UCM138" s="774"/>
      <c r="UCN138" s="774"/>
      <c r="UCO138" s="774"/>
      <c r="UCP138" s="774"/>
      <c r="UCQ138" s="774"/>
      <c r="UCR138" s="774"/>
      <c r="UCS138" s="774"/>
      <c r="UCT138" s="774"/>
      <c r="UCU138" s="774"/>
      <c r="UCV138" s="774"/>
      <c r="UCW138" s="774"/>
      <c r="UCX138" s="774"/>
      <c r="UCY138" s="774"/>
      <c r="UCZ138" s="774"/>
      <c r="UDA138" s="774"/>
      <c r="UDB138" s="774"/>
      <c r="UDC138" s="774"/>
      <c r="UDD138" s="774"/>
      <c r="UDE138" s="774"/>
      <c r="UDF138" s="774"/>
      <c r="UDG138" s="774"/>
      <c r="UDH138" s="774"/>
      <c r="UDI138" s="774"/>
      <c r="UDJ138" s="774"/>
      <c r="UDK138" s="774"/>
      <c r="UDL138" s="774"/>
      <c r="UDM138" s="774"/>
      <c r="UDN138" s="774"/>
      <c r="UDO138" s="774"/>
      <c r="UDP138" s="774"/>
      <c r="UDQ138" s="774"/>
      <c r="UDR138" s="774"/>
      <c r="UDS138" s="774"/>
      <c r="UDT138" s="774"/>
      <c r="UDU138" s="774"/>
      <c r="UDV138" s="774"/>
      <c r="UDW138" s="774"/>
      <c r="UDX138" s="774"/>
      <c r="UDY138" s="774"/>
      <c r="UDZ138" s="774"/>
      <c r="UEA138" s="774"/>
      <c r="UEB138" s="774"/>
      <c r="UEC138" s="774"/>
      <c r="UED138" s="774"/>
      <c r="UEE138" s="774"/>
      <c r="UEF138" s="774"/>
      <c r="UEG138" s="774"/>
      <c r="UEH138" s="774"/>
      <c r="UEI138" s="774"/>
      <c r="UEJ138" s="774"/>
      <c r="UEK138" s="774"/>
      <c r="UEL138" s="774"/>
      <c r="UEM138" s="774"/>
      <c r="UEN138" s="774"/>
      <c r="UEO138" s="774"/>
      <c r="UEP138" s="774"/>
      <c r="UEQ138" s="774"/>
      <c r="UER138" s="774"/>
      <c r="UES138" s="774"/>
      <c r="UET138" s="774"/>
      <c r="UEU138" s="774"/>
      <c r="UEV138" s="774"/>
      <c r="UEW138" s="774"/>
      <c r="UEX138" s="774"/>
      <c r="UEY138" s="774"/>
      <c r="UEZ138" s="774"/>
      <c r="UFA138" s="774"/>
      <c r="UFB138" s="774"/>
      <c r="UFC138" s="774"/>
      <c r="UFD138" s="774"/>
      <c r="UFE138" s="774"/>
      <c r="UFF138" s="774"/>
      <c r="UFG138" s="774"/>
      <c r="UFH138" s="774"/>
      <c r="UFI138" s="774"/>
      <c r="UFJ138" s="774"/>
      <c r="UFK138" s="774"/>
      <c r="UFL138" s="774"/>
      <c r="UFM138" s="774"/>
      <c r="UFN138" s="774"/>
      <c r="UFO138" s="774"/>
      <c r="UFP138" s="774"/>
      <c r="UFQ138" s="774"/>
      <c r="UFR138" s="774"/>
      <c r="UFS138" s="774"/>
      <c r="UFT138" s="774"/>
      <c r="UFU138" s="774"/>
      <c r="UFV138" s="774"/>
      <c r="UFW138" s="774"/>
      <c r="UFX138" s="774"/>
      <c r="UFY138" s="774"/>
      <c r="UFZ138" s="774"/>
      <c r="UGA138" s="774"/>
      <c r="UGB138" s="774"/>
      <c r="UGC138" s="774"/>
      <c r="UGD138" s="774"/>
      <c r="UGE138" s="774"/>
      <c r="UGF138" s="774"/>
      <c r="UGG138" s="774"/>
      <c r="UGH138" s="774"/>
      <c r="UGI138" s="774"/>
      <c r="UGJ138" s="774"/>
      <c r="UGK138" s="774"/>
      <c r="UGL138" s="774"/>
      <c r="UGM138" s="774"/>
      <c r="UGN138" s="774"/>
      <c r="UGO138" s="774"/>
      <c r="UGP138" s="774"/>
      <c r="UGQ138" s="774"/>
      <c r="UGR138" s="774"/>
      <c r="UGS138" s="774"/>
      <c r="UGT138" s="774"/>
      <c r="UGU138" s="774"/>
      <c r="UGV138" s="774"/>
      <c r="UGW138" s="774"/>
      <c r="UGX138" s="774"/>
      <c r="UGY138" s="774"/>
      <c r="UGZ138" s="774"/>
      <c r="UHA138" s="774"/>
      <c r="UHB138" s="774"/>
      <c r="UHC138" s="774"/>
      <c r="UHD138" s="774"/>
      <c r="UHE138" s="774"/>
      <c r="UHF138" s="774"/>
      <c r="UHG138" s="774"/>
      <c r="UHH138" s="774"/>
      <c r="UHI138" s="774"/>
      <c r="UHJ138" s="774"/>
      <c r="UHK138" s="774"/>
      <c r="UHL138" s="774"/>
      <c r="UHM138" s="774"/>
      <c r="UHN138" s="774"/>
      <c r="UHO138" s="774"/>
      <c r="UHP138" s="774"/>
      <c r="UHQ138" s="774"/>
      <c r="UHR138" s="774"/>
      <c r="UHS138" s="774"/>
      <c r="UHT138" s="774"/>
      <c r="UHU138" s="774"/>
      <c r="UHV138" s="774"/>
      <c r="UHW138" s="774"/>
      <c r="UHX138" s="774"/>
      <c r="UHY138" s="774"/>
      <c r="UHZ138" s="774"/>
      <c r="UIA138" s="774"/>
      <c r="UIB138" s="774"/>
      <c r="UIC138" s="774"/>
      <c r="UID138" s="774"/>
      <c r="UIE138" s="774"/>
      <c r="UIF138" s="774"/>
      <c r="UIG138" s="774"/>
      <c r="UIH138" s="774"/>
      <c r="UII138" s="774"/>
      <c r="UIJ138" s="774"/>
      <c r="UIK138" s="774"/>
      <c r="UIL138" s="774"/>
      <c r="UIM138" s="774"/>
      <c r="UIN138" s="774"/>
      <c r="UIO138" s="774"/>
      <c r="UIP138" s="774"/>
      <c r="UIQ138" s="774"/>
      <c r="UIR138" s="774"/>
      <c r="UIS138" s="774"/>
      <c r="UIT138" s="774"/>
      <c r="UIU138" s="774"/>
      <c r="UIV138" s="774"/>
      <c r="UIW138" s="774"/>
      <c r="UIX138" s="774"/>
      <c r="UIY138" s="774"/>
      <c r="UIZ138" s="774"/>
      <c r="UJA138" s="774"/>
      <c r="UJB138" s="774"/>
      <c r="UJC138" s="774"/>
      <c r="UJD138" s="774"/>
      <c r="UJE138" s="774"/>
      <c r="UJF138" s="774"/>
      <c r="UJG138" s="774"/>
      <c r="UJH138" s="774"/>
      <c r="UJI138" s="774"/>
      <c r="UJJ138" s="774"/>
      <c r="UJK138" s="774"/>
      <c r="UJL138" s="774"/>
      <c r="UJM138" s="774"/>
      <c r="UJN138" s="774"/>
      <c r="UJO138" s="774"/>
      <c r="UJP138" s="774"/>
      <c r="UJQ138" s="774"/>
      <c r="UJR138" s="774"/>
      <c r="UJS138" s="774"/>
      <c r="UJT138" s="774"/>
      <c r="UJU138" s="774"/>
      <c r="UJV138" s="774"/>
      <c r="UJW138" s="774"/>
      <c r="UJX138" s="774"/>
      <c r="UJY138" s="774"/>
      <c r="UJZ138" s="774"/>
      <c r="UKA138" s="774"/>
      <c r="UKB138" s="774"/>
      <c r="UKC138" s="774"/>
      <c r="UKD138" s="774"/>
      <c r="UKE138" s="774"/>
      <c r="UKF138" s="774"/>
      <c r="UKG138" s="774"/>
      <c r="UKH138" s="774"/>
      <c r="UKI138" s="774"/>
      <c r="UKJ138" s="774"/>
      <c r="UKK138" s="774"/>
      <c r="UKL138" s="774"/>
      <c r="UKM138" s="774"/>
      <c r="UKN138" s="774"/>
      <c r="UKO138" s="774"/>
      <c r="UKP138" s="774"/>
      <c r="UKQ138" s="774"/>
      <c r="UKR138" s="774"/>
      <c r="UKS138" s="774"/>
      <c r="UKT138" s="774"/>
      <c r="UKU138" s="774"/>
      <c r="UKV138" s="774"/>
      <c r="UKW138" s="774"/>
      <c r="UKX138" s="774"/>
      <c r="UKY138" s="774"/>
      <c r="UKZ138" s="774"/>
      <c r="ULA138" s="774"/>
      <c r="ULB138" s="774"/>
      <c r="ULC138" s="774"/>
      <c r="ULD138" s="774"/>
      <c r="ULE138" s="774"/>
      <c r="ULF138" s="774"/>
      <c r="ULG138" s="774"/>
      <c r="ULH138" s="774"/>
      <c r="ULI138" s="774"/>
      <c r="ULJ138" s="774"/>
      <c r="ULK138" s="774"/>
      <c r="ULL138" s="774"/>
      <c r="ULM138" s="774"/>
      <c r="ULN138" s="774"/>
      <c r="ULO138" s="774"/>
      <c r="ULP138" s="774"/>
      <c r="ULQ138" s="774"/>
      <c r="ULR138" s="774"/>
      <c r="ULS138" s="774"/>
      <c r="ULT138" s="774"/>
      <c r="ULU138" s="774"/>
      <c r="ULV138" s="774"/>
      <c r="ULW138" s="774"/>
      <c r="ULX138" s="774"/>
      <c r="ULY138" s="774"/>
      <c r="ULZ138" s="774"/>
      <c r="UMA138" s="774"/>
      <c r="UMB138" s="774"/>
      <c r="UMC138" s="774"/>
      <c r="UMD138" s="774"/>
      <c r="UME138" s="774"/>
      <c r="UMF138" s="774"/>
      <c r="UMG138" s="774"/>
      <c r="UMH138" s="774"/>
      <c r="UMI138" s="774"/>
      <c r="UMJ138" s="774"/>
      <c r="UMK138" s="774"/>
      <c r="UML138" s="774"/>
      <c r="UMM138" s="774"/>
      <c r="UMN138" s="774"/>
      <c r="UMO138" s="774"/>
      <c r="UMP138" s="774"/>
      <c r="UMQ138" s="774"/>
      <c r="UMR138" s="774"/>
      <c r="UMS138" s="774"/>
      <c r="UMT138" s="774"/>
      <c r="UMU138" s="774"/>
      <c r="UMV138" s="774"/>
      <c r="UMW138" s="774"/>
      <c r="UMX138" s="774"/>
      <c r="UMY138" s="774"/>
      <c r="UMZ138" s="774"/>
      <c r="UNA138" s="774"/>
      <c r="UNB138" s="774"/>
      <c r="UNC138" s="774"/>
      <c r="UND138" s="774"/>
      <c r="UNE138" s="774"/>
      <c r="UNF138" s="774"/>
      <c r="UNG138" s="774"/>
      <c r="UNH138" s="774"/>
      <c r="UNI138" s="774"/>
      <c r="UNJ138" s="774"/>
      <c r="UNK138" s="774"/>
      <c r="UNL138" s="774"/>
      <c r="UNM138" s="774"/>
      <c r="UNN138" s="774"/>
      <c r="UNO138" s="774"/>
      <c r="UNP138" s="774"/>
      <c r="UNQ138" s="774"/>
      <c r="UNR138" s="774"/>
      <c r="UNS138" s="774"/>
      <c r="UNT138" s="774"/>
      <c r="UNU138" s="774"/>
      <c r="UNV138" s="774"/>
      <c r="UNW138" s="774"/>
      <c r="UNX138" s="774"/>
      <c r="UNY138" s="774"/>
      <c r="UNZ138" s="774"/>
      <c r="UOA138" s="774"/>
      <c r="UOB138" s="774"/>
      <c r="UOC138" s="774"/>
      <c r="UOD138" s="774"/>
      <c r="UOE138" s="774"/>
      <c r="UOF138" s="774"/>
      <c r="UOG138" s="774"/>
      <c r="UOH138" s="774"/>
      <c r="UOI138" s="774"/>
      <c r="UOJ138" s="774"/>
      <c r="UOK138" s="774"/>
      <c r="UOL138" s="774"/>
      <c r="UOM138" s="774"/>
      <c r="UON138" s="774"/>
      <c r="UOO138" s="774"/>
      <c r="UOP138" s="774"/>
      <c r="UOQ138" s="774"/>
      <c r="UOR138" s="774"/>
      <c r="UOS138" s="774"/>
      <c r="UOT138" s="774"/>
      <c r="UOU138" s="774"/>
      <c r="UOV138" s="774"/>
      <c r="UOW138" s="774"/>
      <c r="UOX138" s="774"/>
      <c r="UOY138" s="774"/>
      <c r="UOZ138" s="774"/>
      <c r="UPA138" s="774"/>
      <c r="UPB138" s="774"/>
      <c r="UPC138" s="774"/>
      <c r="UPD138" s="774"/>
      <c r="UPE138" s="774"/>
      <c r="UPF138" s="774"/>
      <c r="UPG138" s="774"/>
      <c r="UPH138" s="774"/>
      <c r="UPI138" s="774"/>
      <c r="UPJ138" s="774"/>
      <c r="UPK138" s="774"/>
      <c r="UPL138" s="774"/>
      <c r="UPM138" s="774"/>
      <c r="UPN138" s="774"/>
      <c r="UPO138" s="774"/>
      <c r="UPP138" s="774"/>
      <c r="UPQ138" s="774"/>
      <c r="UPR138" s="774"/>
      <c r="UPS138" s="774"/>
      <c r="UPT138" s="774"/>
      <c r="UPU138" s="774"/>
      <c r="UPV138" s="774"/>
      <c r="UPW138" s="774"/>
      <c r="UPX138" s="774"/>
      <c r="UPY138" s="774"/>
      <c r="UPZ138" s="774"/>
      <c r="UQA138" s="774"/>
      <c r="UQB138" s="774"/>
      <c r="UQC138" s="774"/>
      <c r="UQD138" s="774"/>
      <c r="UQE138" s="774"/>
      <c r="UQF138" s="774"/>
      <c r="UQG138" s="774"/>
      <c r="UQH138" s="774"/>
      <c r="UQI138" s="774"/>
      <c r="UQJ138" s="774"/>
      <c r="UQK138" s="774"/>
      <c r="UQL138" s="774"/>
      <c r="UQM138" s="774"/>
      <c r="UQN138" s="774"/>
      <c r="UQO138" s="774"/>
      <c r="UQP138" s="774"/>
      <c r="UQQ138" s="774"/>
      <c r="UQR138" s="774"/>
      <c r="UQS138" s="774"/>
      <c r="UQT138" s="774"/>
      <c r="UQU138" s="774"/>
      <c r="UQV138" s="774"/>
      <c r="UQW138" s="774"/>
      <c r="UQX138" s="774"/>
      <c r="UQY138" s="774"/>
      <c r="UQZ138" s="774"/>
      <c r="URA138" s="774"/>
      <c r="URB138" s="774"/>
      <c r="URC138" s="774"/>
      <c r="URD138" s="774"/>
      <c r="URE138" s="774"/>
      <c r="URF138" s="774"/>
      <c r="URG138" s="774"/>
      <c r="URH138" s="774"/>
      <c r="URI138" s="774"/>
      <c r="URJ138" s="774"/>
      <c r="URK138" s="774"/>
      <c r="URL138" s="774"/>
      <c r="URM138" s="774"/>
      <c r="URN138" s="774"/>
      <c r="URO138" s="774"/>
      <c r="URP138" s="774"/>
      <c r="URQ138" s="774"/>
      <c r="URR138" s="774"/>
      <c r="URS138" s="774"/>
      <c r="URT138" s="774"/>
      <c r="URU138" s="774"/>
      <c r="URV138" s="774"/>
      <c r="URW138" s="774"/>
      <c r="URX138" s="774"/>
      <c r="URY138" s="774"/>
      <c r="URZ138" s="774"/>
      <c r="USA138" s="774"/>
      <c r="USB138" s="774"/>
      <c r="USC138" s="774"/>
      <c r="USD138" s="774"/>
      <c r="USE138" s="774"/>
      <c r="USF138" s="774"/>
      <c r="USG138" s="774"/>
      <c r="USH138" s="774"/>
      <c r="USI138" s="774"/>
      <c r="USJ138" s="774"/>
      <c r="USK138" s="774"/>
      <c r="USL138" s="774"/>
      <c r="USM138" s="774"/>
      <c r="USN138" s="774"/>
      <c r="USO138" s="774"/>
      <c r="USP138" s="774"/>
      <c r="USQ138" s="774"/>
      <c r="USR138" s="774"/>
      <c r="USS138" s="774"/>
      <c r="UST138" s="774"/>
      <c r="USU138" s="774"/>
      <c r="USV138" s="774"/>
      <c r="USW138" s="774"/>
      <c r="USX138" s="774"/>
      <c r="USY138" s="774"/>
      <c r="USZ138" s="774"/>
      <c r="UTA138" s="774"/>
      <c r="UTB138" s="774"/>
      <c r="UTC138" s="774"/>
      <c r="UTD138" s="774"/>
      <c r="UTE138" s="774"/>
      <c r="UTF138" s="774"/>
      <c r="UTG138" s="774"/>
      <c r="UTH138" s="774"/>
      <c r="UTI138" s="774"/>
      <c r="UTJ138" s="774"/>
      <c r="UTK138" s="774"/>
      <c r="UTL138" s="774"/>
      <c r="UTM138" s="774"/>
      <c r="UTN138" s="774"/>
      <c r="UTO138" s="774"/>
      <c r="UTP138" s="774"/>
      <c r="UTQ138" s="774"/>
      <c r="UTR138" s="774"/>
      <c r="UTS138" s="774"/>
      <c r="UTT138" s="774"/>
      <c r="UTU138" s="774"/>
      <c r="UTV138" s="774"/>
      <c r="UTW138" s="774"/>
      <c r="UTX138" s="774"/>
      <c r="UTY138" s="774"/>
      <c r="UTZ138" s="774"/>
      <c r="UUA138" s="774"/>
      <c r="UUB138" s="774"/>
      <c r="UUC138" s="774"/>
      <c r="UUD138" s="774"/>
      <c r="UUE138" s="774"/>
      <c r="UUF138" s="774"/>
      <c r="UUG138" s="774"/>
      <c r="UUH138" s="774"/>
      <c r="UUI138" s="774"/>
      <c r="UUJ138" s="774"/>
      <c r="UUK138" s="774"/>
      <c r="UUL138" s="774"/>
      <c r="UUM138" s="774"/>
      <c r="UUN138" s="774"/>
      <c r="UUO138" s="774"/>
      <c r="UUP138" s="774"/>
      <c r="UUQ138" s="774"/>
      <c r="UUR138" s="774"/>
      <c r="UUS138" s="774"/>
      <c r="UUT138" s="774"/>
      <c r="UUU138" s="774"/>
      <c r="UUV138" s="774"/>
      <c r="UUW138" s="774"/>
      <c r="UUX138" s="774"/>
      <c r="UUY138" s="774"/>
      <c r="UUZ138" s="774"/>
      <c r="UVA138" s="774"/>
      <c r="UVB138" s="774"/>
      <c r="UVC138" s="774"/>
      <c r="UVD138" s="774"/>
      <c r="UVE138" s="774"/>
      <c r="UVF138" s="774"/>
      <c r="UVG138" s="774"/>
      <c r="UVH138" s="774"/>
      <c r="UVI138" s="774"/>
      <c r="UVJ138" s="774"/>
      <c r="UVK138" s="774"/>
      <c r="UVL138" s="774"/>
      <c r="UVM138" s="774"/>
      <c r="UVN138" s="774"/>
      <c r="UVO138" s="774"/>
      <c r="UVP138" s="774"/>
      <c r="UVQ138" s="774"/>
      <c r="UVR138" s="774"/>
      <c r="UVS138" s="774"/>
      <c r="UVT138" s="774"/>
      <c r="UVU138" s="774"/>
      <c r="UVV138" s="774"/>
      <c r="UVW138" s="774"/>
      <c r="UVX138" s="774"/>
      <c r="UVY138" s="774"/>
      <c r="UVZ138" s="774"/>
      <c r="UWA138" s="774"/>
      <c r="UWB138" s="774"/>
      <c r="UWC138" s="774"/>
      <c r="UWD138" s="774"/>
      <c r="UWE138" s="774"/>
      <c r="UWF138" s="774"/>
      <c r="UWG138" s="774"/>
      <c r="UWH138" s="774"/>
      <c r="UWI138" s="774"/>
      <c r="UWJ138" s="774"/>
      <c r="UWK138" s="774"/>
      <c r="UWL138" s="774"/>
      <c r="UWM138" s="774"/>
      <c r="UWN138" s="774"/>
      <c r="UWO138" s="774"/>
      <c r="UWP138" s="774"/>
      <c r="UWQ138" s="774"/>
      <c r="UWR138" s="774"/>
      <c r="UWS138" s="774"/>
      <c r="UWT138" s="774"/>
      <c r="UWU138" s="774"/>
      <c r="UWV138" s="774"/>
      <c r="UWW138" s="774"/>
      <c r="UWX138" s="774"/>
      <c r="UWY138" s="774"/>
      <c r="UWZ138" s="774"/>
      <c r="UXA138" s="774"/>
      <c r="UXB138" s="774"/>
      <c r="UXC138" s="774"/>
      <c r="UXD138" s="774"/>
      <c r="UXE138" s="774"/>
      <c r="UXF138" s="774"/>
      <c r="UXG138" s="774"/>
      <c r="UXH138" s="774"/>
      <c r="UXI138" s="774"/>
      <c r="UXJ138" s="774"/>
      <c r="UXK138" s="774"/>
      <c r="UXL138" s="774"/>
      <c r="UXM138" s="774"/>
      <c r="UXN138" s="774"/>
      <c r="UXO138" s="774"/>
      <c r="UXP138" s="774"/>
      <c r="UXQ138" s="774"/>
      <c r="UXR138" s="774"/>
      <c r="UXS138" s="774"/>
      <c r="UXT138" s="774"/>
      <c r="UXU138" s="774"/>
      <c r="UXV138" s="774"/>
      <c r="UXW138" s="774"/>
      <c r="UXX138" s="774"/>
      <c r="UXY138" s="774"/>
      <c r="UXZ138" s="774"/>
      <c r="UYA138" s="774"/>
      <c r="UYB138" s="774"/>
      <c r="UYC138" s="774"/>
      <c r="UYD138" s="774"/>
      <c r="UYE138" s="774"/>
      <c r="UYF138" s="774"/>
      <c r="UYG138" s="774"/>
      <c r="UYH138" s="774"/>
      <c r="UYI138" s="774"/>
      <c r="UYJ138" s="774"/>
      <c r="UYK138" s="774"/>
      <c r="UYL138" s="774"/>
      <c r="UYM138" s="774"/>
      <c r="UYN138" s="774"/>
      <c r="UYO138" s="774"/>
      <c r="UYP138" s="774"/>
      <c r="UYQ138" s="774"/>
      <c r="UYR138" s="774"/>
      <c r="UYS138" s="774"/>
      <c r="UYT138" s="774"/>
      <c r="UYU138" s="774"/>
      <c r="UYV138" s="774"/>
      <c r="UYW138" s="774"/>
      <c r="UYX138" s="774"/>
      <c r="UYY138" s="774"/>
      <c r="UYZ138" s="774"/>
      <c r="UZA138" s="774"/>
      <c r="UZB138" s="774"/>
      <c r="UZC138" s="774"/>
      <c r="UZD138" s="774"/>
      <c r="UZE138" s="774"/>
      <c r="UZF138" s="774"/>
      <c r="UZG138" s="774"/>
      <c r="UZH138" s="774"/>
      <c r="UZI138" s="774"/>
      <c r="UZJ138" s="774"/>
      <c r="UZK138" s="774"/>
      <c r="UZL138" s="774"/>
      <c r="UZM138" s="774"/>
      <c r="UZN138" s="774"/>
      <c r="UZO138" s="774"/>
      <c r="UZP138" s="774"/>
      <c r="UZQ138" s="774"/>
      <c r="UZR138" s="774"/>
      <c r="UZS138" s="774"/>
      <c r="UZT138" s="774"/>
      <c r="UZU138" s="774"/>
      <c r="UZV138" s="774"/>
      <c r="UZW138" s="774"/>
      <c r="UZX138" s="774"/>
      <c r="UZY138" s="774"/>
      <c r="UZZ138" s="774"/>
      <c r="VAA138" s="774"/>
      <c r="VAB138" s="774"/>
      <c r="VAC138" s="774"/>
      <c r="VAD138" s="774"/>
      <c r="VAE138" s="774"/>
      <c r="VAF138" s="774"/>
      <c r="VAG138" s="774"/>
      <c r="VAH138" s="774"/>
      <c r="VAI138" s="774"/>
      <c r="VAJ138" s="774"/>
      <c r="VAK138" s="774"/>
      <c r="VAL138" s="774"/>
      <c r="VAM138" s="774"/>
      <c r="VAN138" s="774"/>
      <c r="VAO138" s="774"/>
      <c r="VAP138" s="774"/>
      <c r="VAQ138" s="774"/>
      <c r="VAR138" s="774"/>
      <c r="VAS138" s="774"/>
      <c r="VAT138" s="774"/>
      <c r="VAU138" s="774"/>
      <c r="VAV138" s="774"/>
      <c r="VAW138" s="774"/>
      <c r="VAX138" s="774"/>
      <c r="VAY138" s="774"/>
      <c r="VAZ138" s="774"/>
      <c r="VBA138" s="774"/>
      <c r="VBB138" s="774"/>
      <c r="VBC138" s="774"/>
      <c r="VBD138" s="774"/>
      <c r="VBE138" s="774"/>
      <c r="VBF138" s="774"/>
      <c r="VBG138" s="774"/>
      <c r="VBH138" s="774"/>
      <c r="VBI138" s="774"/>
      <c r="VBJ138" s="774"/>
      <c r="VBK138" s="774"/>
      <c r="VBL138" s="774"/>
      <c r="VBM138" s="774"/>
      <c r="VBN138" s="774"/>
      <c r="VBO138" s="774"/>
      <c r="VBP138" s="774"/>
      <c r="VBQ138" s="774"/>
      <c r="VBR138" s="774"/>
      <c r="VBS138" s="774"/>
      <c r="VBT138" s="774"/>
      <c r="VBU138" s="774"/>
      <c r="VBV138" s="774"/>
      <c r="VBW138" s="774"/>
      <c r="VBX138" s="774"/>
      <c r="VBY138" s="774"/>
      <c r="VBZ138" s="774"/>
      <c r="VCA138" s="774"/>
      <c r="VCB138" s="774"/>
      <c r="VCC138" s="774"/>
      <c r="VCD138" s="774"/>
      <c r="VCE138" s="774"/>
      <c r="VCF138" s="774"/>
      <c r="VCG138" s="774"/>
      <c r="VCH138" s="774"/>
      <c r="VCI138" s="774"/>
      <c r="VCJ138" s="774"/>
      <c r="VCK138" s="774"/>
      <c r="VCL138" s="774"/>
      <c r="VCM138" s="774"/>
      <c r="VCN138" s="774"/>
      <c r="VCO138" s="774"/>
      <c r="VCP138" s="774"/>
      <c r="VCQ138" s="774"/>
      <c r="VCR138" s="774"/>
      <c r="VCS138" s="774"/>
      <c r="VCT138" s="774"/>
      <c r="VCU138" s="774"/>
      <c r="VCV138" s="774"/>
      <c r="VCW138" s="774"/>
      <c r="VCX138" s="774"/>
      <c r="VCY138" s="774"/>
      <c r="VCZ138" s="774"/>
      <c r="VDA138" s="774"/>
      <c r="VDB138" s="774"/>
      <c r="VDC138" s="774"/>
      <c r="VDD138" s="774"/>
      <c r="VDE138" s="774"/>
      <c r="VDF138" s="774"/>
      <c r="VDG138" s="774"/>
      <c r="VDH138" s="774"/>
      <c r="VDI138" s="774"/>
      <c r="VDJ138" s="774"/>
      <c r="VDK138" s="774"/>
      <c r="VDL138" s="774"/>
      <c r="VDM138" s="774"/>
      <c r="VDN138" s="774"/>
      <c r="VDO138" s="774"/>
      <c r="VDP138" s="774"/>
      <c r="VDQ138" s="774"/>
      <c r="VDR138" s="774"/>
      <c r="VDS138" s="774"/>
      <c r="VDT138" s="774"/>
      <c r="VDU138" s="774"/>
      <c r="VDV138" s="774"/>
      <c r="VDW138" s="774"/>
      <c r="VDX138" s="774"/>
      <c r="VDY138" s="774"/>
      <c r="VDZ138" s="774"/>
      <c r="VEA138" s="774"/>
      <c r="VEB138" s="774"/>
      <c r="VEC138" s="774"/>
      <c r="VED138" s="774"/>
      <c r="VEE138" s="774"/>
      <c r="VEF138" s="774"/>
      <c r="VEG138" s="774"/>
      <c r="VEH138" s="774"/>
      <c r="VEI138" s="774"/>
      <c r="VEJ138" s="774"/>
      <c r="VEK138" s="774"/>
      <c r="VEL138" s="774"/>
      <c r="VEM138" s="774"/>
      <c r="VEN138" s="774"/>
      <c r="VEO138" s="774"/>
      <c r="VEP138" s="774"/>
      <c r="VEQ138" s="774"/>
      <c r="VER138" s="774"/>
      <c r="VES138" s="774"/>
      <c r="VET138" s="774"/>
      <c r="VEU138" s="774"/>
      <c r="VEV138" s="774"/>
      <c r="VEW138" s="774"/>
      <c r="VEX138" s="774"/>
      <c r="VEY138" s="774"/>
      <c r="VEZ138" s="774"/>
      <c r="VFA138" s="774"/>
      <c r="VFB138" s="774"/>
      <c r="VFC138" s="774"/>
      <c r="VFD138" s="774"/>
      <c r="VFE138" s="774"/>
      <c r="VFF138" s="774"/>
      <c r="VFG138" s="774"/>
      <c r="VFH138" s="774"/>
      <c r="VFI138" s="774"/>
      <c r="VFJ138" s="774"/>
      <c r="VFK138" s="774"/>
      <c r="VFL138" s="774"/>
      <c r="VFM138" s="774"/>
      <c r="VFN138" s="774"/>
      <c r="VFO138" s="774"/>
      <c r="VFP138" s="774"/>
      <c r="VFQ138" s="774"/>
      <c r="VFR138" s="774"/>
      <c r="VFS138" s="774"/>
      <c r="VFT138" s="774"/>
      <c r="VFU138" s="774"/>
      <c r="VFV138" s="774"/>
      <c r="VFW138" s="774"/>
      <c r="VFX138" s="774"/>
      <c r="VFY138" s="774"/>
      <c r="VFZ138" s="774"/>
      <c r="VGA138" s="774"/>
      <c r="VGB138" s="774"/>
      <c r="VGC138" s="774"/>
      <c r="VGD138" s="774"/>
      <c r="VGE138" s="774"/>
      <c r="VGF138" s="774"/>
      <c r="VGG138" s="774"/>
      <c r="VGH138" s="774"/>
      <c r="VGI138" s="774"/>
      <c r="VGJ138" s="774"/>
      <c r="VGK138" s="774"/>
      <c r="VGL138" s="774"/>
      <c r="VGM138" s="774"/>
      <c r="VGN138" s="774"/>
      <c r="VGO138" s="774"/>
      <c r="VGP138" s="774"/>
      <c r="VGQ138" s="774"/>
      <c r="VGR138" s="774"/>
      <c r="VGS138" s="774"/>
      <c r="VGT138" s="774"/>
      <c r="VGU138" s="774"/>
      <c r="VGV138" s="774"/>
      <c r="VGW138" s="774"/>
      <c r="VGX138" s="774"/>
      <c r="VGY138" s="774"/>
      <c r="VGZ138" s="774"/>
      <c r="VHA138" s="774"/>
      <c r="VHB138" s="774"/>
      <c r="VHC138" s="774"/>
      <c r="VHD138" s="774"/>
      <c r="VHE138" s="774"/>
      <c r="VHF138" s="774"/>
      <c r="VHG138" s="774"/>
      <c r="VHH138" s="774"/>
      <c r="VHI138" s="774"/>
      <c r="VHJ138" s="774"/>
      <c r="VHK138" s="774"/>
      <c r="VHL138" s="774"/>
      <c r="VHM138" s="774"/>
      <c r="VHN138" s="774"/>
      <c r="VHO138" s="774"/>
      <c r="VHP138" s="774"/>
      <c r="VHQ138" s="774"/>
      <c r="VHR138" s="774"/>
      <c r="VHS138" s="774"/>
      <c r="VHT138" s="774"/>
      <c r="VHU138" s="774"/>
      <c r="VHV138" s="774"/>
      <c r="VHW138" s="774"/>
      <c r="VHX138" s="774"/>
      <c r="VHY138" s="774"/>
      <c r="VHZ138" s="774"/>
      <c r="VIA138" s="774"/>
      <c r="VIB138" s="774"/>
      <c r="VIC138" s="774"/>
      <c r="VID138" s="774"/>
      <c r="VIE138" s="774"/>
      <c r="VIF138" s="774"/>
      <c r="VIG138" s="774"/>
      <c r="VIH138" s="774"/>
      <c r="VII138" s="774"/>
      <c r="VIJ138" s="774"/>
      <c r="VIK138" s="774"/>
      <c r="VIL138" s="774"/>
      <c r="VIM138" s="774"/>
      <c r="VIN138" s="774"/>
      <c r="VIO138" s="774"/>
      <c r="VIP138" s="774"/>
      <c r="VIQ138" s="774"/>
      <c r="VIR138" s="774"/>
      <c r="VIS138" s="774"/>
      <c r="VIT138" s="774"/>
      <c r="VIU138" s="774"/>
      <c r="VIV138" s="774"/>
      <c r="VIW138" s="774"/>
      <c r="VIX138" s="774"/>
      <c r="VIY138" s="774"/>
      <c r="VIZ138" s="774"/>
      <c r="VJA138" s="774"/>
      <c r="VJB138" s="774"/>
      <c r="VJC138" s="774"/>
      <c r="VJD138" s="774"/>
      <c r="VJE138" s="774"/>
      <c r="VJF138" s="774"/>
      <c r="VJG138" s="774"/>
      <c r="VJH138" s="774"/>
      <c r="VJI138" s="774"/>
      <c r="VJJ138" s="774"/>
      <c r="VJK138" s="774"/>
      <c r="VJL138" s="774"/>
      <c r="VJM138" s="774"/>
      <c r="VJN138" s="774"/>
      <c r="VJO138" s="774"/>
      <c r="VJP138" s="774"/>
      <c r="VJQ138" s="774"/>
      <c r="VJR138" s="774"/>
      <c r="VJS138" s="774"/>
      <c r="VJT138" s="774"/>
      <c r="VJU138" s="774"/>
      <c r="VJV138" s="774"/>
      <c r="VJW138" s="774"/>
      <c r="VJX138" s="774"/>
      <c r="VJY138" s="774"/>
      <c r="VJZ138" s="774"/>
      <c r="VKA138" s="774"/>
      <c r="VKB138" s="774"/>
      <c r="VKC138" s="774"/>
      <c r="VKD138" s="774"/>
      <c r="VKE138" s="774"/>
      <c r="VKF138" s="774"/>
      <c r="VKG138" s="774"/>
      <c r="VKH138" s="774"/>
      <c r="VKI138" s="774"/>
      <c r="VKJ138" s="774"/>
      <c r="VKK138" s="774"/>
      <c r="VKL138" s="774"/>
      <c r="VKM138" s="774"/>
      <c r="VKN138" s="774"/>
      <c r="VKO138" s="774"/>
      <c r="VKP138" s="774"/>
      <c r="VKQ138" s="774"/>
      <c r="VKR138" s="774"/>
      <c r="VKS138" s="774"/>
      <c r="VKT138" s="774"/>
      <c r="VKU138" s="774"/>
      <c r="VKV138" s="774"/>
      <c r="VKW138" s="774"/>
      <c r="VKX138" s="774"/>
      <c r="VKY138" s="774"/>
      <c r="VKZ138" s="774"/>
      <c r="VLA138" s="774"/>
      <c r="VLB138" s="774"/>
      <c r="VLC138" s="774"/>
      <c r="VLD138" s="774"/>
      <c r="VLE138" s="774"/>
      <c r="VLF138" s="774"/>
      <c r="VLG138" s="774"/>
      <c r="VLH138" s="774"/>
      <c r="VLI138" s="774"/>
      <c r="VLJ138" s="774"/>
      <c r="VLK138" s="774"/>
      <c r="VLL138" s="774"/>
      <c r="VLM138" s="774"/>
      <c r="VLN138" s="774"/>
      <c r="VLO138" s="774"/>
      <c r="VLP138" s="774"/>
      <c r="VLQ138" s="774"/>
      <c r="VLR138" s="774"/>
      <c r="VLS138" s="774"/>
      <c r="VLT138" s="774"/>
      <c r="VLU138" s="774"/>
      <c r="VLV138" s="774"/>
      <c r="VLW138" s="774"/>
      <c r="VLX138" s="774"/>
      <c r="VLY138" s="774"/>
      <c r="VLZ138" s="774"/>
      <c r="VMA138" s="774"/>
      <c r="VMB138" s="774"/>
      <c r="VMC138" s="774"/>
      <c r="VMD138" s="774"/>
      <c r="VME138" s="774"/>
      <c r="VMF138" s="774"/>
      <c r="VMG138" s="774"/>
      <c r="VMH138" s="774"/>
      <c r="VMI138" s="774"/>
      <c r="VMJ138" s="774"/>
      <c r="VMK138" s="774"/>
      <c r="VML138" s="774"/>
      <c r="VMM138" s="774"/>
      <c r="VMN138" s="774"/>
      <c r="VMO138" s="774"/>
      <c r="VMP138" s="774"/>
      <c r="VMQ138" s="774"/>
      <c r="VMR138" s="774"/>
      <c r="VMS138" s="774"/>
      <c r="VMT138" s="774"/>
      <c r="VMU138" s="774"/>
      <c r="VMV138" s="774"/>
      <c r="VMW138" s="774"/>
      <c r="VMX138" s="774"/>
      <c r="VMY138" s="774"/>
      <c r="VMZ138" s="774"/>
      <c r="VNA138" s="774"/>
      <c r="VNB138" s="774"/>
      <c r="VNC138" s="774"/>
      <c r="VND138" s="774"/>
      <c r="VNE138" s="774"/>
      <c r="VNF138" s="774"/>
      <c r="VNG138" s="774"/>
      <c r="VNH138" s="774"/>
      <c r="VNI138" s="774"/>
      <c r="VNJ138" s="774"/>
      <c r="VNK138" s="774"/>
      <c r="VNL138" s="774"/>
      <c r="VNM138" s="774"/>
      <c r="VNN138" s="774"/>
      <c r="VNO138" s="774"/>
      <c r="VNP138" s="774"/>
      <c r="VNQ138" s="774"/>
      <c r="VNR138" s="774"/>
      <c r="VNS138" s="774"/>
      <c r="VNT138" s="774"/>
      <c r="VNU138" s="774"/>
      <c r="VNV138" s="774"/>
      <c r="VNW138" s="774"/>
      <c r="VNX138" s="774"/>
      <c r="VNY138" s="774"/>
      <c r="VNZ138" s="774"/>
      <c r="VOA138" s="774"/>
      <c r="VOB138" s="774"/>
      <c r="VOC138" s="774"/>
      <c r="VOD138" s="774"/>
      <c r="VOE138" s="774"/>
      <c r="VOF138" s="774"/>
      <c r="VOG138" s="774"/>
      <c r="VOH138" s="774"/>
      <c r="VOI138" s="774"/>
      <c r="VOJ138" s="774"/>
      <c r="VOK138" s="774"/>
      <c r="VOL138" s="774"/>
      <c r="VOM138" s="774"/>
      <c r="VON138" s="774"/>
      <c r="VOO138" s="774"/>
      <c r="VOP138" s="774"/>
      <c r="VOQ138" s="774"/>
      <c r="VOR138" s="774"/>
      <c r="VOS138" s="774"/>
      <c r="VOT138" s="774"/>
      <c r="VOU138" s="774"/>
      <c r="VOV138" s="774"/>
      <c r="VOW138" s="774"/>
      <c r="VOX138" s="774"/>
      <c r="VOY138" s="774"/>
      <c r="VOZ138" s="774"/>
      <c r="VPA138" s="774"/>
      <c r="VPB138" s="774"/>
      <c r="VPC138" s="774"/>
      <c r="VPD138" s="774"/>
      <c r="VPE138" s="774"/>
      <c r="VPF138" s="774"/>
      <c r="VPG138" s="774"/>
      <c r="VPH138" s="774"/>
      <c r="VPI138" s="774"/>
      <c r="VPJ138" s="774"/>
      <c r="VPK138" s="774"/>
      <c r="VPL138" s="774"/>
      <c r="VPM138" s="774"/>
      <c r="VPN138" s="774"/>
      <c r="VPO138" s="774"/>
      <c r="VPP138" s="774"/>
      <c r="VPQ138" s="774"/>
      <c r="VPR138" s="774"/>
      <c r="VPS138" s="774"/>
      <c r="VPT138" s="774"/>
      <c r="VPU138" s="774"/>
      <c r="VPV138" s="774"/>
      <c r="VPW138" s="774"/>
      <c r="VPX138" s="774"/>
      <c r="VPY138" s="774"/>
      <c r="VPZ138" s="774"/>
      <c r="VQA138" s="774"/>
      <c r="VQB138" s="774"/>
      <c r="VQC138" s="774"/>
      <c r="VQD138" s="774"/>
      <c r="VQE138" s="774"/>
      <c r="VQF138" s="774"/>
      <c r="VQG138" s="774"/>
      <c r="VQH138" s="774"/>
      <c r="VQI138" s="774"/>
      <c r="VQJ138" s="774"/>
      <c r="VQK138" s="774"/>
      <c r="VQL138" s="774"/>
      <c r="VQM138" s="774"/>
      <c r="VQN138" s="774"/>
      <c r="VQO138" s="774"/>
      <c r="VQP138" s="774"/>
      <c r="VQQ138" s="774"/>
      <c r="VQR138" s="774"/>
      <c r="VQS138" s="774"/>
      <c r="VQT138" s="774"/>
      <c r="VQU138" s="774"/>
      <c r="VQV138" s="774"/>
      <c r="VQW138" s="774"/>
      <c r="VQX138" s="774"/>
      <c r="VQY138" s="774"/>
      <c r="VQZ138" s="774"/>
      <c r="VRA138" s="774"/>
      <c r="VRB138" s="774"/>
      <c r="VRC138" s="774"/>
      <c r="VRD138" s="774"/>
      <c r="VRE138" s="774"/>
      <c r="VRF138" s="774"/>
      <c r="VRG138" s="774"/>
      <c r="VRH138" s="774"/>
      <c r="VRI138" s="774"/>
      <c r="VRJ138" s="774"/>
      <c r="VRK138" s="774"/>
      <c r="VRL138" s="774"/>
      <c r="VRM138" s="774"/>
      <c r="VRN138" s="774"/>
      <c r="VRO138" s="774"/>
      <c r="VRP138" s="774"/>
      <c r="VRQ138" s="774"/>
      <c r="VRR138" s="774"/>
      <c r="VRS138" s="774"/>
      <c r="VRT138" s="774"/>
      <c r="VRU138" s="774"/>
      <c r="VRV138" s="774"/>
      <c r="VRW138" s="774"/>
      <c r="VRX138" s="774"/>
      <c r="VRY138" s="774"/>
      <c r="VRZ138" s="774"/>
      <c r="VSA138" s="774"/>
      <c r="VSB138" s="774"/>
      <c r="VSC138" s="774"/>
      <c r="VSD138" s="774"/>
      <c r="VSE138" s="774"/>
      <c r="VSF138" s="774"/>
      <c r="VSG138" s="774"/>
      <c r="VSH138" s="774"/>
      <c r="VSI138" s="774"/>
      <c r="VSJ138" s="774"/>
      <c r="VSK138" s="774"/>
      <c r="VSL138" s="774"/>
      <c r="VSM138" s="774"/>
      <c r="VSN138" s="774"/>
      <c r="VSO138" s="774"/>
      <c r="VSP138" s="774"/>
      <c r="VSQ138" s="774"/>
      <c r="VSR138" s="774"/>
      <c r="VSS138" s="774"/>
      <c r="VST138" s="774"/>
      <c r="VSU138" s="774"/>
      <c r="VSV138" s="774"/>
      <c r="VSW138" s="774"/>
      <c r="VSX138" s="774"/>
      <c r="VSY138" s="774"/>
      <c r="VSZ138" s="774"/>
      <c r="VTA138" s="774"/>
      <c r="VTB138" s="774"/>
      <c r="VTC138" s="774"/>
      <c r="VTD138" s="774"/>
      <c r="VTE138" s="774"/>
      <c r="VTF138" s="774"/>
      <c r="VTG138" s="774"/>
      <c r="VTH138" s="774"/>
      <c r="VTI138" s="774"/>
      <c r="VTJ138" s="774"/>
      <c r="VTK138" s="774"/>
      <c r="VTL138" s="774"/>
      <c r="VTM138" s="774"/>
      <c r="VTN138" s="774"/>
      <c r="VTO138" s="774"/>
      <c r="VTP138" s="774"/>
      <c r="VTQ138" s="774"/>
      <c r="VTR138" s="774"/>
      <c r="VTS138" s="774"/>
      <c r="VTT138" s="774"/>
      <c r="VTU138" s="774"/>
      <c r="VTV138" s="774"/>
      <c r="VTW138" s="774"/>
      <c r="VTX138" s="774"/>
      <c r="VTY138" s="774"/>
      <c r="VTZ138" s="774"/>
      <c r="VUA138" s="774"/>
      <c r="VUB138" s="774"/>
      <c r="VUC138" s="774"/>
      <c r="VUD138" s="774"/>
      <c r="VUE138" s="774"/>
      <c r="VUF138" s="774"/>
      <c r="VUG138" s="774"/>
      <c r="VUH138" s="774"/>
      <c r="VUI138" s="774"/>
      <c r="VUJ138" s="774"/>
      <c r="VUK138" s="774"/>
      <c r="VUL138" s="774"/>
      <c r="VUM138" s="774"/>
      <c r="VUN138" s="774"/>
      <c r="VUO138" s="774"/>
      <c r="VUP138" s="774"/>
      <c r="VUQ138" s="774"/>
      <c r="VUR138" s="774"/>
      <c r="VUS138" s="774"/>
      <c r="VUT138" s="774"/>
      <c r="VUU138" s="774"/>
      <c r="VUV138" s="774"/>
      <c r="VUW138" s="774"/>
      <c r="VUX138" s="774"/>
      <c r="VUY138" s="774"/>
      <c r="VUZ138" s="774"/>
      <c r="VVA138" s="774"/>
      <c r="VVB138" s="774"/>
      <c r="VVC138" s="774"/>
      <c r="VVD138" s="774"/>
      <c r="VVE138" s="774"/>
      <c r="VVF138" s="774"/>
      <c r="VVG138" s="774"/>
      <c r="VVH138" s="774"/>
      <c r="VVI138" s="774"/>
      <c r="VVJ138" s="774"/>
      <c r="VVK138" s="774"/>
      <c r="VVL138" s="774"/>
      <c r="VVM138" s="774"/>
      <c r="VVN138" s="774"/>
      <c r="VVO138" s="774"/>
      <c r="VVP138" s="774"/>
      <c r="VVQ138" s="774"/>
      <c r="VVR138" s="774"/>
      <c r="VVS138" s="774"/>
      <c r="VVT138" s="774"/>
      <c r="VVU138" s="774"/>
      <c r="VVV138" s="774"/>
      <c r="VVW138" s="774"/>
      <c r="VVX138" s="774"/>
      <c r="VVY138" s="774"/>
      <c r="VVZ138" s="774"/>
      <c r="VWA138" s="774"/>
      <c r="VWB138" s="774"/>
      <c r="VWC138" s="774"/>
      <c r="VWD138" s="774"/>
      <c r="VWE138" s="774"/>
      <c r="VWF138" s="774"/>
      <c r="VWG138" s="774"/>
      <c r="VWH138" s="774"/>
      <c r="VWI138" s="774"/>
      <c r="VWJ138" s="774"/>
      <c r="VWK138" s="774"/>
      <c r="VWL138" s="774"/>
      <c r="VWM138" s="774"/>
      <c r="VWN138" s="774"/>
      <c r="VWO138" s="774"/>
      <c r="VWP138" s="774"/>
      <c r="VWQ138" s="774"/>
      <c r="VWR138" s="774"/>
      <c r="VWS138" s="774"/>
      <c r="VWT138" s="774"/>
      <c r="VWU138" s="774"/>
      <c r="VWV138" s="774"/>
      <c r="VWW138" s="774"/>
      <c r="VWX138" s="774"/>
      <c r="VWY138" s="774"/>
      <c r="VWZ138" s="774"/>
      <c r="VXA138" s="774"/>
      <c r="VXB138" s="774"/>
      <c r="VXC138" s="774"/>
      <c r="VXD138" s="774"/>
      <c r="VXE138" s="774"/>
      <c r="VXF138" s="774"/>
      <c r="VXG138" s="774"/>
      <c r="VXH138" s="774"/>
      <c r="VXI138" s="774"/>
      <c r="VXJ138" s="774"/>
      <c r="VXK138" s="774"/>
      <c r="VXL138" s="774"/>
      <c r="VXM138" s="774"/>
      <c r="VXN138" s="774"/>
      <c r="VXO138" s="774"/>
      <c r="VXP138" s="774"/>
      <c r="VXQ138" s="774"/>
      <c r="VXR138" s="774"/>
      <c r="VXS138" s="774"/>
      <c r="VXT138" s="774"/>
      <c r="VXU138" s="774"/>
      <c r="VXV138" s="774"/>
      <c r="VXW138" s="774"/>
      <c r="VXX138" s="774"/>
      <c r="VXY138" s="774"/>
      <c r="VXZ138" s="774"/>
      <c r="VYA138" s="774"/>
      <c r="VYB138" s="774"/>
      <c r="VYC138" s="774"/>
      <c r="VYD138" s="774"/>
      <c r="VYE138" s="774"/>
      <c r="VYF138" s="774"/>
      <c r="VYG138" s="774"/>
      <c r="VYH138" s="774"/>
      <c r="VYI138" s="774"/>
      <c r="VYJ138" s="774"/>
      <c r="VYK138" s="774"/>
      <c r="VYL138" s="774"/>
      <c r="VYM138" s="774"/>
      <c r="VYN138" s="774"/>
      <c r="VYO138" s="774"/>
      <c r="VYP138" s="774"/>
      <c r="VYQ138" s="774"/>
      <c r="VYR138" s="774"/>
      <c r="VYS138" s="774"/>
      <c r="VYT138" s="774"/>
      <c r="VYU138" s="774"/>
      <c r="VYV138" s="774"/>
      <c r="VYW138" s="774"/>
      <c r="VYX138" s="774"/>
      <c r="VYY138" s="774"/>
      <c r="VYZ138" s="774"/>
      <c r="VZA138" s="774"/>
      <c r="VZB138" s="774"/>
      <c r="VZC138" s="774"/>
      <c r="VZD138" s="774"/>
      <c r="VZE138" s="774"/>
      <c r="VZF138" s="774"/>
      <c r="VZG138" s="774"/>
      <c r="VZH138" s="774"/>
      <c r="VZI138" s="774"/>
      <c r="VZJ138" s="774"/>
      <c r="VZK138" s="774"/>
      <c r="VZL138" s="774"/>
      <c r="VZM138" s="774"/>
      <c r="VZN138" s="774"/>
      <c r="VZO138" s="774"/>
      <c r="VZP138" s="774"/>
      <c r="VZQ138" s="774"/>
      <c r="VZR138" s="774"/>
      <c r="VZS138" s="774"/>
      <c r="VZT138" s="774"/>
      <c r="VZU138" s="774"/>
      <c r="VZV138" s="774"/>
      <c r="VZW138" s="774"/>
      <c r="VZX138" s="774"/>
      <c r="VZY138" s="774"/>
      <c r="VZZ138" s="774"/>
      <c r="WAA138" s="774"/>
      <c r="WAB138" s="774"/>
      <c r="WAC138" s="774"/>
      <c r="WAD138" s="774"/>
      <c r="WAE138" s="774"/>
      <c r="WAF138" s="774"/>
      <c r="WAG138" s="774"/>
      <c r="WAH138" s="774"/>
      <c r="WAI138" s="774"/>
      <c r="WAJ138" s="774"/>
      <c r="WAK138" s="774"/>
      <c r="WAL138" s="774"/>
      <c r="WAM138" s="774"/>
      <c r="WAN138" s="774"/>
      <c r="WAO138" s="774"/>
      <c r="WAP138" s="774"/>
      <c r="WAQ138" s="774"/>
      <c r="WAR138" s="774"/>
      <c r="WAS138" s="774"/>
      <c r="WAT138" s="774"/>
      <c r="WAU138" s="774"/>
      <c r="WAV138" s="774"/>
      <c r="WAW138" s="774"/>
      <c r="WAX138" s="774"/>
      <c r="WAY138" s="774"/>
      <c r="WAZ138" s="774"/>
      <c r="WBA138" s="774"/>
      <c r="WBB138" s="774"/>
      <c r="WBC138" s="774"/>
      <c r="WBD138" s="774"/>
      <c r="WBE138" s="774"/>
      <c r="WBF138" s="774"/>
      <c r="WBG138" s="774"/>
      <c r="WBH138" s="774"/>
      <c r="WBI138" s="774"/>
      <c r="WBJ138" s="774"/>
      <c r="WBK138" s="774"/>
      <c r="WBL138" s="774"/>
      <c r="WBM138" s="774"/>
      <c r="WBN138" s="774"/>
      <c r="WBO138" s="774"/>
      <c r="WBP138" s="774"/>
      <c r="WBQ138" s="774"/>
      <c r="WBR138" s="774"/>
      <c r="WBS138" s="774"/>
      <c r="WBT138" s="774"/>
      <c r="WBU138" s="774"/>
      <c r="WBV138" s="774"/>
      <c r="WBW138" s="774"/>
      <c r="WBX138" s="774"/>
      <c r="WBY138" s="774"/>
      <c r="WBZ138" s="774"/>
      <c r="WCA138" s="774"/>
      <c r="WCB138" s="774"/>
      <c r="WCC138" s="774"/>
      <c r="WCD138" s="774"/>
      <c r="WCE138" s="774"/>
      <c r="WCF138" s="774"/>
      <c r="WCG138" s="774"/>
      <c r="WCH138" s="774"/>
      <c r="WCI138" s="774"/>
      <c r="WCJ138" s="774"/>
      <c r="WCK138" s="774"/>
      <c r="WCL138" s="774"/>
      <c r="WCM138" s="774"/>
      <c r="WCN138" s="774"/>
      <c r="WCO138" s="774"/>
      <c r="WCP138" s="774"/>
      <c r="WCQ138" s="774"/>
      <c r="WCR138" s="774"/>
      <c r="WCS138" s="774"/>
      <c r="WCT138" s="774"/>
      <c r="WCU138" s="774"/>
      <c r="WCV138" s="774"/>
      <c r="WCW138" s="774"/>
      <c r="WCX138" s="774"/>
      <c r="WCY138" s="774"/>
      <c r="WCZ138" s="774"/>
      <c r="WDA138" s="774"/>
      <c r="WDB138" s="774"/>
      <c r="WDC138" s="774"/>
      <c r="WDD138" s="774"/>
      <c r="WDE138" s="774"/>
      <c r="WDF138" s="774"/>
      <c r="WDG138" s="774"/>
      <c r="WDH138" s="774"/>
      <c r="WDI138" s="774"/>
      <c r="WDJ138" s="774"/>
      <c r="WDK138" s="774"/>
      <c r="WDL138" s="774"/>
      <c r="WDM138" s="774"/>
      <c r="WDN138" s="774"/>
      <c r="WDO138" s="774"/>
      <c r="WDP138" s="774"/>
      <c r="WDQ138" s="774"/>
      <c r="WDR138" s="774"/>
      <c r="WDS138" s="774"/>
      <c r="WDT138" s="774"/>
      <c r="WDU138" s="774"/>
      <c r="WDV138" s="774"/>
      <c r="WDW138" s="774"/>
      <c r="WDX138" s="774"/>
      <c r="WDY138" s="774"/>
      <c r="WDZ138" s="774"/>
      <c r="WEA138" s="774"/>
      <c r="WEB138" s="774"/>
      <c r="WEC138" s="774"/>
      <c r="WED138" s="774"/>
      <c r="WEE138" s="774"/>
      <c r="WEF138" s="774"/>
      <c r="WEG138" s="774"/>
      <c r="WEH138" s="774"/>
      <c r="WEI138" s="774"/>
      <c r="WEJ138" s="774"/>
      <c r="WEK138" s="774"/>
      <c r="WEL138" s="774"/>
      <c r="WEM138" s="774"/>
      <c r="WEN138" s="774"/>
      <c r="WEO138" s="774"/>
      <c r="WEP138" s="774"/>
      <c r="WEQ138" s="774"/>
      <c r="WER138" s="774"/>
      <c r="WES138" s="774"/>
      <c r="WET138" s="774"/>
      <c r="WEU138" s="774"/>
      <c r="WEV138" s="774"/>
      <c r="WEW138" s="774"/>
      <c r="WEX138" s="774"/>
      <c r="WEY138" s="774"/>
      <c r="WEZ138" s="774"/>
      <c r="WFA138" s="774"/>
      <c r="WFB138" s="774"/>
      <c r="WFC138" s="774"/>
      <c r="WFD138" s="774"/>
      <c r="WFE138" s="774"/>
      <c r="WFF138" s="774"/>
      <c r="WFG138" s="774"/>
      <c r="WFH138" s="774"/>
      <c r="WFI138" s="774"/>
      <c r="WFJ138" s="774"/>
      <c r="WFK138" s="774"/>
      <c r="WFL138" s="774"/>
      <c r="WFM138" s="774"/>
      <c r="WFN138" s="774"/>
      <c r="WFO138" s="774"/>
      <c r="WFP138" s="774"/>
      <c r="WFQ138" s="774"/>
      <c r="WFR138" s="774"/>
      <c r="WFS138" s="774"/>
      <c r="WFT138" s="774"/>
      <c r="WFU138" s="774"/>
      <c r="WFV138" s="774"/>
      <c r="WFW138" s="774"/>
      <c r="WFX138" s="774"/>
      <c r="WFY138" s="774"/>
      <c r="WFZ138" s="774"/>
      <c r="WGA138" s="774"/>
      <c r="WGB138" s="774"/>
      <c r="WGC138" s="774"/>
      <c r="WGD138" s="774"/>
      <c r="WGE138" s="774"/>
      <c r="WGF138" s="774"/>
      <c r="WGG138" s="774"/>
      <c r="WGH138" s="774"/>
      <c r="WGI138" s="774"/>
      <c r="WGJ138" s="774"/>
      <c r="WGK138" s="774"/>
      <c r="WGL138" s="774"/>
      <c r="WGM138" s="774"/>
      <c r="WGN138" s="774"/>
      <c r="WGO138" s="774"/>
      <c r="WGP138" s="774"/>
      <c r="WGQ138" s="774"/>
      <c r="WGR138" s="774"/>
      <c r="WGS138" s="774"/>
      <c r="WGT138" s="774"/>
      <c r="WGU138" s="774"/>
      <c r="WGV138" s="774"/>
      <c r="WGW138" s="774"/>
      <c r="WGX138" s="774"/>
      <c r="WGY138" s="774"/>
      <c r="WGZ138" s="774"/>
      <c r="WHA138" s="774"/>
      <c r="WHB138" s="774"/>
      <c r="WHC138" s="774"/>
      <c r="WHD138" s="774"/>
      <c r="WHE138" s="774"/>
      <c r="WHF138" s="774"/>
      <c r="WHG138" s="774"/>
      <c r="WHH138" s="774"/>
      <c r="WHI138" s="774"/>
      <c r="WHJ138" s="774"/>
      <c r="WHK138" s="774"/>
      <c r="WHL138" s="774"/>
      <c r="WHM138" s="774"/>
      <c r="WHN138" s="774"/>
      <c r="WHO138" s="774"/>
      <c r="WHP138" s="774"/>
      <c r="WHQ138" s="774"/>
      <c r="WHR138" s="774"/>
      <c r="WHS138" s="774"/>
      <c r="WHT138" s="774"/>
      <c r="WHU138" s="774"/>
      <c r="WHV138" s="774"/>
      <c r="WHW138" s="774"/>
      <c r="WHX138" s="774"/>
      <c r="WHY138" s="774"/>
      <c r="WHZ138" s="774"/>
      <c r="WIA138" s="774"/>
      <c r="WIB138" s="774"/>
      <c r="WIC138" s="774"/>
      <c r="WID138" s="774"/>
      <c r="WIE138" s="774"/>
      <c r="WIF138" s="774"/>
      <c r="WIG138" s="774"/>
      <c r="WIH138" s="774"/>
      <c r="WII138" s="774"/>
      <c r="WIJ138" s="774"/>
      <c r="WIK138" s="774"/>
      <c r="WIL138" s="774"/>
      <c r="WIM138" s="774"/>
      <c r="WIN138" s="774"/>
      <c r="WIO138" s="774"/>
      <c r="WIP138" s="774"/>
      <c r="WIQ138" s="774"/>
      <c r="WIR138" s="774"/>
      <c r="WIS138" s="774"/>
      <c r="WIT138" s="774"/>
      <c r="WIU138" s="774"/>
      <c r="WIV138" s="774"/>
      <c r="WIW138" s="774"/>
      <c r="WIX138" s="774"/>
      <c r="WIY138" s="774"/>
      <c r="WIZ138" s="774"/>
      <c r="WJA138" s="774"/>
      <c r="WJB138" s="774"/>
      <c r="WJC138" s="774"/>
      <c r="WJD138" s="774"/>
      <c r="WJE138" s="774"/>
      <c r="WJF138" s="774"/>
      <c r="WJG138" s="774"/>
      <c r="WJH138" s="774"/>
      <c r="WJI138" s="774"/>
      <c r="WJJ138" s="774"/>
      <c r="WJK138" s="774"/>
      <c r="WJL138" s="774"/>
      <c r="WJM138" s="774"/>
      <c r="WJN138" s="774"/>
      <c r="WJO138" s="774"/>
      <c r="WJP138" s="774"/>
      <c r="WJQ138" s="774"/>
      <c r="WJR138" s="774"/>
      <c r="WJS138" s="774"/>
      <c r="WJT138" s="774"/>
      <c r="WJU138" s="774"/>
      <c r="WJV138" s="774"/>
      <c r="WJW138" s="774"/>
      <c r="WJX138" s="774"/>
      <c r="WJY138" s="774"/>
      <c r="WJZ138" s="774"/>
      <c r="WKA138" s="774"/>
      <c r="WKB138" s="774"/>
      <c r="WKC138" s="774"/>
      <c r="WKD138" s="774"/>
      <c r="WKE138" s="774"/>
      <c r="WKF138" s="774"/>
      <c r="WKG138" s="774"/>
      <c r="WKH138" s="774"/>
      <c r="WKI138" s="774"/>
      <c r="WKJ138" s="774"/>
      <c r="WKK138" s="774"/>
      <c r="WKL138" s="774"/>
      <c r="WKM138" s="774"/>
      <c r="WKN138" s="774"/>
      <c r="WKO138" s="774"/>
      <c r="WKP138" s="774"/>
      <c r="WKQ138" s="774"/>
      <c r="WKR138" s="774"/>
      <c r="WKS138" s="774"/>
      <c r="WKT138" s="774"/>
      <c r="WKU138" s="774"/>
      <c r="WKV138" s="774"/>
      <c r="WKW138" s="774"/>
      <c r="WKX138" s="774"/>
      <c r="WKY138" s="774"/>
      <c r="WKZ138" s="774"/>
      <c r="WLA138" s="774"/>
      <c r="WLB138" s="774"/>
      <c r="WLC138" s="774"/>
      <c r="WLD138" s="774"/>
      <c r="WLE138" s="774"/>
      <c r="WLF138" s="774"/>
      <c r="WLG138" s="774"/>
      <c r="WLH138" s="774"/>
      <c r="WLI138" s="774"/>
      <c r="WLJ138" s="774"/>
      <c r="WLK138" s="774"/>
      <c r="WLL138" s="774"/>
      <c r="WLM138" s="774"/>
      <c r="WLN138" s="774"/>
      <c r="WLO138" s="774"/>
      <c r="WLP138" s="774"/>
      <c r="WLQ138" s="774"/>
      <c r="WLR138" s="774"/>
      <c r="WLS138" s="774"/>
      <c r="WLT138" s="774"/>
      <c r="WLU138" s="774"/>
      <c r="WLV138" s="774"/>
      <c r="WLW138" s="774"/>
      <c r="WLX138" s="774"/>
      <c r="WLY138" s="774"/>
      <c r="WLZ138" s="774"/>
      <c r="WMA138" s="774"/>
      <c r="WMB138" s="774"/>
      <c r="WMC138" s="774"/>
      <c r="WMD138" s="774"/>
      <c r="WME138" s="774"/>
      <c r="WMF138" s="774"/>
      <c r="WMG138" s="774"/>
      <c r="WMH138" s="774"/>
      <c r="WMI138" s="774"/>
      <c r="WMJ138" s="774"/>
      <c r="WMK138" s="774"/>
      <c r="WML138" s="774"/>
      <c r="WMM138" s="774"/>
      <c r="WMN138" s="774"/>
      <c r="WMO138" s="774"/>
      <c r="WMP138" s="774"/>
      <c r="WMQ138" s="774"/>
      <c r="WMR138" s="774"/>
      <c r="WMS138" s="774"/>
      <c r="WMT138" s="774"/>
      <c r="WMU138" s="774"/>
      <c r="WMV138" s="774"/>
      <c r="WMW138" s="774"/>
      <c r="WMX138" s="774"/>
      <c r="WMY138" s="774"/>
      <c r="WMZ138" s="774"/>
      <c r="WNA138" s="774"/>
      <c r="WNB138" s="774"/>
      <c r="WNC138" s="774"/>
      <c r="WND138" s="774"/>
      <c r="WNE138" s="774"/>
      <c r="WNF138" s="774"/>
      <c r="WNG138" s="774"/>
      <c r="WNH138" s="774"/>
      <c r="WNI138" s="774"/>
      <c r="WNJ138" s="774"/>
      <c r="WNK138" s="774"/>
      <c r="WNL138" s="774"/>
      <c r="WNM138" s="774"/>
      <c r="WNN138" s="774"/>
      <c r="WNO138" s="774"/>
      <c r="WNP138" s="774"/>
      <c r="WNQ138" s="774"/>
      <c r="WNR138" s="774"/>
      <c r="WNS138" s="774"/>
      <c r="WNT138" s="774"/>
      <c r="WNU138" s="774"/>
      <c r="WNV138" s="774"/>
      <c r="WNW138" s="774"/>
      <c r="WNX138" s="774"/>
      <c r="WNY138" s="774"/>
      <c r="WNZ138" s="774"/>
      <c r="WOA138" s="774"/>
      <c r="WOB138" s="774"/>
      <c r="WOC138" s="774"/>
      <c r="WOD138" s="774"/>
      <c r="WOE138" s="774"/>
      <c r="WOF138" s="774"/>
      <c r="WOG138" s="774"/>
      <c r="WOH138" s="774"/>
      <c r="WOI138" s="774"/>
      <c r="WOJ138" s="774"/>
      <c r="WOK138" s="774"/>
      <c r="WOL138" s="774"/>
      <c r="WOM138" s="774"/>
      <c r="WON138" s="774"/>
      <c r="WOO138" s="774"/>
      <c r="WOP138" s="774"/>
      <c r="WOQ138" s="774"/>
      <c r="WOR138" s="774"/>
      <c r="WOS138" s="774"/>
      <c r="WOT138" s="774"/>
      <c r="WOU138" s="774"/>
      <c r="WOV138" s="774"/>
      <c r="WOW138" s="774"/>
      <c r="WOX138" s="774"/>
      <c r="WOY138" s="774"/>
      <c r="WOZ138" s="774"/>
      <c r="WPA138" s="774"/>
      <c r="WPB138" s="774"/>
      <c r="WPC138" s="774"/>
      <c r="WPD138" s="774"/>
      <c r="WPE138" s="774"/>
      <c r="WPF138" s="774"/>
      <c r="WPG138" s="774"/>
      <c r="WPH138" s="774"/>
      <c r="WPI138" s="774"/>
      <c r="WPJ138" s="774"/>
      <c r="WPK138" s="774"/>
      <c r="WPL138" s="774"/>
      <c r="WPM138" s="774"/>
      <c r="WPN138" s="774"/>
      <c r="WPO138" s="774"/>
      <c r="WPP138" s="774"/>
      <c r="WPQ138" s="774"/>
      <c r="WPR138" s="774"/>
      <c r="WPS138" s="774"/>
      <c r="WPT138" s="774"/>
      <c r="WPU138" s="774"/>
      <c r="WPV138" s="774"/>
      <c r="WPW138" s="774"/>
      <c r="WPX138" s="774"/>
      <c r="WPY138" s="774"/>
      <c r="WPZ138" s="774"/>
      <c r="WQA138" s="774"/>
      <c r="WQB138" s="774"/>
      <c r="WQC138" s="774"/>
      <c r="WQD138" s="774"/>
      <c r="WQE138" s="774"/>
      <c r="WQF138" s="774"/>
      <c r="WQG138" s="774"/>
      <c r="WQH138" s="774"/>
      <c r="WQI138" s="774"/>
      <c r="WQJ138" s="774"/>
      <c r="WQK138" s="774"/>
      <c r="WQL138" s="774"/>
      <c r="WQM138" s="774"/>
      <c r="WQN138" s="774"/>
      <c r="WQO138" s="774"/>
      <c r="WQP138" s="774"/>
      <c r="WQQ138" s="774"/>
      <c r="WQR138" s="774"/>
      <c r="WQS138" s="774"/>
      <c r="WQT138" s="774"/>
      <c r="WQU138" s="774"/>
      <c r="WQV138" s="774"/>
      <c r="WQW138" s="774"/>
      <c r="WQX138" s="774"/>
      <c r="WQY138" s="774"/>
      <c r="WQZ138" s="774"/>
      <c r="WRA138" s="774"/>
      <c r="WRB138" s="774"/>
      <c r="WRC138" s="774"/>
      <c r="WRD138" s="774"/>
      <c r="WRE138" s="774"/>
      <c r="WRF138" s="774"/>
      <c r="WRG138" s="774"/>
      <c r="WRH138" s="774"/>
      <c r="WRI138" s="774"/>
      <c r="WRJ138" s="774"/>
      <c r="WRK138" s="774"/>
      <c r="WRL138" s="774"/>
      <c r="WRM138" s="774"/>
      <c r="WRN138" s="774"/>
      <c r="WRO138" s="774"/>
      <c r="WRP138" s="774"/>
      <c r="WRQ138" s="774"/>
      <c r="WRR138" s="774"/>
      <c r="WRS138" s="774"/>
      <c r="WRT138" s="774"/>
      <c r="WRU138" s="774"/>
      <c r="WRV138" s="774"/>
      <c r="WRW138" s="774"/>
      <c r="WRX138" s="774"/>
      <c r="WRY138" s="774"/>
      <c r="WRZ138" s="774"/>
      <c r="WSA138" s="774"/>
      <c r="WSB138" s="774"/>
      <c r="WSC138" s="774"/>
      <c r="WSD138" s="774"/>
      <c r="WSE138" s="774"/>
      <c r="WSF138" s="774"/>
      <c r="WSG138" s="774"/>
      <c r="WSH138" s="774"/>
      <c r="WSI138" s="774"/>
      <c r="WSJ138" s="774"/>
      <c r="WSK138" s="774"/>
      <c r="WSL138" s="774"/>
      <c r="WSM138" s="774"/>
      <c r="WSN138" s="774"/>
      <c r="WSO138" s="774"/>
      <c r="WSP138" s="774"/>
      <c r="WSQ138" s="774"/>
      <c r="WSR138" s="774"/>
      <c r="WSS138" s="774"/>
      <c r="WST138" s="774"/>
      <c r="WSU138" s="774"/>
      <c r="WSV138" s="774"/>
      <c r="WSW138" s="774"/>
      <c r="WSX138" s="774"/>
      <c r="WSY138" s="774"/>
      <c r="WSZ138" s="774"/>
      <c r="WTA138" s="774"/>
      <c r="WTB138" s="774"/>
      <c r="WTC138" s="774"/>
      <c r="WTD138" s="774"/>
      <c r="WTE138" s="774"/>
      <c r="WTF138" s="774"/>
      <c r="WTG138" s="774"/>
      <c r="WTH138" s="774"/>
      <c r="WTI138" s="774"/>
      <c r="WTJ138" s="774"/>
      <c r="WTK138" s="774"/>
      <c r="WTL138" s="774"/>
      <c r="WTM138" s="774"/>
      <c r="WTN138" s="774"/>
      <c r="WTO138" s="774"/>
      <c r="WTP138" s="774"/>
      <c r="WTQ138" s="774"/>
      <c r="WTR138" s="774"/>
      <c r="WTS138" s="774"/>
      <c r="WTT138" s="774"/>
      <c r="WTU138" s="774"/>
      <c r="WTV138" s="774"/>
      <c r="WTW138" s="774"/>
      <c r="WTX138" s="774"/>
      <c r="WTY138" s="774"/>
      <c r="WTZ138" s="774"/>
      <c r="WUA138" s="774"/>
      <c r="WUB138" s="774"/>
      <c r="WUC138" s="774"/>
      <c r="WUD138" s="774"/>
      <c r="WUE138" s="774"/>
      <c r="WUF138" s="774"/>
      <c r="WUG138" s="774"/>
      <c r="WUH138" s="774"/>
      <c r="WUI138" s="774"/>
      <c r="WUJ138" s="774"/>
      <c r="WUK138" s="774"/>
      <c r="WUL138" s="774"/>
      <c r="WUM138" s="774"/>
      <c r="WUN138" s="774"/>
      <c r="WUO138" s="774"/>
      <c r="WUP138" s="774"/>
      <c r="WUQ138" s="774"/>
      <c r="WUR138" s="774"/>
      <c r="WUS138" s="774"/>
      <c r="WUT138" s="774"/>
      <c r="WUU138" s="774"/>
      <c r="WUV138" s="774"/>
      <c r="WUW138" s="774"/>
      <c r="WUX138" s="774"/>
      <c r="WUY138" s="774"/>
      <c r="WUZ138" s="774"/>
      <c r="WVA138" s="774"/>
      <c r="WVB138" s="774"/>
      <c r="WVC138" s="774"/>
      <c r="WVD138" s="774"/>
      <c r="WVE138" s="774"/>
      <c r="WVF138" s="774"/>
      <c r="WVG138" s="774"/>
      <c r="WVH138" s="774"/>
      <c r="WVI138" s="774"/>
      <c r="WVJ138" s="774"/>
      <c r="WVK138" s="774"/>
      <c r="WVL138" s="774"/>
      <c r="WVM138" s="774"/>
      <c r="WVN138" s="774"/>
      <c r="WVO138" s="774"/>
      <c r="WVP138" s="774"/>
      <c r="WVQ138" s="774"/>
      <c r="WVR138" s="774"/>
      <c r="WVS138" s="774"/>
      <c r="WVT138" s="774"/>
      <c r="WVU138" s="774"/>
      <c r="WVV138" s="774"/>
      <c r="WVW138" s="774"/>
      <c r="WVX138" s="774"/>
      <c r="WVY138" s="774"/>
      <c r="WVZ138" s="774"/>
      <c r="WWA138" s="774"/>
      <c r="WWB138" s="774"/>
      <c r="WWC138" s="774"/>
      <c r="WWD138" s="774"/>
      <c r="WWE138" s="774"/>
      <c r="WWF138" s="774"/>
      <c r="WWG138" s="774"/>
      <c r="WWH138" s="774"/>
      <c r="WWI138" s="774"/>
      <c r="WWJ138" s="774"/>
      <c r="WWK138" s="774"/>
      <c r="WWL138" s="774"/>
      <c r="WWM138" s="774"/>
      <c r="WWN138" s="774"/>
      <c r="WWO138" s="774"/>
      <c r="WWP138" s="774"/>
      <c r="WWQ138" s="774"/>
      <c r="WWR138" s="774"/>
      <c r="WWS138" s="774"/>
      <c r="WWT138" s="774"/>
      <c r="WWU138" s="774"/>
      <c r="WWV138" s="774"/>
      <c r="WWW138" s="774"/>
      <c r="WWX138" s="774"/>
      <c r="WWY138" s="774"/>
      <c r="WWZ138" s="774"/>
      <c r="WXA138" s="774"/>
      <c r="WXB138" s="774"/>
      <c r="WXC138" s="774"/>
      <c r="WXD138" s="774"/>
      <c r="WXE138" s="774"/>
      <c r="WXF138" s="774"/>
      <c r="WXG138" s="774"/>
      <c r="WXH138" s="774"/>
      <c r="WXI138" s="774"/>
      <c r="WXJ138" s="774"/>
      <c r="WXK138" s="774"/>
      <c r="WXL138" s="774"/>
      <c r="WXM138" s="774"/>
      <c r="WXN138" s="774"/>
      <c r="WXO138" s="774"/>
      <c r="WXP138" s="774"/>
      <c r="WXQ138" s="774"/>
      <c r="WXR138" s="774"/>
      <c r="WXS138" s="774"/>
      <c r="WXT138" s="774"/>
      <c r="WXU138" s="774"/>
      <c r="WXV138" s="774"/>
      <c r="WXW138" s="774"/>
      <c r="WXX138" s="774"/>
      <c r="WXY138" s="774"/>
      <c r="WXZ138" s="774"/>
      <c r="WYA138" s="774"/>
      <c r="WYB138" s="774"/>
      <c r="WYC138" s="774"/>
      <c r="WYD138" s="774"/>
      <c r="WYE138" s="774"/>
      <c r="WYF138" s="774"/>
      <c r="WYG138" s="774"/>
      <c r="WYH138" s="774"/>
      <c r="WYI138" s="774"/>
      <c r="WYJ138" s="774"/>
      <c r="WYK138" s="774"/>
      <c r="WYL138" s="774"/>
      <c r="WYM138" s="774"/>
      <c r="WYN138" s="774"/>
      <c r="WYO138" s="774"/>
      <c r="WYP138" s="774"/>
      <c r="WYQ138" s="774"/>
      <c r="WYR138" s="774"/>
      <c r="WYS138" s="774"/>
      <c r="WYT138" s="774"/>
      <c r="WYU138" s="774"/>
      <c r="WYV138" s="774"/>
      <c r="WYW138" s="774"/>
      <c r="WYX138" s="774"/>
      <c r="WYY138" s="774"/>
      <c r="WYZ138" s="774"/>
      <c r="WZA138" s="774"/>
      <c r="WZB138" s="774"/>
      <c r="WZC138" s="774"/>
      <c r="WZD138" s="774"/>
      <c r="WZE138" s="774"/>
      <c r="WZF138" s="774"/>
      <c r="WZG138" s="774"/>
      <c r="WZH138" s="774"/>
      <c r="WZI138" s="774"/>
      <c r="WZJ138" s="774"/>
      <c r="WZK138" s="774"/>
      <c r="WZL138" s="774"/>
      <c r="WZM138" s="774"/>
      <c r="WZN138" s="774"/>
      <c r="WZO138" s="774"/>
      <c r="WZP138" s="774"/>
      <c r="WZQ138" s="774"/>
      <c r="WZR138" s="774"/>
      <c r="WZS138" s="774"/>
      <c r="WZT138" s="774"/>
      <c r="WZU138" s="774"/>
      <c r="WZV138" s="774"/>
      <c r="WZW138" s="774"/>
      <c r="WZX138" s="774"/>
      <c r="WZY138" s="774"/>
      <c r="WZZ138" s="774"/>
      <c r="XAA138" s="774"/>
      <c r="XAB138" s="774"/>
      <c r="XAC138" s="774"/>
      <c r="XAD138" s="774"/>
      <c r="XAE138" s="774"/>
      <c r="XAF138" s="774"/>
      <c r="XAG138" s="774"/>
      <c r="XAH138" s="774"/>
      <c r="XAI138" s="774"/>
      <c r="XAJ138" s="774"/>
      <c r="XAK138" s="774"/>
      <c r="XAL138" s="774"/>
      <c r="XAM138" s="774"/>
      <c r="XAN138" s="774"/>
      <c r="XAO138" s="774"/>
      <c r="XAP138" s="774"/>
      <c r="XAQ138" s="774"/>
      <c r="XAR138" s="774"/>
      <c r="XAS138" s="774"/>
      <c r="XAT138" s="774"/>
      <c r="XAU138" s="774"/>
      <c r="XAV138" s="774"/>
      <c r="XAW138" s="774"/>
      <c r="XAX138" s="774"/>
      <c r="XAY138" s="774"/>
      <c r="XAZ138" s="774"/>
      <c r="XBA138" s="774"/>
      <c r="XBB138" s="774"/>
      <c r="XBC138" s="774"/>
      <c r="XBD138" s="774"/>
      <c r="XBE138" s="774"/>
      <c r="XBF138" s="774"/>
      <c r="XBG138" s="774"/>
      <c r="XBH138" s="774"/>
      <c r="XBI138" s="774"/>
      <c r="XBJ138" s="774"/>
      <c r="XBK138" s="774"/>
      <c r="XBL138" s="774"/>
      <c r="XBM138" s="774"/>
      <c r="XBN138" s="774"/>
      <c r="XBO138" s="774"/>
      <c r="XBP138" s="774"/>
      <c r="XBQ138" s="774"/>
      <c r="XBR138" s="774"/>
      <c r="XBS138" s="774"/>
      <c r="XBT138" s="774"/>
      <c r="XBU138" s="774"/>
      <c r="XBV138" s="774"/>
      <c r="XBW138" s="774"/>
      <c r="XBX138" s="774"/>
      <c r="XBY138" s="774"/>
      <c r="XBZ138" s="774"/>
      <c r="XCA138" s="774"/>
      <c r="XCB138" s="774"/>
      <c r="XCC138" s="774"/>
      <c r="XCD138" s="774"/>
      <c r="XCE138" s="774"/>
      <c r="XCF138" s="774"/>
      <c r="XCG138" s="774"/>
      <c r="XCH138" s="774"/>
      <c r="XCI138" s="774"/>
      <c r="XCJ138" s="774"/>
      <c r="XCK138" s="774"/>
      <c r="XCL138" s="774"/>
      <c r="XCM138" s="774"/>
      <c r="XCN138" s="774"/>
      <c r="XCO138" s="774"/>
      <c r="XCP138" s="774"/>
      <c r="XCQ138" s="774"/>
      <c r="XCR138" s="774"/>
      <c r="XCS138" s="774"/>
      <c r="XCT138" s="774"/>
      <c r="XCU138" s="774"/>
      <c r="XCV138" s="774"/>
      <c r="XCW138" s="774"/>
      <c r="XCX138" s="774"/>
      <c r="XCY138" s="774"/>
      <c r="XCZ138" s="774"/>
      <c r="XDA138" s="774"/>
      <c r="XDB138" s="774"/>
      <c r="XDC138" s="774"/>
      <c r="XDD138" s="774"/>
      <c r="XDE138" s="774"/>
      <c r="XDF138" s="774"/>
      <c r="XDG138" s="774"/>
      <c r="XDH138" s="774"/>
      <c r="XDI138" s="774"/>
      <c r="XDJ138" s="774"/>
      <c r="XDK138" s="774"/>
      <c r="XDL138" s="774"/>
      <c r="XDM138" s="774"/>
      <c r="XDN138" s="774"/>
      <c r="XDO138" s="774"/>
      <c r="XDP138" s="774"/>
      <c r="XDQ138" s="774"/>
      <c r="XDR138" s="774"/>
      <c r="XDS138" s="774"/>
      <c r="XDT138" s="774"/>
      <c r="XDU138" s="774"/>
      <c r="XDV138" s="774"/>
      <c r="XDW138" s="774"/>
      <c r="XDX138" s="774"/>
      <c r="XDY138" s="774"/>
      <c r="XDZ138" s="774"/>
      <c r="XEA138" s="774"/>
      <c r="XEB138" s="774"/>
      <c r="XEC138" s="774"/>
      <c r="XED138" s="774"/>
      <c r="XEE138" s="774"/>
      <c r="XEF138" s="774"/>
      <c r="XEG138" s="774"/>
      <c r="XEH138" s="774"/>
      <c r="XEI138" s="774"/>
      <c r="XEJ138" s="774"/>
      <c r="XEK138" s="774"/>
      <c r="XEL138" s="774"/>
      <c r="XEM138" s="774"/>
      <c r="XEN138" s="774"/>
      <c r="XEO138" s="774"/>
      <c r="XEP138" s="774"/>
      <c r="XEQ138" s="774"/>
      <c r="XER138" s="774"/>
      <c r="XES138" s="774"/>
      <c r="XET138" s="774"/>
      <c r="XEU138" s="774"/>
      <c r="XEV138" s="774"/>
      <c r="XEW138" s="774"/>
      <c r="XEX138" s="774"/>
      <c r="XEY138" s="774"/>
      <c r="XEZ138" s="774"/>
      <c r="XFA138" s="774"/>
      <c r="XFB138" s="774"/>
      <c r="XFC138" s="774"/>
      <c r="XFD138" s="774"/>
    </row>
    <row r="139" spans="1:16384" s="740" customFormat="1" ht="12" customHeight="1">
      <c r="A139" s="756" t="s">
        <v>1981</v>
      </c>
      <c r="B139" s="756" t="s">
        <v>1982</v>
      </c>
      <c r="C139" s="757"/>
      <c r="D139" s="757"/>
      <c r="E139" s="757"/>
      <c r="F139" s="757"/>
      <c r="G139" s="743">
        <v>-22.1</v>
      </c>
      <c r="H139" s="757"/>
      <c r="I139" s="743">
        <v>140</v>
      </c>
      <c r="J139" s="757"/>
      <c r="K139" s="743">
        <f t="shared" si="31"/>
        <v>117.9</v>
      </c>
      <c r="L139" s="757"/>
      <c r="M139" s="775"/>
      <c r="N139" s="757"/>
      <c r="O139" s="759"/>
      <c r="P139" s="757"/>
      <c r="Q139" s="759"/>
      <c r="R139" s="757"/>
      <c r="S139" s="840">
        <f t="shared" si="32"/>
        <v>0</v>
      </c>
      <c r="T139" s="840"/>
      <c r="U139" s="840"/>
      <c r="V139" s="841"/>
      <c r="W139" s="987">
        <f t="shared" si="33"/>
        <v>0</v>
      </c>
      <c r="X139" s="841"/>
      <c r="Y139" s="858">
        <f t="shared" si="34"/>
        <v>0</v>
      </c>
      <c r="Z139" s="858">
        <f t="shared" ref="Z139" si="36">+Y139*Q139</f>
        <v>0</v>
      </c>
    </row>
    <row r="140" spans="1:16384" s="740" customFormat="1" ht="12" customHeight="1" thickBot="1">
      <c r="A140" s="761"/>
      <c r="B140" s="761"/>
      <c r="C140" s="757"/>
      <c r="D140" s="757"/>
      <c r="E140" s="757"/>
      <c r="F140" s="757"/>
      <c r="G140" s="743"/>
      <c r="H140" s="757"/>
      <c r="I140" s="743"/>
      <c r="J140" s="757"/>
      <c r="K140" s="743"/>
      <c r="L140" s="757"/>
      <c r="M140" s="744"/>
      <c r="N140" s="757"/>
      <c r="P140" s="757"/>
      <c r="R140" s="757"/>
      <c r="S140" s="840"/>
      <c r="T140" s="840"/>
      <c r="U140" s="840"/>
      <c r="V140" s="841"/>
      <c r="W140" s="987"/>
      <c r="X140" s="841"/>
      <c r="Y140" s="858"/>
    </row>
    <row r="141" spans="1:16384" s="740" customFormat="1" ht="12" customHeight="1" thickBot="1">
      <c r="A141" s="778"/>
      <c r="B141" s="779" t="s">
        <v>1983</v>
      </c>
      <c r="C141" s="757"/>
      <c r="D141" s="757"/>
      <c r="E141" s="757"/>
      <c r="F141" s="757"/>
      <c r="G141" s="764">
        <f>SUM(G54:G140)</f>
        <v>2867448.45</v>
      </c>
      <c r="H141" s="757"/>
      <c r="I141" s="764">
        <f>SUM(I54:I140)</f>
        <v>2104326.8600000003</v>
      </c>
      <c r="J141" s="757"/>
      <c r="K141" s="764">
        <f>SUM(K54:K140)</f>
        <v>4971775.3099999996</v>
      </c>
      <c r="L141" s="757"/>
      <c r="M141" s="744"/>
      <c r="N141" s="757"/>
      <c r="P141" s="757"/>
      <c r="Q141" s="766">
        <f>SUM(Q54:Q93)</f>
        <v>8371.7104289380623</v>
      </c>
      <c r="R141" s="757"/>
      <c r="S141" s="840"/>
      <c r="T141" s="840"/>
      <c r="U141" s="840"/>
      <c r="V141" s="841"/>
      <c r="W141" s="1243">
        <f>+SUM(W53:W140)</f>
        <v>445532.38246691506</v>
      </c>
      <c r="X141" s="841"/>
      <c r="Y141" s="1243">
        <f>+SUM(Y53:Y140)</f>
        <v>6301.6946634764518</v>
      </c>
      <c r="Z141" s="1243">
        <f>+SUM(Z53:Z140)</f>
        <v>5417189.7924669161</v>
      </c>
      <c r="AA141" s="858"/>
    </row>
    <row r="142" spans="1:16384" s="740" customFormat="1" ht="12" customHeight="1">
      <c r="A142" s="778"/>
      <c r="B142" s="778"/>
      <c r="C142" s="757"/>
      <c r="D142" s="757"/>
      <c r="E142" s="757"/>
      <c r="F142" s="757"/>
      <c r="G142" s="743"/>
      <c r="H142" s="757"/>
      <c r="I142" s="743"/>
      <c r="J142" s="757"/>
      <c r="K142" s="743"/>
      <c r="L142" s="757"/>
      <c r="M142" s="744"/>
      <c r="N142" s="757"/>
      <c r="P142" s="757"/>
      <c r="R142" s="757"/>
      <c r="S142" s="840"/>
      <c r="T142" s="840"/>
      <c r="U142" s="840"/>
      <c r="V142" s="841"/>
      <c r="W142" s="1254">
        <f>W141/K141</f>
        <v>8.961233255468963E-2</v>
      </c>
      <c r="X142" s="841"/>
      <c r="Y142" s="858"/>
    </row>
    <row r="143" spans="1:16384" ht="12" customHeight="1">
      <c r="A143" s="750" t="s">
        <v>1984</v>
      </c>
      <c r="B143" s="750" t="s">
        <v>1984</v>
      </c>
      <c r="C143" s="761"/>
      <c r="D143" s="761"/>
      <c r="E143" s="757"/>
      <c r="F143" s="761"/>
      <c r="H143" s="761"/>
      <c r="J143" s="761"/>
      <c r="L143" s="761"/>
      <c r="N143" s="761"/>
      <c r="P143" s="761"/>
      <c r="R143" s="761"/>
      <c r="S143" s="844"/>
      <c r="T143" s="844"/>
      <c r="U143" s="844"/>
      <c r="V143" s="842"/>
      <c r="W143" s="1245"/>
      <c r="X143" s="842"/>
    </row>
    <row r="144" spans="1:16384" ht="12" customHeight="1">
      <c r="A144" s="767"/>
      <c r="B144" s="767"/>
      <c r="C144" s="761"/>
      <c r="D144" s="761"/>
      <c r="E144" s="757"/>
      <c r="F144" s="761"/>
      <c r="H144" s="761"/>
      <c r="J144" s="761"/>
      <c r="L144" s="761"/>
      <c r="N144" s="761"/>
      <c r="P144" s="761"/>
      <c r="R144" s="761"/>
      <c r="S144" s="844"/>
      <c r="T144" s="844"/>
      <c r="U144" s="844"/>
      <c r="V144" s="842"/>
      <c r="W144" s="987"/>
      <c r="X144" s="842"/>
    </row>
    <row r="145" spans="1:26" ht="12" customHeight="1">
      <c r="A145" s="769" t="s">
        <v>1985</v>
      </c>
      <c r="B145" s="769" t="s">
        <v>1985</v>
      </c>
      <c r="C145" s="761"/>
      <c r="D145" s="761"/>
      <c r="E145" s="757"/>
      <c r="F145" s="761"/>
      <c r="H145" s="761"/>
      <c r="J145" s="761"/>
      <c r="L145" s="761"/>
      <c r="N145" s="761"/>
      <c r="P145" s="761"/>
      <c r="R145" s="761"/>
      <c r="S145" s="844"/>
      <c r="T145" s="844"/>
      <c r="U145" s="844"/>
      <c r="V145" s="842"/>
      <c r="W145" s="987"/>
      <c r="X145" s="842"/>
    </row>
    <row r="146" spans="1:26" ht="12" customHeight="1">
      <c r="A146" s="756" t="s">
        <v>1986</v>
      </c>
      <c r="B146" s="756" t="s">
        <v>1987</v>
      </c>
      <c r="C146" s="757">
        <v>80.78</v>
      </c>
      <c r="D146" s="761"/>
      <c r="E146" s="757">
        <f>+'Proposed Rates'!B297</f>
        <v>80.78</v>
      </c>
      <c r="F146" s="761"/>
      <c r="G146" s="743">
        <v>119590.12999999999</v>
      </c>
      <c r="H146" s="761"/>
      <c r="I146" s="743">
        <v>82065.919999999998</v>
      </c>
      <c r="J146" s="761"/>
      <c r="K146" s="743">
        <f t="shared" ref="K146:K172" si="37">+G146+I146</f>
        <v>201656.05</v>
      </c>
      <c r="L146" s="761"/>
      <c r="M146" s="775">
        <f t="shared" ref="M146:M166" si="38">(G146/7)/C146</f>
        <v>211.49175892193961</v>
      </c>
      <c r="N146" s="761"/>
      <c r="O146" s="759">
        <f t="shared" ref="O146:O166" si="39">(I146/5)/E146</f>
        <v>203.18375835602873</v>
      </c>
      <c r="P146" s="761"/>
      <c r="Q146" s="759">
        <f t="shared" ref="Q146:Q166" si="40">(M146+O146)/2</f>
        <v>207.33775863898416</v>
      </c>
      <c r="R146" s="761"/>
      <c r="S146" s="840">
        <f t="shared" ref="S146:S172" si="41">+$E146*S$5</f>
        <v>7.1527851152499595</v>
      </c>
      <c r="T146" s="847"/>
      <c r="U146" s="847"/>
      <c r="V146" s="842"/>
      <c r="W146" s="987">
        <f t="shared" ref="W146:W172" si="42">+Q146*SUM(S146:U146)*12</f>
        <v>17796.509205866576</v>
      </c>
      <c r="X146" s="842"/>
      <c r="Y146" s="858">
        <f t="shared" ref="Y146:Y172" si="43">+E146+SUM(S146:U146)</f>
        <v>87.932785115249956</v>
      </c>
      <c r="Z146" s="858">
        <f t="shared" ref="Z146:Z171" si="44">K146+W146</f>
        <v>219452.55920586656</v>
      </c>
    </row>
    <row r="147" spans="1:26" ht="12" customHeight="1">
      <c r="A147" s="756" t="s">
        <v>1988</v>
      </c>
      <c r="B147" s="756" t="s">
        <v>1989</v>
      </c>
      <c r="C147" s="757">
        <v>90.54</v>
      </c>
      <c r="D147" s="761"/>
      <c r="E147" s="757">
        <f>+'Proposed Rates'!B298</f>
        <v>90.54</v>
      </c>
      <c r="F147" s="761"/>
      <c r="G147" s="743">
        <v>301548.71999999997</v>
      </c>
      <c r="H147" s="761"/>
      <c r="I147" s="743">
        <v>208246.29000000004</v>
      </c>
      <c r="J147" s="761"/>
      <c r="K147" s="743">
        <f t="shared" si="37"/>
        <v>509795.01</v>
      </c>
      <c r="L147" s="761"/>
      <c r="M147" s="775">
        <f t="shared" si="38"/>
        <v>475.79399791725825</v>
      </c>
      <c r="N147" s="761"/>
      <c r="O147" s="759">
        <f t="shared" si="39"/>
        <v>460.00947647448646</v>
      </c>
      <c r="P147" s="761"/>
      <c r="Q147" s="759">
        <f t="shared" si="40"/>
        <v>467.90173719587233</v>
      </c>
      <c r="R147" s="761"/>
      <c r="S147" s="840">
        <f t="shared" si="41"/>
        <v>8.0169988157307674</v>
      </c>
      <c r="T147" s="848"/>
      <c r="U147" s="847"/>
      <c r="V147" s="842"/>
      <c r="W147" s="987">
        <f t="shared" si="42"/>
        <v>45014.012075732127</v>
      </c>
      <c r="X147" s="842"/>
      <c r="Y147" s="858">
        <f t="shared" si="43"/>
        <v>98.556998815730779</v>
      </c>
      <c r="Z147" s="858">
        <f t="shared" si="44"/>
        <v>554809.02207573212</v>
      </c>
    </row>
    <row r="148" spans="1:26" ht="12" customHeight="1">
      <c r="A148" s="756" t="s">
        <v>1990</v>
      </c>
      <c r="B148" s="756" t="s">
        <v>1991</v>
      </c>
      <c r="C148" s="757">
        <v>111.29</v>
      </c>
      <c r="D148" s="761"/>
      <c r="E148" s="757">
        <f>+'Proposed Rates'!B299</f>
        <v>111.29</v>
      </c>
      <c r="F148" s="761"/>
      <c r="G148" s="743">
        <v>180734.96</v>
      </c>
      <c r="H148" s="761"/>
      <c r="I148" s="743">
        <v>132179.84000000003</v>
      </c>
      <c r="J148" s="761"/>
      <c r="K148" s="743">
        <f t="shared" si="37"/>
        <v>312914.80000000005</v>
      </c>
      <c r="L148" s="761"/>
      <c r="M148" s="775">
        <f t="shared" si="38"/>
        <v>231.99999999999997</v>
      </c>
      <c r="N148" s="761"/>
      <c r="O148" s="759">
        <f t="shared" si="39"/>
        <v>237.54127055440742</v>
      </c>
      <c r="P148" s="761"/>
      <c r="Q148" s="759">
        <f t="shared" si="40"/>
        <v>234.7706352772037</v>
      </c>
      <c r="R148" s="761"/>
      <c r="S148" s="840">
        <f t="shared" si="41"/>
        <v>9.8543383941095328</v>
      </c>
      <c r="T148" s="848"/>
      <c r="U148" s="847"/>
      <c r="V148" s="842"/>
      <c r="W148" s="987">
        <f t="shared" si="42"/>
        <v>27762.111420259611</v>
      </c>
      <c r="X148" s="842"/>
      <c r="Y148" s="858">
        <f t="shared" si="43"/>
        <v>121.14433839410954</v>
      </c>
      <c r="Z148" s="858">
        <f t="shared" si="44"/>
        <v>340676.91142025968</v>
      </c>
    </row>
    <row r="149" spans="1:26" ht="12" customHeight="1">
      <c r="A149" s="756" t="s">
        <v>1992</v>
      </c>
      <c r="B149" s="756" t="s">
        <v>1993</v>
      </c>
      <c r="C149" s="757">
        <v>111.29</v>
      </c>
      <c r="D149" s="761"/>
      <c r="E149" s="757">
        <f>+'Proposed Rates'!B300</f>
        <v>111.29</v>
      </c>
      <c r="F149" s="761"/>
      <c r="G149" s="743">
        <v>8903.2000000000025</v>
      </c>
      <c r="H149" s="761"/>
      <c r="I149" s="743">
        <v>11462.869999999999</v>
      </c>
      <c r="J149" s="761"/>
      <c r="K149" s="743">
        <f t="shared" si="37"/>
        <v>20366.07</v>
      </c>
      <c r="L149" s="761"/>
      <c r="M149" s="775">
        <f t="shared" si="38"/>
        <v>11.428571428571431</v>
      </c>
      <c r="N149" s="761"/>
      <c r="O149" s="759">
        <f t="shared" si="39"/>
        <v>20.599999999999994</v>
      </c>
      <c r="P149" s="761"/>
      <c r="Q149" s="759">
        <f t="shared" si="40"/>
        <v>16.014285714285712</v>
      </c>
      <c r="R149" s="761"/>
      <c r="S149" s="840">
        <f t="shared" si="41"/>
        <v>9.8543383941095328</v>
      </c>
      <c r="T149" s="848"/>
      <c r="U149" s="847"/>
      <c r="V149" s="842"/>
      <c r="W149" s="987">
        <f t="shared" si="42"/>
        <v>1893.7222868223062</v>
      </c>
      <c r="X149" s="842"/>
      <c r="Y149" s="858">
        <f t="shared" si="43"/>
        <v>121.14433839410954</v>
      </c>
      <c r="Z149" s="858">
        <f t="shared" si="44"/>
        <v>22259.792286822307</v>
      </c>
    </row>
    <row r="150" spans="1:26" ht="12" customHeight="1">
      <c r="A150" s="756" t="s">
        <v>1994</v>
      </c>
      <c r="B150" s="756" t="s">
        <v>1995</v>
      </c>
      <c r="C150" s="757">
        <v>138.54</v>
      </c>
      <c r="D150" s="761"/>
      <c r="E150" s="757">
        <f>+'Proposed Rates'!B326</f>
        <v>138.54</v>
      </c>
      <c r="F150" s="761"/>
      <c r="G150" s="743">
        <v>18010.2</v>
      </c>
      <c r="H150" s="761"/>
      <c r="I150" s="743">
        <v>13022.76</v>
      </c>
      <c r="J150" s="761"/>
      <c r="K150" s="743">
        <f t="shared" si="37"/>
        <v>31032.959999999999</v>
      </c>
      <c r="L150" s="761"/>
      <c r="M150" s="775">
        <f t="shared" si="38"/>
        <v>18.571428571428573</v>
      </c>
      <c r="N150" s="761"/>
      <c r="O150" s="759">
        <f t="shared" si="39"/>
        <v>18.8</v>
      </c>
      <c r="P150" s="761"/>
      <c r="Q150" s="759">
        <f t="shared" si="40"/>
        <v>18.685714285714287</v>
      </c>
      <c r="R150" s="761"/>
      <c r="S150" s="840">
        <f t="shared" si="41"/>
        <v>12.2672301295708</v>
      </c>
      <c r="T150" s="848"/>
      <c r="U150" s="847"/>
      <c r="V150" s="842"/>
      <c r="W150" s="987">
        <f t="shared" si="42"/>
        <v>2750.6634873391899</v>
      </c>
      <c r="X150" s="842"/>
      <c r="Y150" s="858">
        <f t="shared" si="43"/>
        <v>150.8072301295708</v>
      </c>
      <c r="Z150" s="858">
        <f t="shared" si="44"/>
        <v>33783.623487339188</v>
      </c>
    </row>
    <row r="151" spans="1:26" ht="12" customHeight="1">
      <c r="A151" s="756" t="s">
        <v>1996</v>
      </c>
      <c r="B151" s="756" t="s">
        <v>1997</v>
      </c>
      <c r="C151" s="757">
        <v>144.19</v>
      </c>
      <c r="D151" s="761"/>
      <c r="E151" s="757">
        <f>+'Proposed Rates'!B327</f>
        <v>144.19</v>
      </c>
      <c r="F151" s="761"/>
      <c r="G151" s="743">
        <v>20186.599999999999</v>
      </c>
      <c r="H151" s="761"/>
      <c r="I151" s="743">
        <v>15716.71</v>
      </c>
      <c r="J151" s="761"/>
      <c r="K151" s="743">
        <f t="shared" si="37"/>
        <v>35903.31</v>
      </c>
      <c r="L151" s="761"/>
      <c r="M151" s="775">
        <f t="shared" si="38"/>
        <v>20</v>
      </c>
      <c r="N151" s="761"/>
      <c r="O151" s="759">
        <f t="shared" si="39"/>
        <v>21.799999999999997</v>
      </c>
      <c r="P151" s="761"/>
      <c r="Q151" s="759">
        <f t="shared" si="40"/>
        <v>20.9</v>
      </c>
      <c r="R151" s="761"/>
      <c r="S151" s="840">
        <f t="shared" si="41"/>
        <v>12.767517773804055</v>
      </c>
      <c r="T151" s="848"/>
      <c r="U151" s="847"/>
      <c r="V151" s="842"/>
      <c r="W151" s="987">
        <f t="shared" si="42"/>
        <v>3202.0934576700565</v>
      </c>
      <c r="X151" s="842"/>
      <c r="Y151" s="858">
        <f t="shared" si="43"/>
        <v>156.95751777380406</v>
      </c>
      <c r="Z151" s="858">
        <f t="shared" si="44"/>
        <v>39105.403457670051</v>
      </c>
    </row>
    <row r="152" spans="1:26" ht="12" customHeight="1">
      <c r="A152" s="756" t="s">
        <v>1998</v>
      </c>
      <c r="B152" s="756" t="s">
        <v>1999</v>
      </c>
      <c r="C152" s="757">
        <v>157.94</v>
      </c>
      <c r="D152" s="761"/>
      <c r="E152" s="757">
        <f>+'Proposed Rates'!B328</f>
        <v>157.94</v>
      </c>
      <c r="F152" s="761"/>
      <c r="G152" s="743">
        <v>21006.019999999997</v>
      </c>
      <c r="H152" s="761"/>
      <c r="I152" s="743">
        <v>18095.699999999997</v>
      </c>
      <c r="J152" s="761"/>
      <c r="K152" s="743">
        <f t="shared" si="37"/>
        <v>39101.719999999994</v>
      </c>
      <c r="L152" s="761"/>
      <c r="M152" s="775">
        <f t="shared" si="38"/>
        <v>18.999999999999996</v>
      </c>
      <c r="N152" s="761"/>
      <c r="O152" s="759">
        <f t="shared" si="39"/>
        <v>22.914651133341771</v>
      </c>
      <c r="P152" s="761"/>
      <c r="Q152" s="759">
        <f t="shared" si="40"/>
        <v>20.957325566670882</v>
      </c>
      <c r="R152" s="761"/>
      <c r="S152" s="840">
        <f t="shared" si="41"/>
        <v>13.985031952247816</v>
      </c>
      <c r="T152" s="848"/>
      <c r="U152" s="847"/>
      <c r="V152" s="842"/>
      <c r="W152" s="987">
        <f t="shared" si="42"/>
        <v>3517.0664122026283</v>
      </c>
      <c r="X152" s="842"/>
      <c r="Y152" s="858">
        <f t="shared" si="43"/>
        <v>171.92503195224782</v>
      </c>
      <c r="Z152" s="858">
        <f t="shared" si="44"/>
        <v>42618.786412202622</v>
      </c>
    </row>
    <row r="153" spans="1:26" ht="12" customHeight="1">
      <c r="A153" s="756" t="s">
        <v>2000</v>
      </c>
      <c r="B153" s="756" t="s">
        <v>2001</v>
      </c>
      <c r="C153" s="757">
        <v>171.05</v>
      </c>
      <c r="D153" s="761"/>
      <c r="E153" s="757">
        <f>+'Proposed Rates'!B329</f>
        <v>171.05</v>
      </c>
      <c r="F153" s="761"/>
      <c r="G153" s="743">
        <v>8039.35</v>
      </c>
      <c r="H153" s="761"/>
      <c r="I153" s="743">
        <v>7355.15</v>
      </c>
      <c r="J153" s="761"/>
      <c r="K153" s="743">
        <f t="shared" si="37"/>
        <v>15394.5</v>
      </c>
      <c r="L153" s="761"/>
      <c r="M153" s="775">
        <f t="shared" si="38"/>
        <v>6.7142857142857144</v>
      </c>
      <c r="N153" s="761"/>
      <c r="O153" s="759">
        <f t="shared" si="39"/>
        <v>8.6</v>
      </c>
      <c r="P153" s="761"/>
      <c r="Q153" s="759">
        <f t="shared" si="40"/>
        <v>7.6571428571428566</v>
      </c>
      <c r="R153" s="761"/>
      <c r="S153" s="840">
        <f t="shared" si="41"/>
        <v>15.145876379840375</v>
      </c>
      <c r="T153" s="848"/>
      <c r="U153" s="847"/>
      <c r="V153" s="842"/>
      <c r="W153" s="987">
        <f t="shared" si="42"/>
        <v>1391.6896696447611</v>
      </c>
      <c r="X153" s="842"/>
      <c r="Y153" s="858">
        <f t="shared" si="43"/>
        <v>186.1958763798404</v>
      </c>
      <c r="Z153" s="858">
        <f t="shared" si="44"/>
        <v>16786.189669644762</v>
      </c>
    </row>
    <row r="154" spans="1:26" ht="12" customHeight="1">
      <c r="A154" s="756" t="s">
        <v>2002</v>
      </c>
      <c r="B154" s="756" t="s">
        <v>2003</v>
      </c>
      <c r="C154" s="757">
        <v>203.86</v>
      </c>
      <c r="D154" s="761"/>
      <c r="E154" s="757">
        <f>+'Proposed Rates'!B330</f>
        <v>203.86</v>
      </c>
      <c r="F154" s="761"/>
      <c r="G154" s="743">
        <v>4688.7800000000007</v>
      </c>
      <c r="H154" s="761"/>
      <c r="I154" s="743">
        <v>2650.1800000000003</v>
      </c>
      <c r="J154" s="761"/>
      <c r="K154" s="743">
        <f t="shared" si="37"/>
        <v>7338.9600000000009</v>
      </c>
      <c r="L154" s="761"/>
      <c r="M154" s="775">
        <f t="shared" si="38"/>
        <v>3.285714285714286</v>
      </c>
      <c r="N154" s="761"/>
      <c r="O154" s="759">
        <f t="shared" si="39"/>
        <v>2.6</v>
      </c>
      <c r="P154" s="761"/>
      <c r="Q154" s="759">
        <f t="shared" si="40"/>
        <v>2.9428571428571431</v>
      </c>
      <c r="R154" s="761"/>
      <c r="S154" s="840">
        <f t="shared" si="41"/>
        <v>18.051086575821451</v>
      </c>
      <c r="T154" s="848"/>
      <c r="U154" s="847"/>
      <c r="V154" s="842"/>
      <c r="W154" s="987">
        <f t="shared" si="42"/>
        <v>637.46122879186612</v>
      </c>
      <c r="X154" s="842"/>
      <c r="Y154" s="858">
        <f t="shared" si="43"/>
        <v>221.91108657582146</v>
      </c>
      <c r="Z154" s="858">
        <f t="shared" si="44"/>
        <v>7976.4212287918672</v>
      </c>
    </row>
    <row r="155" spans="1:26" ht="12" customHeight="1">
      <c r="A155" s="756" t="s">
        <v>2004</v>
      </c>
      <c r="B155" s="756" t="s">
        <v>2005</v>
      </c>
      <c r="C155" s="757">
        <v>203.86</v>
      </c>
      <c r="D155" s="761"/>
      <c r="E155" s="757">
        <f>+'Proposed Rates'!B331</f>
        <v>203.86</v>
      </c>
      <c r="F155" s="761"/>
      <c r="G155" s="743">
        <v>611.58000000000004</v>
      </c>
      <c r="H155" s="761"/>
      <c r="I155" s="743">
        <v>203.86</v>
      </c>
      <c r="J155" s="761"/>
      <c r="K155" s="743">
        <f t="shared" si="37"/>
        <v>815.44</v>
      </c>
      <c r="L155" s="761"/>
      <c r="M155" s="775">
        <f t="shared" si="38"/>
        <v>0.42857142857142855</v>
      </c>
      <c r="N155" s="761"/>
      <c r="O155" s="759">
        <f t="shared" si="39"/>
        <v>0.2</v>
      </c>
      <c r="P155" s="761"/>
      <c r="Q155" s="759">
        <f t="shared" si="40"/>
        <v>0.31428571428571428</v>
      </c>
      <c r="R155" s="761"/>
      <c r="S155" s="840">
        <f t="shared" si="41"/>
        <v>18.051086575821451</v>
      </c>
      <c r="T155" s="848"/>
      <c r="U155" s="847"/>
      <c r="V155" s="842"/>
      <c r="W155" s="987">
        <f t="shared" si="42"/>
        <v>68.078383657383753</v>
      </c>
      <c r="X155" s="842"/>
      <c r="Y155" s="858">
        <f t="shared" si="43"/>
        <v>221.91108657582146</v>
      </c>
      <c r="Z155" s="858">
        <f t="shared" si="44"/>
        <v>883.51838365738377</v>
      </c>
    </row>
    <row r="156" spans="1:26" ht="12" customHeight="1">
      <c r="A156" s="756" t="s">
        <v>2006</v>
      </c>
      <c r="B156" s="756" t="s">
        <v>2007</v>
      </c>
      <c r="C156" s="757">
        <v>203.86</v>
      </c>
      <c r="D156" s="761"/>
      <c r="E156" s="757">
        <f>+'Proposed Rates'!B332</f>
        <v>203.86</v>
      </c>
      <c r="F156" s="761"/>
      <c r="G156" s="743">
        <v>30782.859999999993</v>
      </c>
      <c r="H156" s="761"/>
      <c r="I156" s="743">
        <v>22424.6</v>
      </c>
      <c r="J156" s="761"/>
      <c r="K156" s="743">
        <f t="shared" si="37"/>
        <v>53207.459999999992</v>
      </c>
      <c r="L156" s="761"/>
      <c r="M156" s="775">
        <f t="shared" si="38"/>
        <v>21.571428571428566</v>
      </c>
      <c r="N156" s="761"/>
      <c r="O156" s="759">
        <f t="shared" si="39"/>
        <v>22</v>
      </c>
      <c r="P156" s="761"/>
      <c r="Q156" s="759">
        <f t="shared" si="40"/>
        <v>21.785714285714285</v>
      </c>
      <c r="R156" s="761"/>
      <c r="S156" s="840">
        <f t="shared" si="41"/>
        <v>18.051086575821451</v>
      </c>
      <c r="T156" s="848"/>
      <c r="U156" s="847"/>
      <c r="V156" s="842"/>
      <c r="W156" s="987">
        <f t="shared" si="42"/>
        <v>4719.0697762504642</v>
      </c>
      <c r="X156" s="842"/>
      <c r="Y156" s="858">
        <f t="shared" si="43"/>
        <v>221.91108657582146</v>
      </c>
      <c r="Z156" s="858">
        <f t="shared" si="44"/>
        <v>57926.529776250456</v>
      </c>
    </row>
    <row r="157" spans="1:26" ht="12" customHeight="1">
      <c r="A157" s="756" t="s">
        <v>2008</v>
      </c>
      <c r="B157" s="756" t="s">
        <v>2009</v>
      </c>
      <c r="C157" s="757">
        <v>80.78</v>
      </c>
      <c r="D157" s="761"/>
      <c r="E157" s="757">
        <f>+'Proposed Rates'!B310</f>
        <v>80.78</v>
      </c>
      <c r="F157" s="761"/>
      <c r="G157" s="743">
        <v>11874.560000000001</v>
      </c>
      <c r="H157" s="761"/>
      <c r="I157" s="743">
        <v>15832.880000000001</v>
      </c>
      <c r="J157" s="761"/>
      <c r="K157" s="743">
        <f t="shared" si="37"/>
        <v>27707.440000000002</v>
      </c>
      <c r="L157" s="761"/>
      <c r="M157" s="775">
        <f t="shared" si="38"/>
        <v>20.999823152831326</v>
      </c>
      <c r="N157" s="761"/>
      <c r="O157" s="759">
        <f t="shared" si="39"/>
        <v>39.200000000000003</v>
      </c>
      <c r="P157" s="761"/>
      <c r="Q157" s="759">
        <f t="shared" si="40"/>
        <v>30.099911576415664</v>
      </c>
      <c r="R157" s="761"/>
      <c r="S157" s="840">
        <f t="shared" si="41"/>
        <v>7.1527851152499595</v>
      </c>
      <c r="T157" s="848"/>
      <c r="U157" s="847"/>
      <c r="V157" s="842"/>
      <c r="W157" s="987">
        <f t="shared" si="42"/>
        <v>2583.5783939295106</v>
      </c>
      <c r="X157" s="842"/>
      <c r="Y157" s="858">
        <f t="shared" si="43"/>
        <v>87.932785115249956</v>
      </c>
      <c r="Z157" s="858">
        <f t="shared" si="44"/>
        <v>30291.018393929513</v>
      </c>
    </row>
    <row r="158" spans="1:26" ht="12" customHeight="1">
      <c r="A158" s="756" t="s">
        <v>2010</v>
      </c>
      <c r="B158" s="756" t="s">
        <v>2011</v>
      </c>
      <c r="C158" s="757">
        <v>90.54</v>
      </c>
      <c r="D158" s="761"/>
      <c r="E158" s="757">
        <f>+'Proposed Rates'!B311</f>
        <v>90.54</v>
      </c>
      <c r="F158" s="761"/>
      <c r="G158" s="743">
        <v>20371.5</v>
      </c>
      <c r="H158" s="761"/>
      <c r="I158" s="743">
        <v>37030.86</v>
      </c>
      <c r="J158" s="761"/>
      <c r="K158" s="743">
        <f t="shared" si="37"/>
        <v>57402.36</v>
      </c>
      <c r="L158" s="761"/>
      <c r="M158" s="775">
        <f t="shared" si="38"/>
        <v>32.142857142857139</v>
      </c>
      <c r="N158" s="761"/>
      <c r="O158" s="759">
        <f t="shared" si="39"/>
        <v>81.8</v>
      </c>
      <c r="P158" s="761"/>
      <c r="Q158" s="759">
        <f t="shared" si="40"/>
        <v>56.971428571428568</v>
      </c>
      <c r="R158" s="761"/>
      <c r="S158" s="840">
        <f t="shared" si="41"/>
        <v>8.0169988157307674</v>
      </c>
      <c r="T158" s="848"/>
      <c r="U158" s="847"/>
      <c r="V158" s="842"/>
      <c r="W158" s="987">
        <f t="shared" si="42"/>
        <v>5480.8785046515941</v>
      </c>
      <c r="X158" s="842"/>
      <c r="Y158" s="858">
        <f t="shared" si="43"/>
        <v>98.556998815730779</v>
      </c>
      <c r="Z158" s="858">
        <f t="shared" si="44"/>
        <v>62883.238504651592</v>
      </c>
    </row>
    <row r="159" spans="1:26" ht="12" customHeight="1">
      <c r="A159" s="756" t="s">
        <v>2012</v>
      </c>
      <c r="B159" s="756" t="s">
        <v>2013</v>
      </c>
      <c r="C159" s="757">
        <v>111.29</v>
      </c>
      <c r="D159" s="761"/>
      <c r="E159" s="757">
        <f>+'Proposed Rates'!B312</f>
        <v>111.29</v>
      </c>
      <c r="F159" s="761"/>
      <c r="G159" s="743">
        <v>7456.43</v>
      </c>
      <c r="H159" s="761"/>
      <c r="I159" s="743">
        <v>15691.89</v>
      </c>
      <c r="J159" s="761"/>
      <c r="K159" s="743">
        <f t="shared" si="37"/>
        <v>23148.32</v>
      </c>
      <c r="L159" s="761"/>
      <c r="M159" s="775">
        <f t="shared" si="38"/>
        <v>9.5714285714285712</v>
      </c>
      <c r="N159" s="761"/>
      <c r="O159" s="759">
        <f t="shared" si="39"/>
        <v>28.199999999999996</v>
      </c>
      <c r="P159" s="761"/>
      <c r="Q159" s="759">
        <f t="shared" si="40"/>
        <v>18.885714285714283</v>
      </c>
      <c r="R159" s="761"/>
      <c r="S159" s="840">
        <f t="shared" si="41"/>
        <v>9.8543383941095328</v>
      </c>
      <c r="T159" s="848"/>
      <c r="U159" s="847"/>
      <c r="V159" s="842"/>
      <c r="W159" s="987">
        <f t="shared" si="42"/>
        <v>2233.2746326307656</v>
      </c>
      <c r="X159" s="842"/>
      <c r="Y159" s="858">
        <f t="shared" si="43"/>
        <v>121.14433839410954</v>
      </c>
      <c r="Z159" s="858">
        <f t="shared" si="44"/>
        <v>25381.594632630764</v>
      </c>
    </row>
    <row r="160" spans="1:26" ht="12" customHeight="1">
      <c r="A160" s="756" t="s">
        <v>2014</v>
      </c>
      <c r="B160" s="756" t="s">
        <v>2015</v>
      </c>
      <c r="C160" s="757">
        <v>42.23</v>
      </c>
      <c r="D160" s="761"/>
      <c r="E160" s="757">
        <f>+'Proposed Rates'!B303</f>
        <v>42.23</v>
      </c>
      <c r="F160" s="761"/>
      <c r="G160" s="743">
        <v>21486.37</v>
      </c>
      <c r="H160" s="761"/>
      <c r="I160" s="743">
        <v>20734.93</v>
      </c>
      <c r="J160" s="761"/>
      <c r="K160" s="743">
        <f t="shared" si="37"/>
        <v>42221.3</v>
      </c>
      <c r="L160" s="761"/>
      <c r="M160" s="775">
        <f t="shared" si="38"/>
        <v>72.684855045499134</v>
      </c>
      <c r="N160" s="761"/>
      <c r="O160" s="759">
        <f t="shared" si="39"/>
        <v>98.2</v>
      </c>
      <c r="P160" s="761"/>
      <c r="Q160" s="759">
        <f t="shared" si="40"/>
        <v>85.442427522749568</v>
      </c>
      <c r="R160" s="761"/>
      <c r="S160" s="840">
        <f t="shared" si="41"/>
        <v>3.7393180913221808</v>
      </c>
      <c r="T160" s="848"/>
      <c r="U160" s="847"/>
      <c r="V160" s="842"/>
      <c r="W160" s="987">
        <f t="shared" si="42"/>
        <v>3833.9569800276204</v>
      </c>
      <c r="X160" s="842"/>
      <c r="Y160" s="858">
        <f t="shared" si="43"/>
        <v>45.969318091322179</v>
      </c>
      <c r="Z160" s="858">
        <f t="shared" si="44"/>
        <v>46055.256980027625</v>
      </c>
    </row>
    <row r="161" spans="1:27" ht="12" customHeight="1">
      <c r="A161" s="756" t="s">
        <v>2016</v>
      </c>
      <c r="B161" s="756" t="s">
        <v>2017</v>
      </c>
      <c r="C161" s="757">
        <v>37.54</v>
      </c>
      <c r="D161" s="761"/>
      <c r="E161" s="757">
        <f>+'Proposed Rates'!B290</f>
        <v>37.54</v>
      </c>
      <c r="F161" s="761"/>
      <c r="G161" s="743">
        <v>20460.550000000003</v>
      </c>
      <c r="H161" s="761"/>
      <c r="I161" s="743">
        <v>12759.85</v>
      </c>
      <c r="J161" s="761"/>
      <c r="K161" s="743">
        <f t="shared" si="37"/>
        <v>33220.400000000001</v>
      </c>
      <c r="L161" s="761"/>
      <c r="M161" s="775">
        <f t="shared" si="38"/>
        <v>77.861899687951919</v>
      </c>
      <c r="N161" s="761"/>
      <c r="O161" s="759">
        <f t="shared" si="39"/>
        <v>67.980021310602027</v>
      </c>
      <c r="P161" s="761"/>
      <c r="Q161" s="759">
        <f t="shared" si="40"/>
        <v>72.920960499276973</v>
      </c>
      <c r="R161" s="761"/>
      <c r="S161" s="840">
        <f t="shared" si="41"/>
        <v>3.3240350733657276</v>
      </c>
      <c r="T161" s="848"/>
      <c r="U161" s="847"/>
      <c r="V161" s="842"/>
      <c r="W161" s="987">
        <f t="shared" si="42"/>
        <v>2908.7019633973614</v>
      </c>
      <c r="X161" s="842"/>
      <c r="Y161" s="858">
        <f t="shared" si="43"/>
        <v>40.864035073365727</v>
      </c>
      <c r="Z161" s="858">
        <f t="shared" si="44"/>
        <v>36129.101963397363</v>
      </c>
    </row>
    <row r="162" spans="1:27" ht="12" customHeight="1">
      <c r="A162" s="756" t="s">
        <v>2018</v>
      </c>
      <c r="B162" s="756" t="s">
        <v>2019</v>
      </c>
      <c r="C162" s="757">
        <v>43.78</v>
      </c>
      <c r="D162" s="761"/>
      <c r="E162" s="757">
        <f>+'Proposed Rates'!B291</f>
        <v>43.78</v>
      </c>
      <c r="F162" s="761"/>
      <c r="G162" s="743">
        <v>35444.300000000003</v>
      </c>
      <c r="H162" s="761"/>
      <c r="I162" s="743">
        <v>25275.66</v>
      </c>
      <c r="J162" s="761"/>
      <c r="K162" s="743">
        <f t="shared" si="37"/>
        <v>60719.960000000006</v>
      </c>
      <c r="L162" s="761"/>
      <c r="M162" s="775">
        <f t="shared" si="38"/>
        <v>115.65718201396594</v>
      </c>
      <c r="N162" s="761"/>
      <c r="O162" s="759">
        <f t="shared" si="39"/>
        <v>115.4666971219735</v>
      </c>
      <c r="P162" s="761"/>
      <c r="Q162" s="759">
        <f t="shared" si="40"/>
        <v>115.56193956796972</v>
      </c>
      <c r="R162" s="761"/>
      <c r="S162" s="840">
        <f t="shared" si="41"/>
        <v>3.8765651441649323</v>
      </c>
      <c r="T162" s="848"/>
      <c r="U162" s="847"/>
      <c r="V162" s="842"/>
      <c r="W162" s="987">
        <f t="shared" si="42"/>
        <v>5375.8006430554287</v>
      </c>
      <c r="X162" s="842"/>
      <c r="Y162" s="858">
        <f t="shared" si="43"/>
        <v>47.656565144164936</v>
      </c>
      <c r="Z162" s="858">
        <f t="shared" si="44"/>
        <v>66095.76064305543</v>
      </c>
    </row>
    <row r="163" spans="1:27" ht="12" customHeight="1">
      <c r="A163" s="756" t="s">
        <v>2020</v>
      </c>
      <c r="B163" s="756" t="s">
        <v>2021</v>
      </c>
      <c r="C163" s="757">
        <v>49.97</v>
      </c>
      <c r="D163" s="761"/>
      <c r="E163" s="757">
        <f>+'Proposed Rates'!B292</f>
        <v>49.97</v>
      </c>
      <c r="F163" s="761"/>
      <c r="G163" s="743">
        <v>7843.619999999999</v>
      </c>
      <c r="H163" s="761"/>
      <c r="I163" s="743">
        <v>5596.6399999999994</v>
      </c>
      <c r="J163" s="761"/>
      <c r="K163" s="743">
        <f t="shared" si="37"/>
        <v>13440.259999999998</v>
      </c>
      <c r="L163" s="761"/>
      <c r="M163" s="775">
        <f t="shared" si="38"/>
        <v>22.42379713542411</v>
      </c>
      <c r="N163" s="761"/>
      <c r="O163" s="759">
        <f t="shared" si="39"/>
        <v>22.4</v>
      </c>
      <c r="P163" s="761"/>
      <c r="Q163" s="759">
        <f t="shared" si="40"/>
        <v>22.411898567712054</v>
      </c>
      <c r="R163" s="761"/>
      <c r="S163" s="840">
        <f t="shared" si="41"/>
        <v>4.4246678906788866</v>
      </c>
      <c r="T163" s="848"/>
      <c r="U163" s="847"/>
      <c r="V163" s="842"/>
      <c r="W163" s="987">
        <f t="shared" si="42"/>
        <v>1189.9824955404918</v>
      </c>
      <c r="X163" s="842"/>
      <c r="Y163" s="858">
        <f t="shared" si="43"/>
        <v>54.394667890678889</v>
      </c>
      <c r="Z163" s="858">
        <f t="shared" si="44"/>
        <v>14630.242495540489</v>
      </c>
    </row>
    <row r="164" spans="1:27" ht="12" customHeight="1">
      <c r="A164" s="756" t="s">
        <v>2022</v>
      </c>
      <c r="B164" s="756" t="s">
        <v>2023</v>
      </c>
      <c r="C164" s="757">
        <v>3.95</v>
      </c>
      <c r="D164" s="761"/>
      <c r="E164" s="757">
        <f>+'Proposed Rates'!B316</f>
        <v>3.95</v>
      </c>
      <c r="F164" s="761"/>
      <c r="G164" s="743">
        <v>48411.200000000004</v>
      </c>
      <c r="H164" s="761"/>
      <c r="I164" s="743">
        <v>31535.65</v>
      </c>
      <c r="J164" s="761"/>
      <c r="K164" s="743">
        <f t="shared" si="37"/>
        <v>79946.850000000006</v>
      </c>
      <c r="L164" s="761"/>
      <c r="M164" s="775">
        <f t="shared" si="38"/>
        <v>1750.8571428571429</v>
      </c>
      <c r="N164" s="761"/>
      <c r="O164" s="759">
        <f t="shared" si="39"/>
        <v>1596.7417721518987</v>
      </c>
      <c r="P164" s="761"/>
      <c r="Q164" s="759">
        <f t="shared" si="40"/>
        <v>1673.7994575045209</v>
      </c>
      <c r="R164" s="761"/>
      <c r="S164" s="840">
        <f t="shared" si="41"/>
        <v>0.34975861853475293</v>
      </c>
      <c r="T164" s="848"/>
      <c r="U164" s="847"/>
      <c r="V164" s="842"/>
      <c r="W164" s="987">
        <f t="shared" si="42"/>
        <v>7025.1094315320006</v>
      </c>
      <c r="X164" s="842"/>
      <c r="Y164" s="858">
        <f t="shared" si="43"/>
        <v>4.2997586185347529</v>
      </c>
      <c r="Z164" s="858">
        <f t="shared" si="44"/>
        <v>86971.959431532014</v>
      </c>
    </row>
    <row r="165" spans="1:27" ht="12" customHeight="1">
      <c r="A165" s="756" t="s">
        <v>2024</v>
      </c>
      <c r="B165" s="756" t="s">
        <v>2025</v>
      </c>
      <c r="C165" s="757">
        <v>4.68</v>
      </c>
      <c r="D165" s="761"/>
      <c r="E165" s="757">
        <f>+'Proposed Rates'!B317</f>
        <v>4.68</v>
      </c>
      <c r="F165" s="761"/>
      <c r="G165" s="743">
        <v>102197.79999999999</v>
      </c>
      <c r="H165" s="761"/>
      <c r="I165" s="743">
        <v>81230.759999999995</v>
      </c>
      <c r="J165" s="761"/>
      <c r="K165" s="743">
        <f t="shared" si="37"/>
        <v>183428.56</v>
      </c>
      <c r="L165" s="761"/>
      <c r="M165" s="775">
        <f t="shared" si="38"/>
        <v>3119.5909645909646</v>
      </c>
      <c r="N165" s="761"/>
      <c r="O165" s="759">
        <f t="shared" si="39"/>
        <v>3471.3999999999996</v>
      </c>
      <c r="P165" s="761"/>
      <c r="Q165" s="759">
        <f t="shared" si="40"/>
        <v>3295.4954822954824</v>
      </c>
      <c r="R165" s="761"/>
      <c r="S165" s="840">
        <f t="shared" si="41"/>
        <v>0.4143975530994034</v>
      </c>
      <c r="T165" s="848"/>
      <c r="U165" s="847"/>
      <c r="V165" s="842"/>
      <c r="W165" s="987">
        <f t="shared" si="42"/>
        <v>16387.743169360634</v>
      </c>
      <c r="X165" s="842"/>
      <c r="Y165" s="858">
        <f t="shared" si="43"/>
        <v>5.0943975530994035</v>
      </c>
      <c r="Z165" s="858">
        <f t="shared" si="44"/>
        <v>199816.30316936062</v>
      </c>
    </row>
    <row r="166" spans="1:27" ht="12" customHeight="1">
      <c r="A166" s="756" t="s">
        <v>2026</v>
      </c>
      <c r="B166" s="756" t="s">
        <v>2027</v>
      </c>
      <c r="C166" s="757">
        <v>5.07</v>
      </c>
      <c r="D166" s="761"/>
      <c r="E166" s="757">
        <f>+'Proposed Rates'!B318</f>
        <v>5.07</v>
      </c>
      <c r="F166" s="761"/>
      <c r="G166" s="743">
        <v>27704.170000000002</v>
      </c>
      <c r="H166" s="761"/>
      <c r="I166" s="743">
        <v>23707.32</v>
      </c>
      <c r="J166" s="761"/>
      <c r="K166" s="743">
        <f t="shared" si="37"/>
        <v>51411.490000000005</v>
      </c>
      <c r="L166" s="761"/>
      <c r="M166" s="775">
        <f t="shared" si="38"/>
        <v>780.61904761904759</v>
      </c>
      <c r="N166" s="761"/>
      <c r="O166" s="759">
        <f t="shared" si="39"/>
        <v>935.19999999999993</v>
      </c>
      <c r="P166" s="761"/>
      <c r="Q166" s="759">
        <f t="shared" si="40"/>
        <v>857.90952380952376</v>
      </c>
      <c r="R166" s="761"/>
      <c r="S166" s="840">
        <f t="shared" si="41"/>
        <v>0.44893068252435375</v>
      </c>
      <c r="T166" s="848"/>
      <c r="U166" s="847"/>
      <c r="V166" s="842"/>
      <c r="W166" s="987">
        <f t="shared" si="42"/>
        <v>4621.7028968154336</v>
      </c>
      <c r="X166" s="842"/>
      <c r="Y166" s="858">
        <f t="shared" si="43"/>
        <v>5.5189306825243545</v>
      </c>
      <c r="Z166" s="858">
        <f t="shared" si="44"/>
        <v>56033.192896815439</v>
      </c>
    </row>
    <row r="167" spans="1:27" ht="12" customHeight="1">
      <c r="A167" s="756" t="s">
        <v>2028</v>
      </c>
      <c r="B167" s="756" t="s">
        <v>2029</v>
      </c>
      <c r="C167" s="757">
        <v>31.02</v>
      </c>
      <c r="D167" s="761"/>
      <c r="E167" s="757">
        <f>+'Proposed Rates'!B174</f>
        <v>31.02</v>
      </c>
      <c r="F167" s="761"/>
      <c r="G167" s="743">
        <v>743.67</v>
      </c>
      <c r="H167" s="761"/>
      <c r="I167" s="743">
        <v>253.8</v>
      </c>
      <c r="J167" s="761"/>
      <c r="K167" s="743">
        <f t="shared" si="37"/>
        <v>997.47</v>
      </c>
      <c r="L167" s="761"/>
      <c r="M167" s="775">
        <f t="shared" ref="M167:M171" si="45">(G167/7)/C167</f>
        <v>3.4248411163304779</v>
      </c>
      <c r="N167" s="761"/>
      <c r="O167" s="759">
        <f t="shared" ref="O167:O171" si="46">(I167/5)/E167</f>
        <v>1.6363636363636365</v>
      </c>
      <c r="P167" s="761"/>
      <c r="Q167" s="759">
        <f t="shared" ref="Q167:Q171" si="47">(M167+O167)/2</f>
        <v>2.5306023763470571</v>
      </c>
      <c r="R167" s="761"/>
      <c r="S167" s="840">
        <f t="shared" si="41"/>
        <v>2.7467119865691227</v>
      </c>
      <c r="T167" s="848"/>
      <c r="U167" s="847"/>
      <c r="V167" s="842"/>
      <c r="W167" s="987">
        <f t="shared" si="42"/>
        <v>83.41003056423321</v>
      </c>
      <c r="X167" s="842"/>
      <c r="Y167" s="858">
        <f t="shared" si="43"/>
        <v>33.766711986569121</v>
      </c>
      <c r="Z167" s="858">
        <f t="shared" si="44"/>
        <v>1080.8800305642333</v>
      </c>
    </row>
    <row r="168" spans="1:27" ht="12" customHeight="1">
      <c r="A168" s="756" t="s">
        <v>2030</v>
      </c>
      <c r="B168" s="756" t="s">
        <v>2031</v>
      </c>
      <c r="C168" s="757">
        <f>5.17*20</f>
        <v>103.4</v>
      </c>
      <c r="D168" s="761"/>
      <c r="E168" s="757">
        <f>+'Proposed Rates'!B173*20</f>
        <v>103.4</v>
      </c>
      <c r="F168" s="761"/>
      <c r="G168" s="743">
        <v>0</v>
      </c>
      <c r="H168" s="761"/>
      <c r="I168" s="743">
        <v>103.4</v>
      </c>
      <c r="J168" s="761"/>
      <c r="K168" s="743">
        <f t="shared" si="37"/>
        <v>103.4</v>
      </c>
      <c r="L168" s="761"/>
      <c r="M168" s="775">
        <f t="shared" si="45"/>
        <v>0</v>
      </c>
      <c r="N168" s="761"/>
      <c r="O168" s="759">
        <f t="shared" si="46"/>
        <v>0.19999999999999998</v>
      </c>
      <c r="P168" s="761"/>
      <c r="Q168" s="759">
        <f t="shared" si="47"/>
        <v>9.9999999999999992E-2</v>
      </c>
      <c r="R168" s="761"/>
      <c r="S168" s="840">
        <f t="shared" si="41"/>
        <v>9.1557066218970764</v>
      </c>
      <c r="T168" s="848"/>
      <c r="U168" s="847"/>
      <c r="V168" s="842"/>
      <c r="W168" s="987">
        <f t="shared" si="42"/>
        <v>10.986847946276491</v>
      </c>
      <c r="X168" s="842"/>
      <c r="Y168" s="858">
        <f t="shared" si="43"/>
        <v>112.55570662189709</v>
      </c>
      <c r="Z168" s="858">
        <f t="shared" si="44"/>
        <v>114.3868479462765</v>
      </c>
    </row>
    <row r="169" spans="1:27" ht="12" customHeight="1">
      <c r="A169" s="756" t="s">
        <v>2032</v>
      </c>
      <c r="B169" s="756" t="s">
        <v>2033</v>
      </c>
      <c r="C169" s="757">
        <v>35.25</v>
      </c>
      <c r="D169" s="761"/>
      <c r="E169" s="757">
        <f>+'Proposed Rates'!B179</f>
        <v>35.25</v>
      </c>
      <c r="F169" s="761"/>
      <c r="G169" s="743">
        <v>0</v>
      </c>
      <c r="H169" s="761"/>
      <c r="I169" s="743">
        <v>35.25</v>
      </c>
      <c r="J169" s="761"/>
      <c r="K169" s="743">
        <f t="shared" si="37"/>
        <v>35.25</v>
      </c>
      <c r="L169" s="761"/>
      <c r="M169" s="775">
        <f t="shared" si="45"/>
        <v>0</v>
      </c>
      <c r="N169" s="761"/>
      <c r="O169" s="759">
        <f t="shared" si="46"/>
        <v>0.19999999999999998</v>
      </c>
      <c r="P169" s="761"/>
      <c r="Q169" s="759">
        <f t="shared" si="47"/>
        <v>9.9999999999999992E-2</v>
      </c>
      <c r="R169" s="761"/>
      <c r="S169" s="840">
        <f t="shared" si="41"/>
        <v>3.1212636211012756</v>
      </c>
      <c r="T169" s="848"/>
      <c r="U169" s="847"/>
      <c r="V169" s="842"/>
      <c r="W169" s="987">
        <f t="shared" si="42"/>
        <v>3.7455163453215308</v>
      </c>
      <c r="X169" s="842"/>
      <c r="Y169" s="858">
        <f t="shared" si="43"/>
        <v>38.371263621101278</v>
      </c>
      <c r="Z169" s="858">
        <f t="shared" si="44"/>
        <v>38.995516345321533</v>
      </c>
    </row>
    <row r="170" spans="1:27" ht="12" customHeight="1">
      <c r="A170" s="756" t="s">
        <v>2034</v>
      </c>
      <c r="B170" s="756" t="s">
        <v>2035</v>
      </c>
      <c r="C170" s="757">
        <v>3.15</v>
      </c>
      <c r="D170" s="761"/>
      <c r="E170" s="757">
        <f>+'Proposed Rates'!B321</f>
        <v>3.15</v>
      </c>
      <c r="F170" s="761"/>
      <c r="G170" s="743">
        <v>47794.92</v>
      </c>
      <c r="H170" s="761"/>
      <c r="I170" s="743">
        <v>36913.120000000003</v>
      </c>
      <c r="J170" s="761"/>
      <c r="K170" s="743">
        <f t="shared" si="37"/>
        <v>84708.040000000008</v>
      </c>
      <c r="L170" s="761"/>
      <c r="M170" s="775">
        <f t="shared" si="45"/>
        <v>2167.5700680272107</v>
      </c>
      <c r="N170" s="761"/>
      <c r="O170" s="759">
        <f t="shared" si="46"/>
        <v>2343.6901587301591</v>
      </c>
      <c r="P170" s="761"/>
      <c r="Q170" s="759">
        <f t="shared" si="47"/>
        <v>2255.6301133786847</v>
      </c>
      <c r="R170" s="761"/>
      <c r="S170" s="840">
        <f t="shared" si="41"/>
        <v>0.27892142997075231</v>
      </c>
      <c r="T170" s="848"/>
      <c r="U170" s="847"/>
      <c r="V170" s="842"/>
      <c r="W170" s="987">
        <f t="shared" si="42"/>
        <v>7549.7229205040749</v>
      </c>
      <c r="X170" s="842"/>
      <c r="Y170" s="858">
        <f t="shared" si="43"/>
        <v>3.4289214299707522</v>
      </c>
      <c r="Z170" s="858">
        <f t="shared" si="44"/>
        <v>92257.762920504087</v>
      </c>
    </row>
    <row r="171" spans="1:27" ht="12" customHeight="1">
      <c r="A171" s="756" t="s">
        <v>2036</v>
      </c>
      <c r="B171" s="756" t="s">
        <v>2037</v>
      </c>
      <c r="C171" s="757">
        <v>84.78</v>
      </c>
      <c r="D171" s="757"/>
      <c r="E171" s="757">
        <f>+'Proposed Rates'!B141</f>
        <v>84.78</v>
      </c>
      <c r="F171" s="757"/>
      <c r="G171" s="743">
        <v>7331.88</v>
      </c>
      <c r="H171" s="757"/>
      <c r="I171" s="743">
        <v>3635.9800000000005</v>
      </c>
      <c r="J171" s="757"/>
      <c r="K171" s="743">
        <f t="shared" si="37"/>
        <v>10967.86</v>
      </c>
      <c r="L171" s="757"/>
      <c r="M171" s="775">
        <f t="shared" si="45"/>
        <v>12.354463653826711</v>
      </c>
      <c r="N171" s="761"/>
      <c r="O171" s="759">
        <f t="shared" si="46"/>
        <v>8.5774475112054738</v>
      </c>
      <c r="P171" s="761"/>
      <c r="Q171" s="759">
        <f t="shared" si="47"/>
        <v>10.465955582516091</v>
      </c>
      <c r="R171" s="757"/>
      <c r="S171" s="840">
        <f t="shared" si="41"/>
        <v>7.5069710580699622</v>
      </c>
      <c r="T171" s="848"/>
      <c r="U171" s="847"/>
      <c r="V171" s="841"/>
      <c r="W171" s="987">
        <f t="shared" si="42"/>
        <v>942.81150783592864</v>
      </c>
      <c r="X171" s="841"/>
      <c r="Y171" s="858">
        <f t="shared" si="43"/>
        <v>92.286971058069966</v>
      </c>
      <c r="Z171" s="858">
        <f t="shared" si="44"/>
        <v>11910.671507835928</v>
      </c>
    </row>
    <row r="172" spans="1:27" ht="12" customHeight="1">
      <c r="A172" s="756" t="s">
        <v>2038</v>
      </c>
      <c r="B172" s="756" t="s">
        <v>2039</v>
      </c>
      <c r="C172" s="757"/>
      <c r="D172" s="761"/>
      <c r="E172" s="757"/>
      <c r="F172" s="761"/>
      <c r="G172" s="743">
        <v>-44.45</v>
      </c>
      <c r="H172" s="761"/>
      <c r="I172" s="743">
        <v>-61.5</v>
      </c>
      <c r="J172" s="761"/>
      <c r="K172" s="743">
        <f t="shared" si="37"/>
        <v>-105.95</v>
      </c>
      <c r="L172" s="761"/>
      <c r="M172" s="780"/>
      <c r="N172" s="761"/>
      <c r="P172" s="761"/>
      <c r="R172" s="761"/>
      <c r="S172" s="840">
        <f t="shared" si="41"/>
        <v>0</v>
      </c>
      <c r="T172" s="848"/>
      <c r="U172" s="847"/>
      <c r="V172" s="842"/>
      <c r="W172" s="987">
        <f t="shared" si="42"/>
        <v>0</v>
      </c>
      <c r="X172" s="842"/>
      <c r="Y172" s="858">
        <f t="shared" si="43"/>
        <v>0</v>
      </c>
      <c r="Z172" s="858">
        <f t="shared" ref="Z172" si="48">+Y172*Q172</f>
        <v>0</v>
      </c>
    </row>
    <row r="173" spans="1:27" ht="12" customHeight="1" thickBot="1">
      <c r="A173" s="762"/>
      <c r="B173" s="762"/>
      <c r="C173" s="761"/>
      <c r="D173" s="761"/>
      <c r="E173" s="757"/>
      <c r="F173" s="761"/>
      <c r="H173" s="761"/>
      <c r="I173" s="743"/>
      <c r="J173" s="761"/>
      <c r="K173" s="743"/>
      <c r="L173" s="761"/>
      <c r="N173" s="761"/>
      <c r="P173" s="761"/>
      <c r="R173" s="761"/>
      <c r="S173" s="847"/>
      <c r="T173" s="848"/>
      <c r="U173" s="847"/>
      <c r="V173" s="842"/>
      <c r="W173" s="851"/>
      <c r="X173" s="842"/>
    </row>
    <row r="174" spans="1:27" ht="12" customHeight="1" thickBot="1">
      <c r="A174" s="762"/>
      <c r="B174" s="763" t="s">
        <v>2040</v>
      </c>
      <c r="C174" s="761"/>
      <c r="D174" s="761"/>
      <c r="E174" s="761"/>
      <c r="F174" s="761"/>
      <c r="G174" s="764">
        <f>SUM(G146:G173)</f>
        <v>1073178.92</v>
      </c>
      <c r="H174" s="761"/>
      <c r="I174" s="764">
        <f>SUM(I146:I173)</f>
        <v>823700.37000000011</v>
      </c>
      <c r="J174" s="761"/>
      <c r="K174" s="764">
        <f>SUM(K146:K173)</f>
        <v>1896879.2900000003</v>
      </c>
      <c r="L174" s="761"/>
      <c r="N174" s="761"/>
      <c r="P174" s="761"/>
      <c r="Q174" s="766">
        <f>SUM(Q146:Q173)</f>
        <v>9517.5928722170738</v>
      </c>
      <c r="R174" s="761"/>
      <c r="S174" s="847"/>
      <c r="T174" s="848"/>
      <c r="U174" s="847"/>
      <c r="V174" s="842"/>
      <c r="W174" s="852">
        <f>+SUM(W146:W173)</f>
        <v>168983.88333837368</v>
      </c>
      <c r="X174" s="842"/>
      <c r="Y174" s="852">
        <f>+SUM(Y146:Y173)</f>
        <v>2552.2387467785165</v>
      </c>
      <c r="Z174" s="852">
        <f>+SUM(Z146:Z173)</f>
        <v>2065969.1233383734</v>
      </c>
      <c r="AA174" s="858"/>
    </row>
    <row r="175" spans="1:27" ht="12" customHeight="1">
      <c r="A175" s="762"/>
      <c r="B175" s="762"/>
      <c r="C175" s="761"/>
      <c r="D175" s="761"/>
      <c r="E175" s="761"/>
      <c r="F175" s="761"/>
      <c r="H175" s="761"/>
      <c r="J175" s="761"/>
      <c r="L175" s="761"/>
      <c r="N175" s="761"/>
      <c r="P175" s="761"/>
      <c r="R175" s="761"/>
      <c r="S175" s="847"/>
      <c r="T175" s="848"/>
      <c r="U175" s="847"/>
      <c r="V175" s="842"/>
      <c r="W175" s="1254">
        <f>W174/K174</f>
        <v>8.9085206543835296E-2</v>
      </c>
      <c r="X175" s="842"/>
    </row>
    <row r="176" spans="1:27" ht="12" customHeight="1">
      <c r="A176" s="769" t="s">
        <v>2041</v>
      </c>
      <c r="B176" s="769" t="s">
        <v>2041</v>
      </c>
      <c r="C176" s="761"/>
      <c r="D176" s="761"/>
      <c r="E176" s="761"/>
      <c r="F176" s="761"/>
      <c r="H176" s="761"/>
      <c r="J176" s="761"/>
      <c r="L176" s="761"/>
      <c r="N176" s="761"/>
      <c r="P176" s="761"/>
      <c r="R176" s="761"/>
      <c r="S176" s="847"/>
      <c r="T176" s="848"/>
      <c r="U176" s="847"/>
      <c r="V176" s="842"/>
      <c r="W176" s="851"/>
      <c r="X176" s="842"/>
    </row>
    <row r="177" spans="1:26" ht="12" customHeight="1">
      <c r="A177" s="756" t="s">
        <v>2042</v>
      </c>
      <c r="B177" s="756" t="s">
        <v>2043</v>
      </c>
      <c r="C177" s="757">
        <v>30.89</v>
      </c>
      <c r="D177" s="761"/>
      <c r="E177" s="757">
        <f>+'Proposed Rates'!B183</f>
        <v>32.82</v>
      </c>
      <c r="F177" s="761"/>
      <c r="G177" s="743">
        <v>728692.77</v>
      </c>
      <c r="H177" s="761"/>
      <c r="I177" s="743">
        <v>655173.73</v>
      </c>
      <c r="J177" s="761"/>
      <c r="K177" s="743">
        <f t="shared" ref="K177" si="49">+G177+I177</f>
        <v>1383866.5</v>
      </c>
      <c r="L177" s="761"/>
      <c r="M177" s="781"/>
      <c r="N177" s="761"/>
      <c r="O177" s="782"/>
      <c r="P177" s="761"/>
      <c r="Q177" s="765"/>
      <c r="R177" s="761"/>
      <c r="S177" s="847"/>
      <c r="T177" s="848"/>
      <c r="U177" s="847"/>
      <c r="V177" s="842"/>
      <c r="W177" s="851"/>
      <c r="X177" s="842"/>
    </row>
    <row r="178" spans="1:26" ht="12" customHeight="1">
      <c r="C178" s="761"/>
      <c r="D178" s="761"/>
      <c r="E178" s="761"/>
      <c r="F178" s="761"/>
      <c r="H178" s="761"/>
      <c r="J178" s="761"/>
      <c r="L178" s="761"/>
      <c r="N178" s="761"/>
      <c r="P178" s="761"/>
      <c r="R178" s="761"/>
      <c r="S178" s="847"/>
      <c r="T178" s="848"/>
      <c r="U178" s="847"/>
      <c r="V178" s="842"/>
      <c r="W178" s="851"/>
      <c r="X178" s="842"/>
    </row>
    <row r="179" spans="1:26" ht="12" customHeight="1">
      <c r="A179" s="762"/>
      <c r="B179" s="763" t="s">
        <v>2044</v>
      </c>
      <c r="C179" s="761"/>
      <c r="D179" s="761"/>
      <c r="E179" s="761"/>
      <c r="F179" s="761"/>
      <c r="G179" s="764">
        <f t="shared" ref="G179:K179" si="50">SUM(G177:G178)</f>
        <v>728692.77</v>
      </c>
      <c r="H179" s="761"/>
      <c r="I179" s="764">
        <f t="shared" si="50"/>
        <v>655173.73</v>
      </c>
      <c r="J179" s="761"/>
      <c r="K179" s="764">
        <f t="shared" si="50"/>
        <v>1383866.5</v>
      </c>
      <c r="L179" s="761"/>
      <c r="N179" s="761"/>
      <c r="P179" s="761"/>
      <c r="R179" s="761"/>
      <c r="S179" s="847"/>
      <c r="T179" s="849"/>
      <c r="U179" s="847"/>
      <c r="V179" s="842"/>
      <c r="W179" s="851"/>
      <c r="X179" s="842"/>
    </row>
    <row r="180" spans="1:26" ht="12" customHeight="1">
      <c r="A180" s="762"/>
      <c r="B180" s="763"/>
      <c r="C180" s="761"/>
      <c r="D180" s="761"/>
      <c r="E180" s="761"/>
      <c r="F180" s="761"/>
      <c r="G180" s="783"/>
      <c r="H180" s="761"/>
      <c r="I180" s="783"/>
      <c r="J180" s="761"/>
      <c r="K180" s="783"/>
      <c r="L180" s="761"/>
      <c r="N180" s="761"/>
      <c r="P180" s="761"/>
      <c r="R180" s="761"/>
      <c r="S180" s="847"/>
      <c r="T180" s="848"/>
      <c r="U180" s="847"/>
      <c r="V180" s="842"/>
      <c r="W180" s="851"/>
      <c r="X180" s="842"/>
    </row>
    <row r="181" spans="1:26" s="740" customFormat="1" ht="12" customHeight="1">
      <c r="A181" s="767" t="s">
        <v>2045</v>
      </c>
      <c r="B181" s="767" t="s">
        <v>2045</v>
      </c>
      <c r="C181" s="757"/>
      <c r="D181" s="757"/>
      <c r="E181" s="757"/>
      <c r="F181" s="757"/>
      <c r="G181" s="743"/>
      <c r="H181" s="757"/>
      <c r="I181" s="743"/>
      <c r="J181" s="757"/>
      <c r="K181" s="743"/>
      <c r="L181" s="757"/>
      <c r="M181" s="744"/>
      <c r="N181" s="757"/>
      <c r="P181" s="757"/>
      <c r="R181" s="757"/>
      <c r="S181" s="850"/>
      <c r="T181" s="848"/>
      <c r="U181" s="847"/>
      <c r="V181" s="841"/>
      <c r="W181" s="853"/>
      <c r="X181" s="841"/>
      <c r="Y181" s="858"/>
    </row>
    <row r="182" spans="1:26" s="740" customFormat="1" ht="12" customHeight="1">
      <c r="A182" s="756" t="s">
        <v>2046</v>
      </c>
      <c r="B182" s="756" t="s">
        <v>2047</v>
      </c>
      <c r="C182" s="757"/>
      <c r="D182" s="757"/>
      <c r="E182" s="757"/>
      <c r="F182" s="757"/>
      <c r="G182" s="743">
        <v>-565.6099999999999</v>
      </c>
      <c r="H182" s="757"/>
      <c r="I182" s="743">
        <v>-342.44</v>
      </c>
      <c r="J182" s="757"/>
      <c r="K182" s="743">
        <f t="shared" ref="K182:K184" si="51">+G182+I182</f>
        <v>-908.05</v>
      </c>
      <c r="L182" s="757"/>
      <c r="M182" s="780"/>
      <c r="N182" s="757"/>
      <c r="O182" s="780"/>
      <c r="P182" s="757"/>
      <c r="R182" s="757"/>
      <c r="S182" s="850"/>
      <c r="T182" s="850"/>
      <c r="U182" s="850"/>
      <c r="V182" s="841"/>
      <c r="W182" s="853"/>
      <c r="X182" s="841"/>
      <c r="Y182" s="858"/>
    </row>
    <row r="183" spans="1:26" s="740" customFormat="1" ht="12" customHeight="1">
      <c r="A183" s="756" t="s">
        <v>2048</v>
      </c>
      <c r="B183" s="756" t="s">
        <v>2049</v>
      </c>
      <c r="C183" s="757">
        <v>1</v>
      </c>
      <c r="D183" s="757"/>
      <c r="E183" s="757">
        <v>1</v>
      </c>
      <c r="F183" s="757"/>
      <c r="G183" s="743">
        <v>16545.160000000003</v>
      </c>
      <c r="H183" s="757"/>
      <c r="I183" s="743">
        <v>11949.990000000002</v>
      </c>
      <c r="J183" s="757"/>
      <c r="K183" s="743">
        <f t="shared" si="51"/>
        <v>28495.150000000005</v>
      </c>
      <c r="L183" s="757"/>
      <c r="M183" s="780"/>
      <c r="N183" s="757"/>
      <c r="O183" s="780"/>
      <c r="P183" s="757"/>
      <c r="R183" s="757"/>
      <c r="S183" s="850"/>
      <c r="T183" s="850"/>
      <c r="U183" s="850"/>
      <c r="V183" s="841"/>
      <c r="W183" s="853"/>
      <c r="X183" s="841"/>
      <c r="Y183" s="858"/>
    </row>
    <row r="184" spans="1:26" s="740" customFormat="1" ht="12" customHeight="1">
      <c r="A184" s="756" t="s">
        <v>2050</v>
      </c>
      <c r="B184" s="756" t="s">
        <v>2051</v>
      </c>
      <c r="C184" s="757">
        <v>11.36</v>
      </c>
      <c r="D184" s="757"/>
      <c r="E184" s="757">
        <f>+'Proposed Rates'!B11</f>
        <v>11.36</v>
      </c>
      <c r="F184" s="757"/>
      <c r="G184" s="743">
        <v>181.76</v>
      </c>
      <c r="H184" s="757"/>
      <c r="I184" s="743">
        <v>159.04000000000002</v>
      </c>
      <c r="J184" s="757"/>
      <c r="K184" s="743">
        <f t="shared" si="51"/>
        <v>340.8</v>
      </c>
      <c r="L184" s="757"/>
      <c r="M184" s="780"/>
      <c r="N184" s="757"/>
      <c r="O184" s="780"/>
      <c r="P184" s="757"/>
      <c r="R184" s="757"/>
      <c r="S184" s="840">
        <f t="shared" ref="S184" si="52">+$E184*S$5</f>
        <v>1.0058880776088082</v>
      </c>
      <c r="T184" s="850"/>
      <c r="U184" s="850"/>
      <c r="V184" s="841"/>
      <c r="W184" s="987">
        <f t="shared" ref="W184" si="53">+Q184*SUM(S184:U184)</f>
        <v>0</v>
      </c>
      <c r="X184" s="841"/>
      <c r="Y184" s="858">
        <f t="shared" ref="Y184" si="54">+E184+SUM(S184:U184)</f>
        <v>12.365888077608808</v>
      </c>
      <c r="Z184" s="858">
        <f t="shared" ref="Z184" si="55">+Y184*Q184</f>
        <v>0</v>
      </c>
    </row>
    <row r="185" spans="1:26" s="740" customFormat="1" ht="12" customHeight="1">
      <c r="A185" s="761"/>
      <c r="B185" s="761"/>
      <c r="C185" s="757"/>
      <c r="D185" s="757"/>
      <c r="E185" s="757"/>
      <c r="F185" s="757"/>
      <c r="G185" s="743"/>
      <c r="H185" s="757"/>
      <c r="I185" s="743"/>
      <c r="J185" s="757"/>
      <c r="K185" s="743"/>
      <c r="L185" s="757"/>
      <c r="M185" s="744"/>
      <c r="N185" s="757"/>
      <c r="P185" s="757"/>
      <c r="R185" s="757"/>
      <c r="S185" s="762"/>
      <c r="T185" s="762"/>
      <c r="U185" s="762"/>
      <c r="V185" s="757"/>
      <c r="W185" s="854"/>
      <c r="X185" s="757"/>
      <c r="Y185" s="858"/>
    </row>
    <row r="186" spans="1:26" s="740" customFormat="1" ht="12" customHeight="1">
      <c r="A186" s="762"/>
      <c r="B186" s="763" t="s">
        <v>2052</v>
      </c>
      <c r="C186" s="757"/>
      <c r="D186" s="757"/>
      <c r="E186" s="757"/>
      <c r="F186" s="757"/>
      <c r="G186" s="764">
        <f>SUM(G182:G185)</f>
        <v>16161.310000000003</v>
      </c>
      <c r="H186" s="757"/>
      <c r="I186" s="764">
        <f>SUM(I182:I185)</f>
        <v>11766.590000000002</v>
      </c>
      <c r="J186" s="757"/>
      <c r="K186" s="764">
        <f>SUM(K182:K185)</f>
        <v>27927.900000000005</v>
      </c>
      <c r="L186" s="757"/>
      <c r="M186" s="744"/>
      <c r="N186" s="757"/>
      <c r="P186" s="757"/>
      <c r="R186" s="757"/>
      <c r="S186" s="762"/>
      <c r="T186" s="762"/>
      <c r="U186" s="762"/>
      <c r="V186" s="757"/>
      <c r="W186" s="855">
        <f>+SUM(W182:W185)</f>
        <v>0</v>
      </c>
      <c r="X186" s="757"/>
      <c r="Y186" s="855">
        <f>+SUM(Y182:Y185)</f>
        <v>12.365888077608808</v>
      </c>
      <c r="Z186" s="855">
        <f>+SUM(Z182:Z185)</f>
        <v>0</v>
      </c>
    </row>
    <row r="187" spans="1:26" ht="12" customHeight="1">
      <c r="A187" s="762"/>
      <c r="B187" s="763"/>
      <c r="C187" s="761"/>
      <c r="D187" s="761"/>
      <c r="E187" s="761"/>
      <c r="F187" s="761"/>
      <c r="H187" s="761"/>
      <c r="J187" s="761"/>
      <c r="L187" s="761"/>
      <c r="N187" s="761"/>
      <c r="P187" s="761"/>
      <c r="R187" s="761"/>
      <c r="S187" s="756"/>
      <c r="T187" s="756"/>
      <c r="U187" s="756"/>
      <c r="V187" s="761"/>
      <c r="W187" s="856"/>
      <c r="X187" s="761"/>
    </row>
    <row r="188" spans="1:26" ht="12" customHeight="1" thickBot="1">
      <c r="A188" s="745"/>
      <c r="B188" s="779" t="s">
        <v>2053</v>
      </c>
      <c r="C188" s="761"/>
      <c r="D188" s="761"/>
      <c r="E188" s="761"/>
      <c r="F188" s="761"/>
      <c r="G188" s="764">
        <f>SUM(G39,G44,G49,G141,G174,G179,G186)</f>
        <v>5828521.3299999991</v>
      </c>
      <c r="H188" s="761"/>
      <c r="I188" s="764">
        <f>SUM(I39,I44,I49,I141,I174,I179,I186)</f>
        <v>4441618.3000000007</v>
      </c>
      <c r="J188" s="761"/>
      <c r="K188" s="764">
        <f>SUM(K39,K44,K49,K141,K174,K179,K186)</f>
        <v>10270139.630000001</v>
      </c>
      <c r="L188" s="761"/>
      <c r="N188" s="761"/>
      <c r="P188" s="761"/>
      <c r="R188" s="761"/>
      <c r="S188" s="756"/>
      <c r="T188" s="756"/>
      <c r="U188" s="756"/>
      <c r="V188" s="761"/>
      <c r="W188" s="857">
        <f>+W186+W174+W141+W49+W44+W39</f>
        <v>738807.50778653834</v>
      </c>
      <c r="X188" s="761"/>
      <c r="Y188" s="857">
        <f>+Y186+Y174+Y141+Y49+Y44+Y39</f>
        <v>9173.5786370999722</v>
      </c>
      <c r="Z188" s="857">
        <f>+Z186+Z174+Z141+Z49+Z44+Z39</f>
        <v>9597140.7877865396</v>
      </c>
    </row>
    <row r="189" spans="1:26" ht="13.5" thickTop="1">
      <c r="A189" s="745"/>
      <c r="B189" s="745"/>
      <c r="C189" s="761"/>
      <c r="D189" s="761"/>
      <c r="E189" s="761"/>
      <c r="F189" s="761"/>
      <c r="H189" s="761"/>
      <c r="I189" s="784"/>
      <c r="J189" s="761"/>
      <c r="K189" s="784"/>
      <c r="L189" s="761"/>
      <c r="M189" s="785"/>
      <c r="N189" s="761"/>
      <c r="P189" s="761"/>
      <c r="R189" s="761"/>
      <c r="V189" s="761"/>
      <c r="X189" s="761"/>
    </row>
    <row r="193" spans="22:27" ht="15">
      <c r="W193" s="1247" t="s">
        <v>2487</v>
      </c>
      <c r="Y193" s="1247" t="s">
        <v>2488</v>
      </c>
    </row>
    <row r="194" spans="22:27">
      <c r="V194" s="1246" t="s">
        <v>1530</v>
      </c>
      <c r="W194" s="780">
        <f>'LG-Garbage'!E6</f>
        <v>753361.87195883447</v>
      </c>
      <c r="Y194" s="780">
        <f>SUM(W39,W141,W174)</f>
        <v>758727.34055017889</v>
      </c>
      <c r="Z194" s="780">
        <f>W194-Y194</f>
        <v>-5365.4685913444264</v>
      </c>
      <c r="AA194" s="1248">
        <f>Z194/W194</f>
        <v>-7.1220336349031594E-3</v>
      </c>
    </row>
    <row r="195" spans="22:27">
      <c r="V195" s="1246" t="s">
        <v>25</v>
      </c>
      <c r="W195" s="780">
        <f>'LG-Recycle'!E6</f>
        <v>-16060.301335595177</v>
      </c>
      <c r="Y195" s="780">
        <f>W44</f>
        <v>-16135.990612391939</v>
      </c>
      <c r="Z195" s="780">
        <f t="shared" ref="Z195:Z196" si="56">W195-Y195</f>
        <v>75.689276796761987</v>
      </c>
      <c r="AA195" s="1248">
        <f>Z195/W195</f>
        <v>-4.7128179736583399E-3</v>
      </c>
    </row>
    <row r="196" spans="22:27">
      <c r="V196" s="1246" t="s">
        <v>1511</v>
      </c>
      <c r="W196" s="780">
        <f>'LG-Yardwaste'!E6</f>
        <v>-3819.4462810303694</v>
      </c>
      <c r="Y196" s="780">
        <f>W47</f>
        <v>-3783.8421512486029</v>
      </c>
      <c r="Z196" s="780">
        <f t="shared" si="56"/>
        <v>-35.60412978176646</v>
      </c>
      <c r="AA196" s="1248">
        <f>Z196/W196</f>
        <v>9.3218040422764006E-3</v>
      </c>
    </row>
  </sheetData>
  <mergeCells count="1">
    <mergeCell ref="Y4:Z4"/>
  </mergeCells>
  <pageMargins left="0.7" right="0.7" top="0.75" bottom="0.75" header="0.3" footer="0.3"/>
  <pageSetup scale="70" pageOrder="overThenDown" orientation="landscape" r:id="rId1"/>
  <rowBreaks count="3" manualBreakCount="3">
    <brk id="60" max="27" man="1"/>
    <brk id="118" max="27" man="1"/>
    <brk id="174" max="27" man="1"/>
  </rowBreaks>
  <colBreaks count="2" manualBreakCount="2">
    <brk id="17" max="1048575" man="1"/>
    <brk id="28"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R484"/>
  <sheetViews>
    <sheetView view="pageBreakPreview" topLeftCell="A13" zoomScaleNormal="100" zoomScaleSheetLayoutView="100" workbookViewId="0">
      <selection activeCell="G20" sqref="G20"/>
    </sheetView>
  </sheetViews>
  <sheetFormatPr defaultColWidth="11.42578125" defaultRowHeight="10.5"/>
  <cols>
    <col min="1" max="1" width="39.140625" style="716" bestFit="1" customWidth="1"/>
    <col min="2" max="2" width="11.42578125" style="717" customWidth="1"/>
    <col min="3" max="3" width="1.5703125" style="716" customWidth="1"/>
    <col min="4" max="4" width="10.7109375" style="718" customWidth="1"/>
    <col min="5" max="5" width="1.5703125" style="719" customWidth="1"/>
    <col min="6" max="6" width="12.5703125" style="719" bestFit="1" customWidth="1"/>
    <col min="7" max="7" width="3.5703125" style="717" customWidth="1"/>
    <col min="8" max="8" width="10.5703125" style="717" customWidth="1"/>
    <col min="9" max="9" width="8.7109375" style="716" customWidth="1"/>
    <col min="10" max="10" width="4.5703125" style="717" customWidth="1"/>
    <col min="11" max="11" width="12.140625" style="716" customWidth="1"/>
    <col min="12" max="18" width="4.5703125" style="716" customWidth="1"/>
    <col min="19" max="254" width="11.42578125" style="716"/>
    <col min="255" max="255" width="24.28515625" style="716" customWidth="1"/>
    <col min="256" max="256" width="11.42578125" style="716" customWidth="1"/>
    <col min="257" max="257" width="1.5703125" style="716" customWidth="1"/>
    <col min="258" max="258" width="10.7109375" style="716" customWidth="1"/>
    <col min="259" max="259" width="1.5703125" style="716" customWidth="1"/>
    <col min="260" max="260" width="11.42578125" style="716" customWidth="1"/>
    <col min="261" max="261" width="11.7109375" style="716" customWidth="1"/>
    <col min="262" max="262" width="10.28515625" style="716" customWidth="1"/>
    <col min="263" max="263" width="10.7109375" style="716" customWidth="1"/>
    <col min="264" max="264" width="10.5703125" style="716" customWidth="1"/>
    <col min="265" max="265" width="8.7109375" style="716" customWidth="1"/>
    <col min="266" max="274" width="4.5703125" style="716" customWidth="1"/>
    <col min="275" max="510" width="11.42578125" style="716"/>
    <col min="511" max="511" width="24.28515625" style="716" customWidth="1"/>
    <col min="512" max="512" width="11.42578125" style="716" customWidth="1"/>
    <col min="513" max="513" width="1.5703125" style="716" customWidth="1"/>
    <col min="514" max="514" width="10.7109375" style="716" customWidth="1"/>
    <col min="515" max="515" width="1.5703125" style="716" customWidth="1"/>
    <col min="516" max="516" width="11.42578125" style="716" customWidth="1"/>
    <col min="517" max="517" width="11.7109375" style="716" customWidth="1"/>
    <col min="518" max="518" width="10.28515625" style="716" customWidth="1"/>
    <col min="519" max="519" width="10.7109375" style="716" customWidth="1"/>
    <col min="520" max="520" width="10.5703125" style="716" customWidth="1"/>
    <col min="521" max="521" width="8.7109375" style="716" customWidth="1"/>
    <col min="522" max="530" width="4.5703125" style="716" customWidth="1"/>
    <col min="531" max="766" width="11.42578125" style="716"/>
    <col min="767" max="767" width="24.28515625" style="716" customWidth="1"/>
    <col min="768" max="768" width="11.42578125" style="716" customWidth="1"/>
    <col min="769" max="769" width="1.5703125" style="716" customWidth="1"/>
    <col min="770" max="770" width="10.7109375" style="716" customWidth="1"/>
    <col min="771" max="771" width="1.5703125" style="716" customWidth="1"/>
    <col min="772" max="772" width="11.42578125" style="716" customWidth="1"/>
    <col min="773" max="773" width="11.7109375" style="716" customWidth="1"/>
    <col min="774" max="774" width="10.28515625" style="716" customWidth="1"/>
    <col min="775" max="775" width="10.7109375" style="716" customWidth="1"/>
    <col min="776" max="776" width="10.5703125" style="716" customWidth="1"/>
    <col min="777" max="777" width="8.7109375" style="716" customWidth="1"/>
    <col min="778" max="786" width="4.5703125" style="716" customWidth="1"/>
    <col min="787" max="1022" width="11.42578125" style="716"/>
    <col min="1023" max="1023" width="24.28515625" style="716" customWidth="1"/>
    <col min="1024" max="1024" width="11.42578125" style="716" customWidth="1"/>
    <col min="1025" max="1025" width="1.5703125" style="716" customWidth="1"/>
    <col min="1026" max="1026" width="10.7109375" style="716" customWidth="1"/>
    <col min="1027" max="1027" width="1.5703125" style="716" customWidth="1"/>
    <col min="1028" max="1028" width="11.42578125" style="716" customWidth="1"/>
    <col min="1029" max="1029" width="11.7109375" style="716" customWidth="1"/>
    <col min="1030" max="1030" width="10.28515625" style="716" customWidth="1"/>
    <col min="1031" max="1031" width="10.7109375" style="716" customWidth="1"/>
    <col min="1032" max="1032" width="10.5703125" style="716" customWidth="1"/>
    <col min="1033" max="1033" width="8.7109375" style="716" customWidth="1"/>
    <col min="1034" max="1042" width="4.5703125" style="716" customWidth="1"/>
    <col min="1043" max="1278" width="11.42578125" style="716"/>
    <col min="1279" max="1279" width="24.28515625" style="716" customWidth="1"/>
    <col min="1280" max="1280" width="11.42578125" style="716" customWidth="1"/>
    <col min="1281" max="1281" width="1.5703125" style="716" customWidth="1"/>
    <col min="1282" max="1282" width="10.7109375" style="716" customWidth="1"/>
    <col min="1283" max="1283" width="1.5703125" style="716" customWidth="1"/>
    <col min="1284" max="1284" width="11.42578125" style="716" customWidth="1"/>
    <col min="1285" max="1285" width="11.7109375" style="716" customWidth="1"/>
    <col min="1286" max="1286" width="10.28515625" style="716" customWidth="1"/>
    <col min="1287" max="1287" width="10.7109375" style="716" customWidth="1"/>
    <col min="1288" max="1288" width="10.5703125" style="716" customWidth="1"/>
    <col min="1289" max="1289" width="8.7109375" style="716" customWidth="1"/>
    <col min="1290" max="1298" width="4.5703125" style="716" customWidth="1"/>
    <col min="1299" max="1534" width="11.42578125" style="716"/>
    <col min="1535" max="1535" width="24.28515625" style="716" customWidth="1"/>
    <col min="1536" max="1536" width="11.42578125" style="716" customWidth="1"/>
    <col min="1537" max="1537" width="1.5703125" style="716" customWidth="1"/>
    <col min="1538" max="1538" width="10.7109375" style="716" customWidth="1"/>
    <col min="1539" max="1539" width="1.5703125" style="716" customWidth="1"/>
    <col min="1540" max="1540" width="11.42578125" style="716" customWidth="1"/>
    <col min="1541" max="1541" width="11.7109375" style="716" customWidth="1"/>
    <col min="1542" max="1542" width="10.28515625" style="716" customWidth="1"/>
    <col min="1543" max="1543" width="10.7109375" style="716" customWidth="1"/>
    <col min="1544" max="1544" width="10.5703125" style="716" customWidth="1"/>
    <col min="1545" max="1545" width="8.7109375" style="716" customWidth="1"/>
    <col min="1546" max="1554" width="4.5703125" style="716" customWidth="1"/>
    <col min="1555" max="1790" width="11.42578125" style="716"/>
    <col min="1791" max="1791" width="24.28515625" style="716" customWidth="1"/>
    <col min="1792" max="1792" width="11.42578125" style="716" customWidth="1"/>
    <col min="1793" max="1793" width="1.5703125" style="716" customWidth="1"/>
    <col min="1794" max="1794" width="10.7109375" style="716" customWidth="1"/>
    <col min="1795" max="1795" width="1.5703125" style="716" customWidth="1"/>
    <col min="1796" max="1796" width="11.42578125" style="716" customWidth="1"/>
    <col min="1797" max="1797" width="11.7109375" style="716" customWidth="1"/>
    <col min="1798" max="1798" width="10.28515625" style="716" customWidth="1"/>
    <col min="1799" max="1799" width="10.7109375" style="716" customWidth="1"/>
    <col min="1800" max="1800" width="10.5703125" style="716" customWidth="1"/>
    <col min="1801" max="1801" width="8.7109375" style="716" customWidth="1"/>
    <col min="1802" max="1810" width="4.5703125" style="716" customWidth="1"/>
    <col min="1811" max="2046" width="11.42578125" style="716"/>
    <col min="2047" max="2047" width="24.28515625" style="716" customWidth="1"/>
    <col min="2048" max="2048" width="11.42578125" style="716" customWidth="1"/>
    <col min="2049" max="2049" width="1.5703125" style="716" customWidth="1"/>
    <col min="2050" max="2050" width="10.7109375" style="716" customWidth="1"/>
    <col min="2051" max="2051" width="1.5703125" style="716" customWidth="1"/>
    <col min="2052" max="2052" width="11.42578125" style="716" customWidth="1"/>
    <col min="2053" max="2053" width="11.7109375" style="716" customWidth="1"/>
    <col min="2054" max="2054" width="10.28515625" style="716" customWidth="1"/>
    <col min="2055" max="2055" width="10.7109375" style="716" customWidth="1"/>
    <col min="2056" max="2056" width="10.5703125" style="716" customWidth="1"/>
    <col min="2057" max="2057" width="8.7109375" style="716" customWidth="1"/>
    <col min="2058" max="2066" width="4.5703125" style="716" customWidth="1"/>
    <col min="2067" max="2302" width="11.42578125" style="716"/>
    <col min="2303" max="2303" width="24.28515625" style="716" customWidth="1"/>
    <col min="2304" max="2304" width="11.42578125" style="716" customWidth="1"/>
    <col min="2305" max="2305" width="1.5703125" style="716" customWidth="1"/>
    <col min="2306" max="2306" width="10.7109375" style="716" customWidth="1"/>
    <col min="2307" max="2307" width="1.5703125" style="716" customWidth="1"/>
    <col min="2308" max="2308" width="11.42578125" style="716" customWidth="1"/>
    <col min="2309" max="2309" width="11.7109375" style="716" customWidth="1"/>
    <col min="2310" max="2310" width="10.28515625" style="716" customWidth="1"/>
    <col min="2311" max="2311" width="10.7109375" style="716" customWidth="1"/>
    <col min="2312" max="2312" width="10.5703125" style="716" customWidth="1"/>
    <col min="2313" max="2313" width="8.7109375" style="716" customWidth="1"/>
    <col min="2314" max="2322" width="4.5703125" style="716" customWidth="1"/>
    <col min="2323" max="2558" width="11.42578125" style="716"/>
    <col min="2559" max="2559" width="24.28515625" style="716" customWidth="1"/>
    <col min="2560" max="2560" width="11.42578125" style="716" customWidth="1"/>
    <col min="2561" max="2561" width="1.5703125" style="716" customWidth="1"/>
    <col min="2562" max="2562" width="10.7109375" style="716" customWidth="1"/>
    <col min="2563" max="2563" width="1.5703125" style="716" customWidth="1"/>
    <col min="2564" max="2564" width="11.42578125" style="716" customWidth="1"/>
    <col min="2565" max="2565" width="11.7109375" style="716" customWidth="1"/>
    <col min="2566" max="2566" width="10.28515625" style="716" customWidth="1"/>
    <col min="2567" max="2567" width="10.7109375" style="716" customWidth="1"/>
    <col min="2568" max="2568" width="10.5703125" style="716" customWidth="1"/>
    <col min="2569" max="2569" width="8.7109375" style="716" customWidth="1"/>
    <col min="2570" max="2578" width="4.5703125" style="716" customWidth="1"/>
    <col min="2579" max="2814" width="11.42578125" style="716"/>
    <col min="2815" max="2815" width="24.28515625" style="716" customWidth="1"/>
    <col min="2816" max="2816" width="11.42578125" style="716" customWidth="1"/>
    <col min="2817" max="2817" width="1.5703125" style="716" customWidth="1"/>
    <col min="2818" max="2818" width="10.7109375" style="716" customWidth="1"/>
    <col min="2819" max="2819" width="1.5703125" style="716" customWidth="1"/>
    <col min="2820" max="2820" width="11.42578125" style="716" customWidth="1"/>
    <col min="2821" max="2821" width="11.7109375" style="716" customWidth="1"/>
    <col min="2822" max="2822" width="10.28515625" style="716" customWidth="1"/>
    <col min="2823" max="2823" width="10.7109375" style="716" customWidth="1"/>
    <col min="2824" max="2824" width="10.5703125" style="716" customWidth="1"/>
    <col min="2825" max="2825" width="8.7109375" style="716" customWidth="1"/>
    <col min="2826" max="2834" width="4.5703125" style="716" customWidth="1"/>
    <col min="2835" max="3070" width="11.42578125" style="716"/>
    <col min="3071" max="3071" width="24.28515625" style="716" customWidth="1"/>
    <col min="3072" max="3072" width="11.42578125" style="716" customWidth="1"/>
    <col min="3073" max="3073" width="1.5703125" style="716" customWidth="1"/>
    <col min="3074" max="3074" width="10.7109375" style="716" customWidth="1"/>
    <col min="3075" max="3075" width="1.5703125" style="716" customWidth="1"/>
    <col min="3076" max="3076" width="11.42578125" style="716" customWidth="1"/>
    <col min="3077" max="3077" width="11.7109375" style="716" customWidth="1"/>
    <col min="3078" max="3078" width="10.28515625" style="716" customWidth="1"/>
    <col min="3079" max="3079" width="10.7109375" style="716" customWidth="1"/>
    <col min="3080" max="3080" width="10.5703125" style="716" customWidth="1"/>
    <col min="3081" max="3081" width="8.7109375" style="716" customWidth="1"/>
    <col min="3082" max="3090" width="4.5703125" style="716" customWidth="1"/>
    <col min="3091" max="3326" width="11.42578125" style="716"/>
    <col min="3327" max="3327" width="24.28515625" style="716" customWidth="1"/>
    <col min="3328" max="3328" width="11.42578125" style="716" customWidth="1"/>
    <col min="3329" max="3329" width="1.5703125" style="716" customWidth="1"/>
    <col min="3330" max="3330" width="10.7109375" style="716" customWidth="1"/>
    <col min="3331" max="3331" width="1.5703125" style="716" customWidth="1"/>
    <col min="3332" max="3332" width="11.42578125" style="716" customWidth="1"/>
    <col min="3333" max="3333" width="11.7109375" style="716" customWidth="1"/>
    <col min="3334" max="3334" width="10.28515625" style="716" customWidth="1"/>
    <col min="3335" max="3335" width="10.7109375" style="716" customWidth="1"/>
    <col min="3336" max="3336" width="10.5703125" style="716" customWidth="1"/>
    <col min="3337" max="3337" width="8.7109375" style="716" customWidth="1"/>
    <col min="3338" max="3346" width="4.5703125" style="716" customWidth="1"/>
    <col min="3347" max="3582" width="11.42578125" style="716"/>
    <col min="3583" max="3583" width="24.28515625" style="716" customWidth="1"/>
    <col min="3584" max="3584" width="11.42578125" style="716" customWidth="1"/>
    <col min="3585" max="3585" width="1.5703125" style="716" customWidth="1"/>
    <col min="3586" max="3586" width="10.7109375" style="716" customWidth="1"/>
    <col min="3587" max="3587" width="1.5703125" style="716" customWidth="1"/>
    <col min="3588" max="3588" width="11.42578125" style="716" customWidth="1"/>
    <col min="3589" max="3589" width="11.7109375" style="716" customWidth="1"/>
    <col min="3590" max="3590" width="10.28515625" style="716" customWidth="1"/>
    <col min="3591" max="3591" width="10.7109375" style="716" customWidth="1"/>
    <col min="3592" max="3592" width="10.5703125" style="716" customWidth="1"/>
    <col min="3593" max="3593" width="8.7109375" style="716" customWidth="1"/>
    <col min="3594" max="3602" width="4.5703125" style="716" customWidth="1"/>
    <col min="3603" max="3838" width="11.42578125" style="716"/>
    <col min="3839" max="3839" width="24.28515625" style="716" customWidth="1"/>
    <col min="3840" max="3840" width="11.42578125" style="716" customWidth="1"/>
    <col min="3841" max="3841" width="1.5703125" style="716" customWidth="1"/>
    <col min="3842" max="3842" width="10.7109375" style="716" customWidth="1"/>
    <col min="3843" max="3843" width="1.5703125" style="716" customWidth="1"/>
    <col min="3844" max="3844" width="11.42578125" style="716" customWidth="1"/>
    <col min="3845" max="3845" width="11.7109375" style="716" customWidth="1"/>
    <col min="3846" max="3846" width="10.28515625" style="716" customWidth="1"/>
    <col min="3847" max="3847" width="10.7109375" style="716" customWidth="1"/>
    <col min="3848" max="3848" width="10.5703125" style="716" customWidth="1"/>
    <col min="3849" max="3849" width="8.7109375" style="716" customWidth="1"/>
    <col min="3850" max="3858" width="4.5703125" style="716" customWidth="1"/>
    <col min="3859" max="4094" width="11.42578125" style="716"/>
    <col min="4095" max="4095" width="24.28515625" style="716" customWidth="1"/>
    <col min="4096" max="4096" width="11.42578125" style="716" customWidth="1"/>
    <col min="4097" max="4097" width="1.5703125" style="716" customWidth="1"/>
    <col min="4098" max="4098" width="10.7109375" style="716" customWidth="1"/>
    <col min="4099" max="4099" width="1.5703125" style="716" customWidth="1"/>
    <col min="4100" max="4100" width="11.42578125" style="716" customWidth="1"/>
    <col min="4101" max="4101" width="11.7109375" style="716" customWidth="1"/>
    <col min="4102" max="4102" width="10.28515625" style="716" customWidth="1"/>
    <col min="4103" max="4103" width="10.7109375" style="716" customWidth="1"/>
    <col min="4104" max="4104" width="10.5703125" style="716" customWidth="1"/>
    <col min="4105" max="4105" width="8.7109375" style="716" customWidth="1"/>
    <col min="4106" max="4114" width="4.5703125" style="716" customWidth="1"/>
    <col min="4115" max="4350" width="11.42578125" style="716"/>
    <col min="4351" max="4351" width="24.28515625" style="716" customWidth="1"/>
    <col min="4352" max="4352" width="11.42578125" style="716" customWidth="1"/>
    <col min="4353" max="4353" width="1.5703125" style="716" customWidth="1"/>
    <col min="4354" max="4354" width="10.7109375" style="716" customWidth="1"/>
    <col min="4355" max="4355" width="1.5703125" style="716" customWidth="1"/>
    <col min="4356" max="4356" width="11.42578125" style="716" customWidth="1"/>
    <col min="4357" max="4357" width="11.7109375" style="716" customWidth="1"/>
    <col min="4358" max="4358" width="10.28515625" style="716" customWidth="1"/>
    <col min="4359" max="4359" width="10.7109375" style="716" customWidth="1"/>
    <col min="4360" max="4360" width="10.5703125" style="716" customWidth="1"/>
    <col min="4361" max="4361" width="8.7109375" style="716" customWidth="1"/>
    <col min="4362" max="4370" width="4.5703125" style="716" customWidth="1"/>
    <col min="4371" max="4606" width="11.42578125" style="716"/>
    <col min="4607" max="4607" width="24.28515625" style="716" customWidth="1"/>
    <col min="4608" max="4608" width="11.42578125" style="716" customWidth="1"/>
    <col min="4609" max="4609" width="1.5703125" style="716" customWidth="1"/>
    <col min="4610" max="4610" width="10.7109375" style="716" customWidth="1"/>
    <col min="4611" max="4611" width="1.5703125" style="716" customWidth="1"/>
    <col min="4612" max="4612" width="11.42578125" style="716" customWidth="1"/>
    <col min="4613" max="4613" width="11.7109375" style="716" customWidth="1"/>
    <col min="4614" max="4614" width="10.28515625" style="716" customWidth="1"/>
    <col min="4615" max="4615" width="10.7109375" style="716" customWidth="1"/>
    <col min="4616" max="4616" width="10.5703125" style="716" customWidth="1"/>
    <col min="4617" max="4617" width="8.7109375" style="716" customWidth="1"/>
    <col min="4618" max="4626" width="4.5703125" style="716" customWidth="1"/>
    <col min="4627" max="4862" width="11.42578125" style="716"/>
    <col min="4863" max="4863" width="24.28515625" style="716" customWidth="1"/>
    <col min="4864" max="4864" width="11.42578125" style="716" customWidth="1"/>
    <col min="4865" max="4865" width="1.5703125" style="716" customWidth="1"/>
    <col min="4866" max="4866" width="10.7109375" style="716" customWidth="1"/>
    <col min="4867" max="4867" width="1.5703125" style="716" customWidth="1"/>
    <col min="4868" max="4868" width="11.42578125" style="716" customWidth="1"/>
    <col min="4869" max="4869" width="11.7109375" style="716" customWidth="1"/>
    <col min="4870" max="4870" width="10.28515625" style="716" customWidth="1"/>
    <col min="4871" max="4871" width="10.7109375" style="716" customWidth="1"/>
    <col min="4872" max="4872" width="10.5703125" style="716" customWidth="1"/>
    <col min="4873" max="4873" width="8.7109375" style="716" customWidth="1"/>
    <col min="4874" max="4882" width="4.5703125" style="716" customWidth="1"/>
    <col min="4883" max="5118" width="11.42578125" style="716"/>
    <col min="5119" max="5119" width="24.28515625" style="716" customWidth="1"/>
    <col min="5120" max="5120" width="11.42578125" style="716" customWidth="1"/>
    <col min="5121" max="5121" width="1.5703125" style="716" customWidth="1"/>
    <col min="5122" max="5122" width="10.7109375" style="716" customWidth="1"/>
    <col min="5123" max="5123" width="1.5703125" style="716" customWidth="1"/>
    <col min="5124" max="5124" width="11.42578125" style="716" customWidth="1"/>
    <col min="5125" max="5125" width="11.7109375" style="716" customWidth="1"/>
    <col min="5126" max="5126" width="10.28515625" style="716" customWidth="1"/>
    <col min="5127" max="5127" width="10.7109375" style="716" customWidth="1"/>
    <col min="5128" max="5128" width="10.5703125" style="716" customWidth="1"/>
    <col min="5129" max="5129" width="8.7109375" style="716" customWidth="1"/>
    <col min="5130" max="5138" width="4.5703125" style="716" customWidth="1"/>
    <col min="5139" max="5374" width="11.42578125" style="716"/>
    <col min="5375" max="5375" width="24.28515625" style="716" customWidth="1"/>
    <col min="5376" max="5376" width="11.42578125" style="716" customWidth="1"/>
    <col min="5377" max="5377" width="1.5703125" style="716" customWidth="1"/>
    <col min="5378" max="5378" width="10.7109375" style="716" customWidth="1"/>
    <col min="5379" max="5379" width="1.5703125" style="716" customWidth="1"/>
    <col min="5380" max="5380" width="11.42578125" style="716" customWidth="1"/>
    <col min="5381" max="5381" width="11.7109375" style="716" customWidth="1"/>
    <col min="5382" max="5382" width="10.28515625" style="716" customWidth="1"/>
    <col min="5383" max="5383" width="10.7109375" style="716" customWidth="1"/>
    <col min="5384" max="5384" width="10.5703125" style="716" customWidth="1"/>
    <col min="5385" max="5385" width="8.7109375" style="716" customWidth="1"/>
    <col min="5386" max="5394" width="4.5703125" style="716" customWidth="1"/>
    <col min="5395" max="5630" width="11.42578125" style="716"/>
    <col min="5631" max="5631" width="24.28515625" style="716" customWidth="1"/>
    <col min="5632" max="5632" width="11.42578125" style="716" customWidth="1"/>
    <col min="5633" max="5633" width="1.5703125" style="716" customWidth="1"/>
    <col min="5634" max="5634" width="10.7109375" style="716" customWidth="1"/>
    <col min="5635" max="5635" width="1.5703125" style="716" customWidth="1"/>
    <col min="5636" max="5636" width="11.42578125" style="716" customWidth="1"/>
    <col min="5637" max="5637" width="11.7109375" style="716" customWidth="1"/>
    <col min="5638" max="5638" width="10.28515625" style="716" customWidth="1"/>
    <col min="5639" max="5639" width="10.7109375" style="716" customWidth="1"/>
    <col min="5640" max="5640" width="10.5703125" style="716" customWidth="1"/>
    <col min="5641" max="5641" width="8.7109375" style="716" customWidth="1"/>
    <col min="5642" max="5650" width="4.5703125" style="716" customWidth="1"/>
    <col min="5651" max="5886" width="11.42578125" style="716"/>
    <col min="5887" max="5887" width="24.28515625" style="716" customWidth="1"/>
    <col min="5888" max="5888" width="11.42578125" style="716" customWidth="1"/>
    <col min="5889" max="5889" width="1.5703125" style="716" customWidth="1"/>
    <col min="5890" max="5890" width="10.7109375" style="716" customWidth="1"/>
    <col min="5891" max="5891" width="1.5703125" style="716" customWidth="1"/>
    <col min="5892" max="5892" width="11.42578125" style="716" customWidth="1"/>
    <col min="5893" max="5893" width="11.7109375" style="716" customWidth="1"/>
    <col min="5894" max="5894" width="10.28515625" style="716" customWidth="1"/>
    <col min="5895" max="5895" width="10.7109375" style="716" customWidth="1"/>
    <col min="5896" max="5896" width="10.5703125" style="716" customWidth="1"/>
    <col min="5897" max="5897" width="8.7109375" style="716" customWidth="1"/>
    <col min="5898" max="5906" width="4.5703125" style="716" customWidth="1"/>
    <col min="5907" max="6142" width="11.42578125" style="716"/>
    <col min="6143" max="6143" width="24.28515625" style="716" customWidth="1"/>
    <col min="6144" max="6144" width="11.42578125" style="716" customWidth="1"/>
    <col min="6145" max="6145" width="1.5703125" style="716" customWidth="1"/>
    <col min="6146" max="6146" width="10.7109375" style="716" customWidth="1"/>
    <col min="6147" max="6147" width="1.5703125" style="716" customWidth="1"/>
    <col min="6148" max="6148" width="11.42578125" style="716" customWidth="1"/>
    <col min="6149" max="6149" width="11.7109375" style="716" customWidth="1"/>
    <col min="6150" max="6150" width="10.28515625" style="716" customWidth="1"/>
    <col min="6151" max="6151" width="10.7109375" style="716" customWidth="1"/>
    <col min="6152" max="6152" width="10.5703125" style="716" customWidth="1"/>
    <col min="6153" max="6153" width="8.7109375" style="716" customWidth="1"/>
    <col min="6154" max="6162" width="4.5703125" style="716" customWidth="1"/>
    <col min="6163" max="6398" width="11.42578125" style="716"/>
    <col min="6399" max="6399" width="24.28515625" style="716" customWidth="1"/>
    <col min="6400" max="6400" width="11.42578125" style="716" customWidth="1"/>
    <col min="6401" max="6401" width="1.5703125" style="716" customWidth="1"/>
    <col min="6402" max="6402" width="10.7109375" style="716" customWidth="1"/>
    <col min="6403" max="6403" width="1.5703125" style="716" customWidth="1"/>
    <col min="6404" max="6404" width="11.42578125" style="716" customWidth="1"/>
    <col min="6405" max="6405" width="11.7109375" style="716" customWidth="1"/>
    <col min="6406" max="6406" width="10.28515625" style="716" customWidth="1"/>
    <col min="6407" max="6407" width="10.7109375" style="716" customWidth="1"/>
    <col min="6408" max="6408" width="10.5703125" style="716" customWidth="1"/>
    <col min="6409" max="6409" width="8.7109375" style="716" customWidth="1"/>
    <col min="6410" max="6418" width="4.5703125" style="716" customWidth="1"/>
    <col min="6419" max="6654" width="11.42578125" style="716"/>
    <col min="6655" max="6655" width="24.28515625" style="716" customWidth="1"/>
    <col min="6656" max="6656" width="11.42578125" style="716" customWidth="1"/>
    <col min="6657" max="6657" width="1.5703125" style="716" customWidth="1"/>
    <col min="6658" max="6658" width="10.7109375" style="716" customWidth="1"/>
    <col min="6659" max="6659" width="1.5703125" style="716" customWidth="1"/>
    <col min="6660" max="6660" width="11.42578125" style="716" customWidth="1"/>
    <col min="6661" max="6661" width="11.7109375" style="716" customWidth="1"/>
    <col min="6662" max="6662" width="10.28515625" style="716" customWidth="1"/>
    <col min="6663" max="6663" width="10.7109375" style="716" customWidth="1"/>
    <col min="6664" max="6664" width="10.5703125" style="716" customWidth="1"/>
    <col min="6665" max="6665" width="8.7109375" style="716" customWidth="1"/>
    <col min="6666" max="6674" width="4.5703125" style="716" customWidth="1"/>
    <col min="6675" max="6910" width="11.42578125" style="716"/>
    <col min="6911" max="6911" width="24.28515625" style="716" customWidth="1"/>
    <col min="6912" max="6912" width="11.42578125" style="716" customWidth="1"/>
    <col min="6913" max="6913" width="1.5703125" style="716" customWidth="1"/>
    <col min="6914" max="6914" width="10.7109375" style="716" customWidth="1"/>
    <col min="6915" max="6915" width="1.5703125" style="716" customWidth="1"/>
    <col min="6916" max="6916" width="11.42578125" style="716" customWidth="1"/>
    <col min="6917" max="6917" width="11.7109375" style="716" customWidth="1"/>
    <col min="6918" max="6918" width="10.28515625" style="716" customWidth="1"/>
    <col min="6919" max="6919" width="10.7109375" style="716" customWidth="1"/>
    <col min="6920" max="6920" width="10.5703125" style="716" customWidth="1"/>
    <col min="6921" max="6921" width="8.7109375" style="716" customWidth="1"/>
    <col min="6922" max="6930" width="4.5703125" style="716" customWidth="1"/>
    <col min="6931" max="7166" width="11.42578125" style="716"/>
    <col min="7167" max="7167" width="24.28515625" style="716" customWidth="1"/>
    <col min="7168" max="7168" width="11.42578125" style="716" customWidth="1"/>
    <col min="7169" max="7169" width="1.5703125" style="716" customWidth="1"/>
    <col min="7170" max="7170" width="10.7109375" style="716" customWidth="1"/>
    <col min="7171" max="7171" width="1.5703125" style="716" customWidth="1"/>
    <col min="7172" max="7172" width="11.42578125" style="716" customWidth="1"/>
    <col min="7173" max="7173" width="11.7109375" style="716" customWidth="1"/>
    <col min="7174" max="7174" width="10.28515625" style="716" customWidth="1"/>
    <col min="7175" max="7175" width="10.7109375" style="716" customWidth="1"/>
    <col min="7176" max="7176" width="10.5703125" style="716" customWidth="1"/>
    <col min="7177" max="7177" width="8.7109375" style="716" customWidth="1"/>
    <col min="7178" max="7186" width="4.5703125" style="716" customWidth="1"/>
    <col min="7187" max="7422" width="11.42578125" style="716"/>
    <col min="7423" max="7423" width="24.28515625" style="716" customWidth="1"/>
    <col min="7424" max="7424" width="11.42578125" style="716" customWidth="1"/>
    <col min="7425" max="7425" width="1.5703125" style="716" customWidth="1"/>
    <col min="7426" max="7426" width="10.7109375" style="716" customWidth="1"/>
    <col min="7427" max="7427" width="1.5703125" style="716" customWidth="1"/>
    <col min="7428" max="7428" width="11.42578125" style="716" customWidth="1"/>
    <col min="7429" max="7429" width="11.7109375" style="716" customWidth="1"/>
    <col min="7430" max="7430" width="10.28515625" style="716" customWidth="1"/>
    <col min="7431" max="7431" width="10.7109375" style="716" customWidth="1"/>
    <col min="7432" max="7432" width="10.5703125" style="716" customWidth="1"/>
    <col min="7433" max="7433" width="8.7109375" style="716" customWidth="1"/>
    <col min="7434" max="7442" width="4.5703125" style="716" customWidth="1"/>
    <col min="7443" max="7678" width="11.42578125" style="716"/>
    <col min="7679" max="7679" width="24.28515625" style="716" customWidth="1"/>
    <col min="7680" max="7680" width="11.42578125" style="716" customWidth="1"/>
    <col min="7681" max="7681" width="1.5703125" style="716" customWidth="1"/>
    <col min="7682" max="7682" width="10.7109375" style="716" customWidth="1"/>
    <col min="7683" max="7683" width="1.5703125" style="716" customWidth="1"/>
    <col min="7684" max="7684" width="11.42578125" style="716" customWidth="1"/>
    <col min="7685" max="7685" width="11.7109375" style="716" customWidth="1"/>
    <col min="7686" max="7686" width="10.28515625" style="716" customWidth="1"/>
    <col min="7687" max="7687" width="10.7109375" style="716" customWidth="1"/>
    <col min="7688" max="7688" width="10.5703125" style="716" customWidth="1"/>
    <col min="7689" max="7689" width="8.7109375" style="716" customWidth="1"/>
    <col min="7690" max="7698" width="4.5703125" style="716" customWidth="1"/>
    <col min="7699" max="7934" width="11.42578125" style="716"/>
    <col min="7935" max="7935" width="24.28515625" style="716" customWidth="1"/>
    <col min="7936" max="7936" width="11.42578125" style="716" customWidth="1"/>
    <col min="7937" max="7937" width="1.5703125" style="716" customWidth="1"/>
    <col min="7938" max="7938" width="10.7109375" style="716" customWidth="1"/>
    <col min="7939" max="7939" width="1.5703125" style="716" customWidth="1"/>
    <col min="7940" max="7940" width="11.42578125" style="716" customWidth="1"/>
    <col min="7941" max="7941" width="11.7109375" style="716" customWidth="1"/>
    <col min="7942" max="7942" width="10.28515625" style="716" customWidth="1"/>
    <col min="7943" max="7943" width="10.7109375" style="716" customWidth="1"/>
    <col min="7944" max="7944" width="10.5703125" style="716" customWidth="1"/>
    <col min="7945" max="7945" width="8.7109375" style="716" customWidth="1"/>
    <col min="7946" max="7954" width="4.5703125" style="716" customWidth="1"/>
    <col min="7955" max="8190" width="11.42578125" style="716"/>
    <col min="8191" max="8191" width="24.28515625" style="716" customWidth="1"/>
    <col min="8192" max="8192" width="11.42578125" style="716" customWidth="1"/>
    <col min="8193" max="8193" width="1.5703125" style="716" customWidth="1"/>
    <col min="8194" max="8194" width="10.7109375" style="716" customWidth="1"/>
    <col min="8195" max="8195" width="1.5703125" style="716" customWidth="1"/>
    <col min="8196" max="8196" width="11.42578125" style="716" customWidth="1"/>
    <col min="8197" max="8197" width="11.7109375" style="716" customWidth="1"/>
    <col min="8198" max="8198" width="10.28515625" style="716" customWidth="1"/>
    <col min="8199" max="8199" width="10.7109375" style="716" customWidth="1"/>
    <col min="8200" max="8200" width="10.5703125" style="716" customWidth="1"/>
    <col min="8201" max="8201" width="8.7109375" style="716" customWidth="1"/>
    <col min="8202" max="8210" width="4.5703125" style="716" customWidth="1"/>
    <col min="8211" max="8446" width="11.42578125" style="716"/>
    <col min="8447" max="8447" width="24.28515625" style="716" customWidth="1"/>
    <col min="8448" max="8448" width="11.42578125" style="716" customWidth="1"/>
    <col min="8449" max="8449" width="1.5703125" style="716" customWidth="1"/>
    <col min="8450" max="8450" width="10.7109375" style="716" customWidth="1"/>
    <col min="8451" max="8451" width="1.5703125" style="716" customWidth="1"/>
    <col min="8452" max="8452" width="11.42578125" style="716" customWidth="1"/>
    <col min="8453" max="8453" width="11.7109375" style="716" customWidth="1"/>
    <col min="8454" max="8454" width="10.28515625" style="716" customWidth="1"/>
    <col min="8455" max="8455" width="10.7109375" style="716" customWidth="1"/>
    <col min="8456" max="8456" width="10.5703125" style="716" customWidth="1"/>
    <col min="8457" max="8457" width="8.7109375" style="716" customWidth="1"/>
    <col min="8458" max="8466" width="4.5703125" style="716" customWidth="1"/>
    <col min="8467" max="8702" width="11.42578125" style="716"/>
    <col min="8703" max="8703" width="24.28515625" style="716" customWidth="1"/>
    <col min="8704" max="8704" width="11.42578125" style="716" customWidth="1"/>
    <col min="8705" max="8705" width="1.5703125" style="716" customWidth="1"/>
    <col min="8706" max="8706" width="10.7109375" style="716" customWidth="1"/>
    <col min="8707" max="8707" width="1.5703125" style="716" customWidth="1"/>
    <col min="8708" max="8708" width="11.42578125" style="716" customWidth="1"/>
    <col min="8709" max="8709" width="11.7109375" style="716" customWidth="1"/>
    <col min="8710" max="8710" width="10.28515625" style="716" customWidth="1"/>
    <col min="8711" max="8711" width="10.7109375" style="716" customWidth="1"/>
    <col min="8712" max="8712" width="10.5703125" style="716" customWidth="1"/>
    <col min="8713" max="8713" width="8.7109375" style="716" customWidth="1"/>
    <col min="8714" max="8722" width="4.5703125" style="716" customWidth="1"/>
    <col min="8723" max="8958" width="11.42578125" style="716"/>
    <col min="8959" max="8959" width="24.28515625" style="716" customWidth="1"/>
    <col min="8960" max="8960" width="11.42578125" style="716" customWidth="1"/>
    <col min="8961" max="8961" width="1.5703125" style="716" customWidth="1"/>
    <col min="8962" max="8962" width="10.7109375" style="716" customWidth="1"/>
    <col min="8963" max="8963" width="1.5703125" style="716" customWidth="1"/>
    <col min="8964" max="8964" width="11.42578125" style="716" customWidth="1"/>
    <col min="8965" max="8965" width="11.7109375" style="716" customWidth="1"/>
    <col min="8966" max="8966" width="10.28515625" style="716" customWidth="1"/>
    <col min="8967" max="8967" width="10.7109375" style="716" customWidth="1"/>
    <col min="8968" max="8968" width="10.5703125" style="716" customWidth="1"/>
    <col min="8969" max="8969" width="8.7109375" style="716" customWidth="1"/>
    <col min="8970" max="8978" width="4.5703125" style="716" customWidth="1"/>
    <col min="8979" max="9214" width="11.42578125" style="716"/>
    <col min="9215" max="9215" width="24.28515625" style="716" customWidth="1"/>
    <col min="9216" max="9216" width="11.42578125" style="716" customWidth="1"/>
    <col min="9217" max="9217" width="1.5703125" style="716" customWidth="1"/>
    <col min="9218" max="9218" width="10.7109375" style="716" customWidth="1"/>
    <col min="9219" max="9219" width="1.5703125" style="716" customWidth="1"/>
    <col min="9220" max="9220" width="11.42578125" style="716" customWidth="1"/>
    <col min="9221" max="9221" width="11.7109375" style="716" customWidth="1"/>
    <col min="9222" max="9222" width="10.28515625" style="716" customWidth="1"/>
    <col min="9223" max="9223" width="10.7109375" style="716" customWidth="1"/>
    <col min="9224" max="9224" width="10.5703125" style="716" customWidth="1"/>
    <col min="9225" max="9225" width="8.7109375" style="716" customWidth="1"/>
    <col min="9226" max="9234" width="4.5703125" style="716" customWidth="1"/>
    <col min="9235" max="9470" width="11.42578125" style="716"/>
    <col min="9471" max="9471" width="24.28515625" style="716" customWidth="1"/>
    <col min="9472" max="9472" width="11.42578125" style="716" customWidth="1"/>
    <col min="9473" max="9473" width="1.5703125" style="716" customWidth="1"/>
    <col min="9474" max="9474" width="10.7109375" style="716" customWidth="1"/>
    <col min="9475" max="9475" width="1.5703125" style="716" customWidth="1"/>
    <col min="9476" max="9476" width="11.42578125" style="716" customWidth="1"/>
    <col min="9477" max="9477" width="11.7109375" style="716" customWidth="1"/>
    <col min="9478" max="9478" width="10.28515625" style="716" customWidth="1"/>
    <col min="9479" max="9479" width="10.7109375" style="716" customWidth="1"/>
    <col min="9480" max="9480" width="10.5703125" style="716" customWidth="1"/>
    <col min="9481" max="9481" width="8.7109375" style="716" customWidth="1"/>
    <col min="9482" max="9490" width="4.5703125" style="716" customWidth="1"/>
    <col min="9491" max="9726" width="11.42578125" style="716"/>
    <col min="9727" max="9727" width="24.28515625" style="716" customWidth="1"/>
    <col min="9728" max="9728" width="11.42578125" style="716" customWidth="1"/>
    <col min="9729" max="9729" width="1.5703125" style="716" customWidth="1"/>
    <col min="9730" max="9730" width="10.7109375" style="716" customWidth="1"/>
    <col min="9731" max="9731" width="1.5703125" style="716" customWidth="1"/>
    <col min="9732" max="9732" width="11.42578125" style="716" customWidth="1"/>
    <col min="9733" max="9733" width="11.7109375" style="716" customWidth="1"/>
    <col min="9734" max="9734" width="10.28515625" style="716" customWidth="1"/>
    <col min="9735" max="9735" width="10.7109375" style="716" customWidth="1"/>
    <col min="9736" max="9736" width="10.5703125" style="716" customWidth="1"/>
    <col min="9737" max="9737" width="8.7109375" style="716" customWidth="1"/>
    <col min="9738" max="9746" width="4.5703125" style="716" customWidth="1"/>
    <col min="9747" max="9982" width="11.42578125" style="716"/>
    <col min="9983" max="9983" width="24.28515625" style="716" customWidth="1"/>
    <col min="9984" max="9984" width="11.42578125" style="716" customWidth="1"/>
    <col min="9985" max="9985" width="1.5703125" style="716" customWidth="1"/>
    <col min="9986" max="9986" width="10.7109375" style="716" customWidth="1"/>
    <col min="9987" max="9987" width="1.5703125" style="716" customWidth="1"/>
    <col min="9988" max="9988" width="11.42578125" style="716" customWidth="1"/>
    <col min="9989" max="9989" width="11.7109375" style="716" customWidth="1"/>
    <col min="9990" max="9990" width="10.28515625" style="716" customWidth="1"/>
    <col min="9991" max="9991" width="10.7109375" style="716" customWidth="1"/>
    <col min="9992" max="9992" width="10.5703125" style="716" customWidth="1"/>
    <col min="9993" max="9993" width="8.7109375" style="716" customWidth="1"/>
    <col min="9994" max="10002" width="4.5703125" style="716" customWidth="1"/>
    <col min="10003" max="10238" width="11.42578125" style="716"/>
    <col min="10239" max="10239" width="24.28515625" style="716" customWidth="1"/>
    <col min="10240" max="10240" width="11.42578125" style="716" customWidth="1"/>
    <col min="10241" max="10241" width="1.5703125" style="716" customWidth="1"/>
    <col min="10242" max="10242" width="10.7109375" style="716" customWidth="1"/>
    <col min="10243" max="10243" width="1.5703125" style="716" customWidth="1"/>
    <col min="10244" max="10244" width="11.42578125" style="716" customWidth="1"/>
    <col min="10245" max="10245" width="11.7109375" style="716" customWidth="1"/>
    <col min="10246" max="10246" width="10.28515625" style="716" customWidth="1"/>
    <col min="10247" max="10247" width="10.7109375" style="716" customWidth="1"/>
    <col min="10248" max="10248" width="10.5703125" style="716" customWidth="1"/>
    <col min="10249" max="10249" width="8.7109375" style="716" customWidth="1"/>
    <col min="10250" max="10258" width="4.5703125" style="716" customWidth="1"/>
    <col min="10259" max="10494" width="11.42578125" style="716"/>
    <col min="10495" max="10495" width="24.28515625" style="716" customWidth="1"/>
    <col min="10496" max="10496" width="11.42578125" style="716" customWidth="1"/>
    <col min="10497" max="10497" width="1.5703125" style="716" customWidth="1"/>
    <col min="10498" max="10498" width="10.7109375" style="716" customWidth="1"/>
    <col min="10499" max="10499" width="1.5703125" style="716" customWidth="1"/>
    <col min="10500" max="10500" width="11.42578125" style="716" customWidth="1"/>
    <col min="10501" max="10501" width="11.7109375" style="716" customWidth="1"/>
    <col min="10502" max="10502" width="10.28515625" style="716" customWidth="1"/>
    <col min="10503" max="10503" width="10.7109375" style="716" customWidth="1"/>
    <col min="10504" max="10504" width="10.5703125" style="716" customWidth="1"/>
    <col min="10505" max="10505" width="8.7109375" style="716" customWidth="1"/>
    <col min="10506" max="10514" width="4.5703125" style="716" customWidth="1"/>
    <col min="10515" max="10750" width="11.42578125" style="716"/>
    <col min="10751" max="10751" width="24.28515625" style="716" customWidth="1"/>
    <col min="10752" max="10752" width="11.42578125" style="716" customWidth="1"/>
    <col min="10753" max="10753" width="1.5703125" style="716" customWidth="1"/>
    <col min="10754" max="10754" width="10.7109375" style="716" customWidth="1"/>
    <col min="10755" max="10755" width="1.5703125" style="716" customWidth="1"/>
    <col min="10756" max="10756" width="11.42578125" style="716" customWidth="1"/>
    <col min="10757" max="10757" width="11.7109375" style="716" customWidth="1"/>
    <col min="10758" max="10758" width="10.28515625" style="716" customWidth="1"/>
    <col min="10759" max="10759" width="10.7109375" style="716" customWidth="1"/>
    <col min="10760" max="10760" width="10.5703125" style="716" customWidth="1"/>
    <col min="10761" max="10761" width="8.7109375" style="716" customWidth="1"/>
    <col min="10762" max="10770" width="4.5703125" style="716" customWidth="1"/>
    <col min="10771" max="11006" width="11.42578125" style="716"/>
    <col min="11007" max="11007" width="24.28515625" style="716" customWidth="1"/>
    <col min="11008" max="11008" width="11.42578125" style="716" customWidth="1"/>
    <col min="11009" max="11009" width="1.5703125" style="716" customWidth="1"/>
    <col min="11010" max="11010" width="10.7109375" style="716" customWidth="1"/>
    <col min="11011" max="11011" width="1.5703125" style="716" customWidth="1"/>
    <col min="11012" max="11012" width="11.42578125" style="716" customWidth="1"/>
    <col min="11013" max="11013" width="11.7109375" style="716" customWidth="1"/>
    <col min="11014" max="11014" width="10.28515625" style="716" customWidth="1"/>
    <col min="11015" max="11015" width="10.7109375" style="716" customWidth="1"/>
    <col min="11016" max="11016" width="10.5703125" style="716" customWidth="1"/>
    <col min="11017" max="11017" width="8.7109375" style="716" customWidth="1"/>
    <col min="11018" max="11026" width="4.5703125" style="716" customWidth="1"/>
    <col min="11027" max="11262" width="11.42578125" style="716"/>
    <col min="11263" max="11263" width="24.28515625" style="716" customWidth="1"/>
    <col min="11264" max="11264" width="11.42578125" style="716" customWidth="1"/>
    <col min="11265" max="11265" width="1.5703125" style="716" customWidth="1"/>
    <col min="11266" max="11266" width="10.7109375" style="716" customWidth="1"/>
    <col min="11267" max="11267" width="1.5703125" style="716" customWidth="1"/>
    <col min="11268" max="11268" width="11.42578125" style="716" customWidth="1"/>
    <col min="11269" max="11269" width="11.7109375" style="716" customWidth="1"/>
    <col min="11270" max="11270" width="10.28515625" style="716" customWidth="1"/>
    <col min="11271" max="11271" width="10.7109375" style="716" customWidth="1"/>
    <col min="11272" max="11272" width="10.5703125" style="716" customWidth="1"/>
    <col min="11273" max="11273" width="8.7109375" style="716" customWidth="1"/>
    <col min="11274" max="11282" width="4.5703125" style="716" customWidth="1"/>
    <col min="11283" max="11518" width="11.42578125" style="716"/>
    <col min="11519" max="11519" width="24.28515625" style="716" customWidth="1"/>
    <col min="11520" max="11520" width="11.42578125" style="716" customWidth="1"/>
    <col min="11521" max="11521" width="1.5703125" style="716" customWidth="1"/>
    <col min="11522" max="11522" width="10.7109375" style="716" customWidth="1"/>
    <col min="11523" max="11523" width="1.5703125" style="716" customWidth="1"/>
    <col min="11524" max="11524" width="11.42578125" style="716" customWidth="1"/>
    <col min="11525" max="11525" width="11.7109375" style="716" customWidth="1"/>
    <col min="11526" max="11526" width="10.28515625" style="716" customWidth="1"/>
    <col min="11527" max="11527" width="10.7109375" style="716" customWidth="1"/>
    <col min="11528" max="11528" width="10.5703125" style="716" customWidth="1"/>
    <col min="11529" max="11529" width="8.7109375" style="716" customWidth="1"/>
    <col min="11530" max="11538" width="4.5703125" style="716" customWidth="1"/>
    <col min="11539" max="11774" width="11.42578125" style="716"/>
    <col min="11775" max="11775" width="24.28515625" style="716" customWidth="1"/>
    <col min="11776" max="11776" width="11.42578125" style="716" customWidth="1"/>
    <col min="11777" max="11777" width="1.5703125" style="716" customWidth="1"/>
    <col min="11778" max="11778" width="10.7109375" style="716" customWidth="1"/>
    <col min="11779" max="11779" width="1.5703125" style="716" customWidth="1"/>
    <col min="11780" max="11780" width="11.42578125" style="716" customWidth="1"/>
    <col min="11781" max="11781" width="11.7109375" style="716" customWidth="1"/>
    <col min="11782" max="11782" width="10.28515625" style="716" customWidth="1"/>
    <col min="11783" max="11783" width="10.7109375" style="716" customWidth="1"/>
    <col min="11784" max="11784" width="10.5703125" style="716" customWidth="1"/>
    <col min="11785" max="11785" width="8.7109375" style="716" customWidth="1"/>
    <col min="11786" max="11794" width="4.5703125" style="716" customWidth="1"/>
    <col min="11795" max="12030" width="11.42578125" style="716"/>
    <col min="12031" max="12031" width="24.28515625" style="716" customWidth="1"/>
    <col min="12032" max="12032" width="11.42578125" style="716" customWidth="1"/>
    <col min="12033" max="12033" width="1.5703125" style="716" customWidth="1"/>
    <col min="12034" max="12034" width="10.7109375" style="716" customWidth="1"/>
    <col min="12035" max="12035" width="1.5703125" style="716" customWidth="1"/>
    <col min="12036" max="12036" width="11.42578125" style="716" customWidth="1"/>
    <col min="12037" max="12037" width="11.7109375" style="716" customWidth="1"/>
    <col min="12038" max="12038" width="10.28515625" style="716" customWidth="1"/>
    <col min="12039" max="12039" width="10.7109375" style="716" customWidth="1"/>
    <col min="12040" max="12040" width="10.5703125" style="716" customWidth="1"/>
    <col min="12041" max="12041" width="8.7109375" style="716" customWidth="1"/>
    <col min="12042" max="12050" width="4.5703125" style="716" customWidth="1"/>
    <col min="12051" max="12286" width="11.42578125" style="716"/>
    <col min="12287" max="12287" width="24.28515625" style="716" customWidth="1"/>
    <col min="12288" max="12288" width="11.42578125" style="716" customWidth="1"/>
    <col min="12289" max="12289" width="1.5703125" style="716" customWidth="1"/>
    <col min="12290" max="12290" width="10.7109375" style="716" customWidth="1"/>
    <col min="12291" max="12291" width="1.5703125" style="716" customWidth="1"/>
    <col min="12292" max="12292" width="11.42578125" style="716" customWidth="1"/>
    <col min="12293" max="12293" width="11.7109375" style="716" customWidth="1"/>
    <col min="12294" max="12294" width="10.28515625" style="716" customWidth="1"/>
    <col min="12295" max="12295" width="10.7109375" style="716" customWidth="1"/>
    <col min="12296" max="12296" width="10.5703125" style="716" customWidth="1"/>
    <col min="12297" max="12297" width="8.7109375" style="716" customWidth="1"/>
    <col min="12298" max="12306" width="4.5703125" style="716" customWidth="1"/>
    <col min="12307" max="12542" width="11.42578125" style="716"/>
    <col min="12543" max="12543" width="24.28515625" style="716" customWidth="1"/>
    <col min="12544" max="12544" width="11.42578125" style="716" customWidth="1"/>
    <col min="12545" max="12545" width="1.5703125" style="716" customWidth="1"/>
    <col min="12546" max="12546" width="10.7109375" style="716" customWidth="1"/>
    <col min="12547" max="12547" width="1.5703125" style="716" customWidth="1"/>
    <col min="12548" max="12548" width="11.42578125" style="716" customWidth="1"/>
    <col min="12549" max="12549" width="11.7109375" style="716" customWidth="1"/>
    <col min="12550" max="12550" width="10.28515625" style="716" customWidth="1"/>
    <col min="12551" max="12551" width="10.7109375" style="716" customWidth="1"/>
    <col min="12552" max="12552" width="10.5703125" style="716" customWidth="1"/>
    <col min="12553" max="12553" width="8.7109375" style="716" customWidth="1"/>
    <col min="12554" max="12562" width="4.5703125" style="716" customWidth="1"/>
    <col min="12563" max="12798" width="11.42578125" style="716"/>
    <col min="12799" max="12799" width="24.28515625" style="716" customWidth="1"/>
    <col min="12800" max="12800" width="11.42578125" style="716" customWidth="1"/>
    <col min="12801" max="12801" width="1.5703125" style="716" customWidth="1"/>
    <col min="12802" max="12802" width="10.7109375" style="716" customWidth="1"/>
    <col min="12803" max="12803" width="1.5703125" style="716" customWidth="1"/>
    <col min="12804" max="12804" width="11.42578125" style="716" customWidth="1"/>
    <col min="12805" max="12805" width="11.7109375" style="716" customWidth="1"/>
    <col min="12806" max="12806" width="10.28515625" style="716" customWidth="1"/>
    <col min="12807" max="12807" width="10.7109375" style="716" customWidth="1"/>
    <col min="12808" max="12808" width="10.5703125" style="716" customWidth="1"/>
    <col min="12809" max="12809" width="8.7109375" style="716" customWidth="1"/>
    <col min="12810" max="12818" width="4.5703125" style="716" customWidth="1"/>
    <col min="12819" max="13054" width="11.42578125" style="716"/>
    <col min="13055" max="13055" width="24.28515625" style="716" customWidth="1"/>
    <col min="13056" max="13056" width="11.42578125" style="716" customWidth="1"/>
    <col min="13057" max="13057" width="1.5703125" style="716" customWidth="1"/>
    <col min="13058" max="13058" width="10.7109375" style="716" customWidth="1"/>
    <col min="13059" max="13059" width="1.5703125" style="716" customWidth="1"/>
    <col min="13060" max="13060" width="11.42578125" style="716" customWidth="1"/>
    <col min="13061" max="13061" width="11.7109375" style="716" customWidth="1"/>
    <col min="13062" max="13062" width="10.28515625" style="716" customWidth="1"/>
    <col min="13063" max="13063" width="10.7109375" style="716" customWidth="1"/>
    <col min="13064" max="13064" width="10.5703125" style="716" customWidth="1"/>
    <col min="13065" max="13065" width="8.7109375" style="716" customWidth="1"/>
    <col min="13066" max="13074" width="4.5703125" style="716" customWidth="1"/>
    <col min="13075" max="13310" width="11.42578125" style="716"/>
    <col min="13311" max="13311" width="24.28515625" style="716" customWidth="1"/>
    <col min="13312" max="13312" width="11.42578125" style="716" customWidth="1"/>
    <col min="13313" max="13313" width="1.5703125" style="716" customWidth="1"/>
    <col min="13314" max="13314" width="10.7109375" style="716" customWidth="1"/>
    <col min="13315" max="13315" width="1.5703125" style="716" customWidth="1"/>
    <col min="13316" max="13316" width="11.42578125" style="716" customWidth="1"/>
    <col min="13317" max="13317" width="11.7109375" style="716" customWidth="1"/>
    <col min="13318" max="13318" width="10.28515625" style="716" customWidth="1"/>
    <col min="13319" max="13319" width="10.7109375" style="716" customWidth="1"/>
    <col min="13320" max="13320" width="10.5703125" style="716" customWidth="1"/>
    <col min="13321" max="13321" width="8.7109375" style="716" customWidth="1"/>
    <col min="13322" max="13330" width="4.5703125" style="716" customWidth="1"/>
    <col min="13331" max="13566" width="11.42578125" style="716"/>
    <col min="13567" max="13567" width="24.28515625" style="716" customWidth="1"/>
    <col min="13568" max="13568" width="11.42578125" style="716" customWidth="1"/>
    <col min="13569" max="13569" width="1.5703125" style="716" customWidth="1"/>
    <col min="13570" max="13570" width="10.7109375" style="716" customWidth="1"/>
    <col min="13571" max="13571" width="1.5703125" style="716" customWidth="1"/>
    <col min="13572" max="13572" width="11.42578125" style="716" customWidth="1"/>
    <col min="13573" max="13573" width="11.7109375" style="716" customWidth="1"/>
    <col min="13574" max="13574" width="10.28515625" style="716" customWidth="1"/>
    <col min="13575" max="13575" width="10.7109375" style="716" customWidth="1"/>
    <col min="13576" max="13576" width="10.5703125" style="716" customWidth="1"/>
    <col min="13577" max="13577" width="8.7109375" style="716" customWidth="1"/>
    <col min="13578" max="13586" width="4.5703125" style="716" customWidth="1"/>
    <col min="13587" max="13822" width="11.42578125" style="716"/>
    <col min="13823" max="13823" width="24.28515625" style="716" customWidth="1"/>
    <col min="13824" max="13824" width="11.42578125" style="716" customWidth="1"/>
    <col min="13825" max="13825" width="1.5703125" style="716" customWidth="1"/>
    <col min="13826" max="13826" width="10.7109375" style="716" customWidth="1"/>
    <col min="13827" max="13827" width="1.5703125" style="716" customWidth="1"/>
    <col min="13828" max="13828" width="11.42578125" style="716" customWidth="1"/>
    <col min="13829" max="13829" width="11.7109375" style="716" customWidth="1"/>
    <col min="13830" max="13830" width="10.28515625" style="716" customWidth="1"/>
    <col min="13831" max="13831" width="10.7109375" style="716" customWidth="1"/>
    <col min="13832" max="13832" width="10.5703125" style="716" customWidth="1"/>
    <col min="13833" max="13833" width="8.7109375" style="716" customWidth="1"/>
    <col min="13834" max="13842" width="4.5703125" style="716" customWidth="1"/>
    <col min="13843" max="14078" width="11.42578125" style="716"/>
    <col min="14079" max="14079" width="24.28515625" style="716" customWidth="1"/>
    <col min="14080" max="14080" width="11.42578125" style="716" customWidth="1"/>
    <col min="14081" max="14081" width="1.5703125" style="716" customWidth="1"/>
    <col min="14082" max="14082" width="10.7109375" style="716" customWidth="1"/>
    <col min="14083" max="14083" width="1.5703125" style="716" customWidth="1"/>
    <col min="14084" max="14084" width="11.42578125" style="716" customWidth="1"/>
    <col min="14085" max="14085" width="11.7109375" style="716" customWidth="1"/>
    <col min="14086" max="14086" width="10.28515625" style="716" customWidth="1"/>
    <col min="14087" max="14087" width="10.7109375" style="716" customWidth="1"/>
    <col min="14088" max="14088" width="10.5703125" style="716" customWidth="1"/>
    <col min="14089" max="14089" width="8.7109375" style="716" customWidth="1"/>
    <col min="14090" max="14098" width="4.5703125" style="716" customWidth="1"/>
    <col min="14099" max="14334" width="11.42578125" style="716"/>
    <col min="14335" max="14335" width="24.28515625" style="716" customWidth="1"/>
    <col min="14336" max="14336" width="11.42578125" style="716" customWidth="1"/>
    <col min="14337" max="14337" width="1.5703125" style="716" customWidth="1"/>
    <col min="14338" max="14338" width="10.7109375" style="716" customWidth="1"/>
    <col min="14339" max="14339" width="1.5703125" style="716" customWidth="1"/>
    <col min="14340" max="14340" width="11.42578125" style="716" customWidth="1"/>
    <col min="14341" max="14341" width="11.7109375" style="716" customWidth="1"/>
    <col min="14342" max="14342" width="10.28515625" style="716" customWidth="1"/>
    <col min="14343" max="14343" width="10.7109375" style="716" customWidth="1"/>
    <col min="14344" max="14344" width="10.5703125" style="716" customWidth="1"/>
    <col min="14345" max="14345" width="8.7109375" style="716" customWidth="1"/>
    <col min="14346" max="14354" width="4.5703125" style="716" customWidth="1"/>
    <col min="14355" max="14590" width="11.42578125" style="716"/>
    <col min="14591" max="14591" width="24.28515625" style="716" customWidth="1"/>
    <col min="14592" max="14592" width="11.42578125" style="716" customWidth="1"/>
    <col min="14593" max="14593" width="1.5703125" style="716" customWidth="1"/>
    <col min="14594" max="14594" width="10.7109375" style="716" customWidth="1"/>
    <col min="14595" max="14595" width="1.5703125" style="716" customWidth="1"/>
    <col min="14596" max="14596" width="11.42578125" style="716" customWidth="1"/>
    <col min="14597" max="14597" width="11.7109375" style="716" customWidth="1"/>
    <col min="14598" max="14598" width="10.28515625" style="716" customWidth="1"/>
    <col min="14599" max="14599" width="10.7109375" style="716" customWidth="1"/>
    <col min="14600" max="14600" width="10.5703125" style="716" customWidth="1"/>
    <col min="14601" max="14601" width="8.7109375" style="716" customWidth="1"/>
    <col min="14602" max="14610" width="4.5703125" style="716" customWidth="1"/>
    <col min="14611" max="14846" width="11.42578125" style="716"/>
    <col min="14847" max="14847" width="24.28515625" style="716" customWidth="1"/>
    <col min="14848" max="14848" width="11.42578125" style="716" customWidth="1"/>
    <col min="14849" max="14849" width="1.5703125" style="716" customWidth="1"/>
    <col min="14850" max="14850" width="10.7109375" style="716" customWidth="1"/>
    <col min="14851" max="14851" width="1.5703125" style="716" customWidth="1"/>
    <col min="14852" max="14852" width="11.42578125" style="716" customWidth="1"/>
    <col min="14853" max="14853" width="11.7109375" style="716" customWidth="1"/>
    <col min="14854" max="14854" width="10.28515625" style="716" customWidth="1"/>
    <col min="14855" max="14855" width="10.7109375" style="716" customWidth="1"/>
    <col min="14856" max="14856" width="10.5703125" style="716" customWidth="1"/>
    <col min="14857" max="14857" width="8.7109375" style="716" customWidth="1"/>
    <col min="14858" max="14866" width="4.5703125" style="716" customWidth="1"/>
    <col min="14867" max="15102" width="11.42578125" style="716"/>
    <col min="15103" max="15103" width="24.28515625" style="716" customWidth="1"/>
    <col min="15104" max="15104" width="11.42578125" style="716" customWidth="1"/>
    <col min="15105" max="15105" width="1.5703125" style="716" customWidth="1"/>
    <col min="15106" max="15106" width="10.7109375" style="716" customWidth="1"/>
    <col min="15107" max="15107" width="1.5703125" style="716" customWidth="1"/>
    <col min="15108" max="15108" width="11.42578125" style="716" customWidth="1"/>
    <col min="15109" max="15109" width="11.7109375" style="716" customWidth="1"/>
    <col min="15110" max="15110" width="10.28515625" style="716" customWidth="1"/>
    <col min="15111" max="15111" width="10.7109375" style="716" customWidth="1"/>
    <col min="15112" max="15112" width="10.5703125" style="716" customWidth="1"/>
    <col min="15113" max="15113" width="8.7109375" style="716" customWidth="1"/>
    <col min="15114" max="15122" width="4.5703125" style="716" customWidth="1"/>
    <col min="15123" max="15358" width="11.42578125" style="716"/>
    <col min="15359" max="15359" width="24.28515625" style="716" customWidth="1"/>
    <col min="15360" max="15360" width="11.42578125" style="716" customWidth="1"/>
    <col min="15361" max="15361" width="1.5703125" style="716" customWidth="1"/>
    <col min="15362" max="15362" width="10.7109375" style="716" customWidth="1"/>
    <col min="15363" max="15363" width="1.5703125" style="716" customWidth="1"/>
    <col min="15364" max="15364" width="11.42578125" style="716" customWidth="1"/>
    <col min="15365" max="15365" width="11.7109375" style="716" customWidth="1"/>
    <col min="15366" max="15366" width="10.28515625" style="716" customWidth="1"/>
    <col min="15367" max="15367" width="10.7109375" style="716" customWidth="1"/>
    <col min="15368" max="15368" width="10.5703125" style="716" customWidth="1"/>
    <col min="15369" max="15369" width="8.7109375" style="716" customWidth="1"/>
    <col min="15370" max="15378" width="4.5703125" style="716" customWidth="1"/>
    <col min="15379" max="15614" width="11.42578125" style="716"/>
    <col min="15615" max="15615" width="24.28515625" style="716" customWidth="1"/>
    <col min="15616" max="15616" width="11.42578125" style="716" customWidth="1"/>
    <col min="15617" max="15617" width="1.5703125" style="716" customWidth="1"/>
    <col min="15618" max="15618" width="10.7109375" style="716" customWidth="1"/>
    <col min="15619" max="15619" width="1.5703125" style="716" customWidth="1"/>
    <col min="15620" max="15620" width="11.42578125" style="716" customWidth="1"/>
    <col min="15621" max="15621" width="11.7109375" style="716" customWidth="1"/>
    <col min="15622" max="15622" width="10.28515625" style="716" customWidth="1"/>
    <col min="15623" max="15623" width="10.7109375" style="716" customWidth="1"/>
    <col min="15624" max="15624" width="10.5703125" style="716" customWidth="1"/>
    <col min="15625" max="15625" width="8.7109375" style="716" customWidth="1"/>
    <col min="15626" max="15634" width="4.5703125" style="716" customWidth="1"/>
    <col min="15635" max="15870" width="11.42578125" style="716"/>
    <col min="15871" max="15871" width="24.28515625" style="716" customWidth="1"/>
    <col min="15872" max="15872" width="11.42578125" style="716" customWidth="1"/>
    <col min="15873" max="15873" width="1.5703125" style="716" customWidth="1"/>
    <col min="15874" max="15874" width="10.7109375" style="716" customWidth="1"/>
    <col min="15875" max="15875" width="1.5703125" style="716" customWidth="1"/>
    <col min="15876" max="15876" width="11.42578125" style="716" customWidth="1"/>
    <col min="15877" max="15877" width="11.7109375" style="716" customWidth="1"/>
    <col min="15878" max="15878" width="10.28515625" style="716" customWidth="1"/>
    <col min="15879" max="15879" width="10.7109375" style="716" customWidth="1"/>
    <col min="15880" max="15880" width="10.5703125" style="716" customWidth="1"/>
    <col min="15881" max="15881" width="8.7109375" style="716" customWidth="1"/>
    <col min="15882" max="15890" width="4.5703125" style="716" customWidth="1"/>
    <col min="15891" max="16126" width="11.42578125" style="716"/>
    <col min="16127" max="16127" width="24.28515625" style="716" customWidth="1"/>
    <col min="16128" max="16128" width="11.42578125" style="716" customWidth="1"/>
    <col min="16129" max="16129" width="1.5703125" style="716" customWidth="1"/>
    <col min="16130" max="16130" width="10.7109375" style="716" customWidth="1"/>
    <col min="16131" max="16131" width="1.5703125" style="716" customWidth="1"/>
    <col min="16132" max="16132" width="11.42578125" style="716" customWidth="1"/>
    <col min="16133" max="16133" width="11.7109375" style="716" customWidth="1"/>
    <col min="16134" max="16134" width="10.28515625" style="716" customWidth="1"/>
    <col min="16135" max="16135" width="10.7109375" style="716" customWidth="1"/>
    <col min="16136" max="16136" width="10.5703125" style="716" customWidth="1"/>
    <col min="16137" max="16137" width="8.7109375" style="716" customWidth="1"/>
    <col min="16138" max="16146" width="4.5703125" style="716" customWidth="1"/>
    <col min="16147" max="16384" width="11.42578125" style="716"/>
  </cols>
  <sheetData>
    <row r="1" spans="1:10" s="671" customFormat="1" ht="12.75">
      <c r="A1" s="739" t="s">
        <v>1733</v>
      </c>
      <c r="B1" s="670"/>
      <c r="D1" s="674" t="s">
        <v>1578</v>
      </c>
      <c r="E1" s="673"/>
      <c r="H1" s="670"/>
      <c r="J1" s="670"/>
    </row>
    <row r="2" spans="1:10" s="671" customFormat="1" ht="12.75">
      <c r="A2" s="745" t="s">
        <v>1563</v>
      </c>
      <c r="B2" s="670"/>
      <c r="D2" s="674" t="s">
        <v>1530</v>
      </c>
      <c r="E2" s="673"/>
      <c r="F2" s="675">
        <f>'LG-Garbage'!E36</f>
        <v>8.8546485705000733E-2</v>
      </c>
      <c r="J2" s="670"/>
    </row>
    <row r="3" spans="1:10" s="671" customFormat="1" ht="12.75">
      <c r="B3" s="676"/>
      <c r="D3" s="674" t="s">
        <v>25</v>
      </c>
      <c r="E3" s="673"/>
      <c r="F3" s="677">
        <f>'LG-Recycle'!E36</f>
        <v>-5.2505146465273579E-2</v>
      </c>
      <c r="J3" s="670"/>
    </row>
    <row r="4" spans="1:10" s="671" customFormat="1" ht="12.75">
      <c r="A4" s="669"/>
      <c r="B4" s="678"/>
      <c r="D4" s="674" t="s">
        <v>26</v>
      </c>
      <c r="E4" s="673"/>
      <c r="F4" s="677">
        <f>'LG-Yardwaste'!J6</f>
        <v>-5.3162356997751466E-2</v>
      </c>
      <c r="J4" s="670"/>
    </row>
    <row r="5" spans="1:10" s="671" customFormat="1" ht="12.75">
      <c r="A5" s="669"/>
      <c r="B5" s="678"/>
      <c r="D5" s="672"/>
      <c r="E5" s="673"/>
      <c r="H5" s="670"/>
    </row>
    <row r="6" spans="1:10" s="671" customFormat="1" ht="12.75">
      <c r="A6" s="679"/>
      <c r="B6" s="686">
        <v>42767</v>
      </c>
      <c r="C6" s="681"/>
      <c r="D6" s="682"/>
      <c r="E6" s="683"/>
      <c r="F6" s="684"/>
      <c r="H6" s="670"/>
    </row>
    <row r="7" spans="1:10" s="671" customFormat="1" ht="12.75">
      <c r="A7" s="679"/>
      <c r="B7" s="686" t="s">
        <v>1579</v>
      </c>
      <c r="C7" s="681"/>
      <c r="D7" s="682"/>
      <c r="E7" s="683"/>
      <c r="F7" s="684" t="s">
        <v>1580</v>
      </c>
      <c r="H7" s="670"/>
    </row>
    <row r="8" spans="1:10" s="671" customFormat="1" ht="12.75">
      <c r="A8" s="685"/>
      <c r="B8" s="680" t="s">
        <v>1581</v>
      </c>
      <c r="C8" s="681"/>
      <c r="D8" s="684" t="s">
        <v>1582</v>
      </c>
      <c r="E8" s="684"/>
      <c r="F8" s="686">
        <v>43009</v>
      </c>
      <c r="H8" s="670"/>
    </row>
    <row r="9" spans="1:10" s="671" customFormat="1" ht="12.75">
      <c r="A9" s="687"/>
      <c r="B9" s="680" t="s">
        <v>1583</v>
      </c>
      <c r="C9" s="681"/>
      <c r="D9" s="684" t="s">
        <v>1414</v>
      </c>
      <c r="E9" s="684"/>
      <c r="F9" s="684" t="s">
        <v>1583</v>
      </c>
      <c r="H9" s="670"/>
    </row>
    <row r="10" spans="1:10" s="671" customFormat="1" ht="12.75">
      <c r="A10" s="688" t="s">
        <v>1584</v>
      </c>
      <c r="B10" s="689"/>
      <c r="C10" s="690"/>
      <c r="D10" s="691"/>
      <c r="E10" s="692"/>
      <c r="F10" s="693"/>
      <c r="H10" s="670"/>
    </row>
    <row r="11" spans="1:10" s="671" customFormat="1" ht="12.75">
      <c r="A11" s="694" t="s">
        <v>1585</v>
      </c>
      <c r="B11" s="701">
        <v>11.36</v>
      </c>
      <c r="C11" s="674"/>
      <c r="D11" s="672">
        <f>B11*$F$2</f>
        <v>1.0058880776088082</v>
      </c>
      <c r="E11" s="695"/>
      <c r="F11" s="670">
        <f>+B11+D11</f>
        <v>12.365888077608808</v>
      </c>
      <c r="H11" s="670"/>
    </row>
    <row r="12" spans="1:10" s="671" customFormat="1" ht="12.75">
      <c r="A12" s="696"/>
      <c r="B12" s="697"/>
      <c r="C12" s="674"/>
      <c r="D12" s="698"/>
      <c r="E12" s="695"/>
      <c r="F12" s="670"/>
      <c r="H12" s="670"/>
    </row>
    <row r="13" spans="1:10" s="671" customFormat="1" ht="12.75">
      <c r="A13" s="688" t="s">
        <v>1586</v>
      </c>
      <c r="B13" s="699"/>
      <c r="C13" s="690"/>
      <c r="D13" s="691"/>
      <c r="E13" s="692"/>
      <c r="F13" s="693"/>
      <c r="H13" s="670"/>
    </row>
    <row r="14" spans="1:10" s="671" customFormat="1" ht="12.75">
      <c r="A14" s="694" t="s">
        <v>1587</v>
      </c>
      <c r="B14" s="701">
        <v>11.73</v>
      </c>
      <c r="C14" s="674"/>
      <c r="D14" s="672">
        <f>B14*$F$2</f>
        <v>1.0386502773196586</v>
      </c>
      <c r="E14" s="695"/>
      <c r="F14" s="670">
        <f>+B14+D14</f>
        <v>12.76865027731966</v>
      </c>
      <c r="H14" s="670"/>
    </row>
    <row r="15" spans="1:10" s="671" customFormat="1" ht="12.75">
      <c r="A15" s="696"/>
      <c r="B15" s="697"/>
      <c r="C15" s="674"/>
      <c r="D15" s="698"/>
      <c r="E15" s="695"/>
      <c r="F15" s="670"/>
      <c r="H15" s="670"/>
    </row>
    <row r="16" spans="1:10" s="671" customFormat="1" ht="12.75">
      <c r="A16" s="688" t="s">
        <v>1588</v>
      </c>
      <c r="B16" s="699"/>
      <c r="C16" s="690"/>
      <c r="D16" s="691"/>
      <c r="E16" s="692"/>
      <c r="F16" s="693"/>
      <c r="H16" s="670"/>
    </row>
    <row r="17" spans="1:8" s="671" customFormat="1" ht="12.75">
      <c r="A17" s="694" t="s">
        <v>1589</v>
      </c>
      <c r="B17" s="701">
        <v>15.17</v>
      </c>
      <c r="C17" s="674"/>
      <c r="D17" s="672">
        <f>B17*$F$2</f>
        <v>1.3432501881448611</v>
      </c>
      <c r="E17" s="695"/>
      <c r="F17" s="670">
        <f>+B17+D17</f>
        <v>16.513250188144863</v>
      </c>
      <c r="H17" s="670"/>
    </row>
    <row r="18" spans="1:8" s="671" customFormat="1" ht="12.75">
      <c r="A18" s="696"/>
      <c r="B18" s="697"/>
      <c r="C18" s="674"/>
      <c r="D18" s="698"/>
      <c r="E18" s="695"/>
      <c r="F18" s="670"/>
      <c r="H18" s="670"/>
    </row>
    <row r="19" spans="1:8" s="671" customFormat="1" ht="12.75">
      <c r="A19" s="688" t="s">
        <v>1590</v>
      </c>
      <c r="B19" s="689"/>
      <c r="C19" s="690"/>
      <c r="D19" s="691"/>
      <c r="E19" s="692"/>
      <c r="F19" s="693"/>
      <c r="H19" s="670"/>
    </row>
    <row r="20" spans="1:8" s="671" customFormat="1" ht="12.75">
      <c r="A20" s="671" t="s">
        <v>1591</v>
      </c>
      <c r="B20" s="701">
        <v>1.78</v>
      </c>
      <c r="C20" s="700"/>
      <c r="D20" s="672">
        <f>B20*$F$2</f>
        <v>0.15761274455490132</v>
      </c>
      <c r="E20" s="672"/>
      <c r="F20" s="670">
        <f>+B20+D20</f>
        <v>1.9376127445549014</v>
      </c>
      <c r="H20" s="670"/>
    </row>
    <row r="21" spans="1:8" s="671" customFormat="1" ht="12.75">
      <c r="B21" s="701"/>
      <c r="C21" s="700"/>
      <c r="D21" s="672"/>
      <c r="E21" s="672"/>
      <c r="F21" s="670"/>
      <c r="H21" s="670"/>
    </row>
    <row r="22" spans="1:8" s="671" customFormat="1" ht="12.75">
      <c r="A22" s="688" t="s">
        <v>1592</v>
      </c>
      <c r="B22" s="699"/>
      <c r="C22" s="702"/>
      <c r="D22" s="703"/>
      <c r="E22" s="703"/>
      <c r="F22" s="693"/>
      <c r="H22" s="670"/>
    </row>
    <row r="23" spans="1:8" s="671" customFormat="1" ht="12.75">
      <c r="A23" s="671" t="s">
        <v>1593</v>
      </c>
      <c r="B23" s="701">
        <v>45.38</v>
      </c>
      <c r="C23" s="700"/>
      <c r="D23" s="672">
        <f>B23*$F$2</f>
        <v>4.0182395212929336</v>
      </c>
      <c r="E23" s="672"/>
      <c r="F23" s="670">
        <f>+B23+D23</f>
        <v>49.398239521292936</v>
      </c>
      <c r="H23" s="670"/>
    </row>
    <row r="24" spans="1:8" s="671" customFormat="1" ht="12.75">
      <c r="A24" s="671" t="s">
        <v>1594</v>
      </c>
      <c r="B24" s="701">
        <v>45.38</v>
      </c>
      <c r="C24" s="700"/>
      <c r="D24" s="672">
        <f>B24*$F$2</f>
        <v>4.0182395212929336</v>
      </c>
      <c r="E24" s="672"/>
      <c r="F24" s="670">
        <f>+B24+D24</f>
        <v>49.398239521292936</v>
      </c>
      <c r="H24" s="670"/>
    </row>
    <row r="25" spans="1:8" s="671" customFormat="1" ht="12.75">
      <c r="A25" s="674"/>
      <c r="B25" s="701"/>
      <c r="C25" s="700"/>
      <c r="D25" s="672"/>
      <c r="E25" s="672"/>
      <c r="F25" s="670"/>
      <c r="H25" s="670"/>
    </row>
    <row r="26" spans="1:8" s="671" customFormat="1" ht="12.75">
      <c r="A26" s="688" t="s">
        <v>1595</v>
      </c>
      <c r="B26" s="699"/>
      <c r="C26" s="702"/>
      <c r="D26" s="703"/>
      <c r="E26" s="703"/>
      <c r="F26" s="693"/>
      <c r="H26" s="670"/>
    </row>
    <row r="27" spans="1:8" s="674" customFormat="1" ht="12.75">
      <c r="A27" s="674" t="s">
        <v>1596</v>
      </c>
      <c r="B27" s="704"/>
      <c r="C27" s="705"/>
      <c r="D27" s="698"/>
      <c r="E27" s="698"/>
      <c r="F27" s="706"/>
      <c r="H27" s="706"/>
    </row>
    <row r="28" spans="1:8" s="671" customFormat="1" ht="12.75">
      <c r="A28" s="671" t="s">
        <v>1597</v>
      </c>
      <c r="B28" s="701">
        <v>4.22</v>
      </c>
      <c r="C28" s="700"/>
      <c r="D28" s="672">
        <f t="shared" ref="D28:D33" si="0">B28*$F$2</f>
        <v>0.37366616967510308</v>
      </c>
      <c r="E28" s="672"/>
      <c r="F28" s="670">
        <f t="shared" ref="F28:F33" si="1">+B28+D28</f>
        <v>4.5936661696751031</v>
      </c>
      <c r="H28" s="670"/>
    </row>
    <row r="29" spans="1:8" s="671" customFormat="1" ht="12.75">
      <c r="A29" s="671" t="s">
        <v>1598</v>
      </c>
      <c r="B29" s="701">
        <v>4.22</v>
      </c>
      <c r="C29" s="700"/>
      <c r="D29" s="672">
        <f t="shared" si="0"/>
        <v>0.37366616967510308</v>
      </c>
      <c r="E29" s="672"/>
      <c r="F29" s="670">
        <f t="shared" si="1"/>
        <v>4.5936661696751031</v>
      </c>
      <c r="H29" s="670"/>
    </row>
    <row r="30" spans="1:8" s="671" customFormat="1" ht="12.75">
      <c r="A30" s="671" t="s">
        <v>1599</v>
      </c>
      <c r="B30" s="701">
        <v>4.22</v>
      </c>
      <c r="C30" s="700"/>
      <c r="D30" s="672">
        <f t="shared" si="0"/>
        <v>0.37366616967510308</v>
      </c>
      <c r="E30" s="672"/>
      <c r="F30" s="670">
        <f t="shared" si="1"/>
        <v>4.5936661696751031</v>
      </c>
      <c r="H30" s="670"/>
    </row>
    <row r="31" spans="1:8" s="671" customFormat="1" ht="12.75">
      <c r="A31" s="671" t="s">
        <v>1600</v>
      </c>
      <c r="B31" s="701">
        <v>4.22</v>
      </c>
      <c r="C31" s="700"/>
      <c r="D31" s="672">
        <f t="shared" si="0"/>
        <v>0.37366616967510308</v>
      </c>
      <c r="E31" s="672"/>
      <c r="F31" s="670">
        <f t="shared" si="1"/>
        <v>4.5936661696751031</v>
      </c>
      <c r="H31" s="670"/>
    </row>
    <row r="32" spans="1:8" s="671" customFormat="1" ht="12.75">
      <c r="A32" s="671" t="s">
        <v>1601</v>
      </c>
      <c r="B32" s="701">
        <v>4.22</v>
      </c>
      <c r="C32" s="700"/>
      <c r="D32" s="672">
        <f t="shared" si="0"/>
        <v>0.37366616967510308</v>
      </c>
      <c r="E32" s="672"/>
      <c r="F32" s="670">
        <f t="shared" si="1"/>
        <v>4.5936661696751031</v>
      </c>
      <c r="H32" s="670"/>
    </row>
    <row r="33" spans="1:8" s="671" customFormat="1" ht="12.75">
      <c r="A33" s="671" t="s">
        <v>1602</v>
      </c>
      <c r="B33" s="701">
        <v>4.22</v>
      </c>
      <c r="C33" s="700"/>
      <c r="D33" s="672">
        <f t="shared" si="0"/>
        <v>0.37366616967510308</v>
      </c>
      <c r="E33" s="672"/>
      <c r="F33" s="670">
        <f t="shared" si="1"/>
        <v>4.5936661696751031</v>
      </c>
      <c r="H33" s="670"/>
    </row>
    <row r="34" spans="1:8" s="671" customFormat="1" ht="12.75">
      <c r="B34" s="701"/>
      <c r="C34" s="700"/>
      <c r="D34" s="672"/>
      <c r="E34" s="672"/>
      <c r="F34" s="670"/>
      <c r="H34" s="670"/>
    </row>
    <row r="35" spans="1:8" s="671" customFormat="1" ht="12.75">
      <c r="A35" s="688" t="s">
        <v>1603</v>
      </c>
      <c r="B35" s="699"/>
      <c r="C35" s="702"/>
      <c r="D35" s="703"/>
      <c r="E35" s="703"/>
      <c r="F35" s="693"/>
      <c r="H35" s="670"/>
    </row>
    <row r="36" spans="1:8" s="674" customFormat="1" ht="12.75">
      <c r="A36" s="674" t="s">
        <v>1604</v>
      </c>
      <c r="B36" s="704"/>
      <c r="C36" s="705"/>
      <c r="D36" s="698"/>
      <c r="E36" s="698"/>
      <c r="F36" s="706"/>
      <c r="H36" s="706"/>
    </row>
    <row r="37" spans="1:8" s="671" customFormat="1" ht="12.75">
      <c r="A37" s="671" t="s">
        <v>1605</v>
      </c>
      <c r="B37" s="701"/>
      <c r="C37" s="700"/>
      <c r="D37" s="672"/>
      <c r="E37" s="672"/>
      <c r="F37" s="670"/>
      <c r="H37" s="670"/>
    </row>
    <row r="38" spans="1:8" s="671" customFormat="1" ht="12.75">
      <c r="A38" s="671" t="s">
        <v>1606</v>
      </c>
      <c r="B38" s="701">
        <v>0.28000000000000003</v>
      </c>
      <c r="C38" s="700"/>
      <c r="D38" s="672">
        <f>B38*$F$2</f>
        <v>2.4793015997400209E-2</v>
      </c>
      <c r="E38" s="672"/>
      <c r="F38" s="670">
        <f>+B38+D38</f>
        <v>0.30479301599740022</v>
      </c>
      <c r="H38" s="670"/>
    </row>
    <row r="39" spans="1:8" s="671" customFormat="1" ht="12.75">
      <c r="A39" s="671" t="s">
        <v>1607</v>
      </c>
      <c r="B39" s="701">
        <v>0.11</v>
      </c>
      <c r="C39" s="700"/>
      <c r="D39" s="672">
        <f>B39*$F$2</f>
        <v>9.7401134275500803E-3</v>
      </c>
      <c r="E39" s="672"/>
      <c r="F39" s="670">
        <f>+B39+D39</f>
        <v>0.11974011342755009</v>
      </c>
      <c r="H39" s="670"/>
    </row>
    <row r="40" spans="1:8" s="671" customFormat="1" ht="12.75">
      <c r="B40" s="701"/>
      <c r="C40" s="700"/>
      <c r="D40" s="672"/>
      <c r="E40" s="672"/>
      <c r="F40" s="670"/>
      <c r="H40" s="670"/>
    </row>
    <row r="41" spans="1:8" s="674" customFormat="1" ht="12.75">
      <c r="A41" s="674" t="s">
        <v>1608</v>
      </c>
      <c r="B41" s="704"/>
      <c r="C41" s="705"/>
      <c r="D41" s="707"/>
      <c r="E41" s="698"/>
      <c r="F41" s="706"/>
      <c r="H41" s="706"/>
    </row>
    <row r="42" spans="1:8" s="671" customFormat="1" ht="12.75">
      <c r="A42" s="671" t="s">
        <v>1606</v>
      </c>
      <c r="B42" s="701">
        <v>0.31</v>
      </c>
      <c r="C42" s="700"/>
      <c r="D42" s="672">
        <f>B42*$F$2</f>
        <v>2.7449410568550228E-2</v>
      </c>
      <c r="E42" s="672"/>
      <c r="F42" s="670">
        <f>+B42+D42</f>
        <v>0.33744941056855021</v>
      </c>
      <c r="H42" s="670"/>
    </row>
    <row r="43" spans="1:8" s="671" customFormat="1" ht="12.75">
      <c r="A43" s="671" t="s">
        <v>1607</v>
      </c>
      <c r="B43" s="701">
        <v>0.14000000000000001</v>
      </c>
      <c r="C43" s="700"/>
      <c r="D43" s="672">
        <f>B43*$F$2</f>
        <v>1.2396507998700105E-2</v>
      </c>
      <c r="E43" s="672"/>
      <c r="F43" s="670">
        <f>+B43+D43</f>
        <v>0.15239650799870011</v>
      </c>
      <c r="H43" s="670"/>
    </row>
    <row r="44" spans="1:8" s="671" customFormat="1" ht="12.75">
      <c r="B44" s="701"/>
      <c r="C44" s="700"/>
      <c r="D44" s="672"/>
      <c r="E44" s="672"/>
      <c r="F44" s="670"/>
      <c r="H44" s="670"/>
    </row>
    <row r="45" spans="1:8" s="674" customFormat="1" ht="12.75">
      <c r="A45" s="674" t="s">
        <v>1609</v>
      </c>
      <c r="B45" s="704"/>
      <c r="C45" s="705"/>
      <c r="D45" s="698"/>
      <c r="E45" s="698"/>
      <c r="F45" s="706"/>
      <c r="H45" s="706"/>
    </row>
    <row r="46" spans="1:8" s="671" customFormat="1" ht="12.75">
      <c r="A46" s="671" t="s">
        <v>1610</v>
      </c>
      <c r="B46" s="701">
        <v>0.81</v>
      </c>
      <c r="C46" s="700"/>
      <c r="D46" s="672">
        <f>B46*$F$2</f>
        <v>7.1722653421050594E-2</v>
      </c>
      <c r="E46" s="672"/>
      <c r="F46" s="670">
        <f>+B46+D46</f>
        <v>0.88172265342105061</v>
      </c>
      <c r="H46" s="670"/>
    </row>
    <row r="47" spans="1:8" s="671" customFormat="1" ht="12.75">
      <c r="B47" s="701"/>
      <c r="C47" s="700"/>
      <c r="D47" s="672"/>
      <c r="E47" s="672"/>
      <c r="F47" s="670"/>
      <c r="H47" s="670"/>
    </row>
    <row r="48" spans="1:8" s="674" customFormat="1" ht="12.75">
      <c r="A48" s="674" t="s">
        <v>1608</v>
      </c>
      <c r="B48" s="704"/>
      <c r="C48" s="705"/>
      <c r="D48" s="698"/>
      <c r="E48" s="698"/>
      <c r="F48" s="706"/>
      <c r="H48" s="706"/>
    </row>
    <row r="49" spans="1:8" s="671" customFormat="1" ht="12.75">
      <c r="A49" s="671" t="s">
        <v>1610</v>
      </c>
      <c r="B49" s="701">
        <v>0.81</v>
      </c>
      <c r="C49" s="700"/>
      <c r="D49" s="672">
        <f>B49*$F$2</f>
        <v>7.1722653421050594E-2</v>
      </c>
      <c r="E49" s="672"/>
      <c r="F49" s="670">
        <f>+B49+D49</f>
        <v>0.88172265342105061</v>
      </c>
      <c r="H49" s="670"/>
    </row>
    <row r="50" spans="1:8" s="671" customFormat="1" ht="12.75">
      <c r="B50" s="701"/>
      <c r="C50" s="700"/>
      <c r="D50" s="672"/>
      <c r="E50" s="672"/>
      <c r="F50" s="670"/>
      <c r="H50" s="670"/>
    </row>
    <row r="51" spans="1:8" s="671" customFormat="1" ht="12.75">
      <c r="A51" s="688" t="s">
        <v>1611</v>
      </c>
      <c r="B51" s="699"/>
      <c r="C51" s="702"/>
      <c r="D51" s="703"/>
      <c r="E51" s="703"/>
      <c r="F51" s="693"/>
      <c r="H51" s="670"/>
    </row>
    <row r="52" spans="1:8" s="671" customFormat="1" ht="12.75">
      <c r="A52" s="671" t="s">
        <v>1612</v>
      </c>
      <c r="B52" s="701">
        <v>7.0000000000000007E-2</v>
      </c>
      <c r="C52" s="700"/>
      <c r="D52" s="672">
        <f>B52*$F$2</f>
        <v>6.1982539993500523E-3</v>
      </c>
      <c r="E52" s="672"/>
      <c r="F52" s="670">
        <f t="shared" ref="F52:F54" si="2">+B52+D52</f>
        <v>7.6198253999350055E-2</v>
      </c>
      <c r="H52" s="670"/>
    </row>
    <row r="53" spans="1:8" s="671" customFormat="1" ht="12.75">
      <c r="A53" s="671" t="s">
        <v>1613</v>
      </c>
      <c r="B53" s="701">
        <v>0.22</v>
      </c>
      <c r="C53" s="700"/>
      <c r="D53" s="672">
        <f>B53*$F$2</f>
        <v>1.9480226855100161E-2</v>
      </c>
      <c r="E53" s="672"/>
      <c r="F53" s="670">
        <f t="shared" si="2"/>
        <v>0.23948022685510018</v>
      </c>
      <c r="H53" s="670"/>
    </row>
    <row r="54" spans="1:8" s="671" customFormat="1" ht="12.75">
      <c r="A54" s="671" t="s">
        <v>1614</v>
      </c>
      <c r="B54" s="701">
        <v>0.14000000000000001</v>
      </c>
      <c r="C54" s="700"/>
      <c r="D54" s="672">
        <f>B54*$F$2</f>
        <v>1.2396507998700105E-2</v>
      </c>
      <c r="E54" s="672"/>
      <c r="F54" s="670">
        <f t="shared" si="2"/>
        <v>0.15239650799870011</v>
      </c>
      <c r="H54" s="670"/>
    </row>
    <row r="55" spans="1:8" s="671" customFormat="1" ht="12.75">
      <c r="B55" s="701"/>
      <c r="C55" s="700"/>
      <c r="D55" s="672"/>
      <c r="E55" s="672"/>
      <c r="F55" s="670"/>
      <c r="H55" s="670"/>
    </row>
    <row r="56" spans="1:8" s="671" customFormat="1" ht="12.75">
      <c r="A56" s="690" t="s">
        <v>1615</v>
      </c>
      <c r="B56" s="699"/>
      <c r="C56" s="702"/>
      <c r="D56" s="703"/>
      <c r="E56" s="703"/>
      <c r="F56" s="693"/>
      <c r="H56" s="670"/>
    </row>
    <row r="57" spans="1:8" s="671" customFormat="1" ht="12.75">
      <c r="A57" s="671" t="s">
        <v>1616</v>
      </c>
      <c r="B57" s="670">
        <v>5.77</v>
      </c>
      <c r="D57" s="672">
        <f t="shared" ref="D57:D64" si="3">B57*$F$2</f>
        <v>0.5109132225178542</v>
      </c>
      <c r="E57" s="673"/>
      <c r="F57" s="670">
        <f t="shared" ref="F57:F64" si="4">+B57+D57</f>
        <v>6.2809132225178539</v>
      </c>
      <c r="H57" s="708"/>
    </row>
    <row r="58" spans="1:8" s="671" customFormat="1" ht="12.75">
      <c r="A58" s="671" t="s">
        <v>1617</v>
      </c>
      <c r="B58" s="670">
        <v>7.23</v>
      </c>
      <c r="D58" s="672">
        <f t="shared" si="3"/>
        <v>0.64019109164715537</v>
      </c>
      <c r="E58" s="673"/>
      <c r="F58" s="670">
        <f t="shared" si="4"/>
        <v>7.8701910916471558</v>
      </c>
      <c r="G58" s="709"/>
      <c r="H58" s="708"/>
    </row>
    <row r="59" spans="1:8" s="671" customFormat="1" ht="12.75">
      <c r="A59" s="671" t="s">
        <v>1618</v>
      </c>
      <c r="B59" s="670">
        <v>9.51</v>
      </c>
      <c r="D59" s="672">
        <f t="shared" si="3"/>
        <v>0.84207707905455698</v>
      </c>
      <c r="E59" s="673"/>
      <c r="F59" s="670">
        <f t="shared" si="4"/>
        <v>10.352077079054556</v>
      </c>
      <c r="H59" s="708"/>
    </row>
    <row r="60" spans="1:8" s="671" customFormat="1" ht="12.75">
      <c r="A60" s="671" t="s">
        <v>1619</v>
      </c>
      <c r="B60" s="670">
        <v>11.77</v>
      </c>
      <c r="D60" s="672">
        <f t="shared" si="3"/>
        <v>1.0421921367478586</v>
      </c>
      <c r="E60" s="673"/>
      <c r="F60" s="670">
        <f t="shared" si="4"/>
        <v>12.812192136747859</v>
      </c>
      <c r="H60" s="708"/>
    </row>
    <row r="61" spans="1:8" s="671" customFormat="1" ht="12.75">
      <c r="A61" s="671" t="s">
        <v>1620</v>
      </c>
      <c r="B61" s="670">
        <v>14.04</v>
      </c>
      <c r="D61" s="672">
        <f t="shared" si="3"/>
        <v>1.2431926592982101</v>
      </c>
      <c r="E61" s="673"/>
      <c r="F61" s="670">
        <f t="shared" si="4"/>
        <v>15.283192659298209</v>
      </c>
      <c r="H61" s="708"/>
    </row>
    <row r="62" spans="1:8" s="671" customFormat="1" ht="12.75">
      <c r="A62" s="671" t="s">
        <v>1621</v>
      </c>
      <c r="B62" s="670">
        <v>16.579999999999998</v>
      </c>
      <c r="D62" s="672">
        <f t="shared" si="3"/>
        <v>1.468100732988912</v>
      </c>
      <c r="E62" s="673"/>
      <c r="F62" s="670">
        <f t="shared" si="4"/>
        <v>18.04810073298891</v>
      </c>
      <c r="H62" s="708"/>
    </row>
    <row r="63" spans="1:8" s="671" customFormat="1" ht="12.75">
      <c r="A63" s="671" t="s">
        <v>1622</v>
      </c>
      <c r="B63" s="670">
        <v>19.43</v>
      </c>
      <c r="D63" s="672">
        <f t="shared" si="3"/>
        <v>1.7204582172481642</v>
      </c>
      <c r="E63" s="673"/>
      <c r="F63" s="670">
        <f t="shared" si="4"/>
        <v>21.150458217248165</v>
      </c>
      <c r="H63" s="708"/>
    </row>
    <row r="64" spans="1:8" s="671" customFormat="1" ht="12.75">
      <c r="A64" s="671" t="s">
        <v>1623</v>
      </c>
      <c r="B64" s="670">
        <v>4.29</v>
      </c>
      <c r="D64" s="672">
        <f t="shared" si="3"/>
        <v>0.37986442367445317</v>
      </c>
      <c r="E64" s="673"/>
      <c r="F64" s="670">
        <f t="shared" si="4"/>
        <v>4.6698644236744533</v>
      </c>
      <c r="G64" s="709"/>
      <c r="H64" s="708"/>
    </row>
    <row r="65" spans="1:10" s="671" customFormat="1" ht="12.75">
      <c r="B65" s="670"/>
      <c r="D65" s="672"/>
      <c r="E65" s="673"/>
      <c r="F65" s="670"/>
      <c r="H65" s="708"/>
    </row>
    <row r="66" spans="1:10" s="671" customFormat="1" ht="12.75">
      <c r="A66" s="690" t="s">
        <v>1624</v>
      </c>
      <c r="B66" s="693"/>
      <c r="C66" s="710"/>
      <c r="D66" s="703"/>
      <c r="E66" s="711"/>
      <c r="F66" s="693"/>
      <c r="H66" s="708"/>
    </row>
    <row r="67" spans="1:10" s="671" customFormat="1" ht="12.75">
      <c r="A67" s="671" t="s">
        <v>1625</v>
      </c>
      <c r="B67" s="670">
        <v>9.56</v>
      </c>
      <c r="D67" s="672">
        <f>B67*$F$3</f>
        <v>-0.50194920020801548</v>
      </c>
      <c r="E67" s="673"/>
      <c r="F67" s="670">
        <f>+B67+D67</f>
        <v>9.0580507997919852</v>
      </c>
      <c r="G67" s="709"/>
      <c r="H67" s="708"/>
    </row>
    <row r="68" spans="1:10" s="671" customFormat="1" ht="12.75">
      <c r="B68" s="670"/>
      <c r="D68" s="672"/>
      <c r="E68" s="673"/>
      <c r="F68" s="670"/>
      <c r="G68" s="709"/>
      <c r="H68" s="708"/>
    </row>
    <row r="69" spans="1:10" s="671" customFormat="1" ht="12.75">
      <c r="A69" s="690" t="s">
        <v>1626</v>
      </c>
      <c r="B69" s="693"/>
      <c r="C69" s="710"/>
      <c r="D69" s="703"/>
      <c r="E69" s="711"/>
      <c r="F69" s="693"/>
      <c r="G69" s="709"/>
      <c r="H69" s="708"/>
    </row>
    <row r="70" spans="1:10" s="671" customFormat="1" ht="12.75">
      <c r="A70" s="671" t="s">
        <v>1627</v>
      </c>
      <c r="B70" s="670">
        <v>10.78</v>
      </c>
      <c r="D70" s="672">
        <f>B70*$F$4</f>
        <v>-0.57309020843576075</v>
      </c>
      <c r="E70" s="673"/>
      <c r="F70" s="670">
        <f>+B70+D70</f>
        <v>10.206909791564239</v>
      </c>
      <c r="G70" s="712"/>
      <c r="H70" s="708"/>
      <c r="I70" s="713"/>
    </row>
    <row r="71" spans="1:10" s="671" customFormat="1" ht="12.75">
      <c r="A71" s="694"/>
      <c r="B71" s="670"/>
      <c r="D71" s="672"/>
      <c r="E71" s="673"/>
      <c r="F71" s="670"/>
      <c r="H71" s="708"/>
    </row>
    <row r="72" spans="1:10" s="674" customFormat="1" ht="12.75">
      <c r="A72" s="674" t="s">
        <v>1628</v>
      </c>
      <c r="B72" s="706"/>
      <c r="D72" s="698"/>
      <c r="E72" s="714"/>
      <c r="F72" s="706"/>
      <c r="H72" s="715"/>
    </row>
    <row r="73" spans="1:10" s="671" customFormat="1" ht="12.75">
      <c r="A73" s="671" t="s">
        <v>1629</v>
      </c>
      <c r="B73" s="670">
        <v>10.32</v>
      </c>
      <c r="D73" s="672">
        <f>B73*$F$2</f>
        <v>0.91379973247560764</v>
      </c>
      <c r="E73" s="673"/>
      <c r="F73" s="670">
        <f>+B73+D73</f>
        <v>11.233799732475608</v>
      </c>
      <c r="H73" s="670"/>
    </row>
    <row r="74" spans="1:10" s="671" customFormat="1" ht="12.75">
      <c r="A74" s="671" t="s">
        <v>1630</v>
      </c>
      <c r="B74" s="670">
        <v>10.84</v>
      </c>
      <c r="D74" s="672">
        <f>B74*$F$2</f>
        <v>0.95984390504220796</v>
      </c>
      <c r="E74" s="673"/>
      <c r="F74" s="670">
        <f>+B74+D74</f>
        <v>11.799843905042207</v>
      </c>
      <c r="H74" s="670"/>
    </row>
    <row r="75" spans="1:10" s="671" customFormat="1" ht="12.75">
      <c r="A75" s="671" t="s">
        <v>1631</v>
      </c>
      <c r="B75" s="670">
        <v>13.23</v>
      </c>
      <c r="D75" s="672">
        <f>B75*$F$2</f>
        <v>1.1714700058771597</v>
      </c>
      <c r="E75" s="673"/>
      <c r="F75" s="670">
        <f>+B75+D75</f>
        <v>14.40147000587716</v>
      </c>
      <c r="H75" s="670"/>
    </row>
    <row r="76" spans="1:10">
      <c r="F76" s="717"/>
      <c r="G76" s="716"/>
      <c r="J76" s="716"/>
    </row>
    <row r="77" spans="1:10" s="671" customFormat="1" ht="12.75">
      <c r="A77" s="690" t="s">
        <v>1632</v>
      </c>
      <c r="B77" s="693"/>
      <c r="C77" s="710"/>
      <c r="D77" s="703"/>
      <c r="E77" s="711"/>
      <c r="F77" s="693"/>
      <c r="H77" s="670"/>
    </row>
    <row r="78" spans="1:10" s="671" customFormat="1" ht="12.75">
      <c r="A78" s="671" t="s">
        <v>1633</v>
      </c>
      <c r="B78" s="670">
        <v>1.2</v>
      </c>
      <c r="D78" s="672">
        <f t="shared" ref="D78:D84" si="5">B78*$F$2</f>
        <v>0.10625578284600087</v>
      </c>
      <c r="E78" s="673"/>
      <c r="F78" s="670">
        <f>+B78+D78</f>
        <v>1.3062557828460009</v>
      </c>
      <c r="H78" s="670"/>
    </row>
    <row r="79" spans="1:10" s="671" customFormat="1" ht="12.75">
      <c r="A79" s="671" t="s">
        <v>1634</v>
      </c>
      <c r="B79" s="1250">
        <v>2.1</v>
      </c>
      <c r="D79" s="672">
        <f t="shared" si="5"/>
        <v>0.18594761998050155</v>
      </c>
      <c r="E79" s="673"/>
      <c r="F79" s="670">
        <f t="shared" ref="F79:F84" si="6">+B79+D79</f>
        <v>2.2859476199805018</v>
      </c>
      <c r="H79" s="670"/>
    </row>
    <row r="80" spans="1:10" s="671" customFormat="1" ht="12.75">
      <c r="A80" s="671" t="s">
        <v>1635</v>
      </c>
      <c r="B80" s="670">
        <v>3.18</v>
      </c>
      <c r="D80" s="672">
        <f t="shared" si="5"/>
        <v>0.28157782454190233</v>
      </c>
      <c r="E80" s="673"/>
      <c r="F80" s="670">
        <f t="shared" si="6"/>
        <v>3.4615778245419024</v>
      </c>
      <c r="H80" s="670"/>
    </row>
    <row r="81" spans="1:10" s="671" customFormat="1" ht="12.75">
      <c r="A81" s="671" t="s">
        <v>1636</v>
      </c>
      <c r="B81" s="670">
        <v>4.21</v>
      </c>
      <c r="D81" s="672">
        <f t="shared" si="5"/>
        <v>0.37278070481805309</v>
      </c>
      <c r="E81" s="673"/>
      <c r="F81" s="670">
        <f t="shared" si="6"/>
        <v>4.5827807048180533</v>
      </c>
      <c r="H81" s="670"/>
    </row>
    <row r="82" spans="1:10" s="671" customFormat="1" ht="12.75">
      <c r="A82" s="671" t="s">
        <v>1637</v>
      </c>
      <c r="B82" s="670">
        <v>6.3</v>
      </c>
      <c r="D82" s="672">
        <f t="shared" si="5"/>
        <v>0.55784285994150462</v>
      </c>
      <c r="E82" s="673"/>
      <c r="F82" s="670">
        <f t="shared" si="6"/>
        <v>6.8578428599415044</v>
      </c>
      <c r="H82" s="670"/>
    </row>
    <row r="83" spans="1:10" s="671" customFormat="1" ht="12.75">
      <c r="A83" s="671" t="s">
        <v>1638</v>
      </c>
      <c r="B83" s="670">
        <v>2.1</v>
      </c>
      <c r="D83" s="672">
        <f t="shared" si="5"/>
        <v>0.18594761998050155</v>
      </c>
      <c r="E83" s="673"/>
      <c r="F83" s="670">
        <f t="shared" si="6"/>
        <v>2.2859476199805018</v>
      </c>
      <c r="H83" s="670"/>
    </row>
    <row r="84" spans="1:10" s="671" customFormat="1" ht="12.75">
      <c r="A84" s="671" t="s">
        <v>1639</v>
      </c>
      <c r="B84" s="670">
        <v>4.29</v>
      </c>
      <c r="D84" s="672">
        <f t="shared" si="5"/>
        <v>0.37986442367445317</v>
      </c>
      <c r="E84" s="673"/>
      <c r="F84" s="670">
        <f t="shared" si="6"/>
        <v>4.6698644236744533</v>
      </c>
      <c r="H84" s="670"/>
    </row>
    <row r="85" spans="1:10" s="671" customFormat="1" ht="12.75">
      <c r="A85" s="694"/>
      <c r="B85" s="670"/>
      <c r="D85" s="672"/>
      <c r="E85" s="673"/>
      <c r="F85" s="670"/>
      <c r="H85" s="670"/>
    </row>
    <row r="86" spans="1:10" s="671" customFormat="1" ht="12.75">
      <c r="A86" s="690" t="s">
        <v>1640</v>
      </c>
      <c r="B86" s="693"/>
      <c r="C86" s="710"/>
      <c r="D86" s="703"/>
      <c r="E86" s="711"/>
      <c r="F86" s="693"/>
      <c r="H86" s="670"/>
    </row>
    <row r="87" spans="1:10" s="671" customFormat="1" ht="12.75">
      <c r="A87" s="671" t="s">
        <v>1641</v>
      </c>
      <c r="B87" s="670">
        <v>1.46</v>
      </c>
      <c r="C87" s="673"/>
      <c r="D87" s="672">
        <f t="shared" ref="D87:D94" si="7">B87*$F$2</f>
        <v>0.12927786912930106</v>
      </c>
      <c r="E87" s="673"/>
      <c r="F87" s="670">
        <f t="shared" ref="F87:F94" si="8">+B87+D87</f>
        <v>1.589277869129301</v>
      </c>
      <c r="H87" s="670"/>
    </row>
    <row r="88" spans="1:10" s="671" customFormat="1" ht="12.75">
      <c r="A88" s="671" t="s">
        <v>1629</v>
      </c>
      <c r="B88" s="670">
        <v>2.48</v>
      </c>
      <c r="C88" s="673"/>
      <c r="D88" s="672">
        <f t="shared" si="7"/>
        <v>0.21959528454840183</v>
      </c>
      <c r="E88" s="673"/>
      <c r="F88" s="670">
        <f t="shared" si="8"/>
        <v>2.6995952845484017</v>
      </c>
      <c r="H88" s="670"/>
    </row>
    <row r="89" spans="1:10" s="671" customFormat="1" ht="12.75">
      <c r="A89" s="671" t="s">
        <v>1630</v>
      </c>
      <c r="B89" s="670">
        <v>3.21</v>
      </c>
      <c r="C89" s="673"/>
      <c r="D89" s="672">
        <f t="shared" si="7"/>
        <v>0.28423421911305236</v>
      </c>
      <c r="E89" s="673"/>
      <c r="F89" s="670">
        <f t="shared" si="8"/>
        <v>3.4942342191130522</v>
      </c>
      <c r="H89" s="670"/>
    </row>
    <row r="90" spans="1:10" s="671" customFormat="1" ht="12.75">
      <c r="A90" s="671" t="s">
        <v>1631</v>
      </c>
      <c r="B90" s="670">
        <v>4.66</v>
      </c>
      <c r="C90" s="673"/>
      <c r="D90" s="672">
        <f t="shared" si="7"/>
        <v>0.41262662338530343</v>
      </c>
      <c r="E90" s="673"/>
      <c r="F90" s="670">
        <f t="shared" si="8"/>
        <v>5.0726266233853039</v>
      </c>
      <c r="H90" s="670"/>
    </row>
    <row r="91" spans="1:10" s="671" customFormat="1" ht="12.75">
      <c r="A91" s="671" t="s">
        <v>1642</v>
      </c>
      <c r="B91" s="670">
        <v>2.15</v>
      </c>
      <c r="D91" s="672">
        <f t="shared" si="7"/>
        <v>0.19037494426575158</v>
      </c>
      <c r="E91" s="673"/>
      <c r="F91" s="670">
        <f t="shared" si="8"/>
        <v>2.3403749442657515</v>
      </c>
      <c r="H91" s="670"/>
    </row>
    <row r="92" spans="1:10" s="671" customFormat="1" ht="12.75">
      <c r="A92" s="671" t="s">
        <v>1635</v>
      </c>
      <c r="B92" s="670">
        <v>3.23</v>
      </c>
      <c r="D92" s="672">
        <f t="shared" si="7"/>
        <v>0.28600514882715239</v>
      </c>
      <c r="E92" s="673"/>
      <c r="F92" s="670">
        <f t="shared" si="8"/>
        <v>3.5160051488271522</v>
      </c>
      <c r="H92" s="670"/>
    </row>
    <row r="93" spans="1:10" s="671" customFormat="1" ht="12.75">
      <c r="A93" s="671" t="s">
        <v>1636</v>
      </c>
      <c r="B93" s="670">
        <v>4.3</v>
      </c>
      <c r="D93" s="672">
        <f t="shared" si="7"/>
        <v>0.38074988853150316</v>
      </c>
      <c r="E93" s="673"/>
      <c r="F93" s="670">
        <f t="shared" si="8"/>
        <v>4.6807498885315031</v>
      </c>
      <c r="H93" s="670"/>
    </row>
    <row r="94" spans="1:10" s="671" customFormat="1" ht="12.75">
      <c r="A94" s="671" t="s">
        <v>1637</v>
      </c>
      <c r="B94" s="670">
        <v>6.41</v>
      </c>
      <c r="D94" s="672">
        <f t="shared" si="7"/>
        <v>0.56758297336905472</v>
      </c>
      <c r="E94" s="673"/>
      <c r="F94" s="670">
        <f t="shared" si="8"/>
        <v>6.9775829733690546</v>
      </c>
      <c r="H94" s="670"/>
    </row>
    <row r="95" spans="1:10">
      <c r="F95" s="717"/>
      <c r="G95" s="716"/>
      <c r="J95" s="716"/>
    </row>
    <row r="96" spans="1:10" s="674" customFormat="1" ht="12.75">
      <c r="A96" s="674" t="s">
        <v>1643</v>
      </c>
      <c r="B96" s="706"/>
      <c r="D96" s="698"/>
      <c r="E96" s="714"/>
      <c r="F96" s="706"/>
      <c r="H96" s="706"/>
    </row>
    <row r="97" spans="1:10" s="671" customFormat="1" ht="12.75">
      <c r="A97" s="671" t="s">
        <v>1641</v>
      </c>
      <c r="B97" s="670">
        <v>2.37</v>
      </c>
      <c r="D97" s="672">
        <f>B97*$F$2</f>
        <v>0.20985517112085175</v>
      </c>
      <c r="E97" s="673"/>
      <c r="F97" s="670">
        <f t="shared" ref="F97:F100" si="9">+B97+D97</f>
        <v>2.5798551711208519</v>
      </c>
      <c r="H97" s="670"/>
    </row>
    <row r="98" spans="1:10" s="671" customFormat="1" ht="12.75">
      <c r="A98" s="671" t="s">
        <v>1629</v>
      </c>
      <c r="B98" s="670">
        <v>4.03</v>
      </c>
      <c r="D98" s="672">
        <f>B98*$F$2</f>
        <v>0.35684233739115295</v>
      </c>
      <c r="E98" s="673"/>
      <c r="F98" s="670">
        <f t="shared" si="9"/>
        <v>4.3868423373911529</v>
      </c>
      <c r="H98" s="670"/>
    </row>
    <row r="99" spans="1:10" s="671" customFormat="1" ht="12.75">
      <c r="A99" s="671" t="s">
        <v>1630</v>
      </c>
      <c r="B99" s="670">
        <v>5.21</v>
      </c>
      <c r="D99" s="672">
        <f>B99*$F$2</f>
        <v>0.46132719052305382</v>
      </c>
      <c r="E99" s="673"/>
      <c r="F99" s="670">
        <f t="shared" si="9"/>
        <v>5.671327190523054</v>
      </c>
      <c r="H99" s="670"/>
    </row>
    <row r="100" spans="1:10" s="671" customFormat="1" ht="12.75">
      <c r="A100" s="671" t="s">
        <v>1631</v>
      </c>
      <c r="B100" s="670">
        <v>7.57</v>
      </c>
      <c r="D100" s="672">
        <f>B100*$F$2</f>
        <v>0.67029689678685556</v>
      </c>
      <c r="E100" s="673"/>
      <c r="F100" s="670">
        <f t="shared" si="9"/>
        <v>8.2402968967868553</v>
      </c>
      <c r="H100" s="670"/>
    </row>
    <row r="101" spans="1:10" s="671" customFormat="1" ht="12.75">
      <c r="B101" s="670"/>
      <c r="D101" s="672"/>
      <c r="E101" s="673"/>
      <c r="F101" s="670"/>
      <c r="H101" s="670"/>
    </row>
    <row r="102" spans="1:10" s="674" customFormat="1" ht="12.75">
      <c r="A102" s="674" t="s">
        <v>1644</v>
      </c>
      <c r="B102" s="706"/>
      <c r="D102" s="698"/>
      <c r="E102" s="714"/>
      <c r="F102" s="706"/>
      <c r="H102" s="706"/>
    </row>
    <row r="103" spans="1:10" s="671" customFormat="1" ht="12.75">
      <c r="A103" s="671" t="s">
        <v>1645</v>
      </c>
      <c r="B103" s="670">
        <v>6.33</v>
      </c>
      <c r="D103" s="672">
        <f>B103*$F$2</f>
        <v>0.5604992545126547</v>
      </c>
      <c r="E103" s="673"/>
      <c r="F103" s="670">
        <f t="shared" ref="F103:F106" si="10">+B103+D103</f>
        <v>6.8904992545126547</v>
      </c>
      <c r="H103" s="670"/>
    </row>
    <row r="104" spans="1:10" s="671" customFormat="1" ht="12.75">
      <c r="A104" s="671" t="s">
        <v>1635</v>
      </c>
      <c r="B104" s="670">
        <v>10.77</v>
      </c>
      <c r="D104" s="672">
        <f>B104*$F$2</f>
        <v>0.95364565104285781</v>
      </c>
      <c r="E104" s="673"/>
      <c r="F104" s="670">
        <f t="shared" si="10"/>
        <v>11.723645651042858</v>
      </c>
      <c r="H104" s="670"/>
    </row>
    <row r="105" spans="1:10" s="671" customFormat="1" ht="12.75">
      <c r="A105" s="671" t="s">
        <v>1636</v>
      </c>
      <c r="B105" s="670">
        <v>13.91</v>
      </c>
      <c r="D105" s="672">
        <f>B105*$F$2</f>
        <v>1.2316816161565602</v>
      </c>
      <c r="E105" s="673"/>
      <c r="F105" s="670">
        <f t="shared" si="10"/>
        <v>15.141681616156561</v>
      </c>
      <c r="H105" s="670"/>
    </row>
    <row r="106" spans="1:10" s="671" customFormat="1" ht="12.75">
      <c r="A106" s="671" t="s">
        <v>1637</v>
      </c>
      <c r="B106" s="670">
        <v>20.170000000000002</v>
      </c>
      <c r="D106" s="672">
        <f>B106*$F$2</f>
        <v>1.7859826166698649</v>
      </c>
      <c r="E106" s="673"/>
      <c r="F106" s="670">
        <f t="shared" si="10"/>
        <v>21.955982616669868</v>
      </c>
      <c r="H106" s="670"/>
    </row>
    <row r="107" spans="1:10">
      <c r="F107" s="717"/>
      <c r="G107" s="716"/>
      <c r="J107" s="716"/>
    </row>
    <row r="108" spans="1:10" s="671" customFormat="1" ht="12.75">
      <c r="B108" s="670"/>
      <c r="D108" s="672"/>
      <c r="E108" s="673"/>
      <c r="F108" s="670"/>
      <c r="H108" s="670"/>
    </row>
    <row r="109" spans="1:10" s="671" customFormat="1" ht="12.75">
      <c r="A109" s="671" t="s">
        <v>1639</v>
      </c>
      <c r="B109" s="670">
        <v>2.27</v>
      </c>
      <c r="D109" s="672">
        <f>B109*$F$2</f>
        <v>0.20100052255035167</v>
      </c>
      <c r="E109" s="673"/>
      <c r="F109" s="670">
        <f t="shared" ref="F109:F110" si="11">+B109+D109</f>
        <v>2.4710005225503515</v>
      </c>
      <c r="H109" s="670"/>
    </row>
    <row r="110" spans="1:10" s="671" customFormat="1" ht="12.75">
      <c r="A110" s="671" t="s">
        <v>1646</v>
      </c>
      <c r="B110" s="670">
        <v>1.82</v>
      </c>
      <c r="D110" s="672">
        <f>B110*$F$2</f>
        <v>0.16115460398310133</v>
      </c>
      <c r="E110" s="673"/>
      <c r="F110" s="670">
        <f t="shared" si="11"/>
        <v>1.9811546039831014</v>
      </c>
      <c r="H110" s="670"/>
    </row>
    <row r="111" spans="1:10" s="671" customFormat="1" ht="12.75">
      <c r="B111" s="670" t="s">
        <v>1474</v>
      </c>
      <c r="D111" s="672"/>
      <c r="E111" s="673"/>
      <c r="F111" s="670"/>
      <c r="H111" s="670"/>
    </row>
    <row r="112" spans="1:10" s="671" customFormat="1" ht="12.75">
      <c r="A112" s="690" t="s">
        <v>1647</v>
      </c>
      <c r="B112" s="693"/>
      <c r="C112" s="710"/>
      <c r="D112" s="703"/>
      <c r="E112" s="711"/>
      <c r="F112" s="693"/>
      <c r="H112" s="670"/>
    </row>
    <row r="113" spans="1:10" s="671" customFormat="1" ht="12.75">
      <c r="A113" s="671" t="s">
        <v>1648</v>
      </c>
      <c r="B113" s="670">
        <v>2.74</v>
      </c>
      <c r="D113" s="672">
        <f>B113*$F$2</f>
        <v>0.24261737083170204</v>
      </c>
      <c r="E113" s="673"/>
      <c r="F113" s="670">
        <f t="shared" ref="F113:F114" si="12">+B113+D113</f>
        <v>2.9826173708317021</v>
      </c>
      <c r="H113" s="670"/>
    </row>
    <row r="114" spans="1:10" s="671" customFormat="1" ht="12.75">
      <c r="A114" s="671" t="s">
        <v>1649</v>
      </c>
      <c r="B114" s="670">
        <v>11.81</v>
      </c>
      <c r="D114" s="672">
        <f>B114*$F$2</f>
        <v>1.0457339961760588</v>
      </c>
      <c r="E114" s="673"/>
      <c r="F114" s="670">
        <f t="shared" si="12"/>
        <v>12.85573399617606</v>
      </c>
      <c r="H114" s="670"/>
    </row>
    <row r="115" spans="1:10" s="671" customFormat="1" ht="12.75">
      <c r="B115" s="670"/>
      <c r="D115" s="672"/>
      <c r="E115" s="673"/>
      <c r="F115" s="670"/>
      <c r="H115" s="670"/>
    </row>
    <row r="116" spans="1:10" s="671" customFormat="1" ht="12.75">
      <c r="A116" s="690" t="s">
        <v>1650</v>
      </c>
      <c r="B116" s="693"/>
      <c r="C116" s="710"/>
      <c r="D116" s="703"/>
      <c r="E116" s="711"/>
      <c r="F116" s="693"/>
      <c r="H116" s="670"/>
    </row>
    <row r="117" spans="1:10" s="671" customFormat="1" ht="12.75">
      <c r="A117" s="671" t="s">
        <v>1651</v>
      </c>
      <c r="B117" s="670">
        <v>7.17</v>
      </c>
      <c r="D117" s="672">
        <f>B117*$F$2</f>
        <v>0.63487830250485522</v>
      </c>
      <c r="E117" s="673"/>
      <c r="F117" s="670">
        <f t="shared" ref="F117:F120" si="13">+B117+D117</f>
        <v>7.8048783025048554</v>
      </c>
      <c r="H117" s="670"/>
    </row>
    <row r="118" spans="1:10" s="671" customFormat="1" ht="12.75">
      <c r="A118" s="671" t="s">
        <v>1652</v>
      </c>
      <c r="B118" s="670">
        <v>6.45</v>
      </c>
      <c r="D118" s="672">
        <f>B118*$F$2</f>
        <v>0.57112483279725479</v>
      </c>
      <c r="E118" s="673"/>
      <c r="F118" s="670">
        <f t="shared" si="13"/>
        <v>7.0211248327972546</v>
      </c>
      <c r="H118" s="670"/>
    </row>
    <row r="119" spans="1:10" s="671" customFormat="1" ht="12.75">
      <c r="A119" s="671" t="s">
        <v>1594</v>
      </c>
      <c r="B119" s="670">
        <v>7.17</v>
      </c>
      <c r="D119" s="672">
        <f>B119*$F$2</f>
        <v>0.63487830250485522</v>
      </c>
      <c r="E119" s="673"/>
      <c r="F119" s="670">
        <f t="shared" si="13"/>
        <v>7.8048783025048554</v>
      </c>
      <c r="H119" s="670"/>
    </row>
    <row r="120" spans="1:10" s="671" customFormat="1" ht="12.75">
      <c r="A120" s="671" t="s">
        <v>1653</v>
      </c>
      <c r="B120" s="670">
        <v>2.68</v>
      </c>
      <c r="D120" s="672">
        <f>B120*$F$2</f>
        <v>0.23730458168940197</v>
      </c>
      <c r="E120" s="673"/>
      <c r="F120" s="670">
        <f t="shared" si="13"/>
        <v>2.9173045816894021</v>
      </c>
      <c r="H120" s="670"/>
    </row>
    <row r="121" spans="1:10" s="671" customFormat="1" ht="12.75">
      <c r="B121" s="670"/>
      <c r="D121" s="672"/>
      <c r="E121" s="673"/>
      <c r="F121" s="670"/>
      <c r="H121" s="670"/>
    </row>
    <row r="122" spans="1:10" s="671" customFormat="1" ht="12.75">
      <c r="A122" s="690" t="s">
        <v>1654</v>
      </c>
      <c r="B122" s="693"/>
      <c r="C122" s="710"/>
      <c r="D122" s="703"/>
      <c r="E122" s="711"/>
      <c r="F122" s="693"/>
      <c r="H122" s="670"/>
    </row>
    <row r="123" spans="1:10" s="674" customFormat="1" ht="12.75">
      <c r="A123" s="674" t="s">
        <v>1655</v>
      </c>
      <c r="B123" s="706"/>
      <c r="D123" s="698"/>
      <c r="E123" s="714"/>
      <c r="F123" s="706"/>
      <c r="H123" s="706"/>
    </row>
    <row r="124" spans="1:10" s="671" customFormat="1" ht="12.75">
      <c r="A124" s="674" t="s">
        <v>1656</v>
      </c>
      <c r="B124" s="670"/>
      <c r="D124" s="672"/>
      <c r="E124" s="673"/>
      <c r="F124" s="670"/>
      <c r="H124" s="670"/>
    </row>
    <row r="125" spans="1:10" s="671" customFormat="1" ht="12.75">
      <c r="A125" s="671" t="s">
        <v>1657</v>
      </c>
      <c r="B125" s="670">
        <v>74.12</v>
      </c>
      <c r="D125" s="672">
        <f>B125*$F$2</f>
        <v>6.5630655204546544</v>
      </c>
      <c r="E125" s="673"/>
      <c r="F125" s="670">
        <f t="shared" ref="F125:F127" si="14">+B125+D125</f>
        <v>80.683065520454662</v>
      </c>
      <c r="H125" s="670"/>
    </row>
    <row r="126" spans="1:10" s="671" customFormat="1" ht="12.75">
      <c r="A126" s="671" t="s">
        <v>1658</v>
      </c>
      <c r="B126" s="670">
        <v>74.12</v>
      </c>
      <c r="D126" s="672">
        <f>B126*$F$2</f>
        <v>6.5630655204546544</v>
      </c>
      <c r="E126" s="673"/>
      <c r="F126" s="670">
        <f t="shared" si="14"/>
        <v>80.683065520454662</v>
      </c>
      <c r="H126" s="670"/>
    </row>
    <row r="127" spans="1:10" s="671" customFormat="1" ht="12.75">
      <c r="A127" s="671" t="s">
        <v>1659</v>
      </c>
      <c r="B127" s="670">
        <v>74.12</v>
      </c>
      <c r="D127" s="672">
        <f>B127*$F$2</f>
        <v>6.5630655204546544</v>
      </c>
      <c r="E127" s="673"/>
      <c r="F127" s="670">
        <f t="shared" si="14"/>
        <v>80.683065520454662</v>
      </c>
      <c r="H127" s="670"/>
    </row>
    <row r="128" spans="1:10">
      <c r="F128" s="717"/>
      <c r="G128" s="716"/>
      <c r="J128" s="716"/>
    </row>
    <row r="129" spans="1:10" s="674" customFormat="1" ht="12.75">
      <c r="A129" s="674" t="s">
        <v>1660</v>
      </c>
      <c r="B129" s="706"/>
      <c r="D129" s="698"/>
      <c r="E129" s="714"/>
      <c r="F129" s="706"/>
      <c r="H129" s="706"/>
    </row>
    <row r="130" spans="1:10" s="671" customFormat="1" ht="12.75">
      <c r="A130" s="671" t="s">
        <v>1657</v>
      </c>
      <c r="B130" s="670">
        <v>48.52</v>
      </c>
      <c r="D130" s="672">
        <f>B130*$F$2</f>
        <v>4.2962754864066355</v>
      </c>
      <c r="E130" s="673"/>
      <c r="F130" s="670">
        <f t="shared" ref="F130:F132" si="15">+B130+D130</f>
        <v>52.816275486406639</v>
      </c>
      <c r="H130" s="670"/>
    </row>
    <row r="131" spans="1:10" s="671" customFormat="1" ht="12.75">
      <c r="A131" s="671" t="s">
        <v>1658</v>
      </c>
      <c r="B131" s="670">
        <v>48.52</v>
      </c>
      <c r="D131" s="672">
        <f>B131*$F$2</f>
        <v>4.2962754864066355</v>
      </c>
      <c r="E131" s="673"/>
      <c r="F131" s="670">
        <f t="shared" si="15"/>
        <v>52.816275486406639</v>
      </c>
      <c r="H131" s="670"/>
    </row>
    <row r="132" spans="1:10" s="671" customFormat="1" ht="12.75">
      <c r="A132" s="671" t="s">
        <v>1659</v>
      </c>
      <c r="B132" s="670">
        <v>48.52</v>
      </c>
      <c r="D132" s="672">
        <f>B132*$F$2</f>
        <v>4.2962754864066355</v>
      </c>
      <c r="E132" s="673"/>
      <c r="F132" s="670">
        <f t="shared" si="15"/>
        <v>52.816275486406639</v>
      </c>
      <c r="H132" s="670"/>
    </row>
    <row r="133" spans="1:10" s="671" customFormat="1" ht="12.75">
      <c r="B133" s="670"/>
      <c r="D133" s="672"/>
      <c r="E133" s="673"/>
      <c r="F133" s="670"/>
      <c r="H133" s="670"/>
    </row>
    <row r="134" spans="1:10" s="674" customFormat="1" ht="12.75">
      <c r="A134" s="674" t="s">
        <v>1644</v>
      </c>
      <c r="B134" s="706"/>
      <c r="D134" s="698"/>
      <c r="E134" s="714"/>
      <c r="F134" s="706"/>
      <c r="H134" s="706"/>
    </row>
    <row r="135" spans="1:10" s="671" customFormat="1" ht="12.75">
      <c r="A135" s="671" t="s">
        <v>1657</v>
      </c>
      <c r="B135" s="670">
        <f>B125</f>
        <v>74.12</v>
      </c>
      <c r="D135" s="672">
        <f>B135*$F$2</f>
        <v>6.5630655204546544</v>
      </c>
      <c r="E135" s="673"/>
      <c r="F135" s="670">
        <f t="shared" ref="F135:F137" si="16">+B135+D135</f>
        <v>80.683065520454662</v>
      </c>
      <c r="H135" s="670"/>
    </row>
    <row r="136" spans="1:10" s="671" customFormat="1" ht="12.75">
      <c r="A136" s="671" t="s">
        <v>1658</v>
      </c>
      <c r="B136" s="670">
        <f t="shared" ref="B136:B137" si="17">B126</f>
        <v>74.12</v>
      </c>
      <c r="D136" s="672">
        <f>B136*$F$2</f>
        <v>6.5630655204546544</v>
      </c>
      <c r="E136" s="673"/>
      <c r="F136" s="670">
        <f t="shared" si="16"/>
        <v>80.683065520454662</v>
      </c>
      <c r="H136" s="670"/>
    </row>
    <row r="137" spans="1:10" s="671" customFormat="1" ht="12.75">
      <c r="A137" s="671" t="s">
        <v>1659</v>
      </c>
      <c r="B137" s="670">
        <f t="shared" si="17"/>
        <v>74.12</v>
      </c>
      <c r="D137" s="672">
        <f>B137*$F$2</f>
        <v>6.5630655204546544</v>
      </c>
      <c r="E137" s="673"/>
      <c r="F137" s="670">
        <f t="shared" si="16"/>
        <v>80.683065520454662</v>
      </c>
      <c r="H137" s="670"/>
    </row>
    <row r="138" spans="1:10">
      <c r="F138" s="717"/>
      <c r="G138" s="716"/>
      <c r="J138" s="716"/>
    </row>
    <row r="139" spans="1:10" s="674" customFormat="1" ht="12.75">
      <c r="A139" s="674" t="s">
        <v>1661</v>
      </c>
      <c r="B139" s="706"/>
      <c r="D139" s="698"/>
      <c r="E139" s="714"/>
      <c r="F139" s="706"/>
      <c r="H139" s="706"/>
    </row>
    <row r="140" spans="1:10" s="671" customFormat="1" ht="12.75">
      <c r="A140" s="671" t="s">
        <v>1656</v>
      </c>
      <c r="B140" s="670"/>
      <c r="D140" s="672"/>
      <c r="E140" s="673"/>
      <c r="F140" s="670"/>
      <c r="H140" s="670"/>
    </row>
    <row r="141" spans="1:10" s="671" customFormat="1" ht="12.75">
      <c r="A141" s="671" t="s">
        <v>1658</v>
      </c>
      <c r="B141" s="670">
        <v>84.78</v>
      </c>
      <c r="D141" s="672">
        <f>B141*$F$2</f>
        <v>7.5069710580699622</v>
      </c>
      <c r="E141" s="673"/>
      <c r="F141" s="670">
        <f t="shared" ref="F141:F142" si="18">+B141+D141</f>
        <v>92.286971058069966</v>
      </c>
      <c r="H141" s="670"/>
    </row>
    <row r="142" spans="1:10" s="671" customFormat="1" ht="12.75">
      <c r="A142" s="671" t="s">
        <v>1659</v>
      </c>
      <c r="B142" s="670">
        <v>84.78</v>
      </c>
      <c r="D142" s="672">
        <f>B142*$F$2</f>
        <v>7.5069710580699622</v>
      </c>
      <c r="E142" s="673"/>
      <c r="F142" s="670">
        <f t="shared" si="18"/>
        <v>92.286971058069966</v>
      </c>
      <c r="H142" s="670"/>
    </row>
    <row r="143" spans="1:10">
      <c r="F143" s="717"/>
      <c r="G143" s="716"/>
      <c r="J143" s="716"/>
    </row>
    <row r="144" spans="1:10" s="674" customFormat="1" ht="12.75">
      <c r="A144" s="674" t="s">
        <v>1644</v>
      </c>
      <c r="B144" s="706"/>
      <c r="D144" s="698"/>
      <c r="E144" s="714"/>
      <c r="F144" s="706"/>
      <c r="H144" s="706"/>
    </row>
    <row r="145" spans="1:10" s="671" customFormat="1" ht="12.75">
      <c r="A145" s="671" t="s">
        <v>1658</v>
      </c>
      <c r="B145" s="670">
        <v>48.52</v>
      </c>
      <c r="D145" s="672">
        <f>B145*$F$2</f>
        <v>4.2962754864066355</v>
      </c>
      <c r="E145" s="673"/>
      <c r="F145" s="670">
        <f t="shared" ref="F145:F146" si="19">+B145+D145</f>
        <v>52.816275486406639</v>
      </c>
      <c r="H145" s="670"/>
    </row>
    <row r="146" spans="1:10" s="671" customFormat="1" ht="12.75">
      <c r="A146" s="671" t="s">
        <v>1659</v>
      </c>
      <c r="B146" s="670">
        <v>48.52</v>
      </c>
      <c r="D146" s="672">
        <f>B146*$F$2</f>
        <v>4.2962754864066355</v>
      </c>
      <c r="E146" s="673"/>
      <c r="F146" s="670">
        <f t="shared" si="19"/>
        <v>52.816275486406639</v>
      </c>
      <c r="H146" s="670"/>
    </row>
    <row r="147" spans="1:10" s="671" customFormat="1" ht="12.75">
      <c r="B147" s="670"/>
      <c r="D147" s="672"/>
      <c r="E147" s="673"/>
      <c r="F147" s="670"/>
      <c r="H147" s="670"/>
    </row>
    <row r="148" spans="1:10" s="674" customFormat="1" ht="12.75">
      <c r="A148" s="674" t="s">
        <v>1644</v>
      </c>
      <c r="B148" s="706"/>
      <c r="D148" s="698"/>
      <c r="E148" s="714"/>
      <c r="F148" s="706"/>
      <c r="H148" s="706"/>
    </row>
    <row r="149" spans="1:10" s="671" customFormat="1" ht="12.75">
      <c r="A149" s="671" t="s">
        <v>1658</v>
      </c>
      <c r="B149" s="670">
        <f>B141</f>
        <v>84.78</v>
      </c>
      <c r="D149" s="672">
        <f>B149*$F$2</f>
        <v>7.5069710580699622</v>
      </c>
      <c r="E149" s="673"/>
      <c r="F149" s="670">
        <f t="shared" ref="F149:F150" si="20">+B149+D149</f>
        <v>92.286971058069966</v>
      </c>
      <c r="H149" s="670"/>
    </row>
    <row r="150" spans="1:10" s="671" customFormat="1" ht="12.75">
      <c r="A150" s="671" t="s">
        <v>1659</v>
      </c>
      <c r="B150" s="670">
        <f>B142</f>
        <v>84.78</v>
      </c>
      <c r="D150" s="672">
        <f>B150*$F$2</f>
        <v>7.5069710580699622</v>
      </c>
      <c r="E150" s="673"/>
      <c r="F150" s="670">
        <f t="shared" si="20"/>
        <v>92.286971058069966</v>
      </c>
      <c r="H150" s="670"/>
    </row>
    <row r="151" spans="1:10" s="671" customFormat="1" ht="12.75">
      <c r="B151" s="670"/>
      <c r="D151" s="672"/>
      <c r="E151" s="673"/>
      <c r="F151" s="670"/>
      <c r="H151" s="670"/>
    </row>
    <row r="152" spans="1:10" s="671" customFormat="1" ht="12.75">
      <c r="A152" s="690" t="s">
        <v>1662</v>
      </c>
      <c r="B152" s="693"/>
      <c r="C152" s="710"/>
      <c r="D152" s="703"/>
      <c r="E152" s="711"/>
      <c r="F152" s="693"/>
      <c r="H152" s="670"/>
    </row>
    <row r="153" spans="1:10" s="674" customFormat="1" ht="12.75">
      <c r="A153" s="674" t="s">
        <v>1663</v>
      </c>
      <c r="B153" s="706"/>
      <c r="D153" s="698"/>
      <c r="E153" s="714"/>
      <c r="F153" s="706"/>
      <c r="H153" s="706"/>
    </row>
    <row r="154" spans="1:10" s="671" customFormat="1" ht="12.75">
      <c r="A154" s="671" t="s">
        <v>1664</v>
      </c>
      <c r="B154" s="670">
        <v>4.08</v>
      </c>
      <c r="D154" s="672">
        <f>B154*$F$2</f>
        <v>0.36126966167640301</v>
      </c>
      <c r="E154" s="673"/>
      <c r="F154" s="670">
        <f t="shared" ref="F154:F156" si="21">+B154+D154</f>
        <v>4.4412696616764027</v>
      </c>
      <c r="H154" s="670"/>
    </row>
    <row r="155" spans="1:10" s="671" customFormat="1" ht="12.75">
      <c r="A155" s="671" t="s">
        <v>1665</v>
      </c>
      <c r="B155" s="670">
        <v>0.85</v>
      </c>
      <c r="D155" s="672">
        <f>B155*$F$2</f>
        <v>7.526451284925062E-2</v>
      </c>
      <c r="E155" s="673"/>
      <c r="F155" s="670">
        <f t="shared" si="21"/>
        <v>0.9252645128492506</v>
      </c>
      <c r="H155" s="670"/>
    </row>
    <row r="156" spans="1:10" s="671" customFormat="1" ht="12.75">
      <c r="A156" s="671" t="s">
        <v>1666</v>
      </c>
      <c r="B156" s="670">
        <v>1.18</v>
      </c>
      <c r="D156" s="672">
        <f>B156*$F$2</f>
        <v>0.10448485313190085</v>
      </c>
      <c r="E156" s="673"/>
      <c r="F156" s="670">
        <f t="shared" si="21"/>
        <v>1.2844848531319009</v>
      </c>
      <c r="H156" s="670"/>
    </row>
    <row r="157" spans="1:10">
      <c r="F157" s="717"/>
      <c r="G157" s="716"/>
      <c r="J157" s="716"/>
    </row>
    <row r="158" spans="1:10" s="671" customFormat="1" ht="12.75">
      <c r="A158" s="690" t="s">
        <v>1667</v>
      </c>
      <c r="B158" s="693"/>
      <c r="C158" s="710"/>
      <c r="D158" s="703"/>
      <c r="E158" s="711"/>
      <c r="F158" s="693"/>
      <c r="H158" s="670"/>
    </row>
    <row r="159" spans="1:10" s="674" customFormat="1" ht="12.75">
      <c r="A159" s="674" t="s">
        <v>1668</v>
      </c>
      <c r="B159" s="706"/>
      <c r="D159" s="698"/>
      <c r="E159" s="714"/>
      <c r="F159" s="706"/>
      <c r="H159" s="706"/>
    </row>
    <row r="160" spans="1:10" s="671" customFormat="1" ht="12.75">
      <c r="A160" s="671" t="s">
        <v>1669</v>
      </c>
      <c r="B160" s="670">
        <v>3.38</v>
      </c>
      <c r="D160" s="672">
        <f t="shared" ref="D160:D165" si="22">B160*$F$2</f>
        <v>0.29928712168290245</v>
      </c>
      <c r="E160" s="673"/>
      <c r="F160" s="670">
        <f t="shared" ref="F160:F165" si="23">+B160+D160</f>
        <v>3.6792871216829024</v>
      </c>
      <c r="H160" s="670"/>
    </row>
    <row r="161" spans="1:10" s="671" customFormat="1" ht="12.75">
      <c r="A161" s="671" t="s">
        <v>1670</v>
      </c>
      <c r="B161" s="670">
        <v>4.08</v>
      </c>
      <c r="D161" s="672">
        <f t="shared" si="22"/>
        <v>0.36126966167640301</v>
      </c>
      <c r="E161" s="673"/>
      <c r="F161" s="670">
        <f t="shared" si="23"/>
        <v>4.4412696616764027</v>
      </c>
      <c r="H161" s="670"/>
    </row>
    <row r="162" spans="1:10" s="671" customFormat="1" ht="12.75">
      <c r="A162" s="671" t="s">
        <v>1671</v>
      </c>
      <c r="B162" s="670">
        <v>8.15</v>
      </c>
      <c r="D162" s="672">
        <f t="shared" si="22"/>
        <v>0.72165385849575603</v>
      </c>
      <c r="E162" s="673"/>
      <c r="F162" s="670">
        <f t="shared" si="23"/>
        <v>8.8716538584957565</v>
      </c>
      <c r="H162" s="670"/>
    </row>
    <row r="163" spans="1:10" s="671" customFormat="1" ht="12.75">
      <c r="A163" s="671" t="s">
        <v>1672</v>
      </c>
      <c r="B163" s="670">
        <v>10.85</v>
      </c>
      <c r="D163" s="672">
        <f t="shared" si="22"/>
        <v>0.96072936989925795</v>
      </c>
      <c r="E163" s="673"/>
      <c r="F163" s="670">
        <f t="shared" si="23"/>
        <v>11.810729369899258</v>
      </c>
      <c r="H163" s="670"/>
    </row>
    <row r="164" spans="1:10" s="671" customFormat="1" ht="12.75">
      <c r="A164" s="671" t="s">
        <v>1673</v>
      </c>
      <c r="B164" s="670">
        <v>16.239999999999998</v>
      </c>
      <c r="D164" s="672">
        <f t="shared" si="22"/>
        <v>1.4379949278492117</v>
      </c>
      <c r="E164" s="673"/>
      <c r="F164" s="670">
        <f t="shared" si="23"/>
        <v>17.677994927849209</v>
      </c>
      <c r="H164" s="670"/>
    </row>
    <row r="165" spans="1:10" s="671" customFormat="1" ht="12.75">
      <c r="A165" s="671" t="s">
        <v>1674</v>
      </c>
      <c r="B165" s="670">
        <v>21.63</v>
      </c>
      <c r="D165" s="672">
        <f t="shared" si="22"/>
        <v>1.9152604857991657</v>
      </c>
      <c r="E165" s="673"/>
      <c r="F165" s="670">
        <f t="shared" si="23"/>
        <v>23.545260485799165</v>
      </c>
      <c r="H165" s="670"/>
    </row>
    <row r="166" spans="1:10" s="671" customFormat="1" ht="12.75">
      <c r="B166" s="670"/>
      <c r="D166" s="672"/>
      <c r="E166" s="673"/>
      <c r="F166" s="670"/>
      <c r="H166" s="670"/>
    </row>
    <row r="167" spans="1:10" s="671" customFormat="1" ht="12.75">
      <c r="A167" s="671" t="s">
        <v>1629</v>
      </c>
      <c r="B167" s="670">
        <v>0.63</v>
      </c>
      <c r="D167" s="672">
        <f>B167*$F$2</f>
        <v>5.5784285994150459E-2</v>
      </c>
      <c r="E167" s="673"/>
      <c r="F167" s="670">
        <f t="shared" ref="F167:F169" si="24">+B167+D167</f>
        <v>0.68578428599415042</v>
      </c>
      <c r="H167" s="670"/>
    </row>
    <row r="168" spans="1:10" s="671" customFormat="1" ht="12.75">
      <c r="A168" s="671" t="s">
        <v>1630</v>
      </c>
      <c r="B168" s="670">
        <v>0.82</v>
      </c>
      <c r="D168" s="672">
        <f>B168*$F$2</f>
        <v>7.2608118278100597E-2</v>
      </c>
      <c r="E168" s="673"/>
      <c r="F168" s="670">
        <f t="shared" si="24"/>
        <v>0.89260811827810049</v>
      </c>
      <c r="H168" s="670"/>
    </row>
    <row r="169" spans="1:10" s="671" customFormat="1" ht="12.75">
      <c r="A169" s="671" t="s">
        <v>1631</v>
      </c>
      <c r="B169" s="670">
        <v>1.22</v>
      </c>
      <c r="D169" s="672">
        <f>B169*$F$2</f>
        <v>0.10802671256010089</v>
      </c>
      <c r="E169" s="673"/>
      <c r="F169" s="670">
        <f t="shared" si="24"/>
        <v>1.3280267125601009</v>
      </c>
      <c r="H169" s="670"/>
    </row>
    <row r="170" spans="1:10">
      <c r="F170" s="717"/>
      <c r="G170" s="716"/>
      <c r="J170" s="716"/>
    </row>
    <row r="171" spans="1:10" s="671" customFormat="1" ht="12.75">
      <c r="A171" s="690" t="s">
        <v>1675</v>
      </c>
      <c r="B171" s="693"/>
      <c r="C171" s="710"/>
      <c r="D171" s="703"/>
      <c r="E171" s="711"/>
      <c r="F171" s="693"/>
      <c r="H171" s="670"/>
    </row>
    <row r="172" spans="1:10" s="674" customFormat="1" ht="12.75">
      <c r="A172" s="674" t="s">
        <v>1676</v>
      </c>
      <c r="B172" s="706"/>
      <c r="D172" s="698"/>
      <c r="E172" s="714"/>
      <c r="F172" s="706"/>
      <c r="H172" s="706"/>
    </row>
    <row r="173" spans="1:10" s="671" customFormat="1" ht="12.75">
      <c r="A173" s="671" t="s">
        <v>1677</v>
      </c>
      <c r="B173" s="670">
        <v>5.17</v>
      </c>
      <c r="D173" s="672">
        <f>B173*$F$2</f>
        <v>0.45778533109485375</v>
      </c>
      <c r="E173" s="673"/>
      <c r="F173" s="670">
        <f t="shared" ref="F173:F175" si="25">+B173+D173</f>
        <v>5.627785331094854</v>
      </c>
      <c r="H173" s="670"/>
    </row>
    <row r="174" spans="1:10" s="671" customFormat="1" ht="12.75">
      <c r="A174" s="671" t="s">
        <v>1678</v>
      </c>
      <c r="B174" s="670">
        <v>31.02</v>
      </c>
      <c r="D174" s="672">
        <f>B174*$F$2</f>
        <v>2.7467119865691227</v>
      </c>
      <c r="E174" s="673"/>
      <c r="F174" s="670">
        <f t="shared" si="25"/>
        <v>33.766711986569121</v>
      </c>
      <c r="H174" s="670"/>
    </row>
    <row r="175" spans="1:10" s="671" customFormat="1" ht="12.75">
      <c r="A175" s="671" t="s">
        <v>1679</v>
      </c>
      <c r="B175" s="670">
        <v>8</v>
      </c>
      <c r="D175" s="672">
        <f>B175*$F$2</f>
        <v>0.70837188564000586</v>
      </c>
      <c r="E175" s="673"/>
      <c r="F175" s="670">
        <f t="shared" si="25"/>
        <v>8.7083718856400054</v>
      </c>
      <c r="H175" s="670"/>
    </row>
    <row r="176" spans="1:10">
      <c r="F176" s="717"/>
      <c r="G176" s="716"/>
      <c r="J176" s="716"/>
    </row>
    <row r="177" spans="1:16" s="674" customFormat="1" ht="12.75">
      <c r="A177" s="674" t="s">
        <v>1680</v>
      </c>
      <c r="B177" s="706"/>
      <c r="D177" s="698"/>
      <c r="E177" s="714"/>
      <c r="F177" s="706"/>
      <c r="H177" s="706"/>
    </row>
    <row r="178" spans="1:16" s="671" customFormat="1" ht="12.75">
      <c r="A178" s="671" t="s">
        <v>1681</v>
      </c>
      <c r="B178" s="670">
        <v>22.08</v>
      </c>
      <c r="D178" s="672">
        <f>B178*$F$2</f>
        <v>1.9551064043664159</v>
      </c>
      <c r="E178" s="673"/>
      <c r="F178" s="670">
        <f t="shared" ref="F178:F179" si="26">+B178+D178</f>
        <v>24.035106404366413</v>
      </c>
      <c r="H178" s="670"/>
    </row>
    <row r="179" spans="1:16" s="671" customFormat="1" ht="12.75">
      <c r="A179" s="671" t="s">
        <v>1682</v>
      </c>
      <c r="B179" s="670">
        <v>35.25</v>
      </c>
      <c r="D179" s="672">
        <f>B179*$F$2</f>
        <v>3.1212636211012756</v>
      </c>
      <c r="E179" s="673"/>
      <c r="F179" s="670">
        <f t="shared" si="26"/>
        <v>38.371263621101278</v>
      </c>
      <c r="H179" s="670"/>
    </row>
    <row r="180" spans="1:16" s="671" customFormat="1" ht="12.75">
      <c r="B180" s="670"/>
      <c r="D180" s="672"/>
      <c r="E180" s="673"/>
      <c r="F180" s="670"/>
      <c r="H180" s="670"/>
    </row>
    <row r="181" spans="1:16" s="671" customFormat="1" ht="12.75">
      <c r="A181" s="690" t="s">
        <v>1683</v>
      </c>
      <c r="B181" s="693"/>
      <c r="C181" s="710"/>
      <c r="D181" s="703"/>
      <c r="E181" s="711"/>
      <c r="F181" s="693"/>
      <c r="H181" s="670"/>
    </row>
    <row r="182" spans="1:16" s="671" customFormat="1" ht="12.75">
      <c r="A182" s="674" t="s">
        <v>1684</v>
      </c>
      <c r="B182" s="670"/>
      <c r="D182" s="672"/>
      <c r="E182" s="673"/>
      <c r="F182" s="670"/>
      <c r="H182" s="670"/>
    </row>
    <row r="183" spans="1:16" s="671" customFormat="1" ht="12.75">
      <c r="A183" s="671" t="s">
        <v>1685</v>
      </c>
      <c r="B183" s="670">
        <v>32.82</v>
      </c>
      <c r="D183" s="672"/>
      <c r="E183" s="673"/>
      <c r="F183" s="670">
        <f t="shared" ref="F183:F185" si="27">+B183+D183</f>
        <v>32.82</v>
      </c>
      <c r="H183" s="670"/>
    </row>
    <row r="184" spans="1:16" s="671" customFormat="1" ht="12.75">
      <c r="A184" s="671" t="s">
        <v>26</v>
      </c>
      <c r="B184" s="670">
        <v>15.45</v>
      </c>
      <c r="D184" s="672"/>
      <c r="E184" s="673"/>
      <c r="F184" s="670">
        <f t="shared" si="27"/>
        <v>15.45</v>
      </c>
      <c r="H184" s="670"/>
    </row>
    <row r="185" spans="1:16" s="671" customFormat="1" ht="12.75">
      <c r="A185" s="671" t="s">
        <v>1686</v>
      </c>
      <c r="B185" s="670">
        <v>32.82</v>
      </c>
      <c r="D185" s="672"/>
      <c r="E185" s="673"/>
      <c r="F185" s="670">
        <f t="shared" si="27"/>
        <v>32.82</v>
      </c>
      <c r="H185" s="670"/>
    </row>
    <row r="186" spans="1:16" s="671" customFormat="1" ht="12.75">
      <c r="B186" s="670"/>
      <c r="D186" s="672"/>
      <c r="E186" s="673"/>
      <c r="F186" s="670"/>
      <c r="H186" s="670"/>
    </row>
    <row r="187" spans="1:16" s="671" customFormat="1" ht="12.75">
      <c r="A187" s="690" t="s">
        <v>1687</v>
      </c>
      <c r="B187" s="693"/>
      <c r="C187" s="710"/>
      <c r="D187" s="703"/>
      <c r="E187" s="711"/>
      <c r="F187" s="693"/>
      <c r="H187" s="670"/>
    </row>
    <row r="188" spans="1:16" s="670" customFormat="1" ht="12.75">
      <c r="A188" s="696" t="s">
        <v>1688</v>
      </c>
      <c r="C188" s="671"/>
      <c r="D188" s="672"/>
      <c r="E188" s="673"/>
      <c r="G188" s="671"/>
      <c r="I188" s="671"/>
      <c r="J188" s="671"/>
      <c r="K188" s="671"/>
      <c r="L188" s="671"/>
      <c r="M188" s="671"/>
      <c r="N188" s="671"/>
      <c r="O188" s="671"/>
      <c r="P188" s="671"/>
    </row>
    <row r="189" spans="1:16" s="670" customFormat="1" ht="12.75">
      <c r="A189" s="671" t="s">
        <v>1669</v>
      </c>
      <c r="B189" s="670">
        <v>9.9600000000000009</v>
      </c>
      <c r="C189" s="671"/>
      <c r="D189" s="672">
        <f t="shared" ref="D189:D194" si="28">B189*$F$2</f>
        <v>0.88192299762180737</v>
      </c>
      <c r="E189" s="673"/>
      <c r="F189" s="670">
        <f t="shared" ref="F189:F194" si="29">+B189+D189</f>
        <v>10.841922997621808</v>
      </c>
      <c r="G189" s="671"/>
      <c r="I189" s="671"/>
      <c r="J189" s="671"/>
      <c r="K189" s="671"/>
      <c r="L189" s="671"/>
      <c r="M189" s="671"/>
      <c r="N189" s="671"/>
      <c r="O189" s="671"/>
      <c r="P189" s="671"/>
    </row>
    <row r="190" spans="1:16" s="670" customFormat="1" ht="12.75">
      <c r="A190" s="671" t="s">
        <v>1670</v>
      </c>
      <c r="B190" s="670">
        <v>10.18</v>
      </c>
      <c r="C190" s="671"/>
      <c r="D190" s="672">
        <f t="shared" si="28"/>
        <v>0.90140322447690746</v>
      </c>
      <c r="E190" s="673"/>
      <c r="F190" s="670">
        <f t="shared" si="29"/>
        <v>11.081403224476908</v>
      </c>
      <c r="G190" s="671"/>
      <c r="I190" s="671"/>
      <c r="J190" s="671"/>
      <c r="K190" s="671"/>
      <c r="L190" s="671"/>
      <c r="M190" s="671"/>
      <c r="N190" s="671"/>
      <c r="O190" s="671"/>
      <c r="P190" s="671"/>
    </row>
    <row r="191" spans="1:16" s="670" customFormat="1" ht="12.75">
      <c r="A191" s="671" t="s">
        <v>1671</v>
      </c>
      <c r="B191" s="670">
        <v>12.32</v>
      </c>
      <c r="C191" s="671"/>
      <c r="D191" s="672">
        <f t="shared" si="28"/>
        <v>1.0908927038856091</v>
      </c>
      <c r="E191" s="673"/>
      <c r="F191" s="670">
        <f t="shared" si="29"/>
        <v>13.41089270388561</v>
      </c>
      <c r="G191" s="671"/>
      <c r="I191" s="671"/>
      <c r="J191" s="671"/>
      <c r="K191" s="671"/>
      <c r="L191" s="671"/>
      <c r="M191" s="671"/>
      <c r="N191" s="671"/>
      <c r="O191" s="671"/>
      <c r="P191" s="671"/>
    </row>
    <row r="192" spans="1:16" s="670" customFormat="1" ht="12.75">
      <c r="A192" s="671" t="s">
        <v>1672</v>
      </c>
      <c r="B192" s="670">
        <v>14.99</v>
      </c>
      <c r="C192" s="671"/>
      <c r="D192" s="672">
        <f t="shared" si="28"/>
        <v>1.3273118207179611</v>
      </c>
      <c r="E192" s="673"/>
      <c r="F192" s="670">
        <f t="shared" si="29"/>
        <v>16.317311820717961</v>
      </c>
      <c r="G192" s="671"/>
      <c r="I192" s="671"/>
      <c r="J192" s="671"/>
      <c r="K192" s="671"/>
      <c r="L192" s="671"/>
      <c r="M192" s="671"/>
      <c r="N192" s="671"/>
      <c r="O192" s="671"/>
      <c r="P192" s="671"/>
    </row>
    <row r="193" spans="1:16" s="670" customFormat="1" ht="12.75">
      <c r="A193" s="671" t="s">
        <v>1673</v>
      </c>
      <c r="B193" s="670">
        <v>17.37</v>
      </c>
      <c r="C193" s="671"/>
      <c r="D193" s="672">
        <f t="shared" si="28"/>
        <v>1.5380524566958629</v>
      </c>
      <c r="E193" s="673"/>
      <c r="F193" s="670">
        <f t="shared" si="29"/>
        <v>18.908052456695863</v>
      </c>
      <c r="G193" s="671"/>
      <c r="I193" s="671"/>
      <c r="J193" s="671"/>
      <c r="K193" s="671"/>
      <c r="L193" s="671"/>
      <c r="M193" s="671"/>
      <c r="N193" s="671"/>
      <c r="O193" s="671"/>
      <c r="P193" s="671"/>
    </row>
    <row r="194" spans="1:16" s="670" customFormat="1" ht="12.75">
      <c r="A194" s="671" t="s">
        <v>1674</v>
      </c>
      <c r="B194" s="670">
        <v>23.17</v>
      </c>
      <c r="C194" s="671"/>
      <c r="D194" s="672">
        <f t="shared" si="28"/>
        <v>2.0516220737848672</v>
      </c>
      <c r="E194" s="673"/>
      <c r="F194" s="670">
        <f t="shared" si="29"/>
        <v>25.221622073784868</v>
      </c>
      <c r="G194" s="671"/>
      <c r="I194" s="671"/>
      <c r="J194" s="671"/>
      <c r="K194" s="671"/>
      <c r="L194" s="671"/>
      <c r="M194" s="671"/>
      <c r="N194" s="671"/>
      <c r="O194" s="671"/>
      <c r="P194" s="671"/>
    </row>
    <row r="195" spans="1:16" s="670" customFormat="1" ht="12.75">
      <c r="A195" s="696"/>
      <c r="C195" s="671"/>
      <c r="D195" s="672"/>
      <c r="E195" s="673"/>
      <c r="G195" s="671"/>
      <c r="I195" s="671"/>
      <c r="J195" s="671"/>
      <c r="K195" s="671"/>
      <c r="L195" s="671"/>
      <c r="M195" s="671"/>
      <c r="N195" s="671"/>
      <c r="O195" s="671"/>
      <c r="P195" s="671"/>
    </row>
    <row r="196" spans="1:16" s="670" customFormat="1" ht="12.75">
      <c r="A196" s="696" t="s">
        <v>1689</v>
      </c>
      <c r="C196" s="671"/>
      <c r="D196" s="672"/>
      <c r="E196" s="673"/>
      <c r="G196" s="671"/>
      <c r="I196" s="671"/>
      <c r="J196" s="671"/>
      <c r="K196" s="671"/>
      <c r="L196" s="671"/>
      <c r="M196" s="671"/>
      <c r="N196" s="671"/>
      <c r="O196" s="671"/>
      <c r="P196" s="671"/>
    </row>
    <row r="197" spans="1:16" s="670" customFormat="1" ht="12.75">
      <c r="A197" s="671" t="s">
        <v>1669</v>
      </c>
      <c r="B197" s="670">
        <v>6.26</v>
      </c>
      <c r="C197" s="671"/>
      <c r="D197" s="672">
        <f t="shared" ref="D197:D202" si="30">B197*$F$2</f>
        <v>0.55430100051330455</v>
      </c>
      <c r="E197" s="673"/>
      <c r="F197" s="670">
        <f t="shared" ref="F197:F202" si="31">+B197+D197</f>
        <v>6.8143010005133045</v>
      </c>
      <c r="G197" s="671"/>
      <c r="I197" s="671"/>
      <c r="J197" s="671"/>
      <c r="K197" s="671"/>
      <c r="L197" s="671"/>
      <c r="M197" s="671"/>
      <c r="N197" s="671"/>
      <c r="O197" s="671"/>
      <c r="P197" s="671"/>
    </row>
    <row r="198" spans="1:16" s="670" customFormat="1" ht="12.75">
      <c r="A198" s="671" t="s">
        <v>1670</v>
      </c>
      <c r="B198" s="670">
        <v>7.21</v>
      </c>
      <c r="C198" s="671"/>
      <c r="D198" s="672">
        <f t="shared" si="30"/>
        <v>0.63842016193305529</v>
      </c>
      <c r="E198" s="673"/>
      <c r="F198" s="670">
        <f t="shared" si="31"/>
        <v>7.8484201619330554</v>
      </c>
      <c r="G198" s="671"/>
      <c r="I198" s="671"/>
      <c r="J198" s="671"/>
      <c r="K198" s="671"/>
      <c r="L198" s="671"/>
      <c r="M198" s="671"/>
      <c r="N198" s="671"/>
      <c r="O198" s="671"/>
      <c r="P198" s="671"/>
    </row>
    <row r="199" spans="1:16" s="670" customFormat="1" ht="12.75">
      <c r="A199" s="671" t="s">
        <v>1671</v>
      </c>
      <c r="B199" s="670">
        <v>12.67</v>
      </c>
      <c r="C199" s="671"/>
      <c r="D199" s="672">
        <f t="shared" si="30"/>
        <v>1.1218839738823592</v>
      </c>
      <c r="E199" s="673"/>
      <c r="F199" s="670">
        <f t="shared" si="31"/>
        <v>13.79188397388236</v>
      </c>
      <c r="G199" s="671"/>
      <c r="I199" s="671"/>
      <c r="J199" s="671"/>
      <c r="K199" s="671"/>
      <c r="L199" s="671"/>
      <c r="M199" s="671"/>
      <c r="N199" s="671"/>
      <c r="O199" s="671"/>
      <c r="P199" s="671"/>
    </row>
    <row r="200" spans="1:16" s="670" customFormat="1" ht="12.75">
      <c r="A200" s="671" t="s">
        <v>1672</v>
      </c>
      <c r="B200" s="670">
        <v>16.72</v>
      </c>
      <c r="C200" s="671"/>
      <c r="D200" s="672">
        <f t="shared" si="30"/>
        <v>1.480497240987612</v>
      </c>
      <c r="E200" s="673"/>
      <c r="F200" s="670">
        <f t="shared" si="31"/>
        <v>18.200497240987612</v>
      </c>
      <c r="G200" s="671"/>
      <c r="I200" s="671"/>
      <c r="J200" s="671"/>
      <c r="K200" s="671"/>
      <c r="L200" s="671"/>
      <c r="M200" s="671"/>
      <c r="N200" s="671"/>
      <c r="O200" s="671"/>
      <c r="P200" s="671"/>
    </row>
    <row r="201" spans="1:16" s="670" customFormat="1" ht="12.75">
      <c r="A201" s="671" t="s">
        <v>1673</v>
      </c>
      <c r="B201" s="670">
        <v>22.74</v>
      </c>
      <c r="C201" s="671"/>
      <c r="D201" s="672">
        <f t="shared" si="30"/>
        <v>2.0135470849317163</v>
      </c>
      <c r="E201" s="673"/>
      <c r="F201" s="670">
        <f t="shared" si="31"/>
        <v>24.753547084931714</v>
      </c>
      <c r="G201" s="671"/>
      <c r="I201" s="671"/>
      <c r="J201" s="671"/>
      <c r="K201" s="671"/>
      <c r="L201" s="671"/>
      <c r="M201" s="671"/>
      <c r="N201" s="671"/>
      <c r="O201" s="671"/>
      <c r="P201" s="671"/>
    </row>
    <row r="202" spans="1:16" s="670" customFormat="1" ht="12.75">
      <c r="A202" s="671" t="s">
        <v>1674</v>
      </c>
      <c r="B202" s="670">
        <v>30.7</v>
      </c>
      <c r="C202" s="671"/>
      <c r="D202" s="672">
        <f t="shared" si="30"/>
        <v>2.7183771111435222</v>
      </c>
      <c r="E202" s="673"/>
      <c r="F202" s="670">
        <f t="shared" si="31"/>
        <v>33.418377111143521</v>
      </c>
      <c r="G202" s="671"/>
      <c r="I202" s="671"/>
      <c r="J202" s="671"/>
      <c r="K202" s="671"/>
      <c r="L202" s="671"/>
      <c r="M202" s="671"/>
      <c r="N202" s="671"/>
      <c r="O202" s="671"/>
      <c r="P202" s="671"/>
    </row>
    <row r="203" spans="1:16" s="670" customFormat="1" ht="12.75">
      <c r="A203" s="694"/>
      <c r="B203" s="670" t="s">
        <v>1474</v>
      </c>
      <c r="C203" s="671"/>
      <c r="D203" s="672"/>
      <c r="E203" s="673"/>
      <c r="G203" s="671"/>
      <c r="I203" s="671"/>
      <c r="J203" s="671"/>
      <c r="K203" s="671"/>
      <c r="L203" s="671"/>
      <c r="M203" s="671"/>
      <c r="N203" s="671"/>
      <c r="O203" s="671"/>
      <c r="P203" s="671"/>
    </row>
    <row r="204" spans="1:16" s="670" customFormat="1" ht="12.75">
      <c r="A204" s="674" t="s">
        <v>1690</v>
      </c>
      <c r="C204" s="671"/>
      <c r="D204" s="672"/>
      <c r="E204" s="673"/>
      <c r="G204" s="671"/>
      <c r="I204" s="671"/>
      <c r="J204" s="671"/>
      <c r="K204" s="671"/>
      <c r="L204" s="671"/>
      <c r="M204" s="671"/>
      <c r="N204" s="671"/>
      <c r="O204" s="671"/>
      <c r="P204" s="671"/>
    </row>
    <row r="205" spans="1:16" s="670" customFormat="1" ht="12.75">
      <c r="A205" s="671" t="s">
        <v>1669</v>
      </c>
      <c r="B205" s="670">
        <v>9.9499999999999993</v>
      </c>
      <c r="C205" s="671"/>
      <c r="D205" s="672">
        <f t="shared" ref="D205:D210" si="32">B205*$F$2</f>
        <v>0.88103753276475727</v>
      </c>
      <c r="E205" s="673"/>
      <c r="F205" s="670">
        <f t="shared" ref="F205:F210" si="33">+B205+D205</f>
        <v>10.831037532764757</v>
      </c>
      <c r="G205" s="671"/>
      <c r="I205" s="671"/>
      <c r="J205" s="671"/>
      <c r="K205" s="671"/>
      <c r="L205" s="671"/>
      <c r="M205" s="671"/>
      <c r="N205" s="671"/>
      <c r="O205" s="671"/>
      <c r="P205" s="671"/>
    </row>
    <row r="206" spans="1:16" s="670" customFormat="1" ht="12.75">
      <c r="A206" s="671" t="s">
        <v>1670</v>
      </c>
      <c r="B206" s="670">
        <v>10.44</v>
      </c>
      <c r="C206" s="671"/>
      <c r="D206" s="672">
        <f t="shared" si="32"/>
        <v>0.92442531076020762</v>
      </c>
      <c r="E206" s="673"/>
      <c r="F206" s="670">
        <f t="shared" si="33"/>
        <v>11.364425310760208</v>
      </c>
      <c r="G206" s="671"/>
      <c r="I206" s="671"/>
      <c r="J206" s="671"/>
      <c r="K206" s="671"/>
      <c r="L206" s="671"/>
      <c r="M206" s="671"/>
      <c r="N206" s="671"/>
      <c r="O206" s="671"/>
      <c r="P206" s="671"/>
    </row>
    <row r="207" spans="1:16" s="670" customFormat="1" ht="12.75">
      <c r="A207" s="671" t="s">
        <v>1671</v>
      </c>
      <c r="B207" s="670">
        <v>16.88</v>
      </c>
      <c r="C207" s="671"/>
      <c r="D207" s="672">
        <f t="shared" si="32"/>
        <v>1.4946646787004123</v>
      </c>
      <c r="E207" s="673"/>
      <c r="F207" s="670">
        <f t="shared" si="33"/>
        <v>18.374664678700412</v>
      </c>
      <c r="G207" s="671"/>
      <c r="I207" s="671"/>
      <c r="J207" s="671"/>
      <c r="K207" s="671"/>
      <c r="L207" s="671"/>
      <c r="M207" s="671"/>
      <c r="N207" s="671"/>
      <c r="O207" s="671"/>
      <c r="P207" s="671"/>
    </row>
    <row r="208" spans="1:16" s="670" customFormat="1" ht="12.75">
      <c r="A208" s="671" t="s">
        <v>1672</v>
      </c>
      <c r="B208" s="670">
        <v>20.34</v>
      </c>
      <c r="C208" s="671"/>
      <c r="D208" s="672">
        <f t="shared" si="32"/>
        <v>1.8010355192397149</v>
      </c>
      <c r="E208" s="673"/>
      <c r="F208" s="670">
        <f t="shared" si="33"/>
        <v>22.141035519239715</v>
      </c>
      <c r="G208" s="671"/>
      <c r="I208" s="671"/>
      <c r="J208" s="671"/>
      <c r="K208" s="671"/>
      <c r="L208" s="671"/>
      <c r="M208" s="671"/>
      <c r="N208" s="671"/>
      <c r="O208" s="671"/>
      <c r="P208" s="671"/>
    </row>
    <row r="209" spans="1:16" s="670" customFormat="1" ht="12.75">
      <c r="A209" s="671" t="s">
        <v>1673</v>
      </c>
      <c r="B209" s="670">
        <v>27.75</v>
      </c>
      <c r="C209" s="671"/>
      <c r="D209" s="672">
        <f t="shared" si="32"/>
        <v>2.4571649783137701</v>
      </c>
      <c r="E209" s="673"/>
      <c r="F209" s="670">
        <f t="shared" si="33"/>
        <v>30.20716497831377</v>
      </c>
      <c r="G209" s="671"/>
      <c r="I209" s="671"/>
      <c r="J209" s="671"/>
      <c r="K209" s="671"/>
      <c r="L209" s="671"/>
      <c r="M209" s="671"/>
      <c r="N209" s="671"/>
      <c r="O209" s="671"/>
      <c r="P209" s="671"/>
    </row>
    <row r="210" spans="1:16" s="670" customFormat="1" ht="12.75">
      <c r="A210" s="671" t="s">
        <v>1674</v>
      </c>
      <c r="B210" s="670">
        <v>37.4</v>
      </c>
      <c r="C210" s="671"/>
      <c r="D210" s="672">
        <f t="shared" si="32"/>
        <v>3.3116385653670273</v>
      </c>
      <c r="E210" s="673"/>
      <c r="F210" s="670">
        <f t="shared" si="33"/>
        <v>40.711638565367025</v>
      </c>
      <c r="G210" s="671"/>
      <c r="I210" s="671"/>
      <c r="J210" s="671"/>
      <c r="K210" s="671"/>
      <c r="L210" s="671"/>
      <c r="M210" s="671"/>
      <c r="N210" s="671"/>
      <c r="O210" s="671"/>
      <c r="P210" s="671"/>
    </row>
    <row r="211" spans="1:16" s="670" customFormat="1" ht="12.75">
      <c r="A211" s="694"/>
      <c r="B211" s="670" t="s">
        <v>1474</v>
      </c>
      <c r="C211" s="671"/>
      <c r="D211" s="672"/>
      <c r="E211" s="673"/>
      <c r="G211" s="671"/>
      <c r="I211" s="671"/>
      <c r="J211" s="671"/>
      <c r="K211" s="671"/>
      <c r="L211" s="671"/>
      <c r="M211" s="671"/>
      <c r="N211" s="671"/>
      <c r="O211" s="671"/>
      <c r="P211" s="671"/>
    </row>
    <row r="212" spans="1:16" s="670" customFormat="1" ht="12.75">
      <c r="A212" s="696" t="s">
        <v>1691</v>
      </c>
      <c r="C212" s="671"/>
      <c r="D212" s="672"/>
      <c r="E212" s="673"/>
      <c r="G212" s="671"/>
      <c r="I212" s="671"/>
      <c r="J212" s="671"/>
      <c r="K212" s="671"/>
      <c r="L212" s="671"/>
      <c r="M212" s="671"/>
      <c r="N212" s="671"/>
      <c r="O212" s="671"/>
      <c r="P212" s="671"/>
    </row>
    <row r="213" spans="1:16" s="670" customFormat="1" ht="12.75">
      <c r="A213" s="696" t="s">
        <v>1692</v>
      </c>
      <c r="C213" s="671"/>
      <c r="D213" s="672"/>
      <c r="E213" s="673"/>
      <c r="G213" s="671"/>
      <c r="I213" s="671"/>
      <c r="J213" s="671"/>
      <c r="K213" s="671"/>
      <c r="L213" s="671"/>
      <c r="M213" s="671"/>
      <c r="N213" s="671"/>
      <c r="O213" s="671"/>
      <c r="P213" s="671"/>
    </row>
    <row r="214" spans="1:16" s="670" customFormat="1" ht="12.75">
      <c r="A214" s="671" t="s">
        <v>1669</v>
      </c>
      <c r="B214" s="670">
        <v>18.86</v>
      </c>
      <c r="C214" s="671"/>
      <c r="D214" s="672">
        <f>B214*$F$2</f>
        <v>1.6699867203963137</v>
      </c>
      <c r="E214" s="673"/>
      <c r="F214" s="670">
        <f t="shared" ref="F214:F218" si="34">+B214+D214</f>
        <v>20.529986720396312</v>
      </c>
      <c r="G214" s="671"/>
      <c r="I214" s="671"/>
      <c r="J214" s="671"/>
      <c r="K214" s="671"/>
      <c r="L214" s="671"/>
      <c r="M214" s="671"/>
      <c r="N214" s="671"/>
      <c r="O214" s="671"/>
      <c r="P214" s="671"/>
    </row>
    <row r="215" spans="1:16" s="670" customFormat="1" ht="12.75">
      <c r="A215" s="671" t="s">
        <v>1670</v>
      </c>
      <c r="B215" s="670">
        <v>18.86</v>
      </c>
      <c r="C215" s="671"/>
      <c r="D215" s="672">
        <f>B215*$F$2</f>
        <v>1.6699867203963137</v>
      </c>
      <c r="E215" s="673"/>
      <c r="F215" s="670">
        <f t="shared" si="34"/>
        <v>20.529986720396312</v>
      </c>
      <c r="G215" s="671"/>
      <c r="I215" s="671"/>
      <c r="J215" s="671"/>
      <c r="K215" s="671"/>
      <c r="L215" s="671"/>
      <c r="M215" s="671"/>
      <c r="N215" s="671"/>
      <c r="O215" s="671"/>
      <c r="P215" s="671"/>
    </row>
    <row r="216" spans="1:16" s="670" customFormat="1" ht="12.75">
      <c r="A216" s="671" t="s">
        <v>1671</v>
      </c>
      <c r="B216" s="670">
        <v>23.25</v>
      </c>
      <c r="C216" s="671"/>
      <c r="D216" s="672">
        <f>B216*$F$2</f>
        <v>2.0587057926412671</v>
      </c>
      <c r="E216" s="673"/>
      <c r="F216" s="670">
        <f t="shared" si="34"/>
        <v>25.308705792641266</v>
      </c>
      <c r="G216" s="671"/>
      <c r="I216" s="671"/>
      <c r="J216" s="671"/>
      <c r="K216" s="671"/>
      <c r="L216" s="671"/>
      <c r="M216" s="671"/>
      <c r="N216" s="671"/>
      <c r="O216" s="671"/>
      <c r="P216" s="671"/>
    </row>
    <row r="217" spans="1:16" s="670" customFormat="1" ht="12.75">
      <c r="A217" s="671" t="s">
        <v>1672</v>
      </c>
      <c r="B217" s="670">
        <v>23.25</v>
      </c>
      <c r="C217" s="671"/>
      <c r="D217" s="672">
        <f>B217*$F$2</f>
        <v>2.0587057926412671</v>
      </c>
      <c r="E217" s="673"/>
      <c r="F217" s="670">
        <f t="shared" si="34"/>
        <v>25.308705792641266</v>
      </c>
      <c r="G217" s="671"/>
      <c r="I217" s="671"/>
      <c r="J217" s="671"/>
      <c r="K217" s="671"/>
      <c r="L217" s="671"/>
      <c r="M217" s="671"/>
      <c r="N217" s="671"/>
      <c r="O217" s="671"/>
      <c r="P217" s="671"/>
    </row>
    <row r="218" spans="1:16" s="670" customFormat="1" ht="12.75">
      <c r="A218" s="671" t="s">
        <v>1673</v>
      </c>
      <c r="B218" s="670">
        <v>27.02</v>
      </c>
      <c r="C218" s="671"/>
      <c r="D218" s="672">
        <f>B218*$F$2</f>
        <v>2.3925260437491196</v>
      </c>
      <c r="E218" s="673"/>
      <c r="F218" s="670">
        <f t="shared" si="34"/>
        <v>29.412526043749118</v>
      </c>
      <c r="G218" s="671"/>
      <c r="I218" s="671"/>
      <c r="J218" s="671"/>
      <c r="K218" s="671"/>
      <c r="L218" s="671"/>
      <c r="M218" s="671"/>
      <c r="N218" s="671"/>
      <c r="O218" s="671"/>
      <c r="P218" s="671"/>
    </row>
    <row r="219" spans="1:16" s="670" customFormat="1" ht="12.75">
      <c r="A219" s="671"/>
      <c r="C219" s="671"/>
      <c r="D219" s="672"/>
      <c r="E219" s="673"/>
      <c r="G219" s="671"/>
      <c r="I219" s="671"/>
      <c r="J219" s="671"/>
      <c r="K219" s="671"/>
      <c r="L219" s="671"/>
      <c r="M219" s="671"/>
      <c r="N219" s="671"/>
      <c r="O219" s="671"/>
      <c r="P219" s="671"/>
    </row>
    <row r="220" spans="1:16" s="670" customFormat="1" ht="12.75">
      <c r="A220" s="671" t="s">
        <v>1689</v>
      </c>
      <c r="C220" s="671"/>
      <c r="D220" s="672"/>
      <c r="E220" s="673"/>
      <c r="G220" s="671"/>
      <c r="I220" s="671"/>
      <c r="J220" s="671"/>
      <c r="K220" s="671"/>
      <c r="L220" s="671"/>
      <c r="M220" s="671"/>
      <c r="N220" s="671"/>
      <c r="O220" s="671"/>
      <c r="P220" s="671"/>
    </row>
    <row r="221" spans="1:16" s="670" customFormat="1" ht="12.75">
      <c r="A221" s="671" t="s">
        <v>1669</v>
      </c>
      <c r="B221" s="670">
        <v>9.26</v>
      </c>
      <c r="C221" s="671"/>
      <c r="D221" s="672">
        <f>B221*$F$2</f>
        <v>0.81994045762830681</v>
      </c>
      <c r="E221" s="673"/>
      <c r="F221" s="670">
        <f t="shared" ref="F221:F225" si="35">+B221+D221</f>
        <v>10.079940457628307</v>
      </c>
      <c r="G221" s="671"/>
      <c r="I221" s="671"/>
      <c r="J221" s="671"/>
      <c r="K221" s="671"/>
      <c r="L221" s="671"/>
      <c r="M221" s="671"/>
      <c r="N221" s="671"/>
      <c r="O221" s="671"/>
      <c r="P221" s="671"/>
    </row>
    <row r="222" spans="1:16" s="670" customFormat="1" ht="12.75">
      <c r="A222" s="671" t="s">
        <v>1670</v>
      </c>
      <c r="B222" s="670">
        <v>9.91</v>
      </c>
      <c r="C222" s="671"/>
      <c r="D222" s="672">
        <f>B222*$F$2</f>
        <v>0.87749567333655731</v>
      </c>
      <c r="E222" s="673"/>
      <c r="F222" s="670">
        <f t="shared" si="35"/>
        <v>10.787495673336558</v>
      </c>
      <c r="G222" s="671"/>
      <c r="I222" s="671"/>
      <c r="J222" s="671"/>
      <c r="K222" s="671"/>
      <c r="L222" s="671"/>
      <c r="M222" s="671"/>
      <c r="N222" s="671"/>
      <c r="O222" s="671"/>
      <c r="P222" s="671"/>
    </row>
    <row r="223" spans="1:16" s="670" customFormat="1" ht="12.75">
      <c r="A223" s="671" t="s">
        <v>1671</v>
      </c>
      <c r="B223" s="670">
        <v>18.22</v>
      </c>
      <c r="C223" s="671"/>
      <c r="D223" s="672">
        <f>B223*$F$2</f>
        <v>1.6133169695451133</v>
      </c>
      <c r="E223" s="673"/>
      <c r="F223" s="670">
        <f t="shared" si="35"/>
        <v>19.833316969545113</v>
      </c>
      <c r="G223" s="671"/>
      <c r="I223" s="671"/>
      <c r="J223" s="671"/>
      <c r="K223" s="671"/>
      <c r="L223" s="671"/>
      <c r="M223" s="671"/>
      <c r="N223" s="671"/>
      <c r="O223" s="671"/>
      <c r="P223" s="671"/>
    </row>
    <row r="224" spans="1:16" s="670" customFormat="1" ht="12.75">
      <c r="A224" s="671" t="s">
        <v>1672</v>
      </c>
      <c r="B224" s="670">
        <v>23.67</v>
      </c>
      <c r="C224" s="671"/>
      <c r="D224" s="672">
        <f>B224*$F$2</f>
        <v>2.0958953166373675</v>
      </c>
      <c r="E224" s="673"/>
      <c r="F224" s="670">
        <f t="shared" si="35"/>
        <v>25.765895316637369</v>
      </c>
      <c r="G224" s="671"/>
      <c r="I224" s="671"/>
      <c r="J224" s="671"/>
      <c r="K224" s="671"/>
      <c r="L224" s="671"/>
      <c r="M224" s="671"/>
      <c r="N224" s="671"/>
      <c r="O224" s="671"/>
      <c r="P224" s="671"/>
    </row>
    <row r="225" spans="1:1759" s="671" customFormat="1" ht="12.75">
      <c r="A225" s="671" t="s">
        <v>1673</v>
      </c>
      <c r="B225" s="670">
        <v>28.25</v>
      </c>
      <c r="D225" s="672">
        <f>B225*$F$2</f>
        <v>2.5014382211662709</v>
      </c>
      <c r="E225" s="673"/>
      <c r="F225" s="670">
        <f t="shared" si="35"/>
        <v>30.751438221166271</v>
      </c>
      <c r="H225" s="670"/>
    </row>
    <row r="226" spans="1:1759" s="671" customFormat="1" ht="12.75">
      <c r="A226" s="694"/>
      <c r="B226" s="670" t="s">
        <v>1474</v>
      </c>
      <c r="D226" s="672"/>
      <c r="E226" s="673"/>
      <c r="F226" s="670"/>
      <c r="H226" s="670"/>
    </row>
    <row r="227" spans="1:1759" s="671" customFormat="1" ht="12.75">
      <c r="A227" s="671" t="s">
        <v>1693</v>
      </c>
      <c r="B227" s="670"/>
      <c r="D227" s="672"/>
      <c r="E227" s="673"/>
      <c r="F227" s="670"/>
      <c r="H227" s="670"/>
    </row>
    <row r="228" spans="1:1759" s="671" customFormat="1" ht="12.75">
      <c r="A228" s="671" t="s">
        <v>1669</v>
      </c>
      <c r="B228" s="670">
        <v>0.38</v>
      </c>
      <c r="D228" s="672">
        <f>B228*$F$2</f>
        <v>3.3647664567900276E-2</v>
      </c>
      <c r="E228" s="673"/>
      <c r="F228" s="670">
        <f t="shared" ref="F228:F232" si="36">+B228+D228</f>
        <v>0.41364766456790025</v>
      </c>
      <c r="H228" s="670"/>
    </row>
    <row r="229" spans="1:1759" s="671" customFormat="1" ht="12.75">
      <c r="A229" s="671" t="s">
        <v>1694</v>
      </c>
      <c r="B229" s="670">
        <v>0.38</v>
      </c>
      <c r="D229" s="672">
        <f>B229*$F$2</f>
        <v>3.3647664567900276E-2</v>
      </c>
      <c r="E229" s="673"/>
      <c r="F229" s="670">
        <f t="shared" si="36"/>
        <v>0.41364766456790025</v>
      </c>
      <c r="H229" s="670"/>
    </row>
    <row r="230" spans="1:1759" s="671" customFormat="1" ht="12.75">
      <c r="A230" s="671" t="s">
        <v>1671</v>
      </c>
      <c r="B230" s="670">
        <v>0.56999999999999995</v>
      </c>
      <c r="D230" s="672">
        <f>B230*$F$2</f>
        <v>5.0471496851850414E-2</v>
      </c>
      <c r="E230" s="673"/>
      <c r="F230" s="670">
        <f t="shared" si="36"/>
        <v>0.62047149685185032</v>
      </c>
      <c r="H230" s="670"/>
    </row>
    <row r="231" spans="1:1759" s="671" customFormat="1" ht="12.75">
      <c r="A231" s="671" t="s">
        <v>1672</v>
      </c>
      <c r="B231" s="670">
        <v>0.64</v>
      </c>
      <c r="D231" s="672">
        <f>B231*$F$2</f>
        <v>5.6669750851200469E-2</v>
      </c>
      <c r="E231" s="673"/>
      <c r="F231" s="670">
        <f t="shared" si="36"/>
        <v>0.69666975085120053</v>
      </c>
      <c r="H231" s="670"/>
    </row>
    <row r="232" spans="1:1759" s="671" customFormat="1" ht="12.75">
      <c r="A232" s="671" t="s">
        <v>1673</v>
      </c>
      <c r="B232" s="670">
        <v>0.94</v>
      </c>
      <c r="D232" s="672">
        <f>B232*$F$2</f>
        <v>8.3233696562700688E-2</v>
      </c>
      <c r="E232" s="673"/>
      <c r="F232" s="670">
        <f t="shared" si="36"/>
        <v>1.0232336965627007</v>
      </c>
      <c r="H232" s="670"/>
    </row>
    <row r="233" spans="1:1759" s="671" customFormat="1" ht="12.75">
      <c r="B233" s="670"/>
      <c r="D233" s="672"/>
      <c r="E233" s="673"/>
      <c r="F233" s="670"/>
      <c r="H233" s="670"/>
    </row>
    <row r="234" spans="1:1759" s="674" customFormat="1" ht="12.75">
      <c r="A234" s="674" t="s">
        <v>1695</v>
      </c>
      <c r="B234" s="706"/>
      <c r="D234" s="698"/>
      <c r="E234" s="714"/>
      <c r="F234" s="706"/>
      <c r="H234" s="706"/>
    </row>
    <row r="235" spans="1:1759" s="671" customFormat="1" ht="12.75">
      <c r="A235" s="671" t="s">
        <v>1696</v>
      </c>
      <c r="B235" s="670">
        <v>1.2</v>
      </c>
      <c r="D235" s="672">
        <f>B235*$F$2</f>
        <v>0.10625578284600087</v>
      </c>
      <c r="E235" s="673"/>
      <c r="F235" s="670">
        <f t="shared" ref="F235" si="37">+B235+D235</f>
        <v>1.3062557828460009</v>
      </c>
      <c r="H235" s="670"/>
    </row>
    <row r="236" spans="1:1759" s="671" customFormat="1" ht="12.75">
      <c r="B236" s="670"/>
      <c r="D236" s="672"/>
      <c r="E236" s="673"/>
      <c r="F236" s="670"/>
      <c r="H236" s="670"/>
    </row>
    <row r="237" spans="1:1759" s="717" customFormat="1">
      <c r="A237" s="720" t="s">
        <v>1609</v>
      </c>
      <c r="C237" s="716"/>
      <c r="D237" s="718"/>
      <c r="E237" s="719"/>
      <c r="H237" s="716"/>
      <c r="J237" s="716"/>
      <c r="K237" s="716"/>
      <c r="L237" s="716"/>
      <c r="M237" s="716"/>
      <c r="N237" s="716"/>
      <c r="O237" s="716"/>
      <c r="P237" s="716"/>
      <c r="Q237" s="716"/>
      <c r="R237" s="716"/>
      <c r="S237" s="716"/>
      <c r="T237" s="716"/>
      <c r="U237" s="716"/>
      <c r="V237" s="716"/>
      <c r="W237" s="716"/>
      <c r="X237" s="716"/>
      <c r="Y237" s="716"/>
      <c r="Z237" s="716"/>
      <c r="AA237" s="716"/>
      <c r="AB237" s="716"/>
      <c r="AC237" s="716"/>
      <c r="AD237" s="716"/>
      <c r="AE237" s="716"/>
      <c r="AF237" s="716"/>
      <c r="AG237" s="716"/>
      <c r="AH237" s="716"/>
      <c r="AI237" s="716"/>
      <c r="AJ237" s="716"/>
      <c r="AK237" s="716"/>
      <c r="AL237" s="716"/>
      <c r="AM237" s="716"/>
      <c r="AN237" s="716"/>
      <c r="AO237" s="716"/>
      <c r="AP237" s="716"/>
      <c r="AQ237" s="716"/>
      <c r="AR237" s="716"/>
      <c r="AS237" s="716"/>
      <c r="AT237" s="716"/>
      <c r="AU237" s="716"/>
      <c r="AV237" s="716"/>
      <c r="AW237" s="716"/>
      <c r="AX237" s="716"/>
      <c r="AY237" s="716"/>
      <c r="AZ237" s="716"/>
      <c r="BA237" s="716"/>
      <c r="BB237" s="716"/>
      <c r="BC237" s="716"/>
      <c r="BD237" s="716"/>
      <c r="BE237" s="716"/>
      <c r="BF237" s="716"/>
      <c r="BG237" s="716"/>
      <c r="BH237" s="716"/>
      <c r="BI237" s="716"/>
      <c r="BJ237" s="716"/>
      <c r="BK237" s="716"/>
      <c r="BL237" s="716"/>
      <c r="BM237" s="716"/>
      <c r="BN237" s="716"/>
      <c r="BO237" s="716"/>
      <c r="BP237" s="716"/>
      <c r="BQ237" s="716"/>
      <c r="BR237" s="716"/>
      <c r="BS237" s="716"/>
      <c r="BT237" s="716"/>
      <c r="BU237" s="716"/>
      <c r="BV237" s="716"/>
      <c r="BW237" s="716"/>
      <c r="BX237" s="716"/>
      <c r="BY237" s="716"/>
      <c r="BZ237" s="716"/>
      <c r="CA237" s="716"/>
      <c r="CB237" s="716"/>
      <c r="CC237" s="716"/>
      <c r="CD237" s="716"/>
      <c r="CE237" s="716"/>
      <c r="CF237" s="716"/>
      <c r="CG237" s="716"/>
      <c r="CH237" s="716"/>
      <c r="CI237" s="716"/>
      <c r="CJ237" s="716"/>
      <c r="CK237" s="716"/>
      <c r="CL237" s="716"/>
      <c r="CM237" s="716"/>
      <c r="CN237" s="716"/>
      <c r="CO237" s="716"/>
      <c r="CP237" s="716"/>
      <c r="CQ237" s="716"/>
      <c r="CR237" s="716"/>
      <c r="CS237" s="716"/>
      <c r="CT237" s="716"/>
      <c r="CU237" s="716"/>
      <c r="CV237" s="716"/>
      <c r="CW237" s="716"/>
      <c r="CX237" s="716"/>
      <c r="CY237" s="716"/>
      <c r="CZ237" s="716"/>
      <c r="DA237" s="716"/>
      <c r="DB237" s="716"/>
      <c r="DC237" s="716"/>
      <c r="DD237" s="716"/>
      <c r="DE237" s="716"/>
      <c r="DF237" s="716"/>
      <c r="DG237" s="716"/>
      <c r="DH237" s="716"/>
      <c r="DI237" s="716"/>
      <c r="DJ237" s="716"/>
      <c r="DK237" s="716"/>
      <c r="DL237" s="716"/>
      <c r="DM237" s="716"/>
      <c r="DN237" s="716"/>
      <c r="DO237" s="716"/>
      <c r="DP237" s="716"/>
      <c r="DQ237" s="716"/>
      <c r="DR237" s="716"/>
      <c r="DS237" s="716"/>
      <c r="DT237" s="716"/>
      <c r="DU237" s="716"/>
      <c r="DV237" s="716"/>
      <c r="DW237" s="716"/>
      <c r="DX237" s="716"/>
      <c r="DY237" s="716"/>
      <c r="DZ237" s="716"/>
      <c r="EA237" s="716"/>
      <c r="EB237" s="716"/>
      <c r="EC237" s="716"/>
      <c r="ED237" s="716"/>
      <c r="EE237" s="716"/>
      <c r="EF237" s="716"/>
      <c r="EG237" s="716"/>
      <c r="EH237" s="716"/>
      <c r="EI237" s="716"/>
      <c r="EJ237" s="716"/>
      <c r="EK237" s="716"/>
      <c r="EL237" s="716"/>
      <c r="EM237" s="716"/>
      <c r="EN237" s="716"/>
      <c r="EO237" s="716"/>
      <c r="EP237" s="716"/>
      <c r="EQ237" s="716"/>
      <c r="ER237" s="716"/>
      <c r="ES237" s="716"/>
      <c r="ET237" s="716"/>
      <c r="EU237" s="716"/>
      <c r="EV237" s="716"/>
      <c r="EW237" s="716"/>
      <c r="EX237" s="716"/>
      <c r="EY237" s="716"/>
      <c r="EZ237" s="716"/>
      <c r="FA237" s="716"/>
      <c r="FB237" s="716"/>
      <c r="FC237" s="716"/>
      <c r="FD237" s="716"/>
      <c r="FE237" s="716"/>
      <c r="FF237" s="716"/>
      <c r="FG237" s="716"/>
      <c r="FH237" s="716"/>
      <c r="FI237" s="716"/>
      <c r="FJ237" s="716"/>
      <c r="FK237" s="716"/>
      <c r="FL237" s="716"/>
      <c r="FM237" s="716"/>
      <c r="FN237" s="716"/>
      <c r="FO237" s="716"/>
      <c r="FP237" s="716"/>
      <c r="FQ237" s="716"/>
      <c r="FR237" s="716"/>
      <c r="FS237" s="716"/>
      <c r="FT237" s="716"/>
      <c r="FU237" s="716"/>
      <c r="FV237" s="716"/>
      <c r="FW237" s="716"/>
      <c r="FX237" s="716"/>
      <c r="FY237" s="716"/>
      <c r="FZ237" s="716"/>
      <c r="GA237" s="716"/>
      <c r="GB237" s="716"/>
      <c r="GC237" s="716"/>
      <c r="GD237" s="716"/>
      <c r="GE237" s="716"/>
      <c r="GF237" s="716"/>
      <c r="GG237" s="716"/>
      <c r="GH237" s="716"/>
      <c r="GI237" s="716"/>
      <c r="GJ237" s="716"/>
      <c r="GK237" s="716"/>
      <c r="GL237" s="716"/>
      <c r="GM237" s="716"/>
      <c r="GN237" s="716"/>
      <c r="GO237" s="716"/>
      <c r="GP237" s="716"/>
      <c r="GQ237" s="716"/>
      <c r="GR237" s="716"/>
      <c r="GS237" s="716"/>
      <c r="GT237" s="716"/>
      <c r="GU237" s="716"/>
      <c r="GV237" s="716"/>
      <c r="GW237" s="716"/>
      <c r="GX237" s="716"/>
      <c r="GY237" s="716"/>
      <c r="GZ237" s="716"/>
      <c r="HA237" s="716"/>
      <c r="HB237" s="716"/>
      <c r="HC237" s="716"/>
      <c r="HD237" s="716"/>
      <c r="HE237" s="716"/>
      <c r="HF237" s="716"/>
      <c r="HG237" s="716"/>
      <c r="HH237" s="716"/>
      <c r="HI237" s="716"/>
      <c r="HJ237" s="716"/>
      <c r="HK237" s="716"/>
      <c r="HL237" s="716"/>
      <c r="HM237" s="716"/>
      <c r="HN237" s="716"/>
      <c r="HO237" s="716"/>
      <c r="HP237" s="716"/>
      <c r="HQ237" s="716"/>
      <c r="HR237" s="716"/>
      <c r="HS237" s="716"/>
      <c r="HT237" s="716"/>
      <c r="HU237" s="716"/>
      <c r="HV237" s="716"/>
      <c r="HW237" s="716"/>
      <c r="HX237" s="716"/>
      <c r="HY237" s="716"/>
      <c r="HZ237" s="716"/>
      <c r="IA237" s="716"/>
      <c r="IB237" s="716"/>
      <c r="IC237" s="716"/>
      <c r="ID237" s="716"/>
      <c r="IE237" s="716"/>
      <c r="IF237" s="716"/>
      <c r="IG237" s="716"/>
      <c r="IH237" s="716"/>
      <c r="II237" s="716"/>
      <c r="IJ237" s="716"/>
      <c r="IK237" s="716"/>
      <c r="IL237" s="716"/>
      <c r="IM237" s="716"/>
      <c r="IN237" s="716"/>
      <c r="IO237" s="716"/>
      <c r="IP237" s="716"/>
      <c r="IQ237" s="716"/>
      <c r="IR237" s="716"/>
      <c r="IS237" s="716"/>
      <c r="IT237" s="716"/>
      <c r="IU237" s="716"/>
      <c r="IV237" s="716"/>
      <c r="IW237" s="716"/>
      <c r="IX237" s="716"/>
      <c r="IY237" s="716"/>
      <c r="IZ237" s="716"/>
      <c r="JA237" s="716"/>
      <c r="JB237" s="716"/>
      <c r="JC237" s="716"/>
      <c r="JD237" s="716"/>
      <c r="JE237" s="716"/>
      <c r="JF237" s="716"/>
      <c r="JG237" s="716"/>
      <c r="JH237" s="716"/>
      <c r="JI237" s="716"/>
      <c r="JJ237" s="716"/>
      <c r="JK237" s="716"/>
      <c r="JL237" s="716"/>
      <c r="JM237" s="716"/>
      <c r="JN237" s="716"/>
      <c r="JO237" s="716"/>
      <c r="JP237" s="716"/>
      <c r="JQ237" s="716"/>
      <c r="JR237" s="716"/>
      <c r="JS237" s="716"/>
      <c r="JT237" s="716"/>
      <c r="JU237" s="716"/>
      <c r="JV237" s="716"/>
      <c r="JW237" s="716"/>
      <c r="JX237" s="716"/>
      <c r="JY237" s="716"/>
      <c r="JZ237" s="716"/>
      <c r="KA237" s="716"/>
      <c r="KB237" s="716"/>
      <c r="KC237" s="716"/>
      <c r="KD237" s="716"/>
      <c r="KE237" s="716"/>
      <c r="KF237" s="716"/>
      <c r="KG237" s="716"/>
      <c r="KH237" s="716"/>
      <c r="KI237" s="716"/>
      <c r="KJ237" s="716"/>
      <c r="KK237" s="716"/>
      <c r="KL237" s="716"/>
      <c r="KM237" s="716"/>
      <c r="KN237" s="716"/>
      <c r="KO237" s="716"/>
      <c r="KP237" s="716"/>
      <c r="KQ237" s="716"/>
      <c r="KR237" s="716"/>
      <c r="KS237" s="716"/>
      <c r="KT237" s="716"/>
      <c r="KU237" s="716"/>
      <c r="KV237" s="716"/>
      <c r="KW237" s="716"/>
      <c r="KX237" s="716"/>
      <c r="KY237" s="716"/>
      <c r="KZ237" s="716"/>
      <c r="LA237" s="716"/>
      <c r="LB237" s="716"/>
      <c r="LC237" s="716"/>
      <c r="LD237" s="716"/>
      <c r="LE237" s="716"/>
      <c r="LF237" s="716"/>
      <c r="LG237" s="716"/>
      <c r="LH237" s="716"/>
      <c r="LI237" s="716"/>
      <c r="LJ237" s="716"/>
      <c r="LK237" s="716"/>
      <c r="LL237" s="716"/>
      <c r="LM237" s="716"/>
      <c r="LN237" s="716"/>
      <c r="LO237" s="716"/>
      <c r="LP237" s="716"/>
      <c r="LQ237" s="716"/>
      <c r="LR237" s="716"/>
      <c r="LS237" s="716"/>
      <c r="LT237" s="716"/>
      <c r="LU237" s="716"/>
      <c r="LV237" s="716"/>
      <c r="LW237" s="716"/>
      <c r="LX237" s="716"/>
      <c r="LY237" s="716"/>
      <c r="LZ237" s="716"/>
      <c r="MA237" s="716"/>
      <c r="MB237" s="716"/>
      <c r="MC237" s="716"/>
      <c r="MD237" s="716"/>
      <c r="ME237" s="716"/>
      <c r="MF237" s="716"/>
      <c r="MG237" s="716"/>
      <c r="MH237" s="716"/>
      <c r="MI237" s="716"/>
      <c r="MJ237" s="716"/>
      <c r="MK237" s="716"/>
      <c r="ML237" s="716"/>
      <c r="MM237" s="716"/>
      <c r="MN237" s="716"/>
      <c r="MO237" s="716"/>
      <c r="MP237" s="716"/>
      <c r="MQ237" s="716"/>
      <c r="MR237" s="716"/>
      <c r="MS237" s="716"/>
      <c r="MT237" s="716"/>
      <c r="MU237" s="716"/>
      <c r="MV237" s="716"/>
      <c r="MW237" s="716"/>
      <c r="MX237" s="716"/>
      <c r="MY237" s="716"/>
      <c r="MZ237" s="716"/>
      <c r="NA237" s="716"/>
      <c r="NB237" s="716"/>
      <c r="NC237" s="716"/>
      <c r="ND237" s="716"/>
      <c r="NE237" s="716"/>
      <c r="NF237" s="716"/>
      <c r="NG237" s="716"/>
      <c r="NH237" s="716"/>
      <c r="NI237" s="716"/>
      <c r="NJ237" s="716"/>
      <c r="NK237" s="716"/>
      <c r="NL237" s="716"/>
      <c r="NM237" s="716"/>
      <c r="NN237" s="716"/>
      <c r="NO237" s="716"/>
      <c r="NP237" s="716"/>
      <c r="NQ237" s="716"/>
      <c r="NR237" s="716"/>
      <c r="NS237" s="716"/>
      <c r="NT237" s="716"/>
      <c r="NU237" s="716"/>
      <c r="NV237" s="716"/>
      <c r="NW237" s="716"/>
      <c r="NX237" s="716"/>
      <c r="NY237" s="716"/>
      <c r="NZ237" s="716"/>
      <c r="OA237" s="716"/>
      <c r="OB237" s="716"/>
      <c r="OC237" s="716"/>
      <c r="OD237" s="716"/>
      <c r="OE237" s="716"/>
      <c r="OF237" s="716"/>
      <c r="OG237" s="716"/>
      <c r="OH237" s="716"/>
      <c r="OI237" s="716"/>
      <c r="OJ237" s="716"/>
      <c r="OK237" s="716"/>
      <c r="OL237" s="716"/>
      <c r="OM237" s="716"/>
      <c r="ON237" s="716"/>
      <c r="OO237" s="716"/>
      <c r="OP237" s="716"/>
      <c r="OQ237" s="716"/>
      <c r="OR237" s="716"/>
      <c r="OS237" s="716"/>
      <c r="OT237" s="716"/>
      <c r="OU237" s="716"/>
      <c r="OV237" s="716"/>
      <c r="OW237" s="716"/>
      <c r="OX237" s="716"/>
      <c r="OY237" s="716"/>
      <c r="OZ237" s="716"/>
      <c r="PA237" s="716"/>
      <c r="PB237" s="716"/>
      <c r="PC237" s="716"/>
      <c r="PD237" s="716"/>
      <c r="PE237" s="716"/>
      <c r="PF237" s="716"/>
      <c r="PG237" s="716"/>
      <c r="PH237" s="716"/>
      <c r="PI237" s="716"/>
      <c r="PJ237" s="716"/>
      <c r="PK237" s="716"/>
      <c r="PL237" s="716"/>
      <c r="PM237" s="716"/>
      <c r="PN237" s="716"/>
      <c r="PO237" s="716"/>
      <c r="PP237" s="716"/>
      <c r="PQ237" s="716"/>
      <c r="PR237" s="716"/>
      <c r="PS237" s="716"/>
      <c r="PT237" s="716"/>
      <c r="PU237" s="716"/>
      <c r="PV237" s="716"/>
      <c r="PW237" s="716"/>
      <c r="PX237" s="716"/>
      <c r="PY237" s="716"/>
      <c r="PZ237" s="716"/>
      <c r="QA237" s="716"/>
      <c r="QB237" s="716"/>
      <c r="QC237" s="716"/>
      <c r="QD237" s="716"/>
      <c r="QE237" s="716"/>
      <c r="QF237" s="716"/>
      <c r="QG237" s="716"/>
      <c r="QH237" s="716"/>
      <c r="QI237" s="716"/>
      <c r="QJ237" s="716"/>
      <c r="QK237" s="716"/>
      <c r="QL237" s="716"/>
      <c r="QM237" s="716"/>
      <c r="QN237" s="716"/>
      <c r="QO237" s="716"/>
      <c r="QP237" s="716"/>
      <c r="QQ237" s="716"/>
      <c r="QR237" s="716"/>
      <c r="QS237" s="716"/>
      <c r="QT237" s="716"/>
      <c r="QU237" s="716"/>
      <c r="QV237" s="716"/>
      <c r="QW237" s="716"/>
      <c r="QX237" s="716"/>
      <c r="QY237" s="716"/>
      <c r="QZ237" s="716"/>
      <c r="RA237" s="716"/>
      <c r="RB237" s="716"/>
      <c r="RC237" s="716"/>
      <c r="RD237" s="716"/>
      <c r="RE237" s="716"/>
      <c r="RF237" s="716"/>
      <c r="RG237" s="716"/>
      <c r="RH237" s="716"/>
      <c r="RI237" s="716"/>
      <c r="RJ237" s="716"/>
      <c r="RK237" s="716"/>
      <c r="RL237" s="716"/>
      <c r="RM237" s="716"/>
      <c r="RN237" s="716"/>
      <c r="RO237" s="716"/>
      <c r="RP237" s="716"/>
      <c r="RQ237" s="716"/>
      <c r="RR237" s="716"/>
      <c r="RS237" s="716"/>
      <c r="RT237" s="716"/>
      <c r="RU237" s="716"/>
      <c r="RV237" s="716"/>
      <c r="RW237" s="716"/>
      <c r="RX237" s="716"/>
      <c r="RY237" s="716"/>
      <c r="RZ237" s="716"/>
      <c r="SA237" s="716"/>
      <c r="SB237" s="716"/>
      <c r="SC237" s="716"/>
      <c r="SD237" s="716"/>
      <c r="SE237" s="716"/>
      <c r="SF237" s="716"/>
      <c r="SG237" s="716"/>
      <c r="SH237" s="716"/>
      <c r="SI237" s="716"/>
      <c r="SJ237" s="716"/>
      <c r="SK237" s="716"/>
      <c r="SL237" s="716"/>
      <c r="SM237" s="716"/>
      <c r="SN237" s="716"/>
      <c r="SO237" s="716"/>
      <c r="SP237" s="716"/>
      <c r="SQ237" s="716"/>
      <c r="SR237" s="716"/>
      <c r="SS237" s="716"/>
      <c r="ST237" s="716"/>
      <c r="SU237" s="716"/>
      <c r="SV237" s="716"/>
      <c r="SW237" s="716"/>
      <c r="SX237" s="716"/>
      <c r="SY237" s="716"/>
      <c r="SZ237" s="716"/>
      <c r="TA237" s="716"/>
      <c r="TB237" s="716"/>
      <c r="TC237" s="716"/>
      <c r="TD237" s="716"/>
      <c r="TE237" s="716"/>
      <c r="TF237" s="716"/>
      <c r="TG237" s="716"/>
      <c r="TH237" s="716"/>
      <c r="TI237" s="716"/>
      <c r="TJ237" s="716"/>
      <c r="TK237" s="716"/>
      <c r="TL237" s="716"/>
      <c r="TM237" s="716"/>
      <c r="TN237" s="716"/>
      <c r="TO237" s="716"/>
      <c r="TP237" s="716"/>
      <c r="TQ237" s="716"/>
      <c r="TR237" s="716"/>
      <c r="TS237" s="716"/>
      <c r="TT237" s="716"/>
      <c r="TU237" s="716"/>
      <c r="TV237" s="716"/>
      <c r="TW237" s="716"/>
      <c r="TX237" s="716"/>
      <c r="TY237" s="716"/>
      <c r="TZ237" s="716"/>
      <c r="UA237" s="716"/>
      <c r="UB237" s="716"/>
      <c r="UC237" s="716"/>
      <c r="UD237" s="716"/>
      <c r="UE237" s="716"/>
      <c r="UF237" s="716"/>
      <c r="UG237" s="716"/>
      <c r="UH237" s="716"/>
      <c r="UI237" s="716"/>
      <c r="UJ237" s="716"/>
      <c r="UK237" s="716"/>
      <c r="UL237" s="716"/>
      <c r="UM237" s="716"/>
      <c r="UN237" s="716"/>
      <c r="UO237" s="716"/>
      <c r="UP237" s="716"/>
      <c r="UQ237" s="716"/>
      <c r="UR237" s="716"/>
      <c r="US237" s="716"/>
      <c r="UT237" s="716"/>
      <c r="UU237" s="716"/>
      <c r="UV237" s="716"/>
      <c r="UW237" s="716"/>
      <c r="UX237" s="716"/>
      <c r="UY237" s="716"/>
      <c r="UZ237" s="716"/>
      <c r="VA237" s="716"/>
      <c r="VB237" s="716"/>
      <c r="VC237" s="716"/>
      <c r="VD237" s="716"/>
      <c r="VE237" s="716"/>
      <c r="VF237" s="716"/>
      <c r="VG237" s="716"/>
      <c r="VH237" s="716"/>
      <c r="VI237" s="716"/>
      <c r="VJ237" s="716"/>
      <c r="VK237" s="716"/>
      <c r="VL237" s="716"/>
      <c r="VM237" s="716"/>
      <c r="VN237" s="716"/>
      <c r="VO237" s="716"/>
      <c r="VP237" s="716"/>
      <c r="VQ237" s="716"/>
      <c r="VR237" s="716"/>
      <c r="VS237" s="716"/>
      <c r="VT237" s="716"/>
      <c r="VU237" s="716"/>
      <c r="VV237" s="716"/>
      <c r="VW237" s="716"/>
      <c r="VX237" s="716"/>
      <c r="VY237" s="716"/>
      <c r="VZ237" s="716"/>
      <c r="WA237" s="716"/>
      <c r="WB237" s="716"/>
      <c r="WC237" s="716"/>
      <c r="WD237" s="716"/>
      <c r="WE237" s="716"/>
      <c r="WF237" s="716"/>
      <c r="WG237" s="716"/>
      <c r="WH237" s="716"/>
      <c r="WI237" s="716"/>
      <c r="WJ237" s="716"/>
      <c r="WK237" s="716"/>
      <c r="WL237" s="716"/>
      <c r="WM237" s="716"/>
      <c r="WN237" s="716"/>
      <c r="WO237" s="716"/>
      <c r="WP237" s="716"/>
      <c r="WQ237" s="716"/>
      <c r="WR237" s="716"/>
      <c r="WS237" s="716"/>
      <c r="WT237" s="716"/>
      <c r="WU237" s="716"/>
      <c r="WV237" s="716"/>
      <c r="WW237" s="716"/>
      <c r="WX237" s="716"/>
      <c r="WY237" s="716"/>
      <c r="WZ237" s="716"/>
      <c r="XA237" s="716"/>
      <c r="XB237" s="716"/>
      <c r="XC237" s="716"/>
      <c r="XD237" s="716"/>
      <c r="XE237" s="716"/>
      <c r="XF237" s="716"/>
      <c r="XG237" s="716"/>
      <c r="XH237" s="716"/>
      <c r="XI237" s="716"/>
      <c r="XJ237" s="716"/>
      <c r="XK237" s="716"/>
      <c r="XL237" s="716"/>
      <c r="XM237" s="716"/>
      <c r="XN237" s="716"/>
      <c r="XO237" s="716"/>
      <c r="XP237" s="716"/>
      <c r="XQ237" s="716"/>
      <c r="XR237" s="716"/>
      <c r="XS237" s="716"/>
      <c r="XT237" s="716"/>
      <c r="XU237" s="716"/>
      <c r="XV237" s="716"/>
      <c r="XW237" s="716"/>
      <c r="XX237" s="716"/>
      <c r="XY237" s="716"/>
      <c r="XZ237" s="716"/>
      <c r="YA237" s="716"/>
      <c r="YB237" s="716"/>
      <c r="YC237" s="716"/>
      <c r="YD237" s="716"/>
      <c r="YE237" s="716"/>
      <c r="YF237" s="716"/>
      <c r="YG237" s="716"/>
      <c r="YH237" s="716"/>
      <c r="YI237" s="716"/>
      <c r="YJ237" s="716"/>
      <c r="YK237" s="716"/>
      <c r="YL237" s="716"/>
      <c r="YM237" s="716"/>
      <c r="YN237" s="716"/>
      <c r="YO237" s="716"/>
      <c r="YP237" s="716"/>
      <c r="YQ237" s="716"/>
      <c r="YR237" s="716"/>
      <c r="YS237" s="716"/>
      <c r="YT237" s="716"/>
      <c r="YU237" s="716"/>
      <c r="YV237" s="716"/>
      <c r="YW237" s="716"/>
      <c r="YX237" s="716"/>
      <c r="YY237" s="716"/>
      <c r="YZ237" s="716"/>
      <c r="ZA237" s="716"/>
      <c r="ZB237" s="716"/>
      <c r="ZC237" s="716"/>
      <c r="ZD237" s="716"/>
      <c r="ZE237" s="716"/>
      <c r="ZF237" s="716"/>
      <c r="ZG237" s="716"/>
      <c r="ZH237" s="716"/>
      <c r="ZI237" s="716"/>
      <c r="ZJ237" s="716"/>
      <c r="ZK237" s="716"/>
      <c r="ZL237" s="716"/>
      <c r="ZM237" s="716"/>
      <c r="ZN237" s="716"/>
      <c r="ZO237" s="716"/>
      <c r="ZP237" s="716"/>
      <c r="ZQ237" s="716"/>
      <c r="ZR237" s="716"/>
      <c r="ZS237" s="716"/>
      <c r="ZT237" s="716"/>
      <c r="ZU237" s="716"/>
      <c r="ZV237" s="716"/>
      <c r="ZW237" s="716"/>
      <c r="ZX237" s="716"/>
      <c r="ZY237" s="716"/>
      <c r="ZZ237" s="716"/>
      <c r="AAA237" s="716"/>
      <c r="AAB237" s="716"/>
      <c r="AAC237" s="716"/>
      <c r="AAD237" s="716"/>
      <c r="AAE237" s="716"/>
      <c r="AAF237" s="716"/>
      <c r="AAG237" s="716"/>
      <c r="AAH237" s="716"/>
      <c r="AAI237" s="716"/>
      <c r="AAJ237" s="716"/>
      <c r="AAK237" s="716"/>
      <c r="AAL237" s="716"/>
      <c r="AAM237" s="716"/>
      <c r="AAN237" s="716"/>
      <c r="AAO237" s="716"/>
      <c r="AAP237" s="716"/>
      <c r="AAQ237" s="716"/>
      <c r="AAR237" s="716"/>
      <c r="AAS237" s="716"/>
      <c r="AAT237" s="716"/>
      <c r="AAU237" s="716"/>
      <c r="AAV237" s="716"/>
      <c r="AAW237" s="716"/>
      <c r="AAX237" s="716"/>
      <c r="AAY237" s="716"/>
      <c r="AAZ237" s="716"/>
      <c r="ABA237" s="716"/>
      <c r="ABB237" s="716"/>
      <c r="ABC237" s="716"/>
      <c r="ABD237" s="716"/>
      <c r="ABE237" s="716"/>
      <c r="ABF237" s="716"/>
      <c r="ABG237" s="716"/>
      <c r="ABH237" s="716"/>
      <c r="ABI237" s="716"/>
      <c r="ABJ237" s="716"/>
      <c r="ABK237" s="716"/>
      <c r="ABL237" s="716"/>
      <c r="ABM237" s="716"/>
      <c r="ABN237" s="716"/>
      <c r="ABO237" s="716"/>
      <c r="ABP237" s="716"/>
      <c r="ABQ237" s="716"/>
      <c r="ABR237" s="716"/>
      <c r="ABS237" s="716"/>
      <c r="ABT237" s="716"/>
      <c r="ABU237" s="716"/>
      <c r="ABV237" s="716"/>
      <c r="ABW237" s="716"/>
      <c r="ABX237" s="716"/>
      <c r="ABY237" s="716"/>
      <c r="ABZ237" s="716"/>
      <c r="ACA237" s="716"/>
      <c r="ACB237" s="716"/>
      <c r="ACC237" s="716"/>
      <c r="ACD237" s="716"/>
      <c r="ACE237" s="716"/>
      <c r="ACF237" s="716"/>
      <c r="ACG237" s="716"/>
      <c r="ACH237" s="716"/>
      <c r="ACI237" s="716"/>
      <c r="ACJ237" s="716"/>
      <c r="ACK237" s="716"/>
      <c r="ACL237" s="716"/>
      <c r="ACM237" s="716"/>
      <c r="ACN237" s="716"/>
      <c r="ACO237" s="716"/>
      <c r="ACP237" s="716"/>
      <c r="ACQ237" s="716"/>
      <c r="ACR237" s="716"/>
      <c r="ACS237" s="716"/>
      <c r="ACT237" s="716"/>
      <c r="ACU237" s="716"/>
      <c r="ACV237" s="716"/>
      <c r="ACW237" s="716"/>
      <c r="ACX237" s="716"/>
      <c r="ACY237" s="716"/>
      <c r="ACZ237" s="716"/>
      <c r="ADA237" s="716"/>
      <c r="ADB237" s="716"/>
      <c r="ADC237" s="716"/>
      <c r="ADD237" s="716"/>
      <c r="ADE237" s="716"/>
      <c r="ADF237" s="716"/>
      <c r="ADG237" s="716"/>
      <c r="ADH237" s="716"/>
      <c r="ADI237" s="716"/>
      <c r="ADJ237" s="716"/>
      <c r="ADK237" s="716"/>
      <c r="ADL237" s="716"/>
      <c r="ADM237" s="716"/>
      <c r="ADN237" s="716"/>
      <c r="ADO237" s="716"/>
      <c r="ADP237" s="716"/>
      <c r="ADQ237" s="716"/>
      <c r="ADR237" s="716"/>
      <c r="ADS237" s="716"/>
      <c r="ADT237" s="716"/>
      <c r="ADU237" s="716"/>
      <c r="ADV237" s="716"/>
      <c r="ADW237" s="716"/>
      <c r="ADX237" s="716"/>
      <c r="ADY237" s="716"/>
      <c r="ADZ237" s="716"/>
      <c r="AEA237" s="716"/>
      <c r="AEB237" s="716"/>
      <c r="AEC237" s="716"/>
      <c r="AED237" s="716"/>
      <c r="AEE237" s="716"/>
      <c r="AEF237" s="716"/>
      <c r="AEG237" s="716"/>
      <c r="AEH237" s="716"/>
      <c r="AEI237" s="716"/>
      <c r="AEJ237" s="716"/>
      <c r="AEK237" s="716"/>
      <c r="AEL237" s="716"/>
      <c r="AEM237" s="716"/>
      <c r="AEN237" s="716"/>
      <c r="AEO237" s="716"/>
      <c r="AEP237" s="716"/>
      <c r="AEQ237" s="716"/>
      <c r="AER237" s="716"/>
      <c r="AES237" s="716"/>
      <c r="AET237" s="716"/>
      <c r="AEU237" s="716"/>
      <c r="AEV237" s="716"/>
      <c r="AEW237" s="716"/>
      <c r="AEX237" s="716"/>
      <c r="AEY237" s="716"/>
      <c r="AEZ237" s="716"/>
      <c r="AFA237" s="716"/>
      <c r="AFB237" s="716"/>
      <c r="AFC237" s="716"/>
      <c r="AFD237" s="716"/>
      <c r="AFE237" s="716"/>
      <c r="AFF237" s="716"/>
      <c r="AFG237" s="716"/>
      <c r="AFH237" s="716"/>
      <c r="AFI237" s="716"/>
      <c r="AFJ237" s="716"/>
      <c r="AFK237" s="716"/>
      <c r="AFL237" s="716"/>
      <c r="AFM237" s="716"/>
      <c r="AFN237" s="716"/>
      <c r="AFO237" s="716"/>
      <c r="AFP237" s="716"/>
      <c r="AFQ237" s="716"/>
      <c r="AFR237" s="716"/>
      <c r="AFS237" s="716"/>
      <c r="AFT237" s="716"/>
      <c r="AFU237" s="716"/>
      <c r="AFV237" s="716"/>
      <c r="AFW237" s="716"/>
      <c r="AFX237" s="716"/>
      <c r="AFY237" s="716"/>
      <c r="AFZ237" s="716"/>
      <c r="AGA237" s="716"/>
      <c r="AGB237" s="716"/>
      <c r="AGC237" s="716"/>
      <c r="AGD237" s="716"/>
      <c r="AGE237" s="716"/>
      <c r="AGF237" s="716"/>
      <c r="AGG237" s="716"/>
      <c r="AGH237" s="716"/>
      <c r="AGI237" s="716"/>
      <c r="AGJ237" s="716"/>
      <c r="AGK237" s="716"/>
      <c r="AGL237" s="716"/>
      <c r="AGM237" s="716"/>
      <c r="AGN237" s="716"/>
      <c r="AGO237" s="716"/>
      <c r="AGP237" s="716"/>
      <c r="AGQ237" s="716"/>
      <c r="AGR237" s="716"/>
      <c r="AGS237" s="716"/>
      <c r="AGT237" s="716"/>
      <c r="AGU237" s="716"/>
      <c r="AGV237" s="716"/>
      <c r="AGW237" s="716"/>
      <c r="AGX237" s="716"/>
      <c r="AGY237" s="716"/>
      <c r="AGZ237" s="716"/>
      <c r="AHA237" s="716"/>
      <c r="AHB237" s="716"/>
      <c r="AHC237" s="716"/>
      <c r="AHD237" s="716"/>
      <c r="AHE237" s="716"/>
      <c r="AHF237" s="716"/>
      <c r="AHG237" s="716"/>
      <c r="AHH237" s="716"/>
      <c r="AHI237" s="716"/>
      <c r="AHJ237" s="716"/>
      <c r="AHK237" s="716"/>
      <c r="AHL237" s="716"/>
      <c r="AHM237" s="716"/>
      <c r="AHN237" s="716"/>
      <c r="AHO237" s="716"/>
      <c r="AHP237" s="716"/>
      <c r="AHQ237" s="716"/>
      <c r="AHR237" s="716"/>
      <c r="AHS237" s="716"/>
      <c r="AHT237" s="716"/>
      <c r="AHU237" s="716"/>
      <c r="AHV237" s="716"/>
      <c r="AHW237" s="716"/>
      <c r="AHX237" s="716"/>
      <c r="AHY237" s="716"/>
      <c r="AHZ237" s="716"/>
      <c r="AIA237" s="716"/>
      <c r="AIB237" s="716"/>
      <c r="AIC237" s="716"/>
      <c r="AID237" s="716"/>
      <c r="AIE237" s="716"/>
      <c r="AIF237" s="716"/>
      <c r="AIG237" s="716"/>
      <c r="AIH237" s="716"/>
      <c r="AII237" s="716"/>
      <c r="AIJ237" s="716"/>
      <c r="AIK237" s="716"/>
      <c r="AIL237" s="716"/>
      <c r="AIM237" s="716"/>
      <c r="AIN237" s="716"/>
      <c r="AIO237" s="716"/>
      <c r="AIP237" s="716"/>
      <c r="AIQ237" s="716"/>
      <c r="AIR237" s="716"/>
      <c r="AIS237" s="716"/>
      <c r="AIT237" s="716"/>
      <c r="AIU237" s="716"/>
      <c r="AIV237" s="716"/>
      <c r="AIW237" s="716"/>
      <c r="AIX237" s="716"/>
      <c r="AIY237" s="716"/>
      <c r="AIZ237" s="716"/>
      <c r="AJA237" s="716"/>
      <c r="AJB237" s="716"/>
      <c r="AJC237" s="716"/>
      <c r="AJD237" s="716"/>
      <c r="AJE237" s="716"/>
      <c r="AJF237" s="716"/>
      <c r="AJG237" s="716"/>
      <c r="AJH237" s="716"/>
      <c r="AJI237" s="716"/>
      <c r="AJJ237" s="716"/>
      <c r="AJK237" s="716"/>
      <c r="AJL237" s="716"/>
      <c r="AJM237" s="716"/>
      <c r="AJN237" s="716"/>
      <c r="AJO237" s="716"/>
      <c r="AJP237" s="716"/>
      <c r="AJQ237" s="716"/>
      <c r="AJR237" s="716"/>
      <c r="AJS237" s="716"/>
      <c r="AJT237" s="716"/>
      <c r="AJU237" s="716"/>
      <c r="AJV237" s="716"/>
      <c r="AJW237" s="716"/>
      <c r="AJX237" s="716"/>
      <c r="AJY237" s="716"/>
      <c r="AJZ237" s="716"/>
      <c r="AKA237" s="716"/>
      <c r="AKB237" s="716"/>
      <c r="AKC237" s="716"/>
      <c r="AKD237" s="716"/>
      <c r="AKE237" s="716"/>
      <c r="AKF237" s="716"/>
      <c r="AKG237" s="716"/>
      <c r="AKH237" s="716"/>
      <c r="AKI237" s="716"/>
      <c r="AKJ237" s="716"/>
      <c r="AKK237" s="716"/>
      <c r="AKL237" s="716"/>
      <c r="AKM237" s="716"/>
      <c r="AKN237" s="716"/>
      <c r="AKO237" s="716"/>
      <c r="AKP237" s="716"/>
      <c r="AKQ237" s="716"/>
      <c r="AKR237" s="716"/>
      <c r="AKS237" s="716"/>
      <c r="AKT237" s="716"/>
      <c r="AKU237" s="716"/>
      <c r="AKV237" s="716"/>
      <c r="AKW237" s="716"/>
      <c r="AKX237" s="716"/>
      <c r="AKY237" s="716"/>
      <c r="AKZ237" s="716"/>
      <c r="ALA237" s="716"/>
      <c r="ALB237" s="716"/>
      <c r="ALC237" s="716"/>
      <c r="ALD237" s="716"/>
      <c r="ALE237" s="716"/>
      <c r="ALF237" s="716"/>
      <c r="ALG237" s="716"/>
      <c r="ALH237" s="716"/>
      <c r="ALI237" s="716"/>
      <c r="ALJ237" s="716"/>
      <c r="ALK237" s="716"/>
      <c r="ALL237" s="716"/>
      <c r="ALM237" s="716"/>
      <c r="ALN237" s="716"/>
      <c r="ALO237" s="716"/>
      <c r="ALP237" s="716"/>
      <c r="ALQ237" s="716"/>
      <c r="ALR237" s="716"/>
      <c r="ALS237" s="716"/>
      <c r="ALT237" s="716"/>
      <c r="ALU237" s="716"/>
      <c r="ALV237" s="716"/>
      <c r="ALW237" s="716"/>
      <c r="ALX237" s="716"/>
      <c r="ALY237" s="716"/>
      <c r="ALZ237" s="716"/>
      <c r="AMA237" s="716"/>
      <c r="AMB237" s="716"/>
      <c r="AMC237" s="716"/>
      <c r="AMD237" s="716"/>
      <c r="AME237" s="716"/>
      <c r="AMF237" s="716"/>
      <c r="AMG237" s="716"/>
      <c r="AMH237" s="716"/>
      <c r="AMI237" s="716"/>
      <c r="AMJ237" s="716"/>
      <c r="AMK237" s="716"/>
      <c r="AML237" s="716"/>
      <c r="AMM237" s="716"/>
      <c r="AMN237" s="716"/>
      <c r="AMO237" s="716"/>
      <c r="AMP237" s="716"/>
      <c r="AMQ237" s="716"/>
      <c r="AMR237" s="716"/>
      <c r="AMS237" s="716"/>
      <c r="AMT237" s="716"/>
      <c r="AMU237" s="716"/>
      <c r="AMV237" s="716"/>
      <c r="AMW237" s="716"/>
      <c r="AMX237" s="716"/>
      <c r="AMY237" s="716"/>
      <c r="AMZ237" s="716"/>
      <c r="ANA237" s="716"/>
      <c r="ANB237" s="716"/>
      <c r="ANC237" s="716"/>
      <c r="AND237" s="716"/>
      <c r="ANE237" s="716"/>
      <c r="ANF237" s="716"/>
      <c r="ANG237" s="716"/>
      <c r="ANH237" s="716"/>
      <c r="ANI237" s="716"/>
      <c r="ANJ237" s="716"/>
      <c r="ANK237" s="716"/>
      <c r="ANL237" s="716"/>
      <c r="ANM237" s="716"/>
      <c r="ANN237" s="716"/>
      <c r="ANO237" s="716"/>
      <c r="ANP237" s="716"/>
      <c r="ANQ237" s="716"/>
      <c r="ANR237" s="716"/>
      <c r="ANS237" s="716"/>
      <c r="ANT237" s="716"/>
      <c r="ANU237" s="716"/>
      <c r="ANV237" s="716"/>
      <c r="ANW237" s="716"/>
      <c r="ANX237" s="716"/>
      <c r="ANY237" s="716"/>
      <c r="ANZ237" s="716"/>
      <c r="AOA237" s="716"/>
      <c r="AOB237" s="716"/>
      <c r="AOC237" s="716"/>
      <c r="AOD237" s="716"/>
      <c r="AOE237" s="716"/>
      <c r="AOF237" s="716"/>
      <c r="AOG237" s="716"/>
      <c r="AOH237" s="716"/>
      <c r="AOI237" s="716"/>
      <c r="AOJ237" s="716"/>
      <c r="AOK237" s="716"/>
      <c r="AOL237" s="716"/>
      <c r="AOM237" s="716"/>
      <c r="AON237" s="716"/>
      <c r="AOO237" s="716"/>
      <c r="AOP237" s="716"/>
      <c r="AOQ237" s="716"/>
      <c r="AOR237" s="716"/>
      <c r="AOS237" s="716"/>
      <c r="AOT237" s="716"/>
      <c r="AOU237" s="716"/>
      <c r="AOV237" s="716"/>
      <c r="AOW237" s="716"/>
      <c r="AOX237" s="716"/>
      <c r="AOY237" s="716"/>
      <c r="AOZ237" s="716"/>
      <c r="APA237" s="716"/>
      <c r="APB237" s="716"/>
      <c r="APC237" s="716"/>
      <c r="APD237" s="716"/>
      <c r="APE237" s="716"/>
      <c r="APF237" s="716"/>
      <c r="APG237" s="716"/>
      <c r="APH237" s="716"/>
      <c r="API237" s="716"/>
      <c r="APJ237" s="716"/>
      <c r="APK237" s="716"/>
      <c r="APL237" s="716"/>
      <c r="APM237" s="716"/>
      <c r="APN237" s="716"/>
      <c r="APO237" s="716"/>
      <c r="APP237" s="716"/>
      <c r="APQ237" s="716"/>
      <c r="APR237" s="716"/>
      <c r="APS237" s="716"/>
      <c r="APT237" s="716"/>
      <c r="APU237" s="716"/>
      <c r="APV237" s="716"/>
      <c r="APW237" s="716"/>
      <c r="APX237" s="716"/>
      <c r="APY237" s="716"/>
      <c r="APZ237" s="716"/>
      <c r="AQA237" s="716"/>
      <c r="AQB237" s="716"/>
      <c r="AQC237" s="716"/>
      <c r="AQD237" s="716"/>
      <c r="AQE237" s="716"/>
      <c r="AQF237" s="716"/>
      <c r="AQG237" s="716"/>
      <c r="AQH237" s="716"/>
      <c r="AQI237" s="716"/>
      <c r="AQJ237" s="716"/>
      <c r="AQK237" s="716"/>
      <c r="AQL237" s="716"/>
      <c r="AQM237" s="716"/>
      <c r="AQN237" s="716"/>
      <c r="AQO237" s="716"/>
      <c r="AQP237" s="716"/>
      <c r="AQQ237" s="716"/>
      <c r="AQR237" s="716"/>
      <c r="AQS237" s="716"/>
      <c r="AQT237" s="716"/>
      <c r="AQU237" s="716"/>
      <c r="AQV237" s="716"/>
      <c r="AQW237" s="716"/>
      <c r="AQX237" s="716"/>
      <c r="AQY237" s="716"/>
      <c r="AQZ237" s="716"/>
      <c r="ARA237" s="716"/>
      <c r="ARB237" s="716"/>
      <c r="ARC237" s="716"/>
      <c r="ARD237" s="716"/>
      <c r="ARE237" s="716"/>
      <c r="ARF237" s="716"/>
      <c r="ARG237" s="716"/>
      <c r="ARH237" s="716"/>
      <c r="ARI237" s="716"/>
      <c r="ARJ237" s="716"/>
      <c r="ARK237" s="716"/>
      <c r="ARL237" s="716"/>
      <c r="ARM237" s="716"/>
      <c r="ARN237" s="716"/>
      <c r="ARO237" s="716"/>
      <c r="ARP237" s="716"/>
      <c r="ARQ237" s="716"/>
      <c r="ARR237" s="716"/>
      <c r="ARS237" s="716"/>
      <c r="ART237" s="716"/>
      <c r="ARU237" s="716"/>
      <c r="ARV237" s="716"/>
      <c r="ARW237" s="716"/>
      <c r="ARX237" s="716"/>
      <c r="ARY237" s="716"/>
      <c r="ARZ237" s="716"/>
      <c r="ASA237" s="716"/>
      <c r="ASB237" s="716"/>
      <c r="ASC237" s="716"/>
      <c r="ASD237" s="716"/>
      <c r="ASE237" s="716"/>
      <c r="ASF237" s="716"/>
      <c r="ASG237" s="716"/>
      <c r="ASH237" s="716"/>
      <c r="ASI237" s="716"/>
      <c r="ASJ237" s="716"/>
      <c r="ASK237" s="716"/>
      <c r="ASL237" s="716"/>
      <c r="ASM237" s="716"/>
      <c r="ASN237" s="716"/>
      <c r="ASO237" s="716"/>
      <c r="ASP237" s="716"/>
      <c r="ASQ237" s="716"/>
      <c r="ASR237" s="716"/>
      <c r="ASS237" s="716"/>
      <c r="AST237" s="716"/>
      <c r="ASU237" s="716"/>
      <c r="ASV237" s="716"/>
      <c r="ASW237" s="716"/>
      <c r="ASX237" s="716"/>
      <c r="ASY237" s="716"/>
      <c r="ASZ237" s="716"/>
      <c r="ATA237" s="716"/>
      <c r="ATB237" s="716"/>
      <c r="ATC237" s="716"/>
      <c r="ATD237" s="716"/>
      <c r="ATE237" s="716"/>
      <c r="ATF237" s="716"/>
      <c r="ATG237" s="716"/>
      <c r="ATH237" s="716"/>
      <c r="ATI237" s="716"/>
      <c r="ATJ237" s="716"/>
      <c r="ATK237" s="716"/>
      <c r="ATL237" s="716"/>
      <c r="ATM237" s="716"/>
      <c r="ATN237" s="716"/>
      <c r="ATO237" s="716"/>
      <c r="ATP237" s="716"/>
      <c r="ATQ237" s="716"/>
      <c r="ATR237" s="716"/>
      <c r="ATS237" s="716"/>
      <c r="ATT237" s="716"/>
      <c r="ATU237" s="716"/>
      <c r="ATV237" s="716"/>
      <c r="ATW237" s="716"/>
      <c r="ATX237" s="716"/>
      <c r="ATY237" s="716"/>
      <c r="ATZ237" s="716"/>
      <c r="AUA237" s="716"/>
      <c r="AUB237" s="716"/>
      <c r="AUC237" s="716"/>
      <c r="AUD237" s="716"/>
      <c r="AUE237" s="716"/>
      <c r="AUF237" s="716"/>
      <c r="AUG237" s="716"/>
      <c r="AUH237" s="716"/>
      <c r="AUI237" s="716"/>
      <c r="AUJ237" s="716"/>
      <c r="AUK237" s="716"/>
      <c r="AUL237" s="716"/>
      <c r="AUM237" s="716"/>
      <c r="AUN237" s="716"/>
      <c r="AUO237" s="716"/>
      <c r="AUP237" s="716"/>
      <c r="AUQ237" s="716"/>
      <c r="AUR237" s="716"/>
      <c r="AUS237" s="716"/>
      <c r="AUT237" s="716"/>
      <c r="AUU237" s="716"/>
      <c r="AUV237" s="716"/>
      <c r="AUW237" s="716"/>
      <c r="AUX237" s="716"/>
      <c r="AUY237" s="716"/>
      <c r="AUZ237" s="716"/>
      <c r="AVA237" s="716"/>
      <c r="AVB237" s="716"/>
      <c r="AVC237" s="716"/>
      <c r="AVD237" s="716"/>
      <c r="AVE237" s="716"/>
      <c r="AVF237" s="716"/>
      <c r="AVG237" s="716"/>
      <c r="AVH237" s="716"/>
      <c r="AVI237" s="716"/>
      <c r="AVJ237" s="716"/>
      <c r="AVK237" s="716"/>
      <c r="AVL237" s="716"/>
      <c r="AVM237" s="716"/>
      <c r="AVN237" s="716"/>
      <c r="AVO237" s="716"/>
      <c r="AVP237" s="716"/>
      <c r="AVQ237" s="716"/>
      <c r="AVR237" s="716"/>
      <c r="AVS237" s="716"/>
      <c r="AVT237" s="716"/>
      <c r="AVU237" s="716"/>
      <c r="AVV237" s="716"/>
      <c r="AVW237" s="716"/>
      <c r="AVX237" s="716"/>
      <c r="AVY237" s="716"/>
      <c r="AVZ237" s="716"/>
      <c r="AWA237" s="716"/>
      <c r="AWB237" s="716"/>
      <c r="AWC237" s="716"/>
      <c r="AWD237" s="716"/>
      <c r="AWE237" s="716"/>
      <c r="AWF237" s="716"/>
      <c r="AWG237" s="716"/>
      <c r="AWH237" s="716"/>
      <c r="AWI237" s="716"/>
      <c r="AWJ237" s="716"/>
      <c r="AWK237" s="716"/>
      <c r="AWL237" s="716"/>
      <c r="AWM237" s="716"/>
      <c r="AWN237" s="716"/>
      <c r="AWO237" s="716"/>
      <c r="AWP237" s="716"/>
      <c r="AWQ237" s="716"/>
      <c r="AWR237" s="716"/>
      <c r="AWS237" s="716"/>
      <c r="AWT237" s="716"/>
      <c r="AWU237" s="716"/>
      <c r="AWV237" s="716"/>
      <c r="AWW237" s="716"/>
      <c r="AWX237" s="716"/>
      <c r="AWY237" s="716"/>
      <c r="AWZ237" s="716"/>
      <c r="AXA237" s="716"/>
      <c r="AXB237" s="716"/>
      <c r="AXC237" s="716"/>
      <c r="AXD237" s="716"/>
      <c r="AXE237" s="716"/>
      <c r="AXF237" s="716"/>
      <c r="AXG237" s="716"/>
      <c r="AXH237" s="716"/>
      <c r="AXI237" s="716"/>
      <c r="AXJ237" s="716"/>
      <c r="AXK237" s="716"/>
      <c r="AXL237" s="716"/>
      <c r="AXM237" s="716"/>
      <c r="AXN237" s="716"/>
      <c r="AXO237" s="716"/>
      <c r="AXP237" s="716"/>
      <c r="AXQ237" s="716"/>
      <c r="AXR237" s="716"/>
      <c r="AXS237" s="716"/>
      <c r="AXT237" s="716"/>
      <c r="AXU237" s="716"/>
      <c r="AXV237" s="716"/>
      <c r="AXW237" s="716"/>
      <c r="AXX237" s="716"/>
      <c r="AXY237" s="716"/>
      <c r="AXZ237" s="716"/>
      <c r="AYA237" s="716"/>
      <c r="AYB237" s="716"/>
      <c r="AYC237" s="716"/>
      <c r="AYD237" s="716"/>
      <c r="AYE237" s="716"/>
      <c r="AYF237" s="716"/>
      <c r="AYG237" s="716"/>
      <c r="AYH237" s="716"/>
      <c r="AYI237" s="716"/>
      <c r="AYJ237" s="716"/>
      <c r="AYK237" s="716"/>
      <c r="AYL237" s="716"/>
      <c r="AYM237" s="716"/>
      <c r="AYN237" s="716"/>
      <c r="AYO237" s="716"/>
      <c r="AYP237" s="716"/>
      <c r="AYQ237" s="716"/>
      <c r="AYR237" s="716"/>
      <c r="AYS237" s="716"/>
      <c r="AYT237" s="716"/>
      <c r="AYU237" s="716"/>
      <c r="AYV237" s="716"/>
      <c r="AYW237" s="716"/>
      <c r="AYX237" s="716"/>
      <c r="AYY237" s="716"/>
      <c r="AYZ237" s="716"/>
      <c r="AZA237" s="716"/>
      <c r="AZB237" s="716"/>
      <c r="AZC237" s="716"/>
      <c r="AZD237" s="716"/>
      <c r="AZE237" s="716"/>
      <c r="AZF237" s="716"/>
      <c r="AZG237" s="716"/>
      <c r="AZH237" s="716"/>
      <c r="AZI237" s="716"/>
      <c r="AZJ237" s="716"/>
      <c r="AZK237" s="716"/>
      <c r="AZL237" s="716"/>
      <c r="AZM237" s="716"/>
      <c r="AZN237" s="716"/>
      <c r="AZO237" s="716"/>
      <c r="AZP237" s="716"/>
      <c r="AZQ237" s="716"/>
      <c r="AZR237" s="716"/>
      <c r="AZS237" s="716"/>
      <c r="AZT237" s="716"/>
      <c r="AZU237" s="716"/>
      <c r="AZV237" s="716"/>
      <c r="AZW237" s="716"/>
      <c r="AZX237" s="716"/>
      <c r="AZY237" s="716"/>
      <c r="AZZ237" s="716"/>
      <c r="BAA237" s="716"/>
      <c r="BAB237" s="716"/>
      <c r="BAC237" s="716"/>
      <c r="BAD237" s="716"/>
      <c r="BAE237" s="716"/>
      <c r="BAF237" s="716"/>
      <c r="BAG237" s="716"/>
      <c r="BAH237" s="716"/>
      <c r="BAI237" s="716"/>
      <c r="BAJ237" s="716"/>
      <c r="BAK237" s="716"/>
      <c r="BAL237" s="716"/>
      <c r="BAM237" s="716"/>
      <c r="BAN237" s="716"/>
      <c r="BAO237" s="716"/>
      <c r="BAP237" s="716"/>
      <c r="BAQ237" s="716"/>
      <c r="BAR237" s="716"/>
      <c r="BAS237" s="716"/>
      <c r="BAT237" s="716"/>
      <c r="BAU237" s="716"/>
      <c r="BAV237" s="716"/>
      <c r="BAW237" s="716"/>
      <c r="BAX237" s="716"/>
      <c r="BAY237" s="716"/>
      <c r="BAZ237" s="716"/>
      <c r="BBA237" s="716"/>
      <c r="BBB237" s="716"/>
      <c r="BBC237" s="716"/>
      <c r="BBD237" s="716"/>
      <c r="BBE237" s="716"/>
      <c r="BBF237" s="716"/>
      <c r="BBG237" s="716"/>
      <c r="BBH237" s="716"/>
      <c r="BBI237" s="716"/>
      <c r="BBJ237" s="716"/>
      <c r="BBK237" s="716"/>
      <c r="BBL237" s="716"/>
      <c r="BBM237" s="716"/>
      <c r="BBN237" s="716"/>
      <c r="BBO237" s="716"/>
      <c r="BBP237" s="716"/>
      <c r="BBQ237" s="716"/>
      <c r="BBR237" s="716"/>
      <c r="BBS237" s="716"/>
      <c r="BBT237" s="716"/>
      <c r="BBU237" s="716"/>
      <c r="BBV237" s="716"/>
      <c r="BBW237" s="716"/>
      <c r="BBX237" s="716"/>
      <c r="BBY237" s="716"/>
      <c r="BBZ237" s="716"/>
      <c r="BCA237" s="716"/>
      <c r="BCB237" s="716"/>
      <c r="BCC237" s="716"/>
      <c r="BCD237" s="716"/>
      <c r="BCE237" s="716"/>
      <c r="BCF237" s="716"/>
      <c r="BCG237" s="716"/>
      <c r="BCH237" s="716"/>
      <c r="BCI237" s="716"/>
      <c r="BCJ237" s="716"/>
      <c r="BCK237" s="716"/>
      <c r="BCL237" s="716"/>
      <c r="BCM237" s="716"/>
      <c r="BCN237" s="716"/>
      <c r="BCO237" s="716"/>
      <c r="BCP237" s="716"/>
      <c r="BCQ237" s="716"/>
      <c r="BCR237" s="716"/>
      <c r="BCS237" s="716"/>
      <c r="BCT237" s="716"/>
      <c r="BCU237" s="716"/>
      <c r="BCV237" s="716"/>
      <c r="BCW237" s="716"/>
      <c r="BCX237" s="716"/>
      <c r="BCY237" s="716"/>
      <c r="BCZ237" s="716"/>
      <c r="BDA237" s="716"/>
      <c r="BDB237" s="716"/>
      <c r="BDC237" s="716"/>
      <c r="BDD237" s="716"/>
      <c r="BDE237" s="716"/>
      <c r="BDF237" s="716"/>
      <c r="BDG237" s="716"/>
      <c r="BDH237" s="716"/>
      <c r="BDI237" s="716"/>
      <c r="BDJ237" s="716"/>
      <c r="BDK237" s="716"/>
      <c r="BDL237" s="716"/>
      <c r="BDM237" s="716"/>
      <c r="BDN237" s="716"/>
      <c r="BDO237" s="716"/>
      <c r="BDP237" s="716"/>
      <c r="BDQ237" s="716"/>
      <c r="BDR237" s="716"/>
      <c r="BDS237" s="716"/>
      <c r="BDT237" s="716"/>
      <c r="BDU237" s="716"/>
      <c r="BDV237" s="716"/>
      <c r="BDW237" s="716"/>
      <c r="BDX237" s="716"/>
      <c r="BDY237" s="716"/>
      <c r="BDZ237" s="716"/>
      <c r="BEA237" s="716"/>
      <c r="BEB237" s="716"/>
      <c r="BEC237" s="716"/>
      <c r="BED237" s="716"/>
      <c r="BEE237" s="716"/>
      <c r="BEF237" s="716"/>
      <c r="BEG237" s="716"/>
      <c r="BEH237" s="716"/>
      <c r="BEI237" s="716"/>
      <c r="BEJ237" s="716"/>
      <c r="BEK237" s="716"/>
      <c r="BEL237" s="716"/>
      <c r="BEM237" s="716"/>
      <c r="BEN237" s="716"/>
      <c r="BEO237" s="716"/>
      <c r="BEP237" s="716"/>
      <c r="BEQ237" s="716"/>
      <c r="BER237" s="716"/>
      <c r="BES237" s="716"/>
      <c r="BET237" s="716"/>
      <c r="BEU237" s="716"/>
      <c r="BEV237" s="716"/>
      <c r="BEW237" s="716"/>
      <c r="BEX237" s="716"/>
      <c r="BEY237" s="716"/>
      <c r="BEZ237" s="716"/>
      <c r="BFA237" s="716"/>
      <c r="BFB237" s="716"/>
      <c r="BFC237" s="716"/>
      <c r="BFD237" s="716"/>
      <c r="BFE237" s="716"/>
      <c r="BFF237" s="716"/>
      <c r="BFG237" s="716"/>
      <c r="BFH237" s="716"/>
      <c r="BFI237" s="716"/>
      <c r="BFJ237" s="716"/>
      <c r="BFK237" s="716"/>
      <c r="BFL237" s="716"/>
      <c r="BFM237" s="716"/>
      <c r="BFN237" s="716"/>
      <c r="BFO237" s="716"/>
      <c r="BFP237" s="716"/>
      <c r="BFQ237" s="716"/>
      <c r="BFR237" s="716"/>
      <c r="BFS237" s="716"/>
      <c r="BFT237" s="716"/>
      <c r="BFU237" s="716"/>
      <c r="BFV237" s="716"/>
      <c r="BFW237" s="716"/>
      <c r="BFX237" s="716"/>
      <c r="BFY237" s="716"/>
      <c r="BFZ237" s="716"/>
      <c r="BGA237" s="716"/>
      <c r="BGB237" s="716"/>
      <c r="BGC237" s="716"/>
      <c r="BGD237" s="716"/>
      <c r="BGE237" s="716"/>
      <c r="BGF237" s="716"/>
      <c r="BGG237" s="716"/>
      <c r="BGH237" s="716"/>
      <c r="BGI237" s="716"/>
      <c r="BGJ237" s="716"/>
      <c r="BGK237" s="716"/>
      <c r="BGL237" s="716"/>
      <c r="BGM237" s="716"/>
      <c r="BGN237" s="716"/>
      <c r="BGO237" s="716"/>
      <c r="BGP237" s="716"/>
      <c r="BGQ237" s="716"/>
      <c r="BGR237" s="716"/>
      <c r="BGS237" s="716"/>
      <c r="BGT237" s="716"/>
      <c r="BGU237" s="716"/>
      <c r="BGV237" s="716"/>
      <c r="BGW237" s="716"/>
      <c r="BGX237" s="716"/>
      <c r="BGY237" s="716"/>
      <c r="BGZ237" s="716"/>
      <c r="BHA237" s="716"/>
      <c r="BHB237" s="716"/>
      <c r="BHC237" s="716"/>
      <c r="BHD237" s="716"/>
      <c r="BHE237" s="716"/>
      <c r="BHF237" s="716"/>
      <c r="BHG237" s="716"/>
      <c r="BHH237" s="716"/>
      <c r="BHI237" s="716"/>
      <c r="BHJ237" s="716"/>
      <c r="BHK237" s="716"/>
      <c r="BHL237" s="716"/>
      <c r="BHM237" s="716"/>
      <c r="BHN237" s="716"/>
      <c r="BHO237" s="716"/>
      <c r="BHP237" s="716"/>
      <c r="BHQ237" s="716"/>
      <c r="BHR237" s="716"/>
      <c r="BHS237" s="716"/>
      <c r="BHT237" s="716"/>
      <c r="BHU237" s="716"/>
      <c r="BHV237" s="716"/>
      <c r="BHW237" s="716"/>
      <c r="BHX237" s="716"/>
      <c r="BHY237" s="716"/>
      <c r="BHZ237" s="716"/>
      <c r="BIA237" s="716"/>
      <c r="BIB237" s="716"/>
      <c r="BIC237" s="716"/>
      <c r="BID237" s="716"/>
      <c r="BIE237" s="716"/>
      <c r="BIF237" s="716"/>
      <c r="BIG237" s="716"/>
      <c r="BIH237" s="716"/>
      <c r="BII237" s="716"/>
      <c r="BIJ237" s="716"/>
      <c r="BIK237" s="716"/>
      <c r="BIL237" s="716"/>
      <c r="BIM237" s="716"/>
      <c r="BIN237" s="716"/>
      <c r="BIO237" s="716"/>
      <c r="BIP237" s="716"/>
      <c r="BIQ237" s="716"/>
      <c r="BIR237" s="716"/>
      <c r="BIS237" s="716"/>
      <c r="BIT237" s="716"/>
      <c r="BIU237" s="716"/>
      <c r="BIV237" s="716"/>
      <c r="BIW237" s="716"/>
      <c r="BIX237" s="716"/>
      <c r="BIY237" s="716"/>
      <c r="BIZ237" s="716"/>
      <c r="BJA237" s="716"/>
      <c r="BJB237" s="716"/>
      <c r="BJC237" s="716"/>
      <c r="BJD237" s="716"/>
      <c r="BJE237" s="716"/>
      <c r="BJF237" s="716"/>
      <c r="BJG237" s="716"/>
      <c r="BJH237" s="716"/>
      <c r="BJI237" s="716"/>
      <c r="BJJ237" s="716"/>
      <c r="BJK237" s="716"/>
      <c r="BJL237" s="716"/>
      <c r="BJM237" s="716"/>
      <c r="BJN237" s="716"/>
      <c r="BJO237" s="716"/>
      <c r="BJP237" s="716"/>
      <c r="BJQ237" s="716"/>
      <c r="BJR237" s="716"/>
      <c r="BJS237" s="716"/>
      <c r="BJT237" s="716"/>
      <c r="BJU237" s="716"/>
      <c r="BJV237" s="716"/>
      <c r="BJW237" s="716"/>
      <c r="BJX237" s="716"/>
      <c r="BJY237" s="716"/>
      <c r="BJZ237" s="716"/>
      <c r="BKA237" s="716"/>
      <c r="BKB237" s="716"/>
      <c r="BKC237" s="716"/>
      <c r="BKD237" s="716"/>
      <c r="BKE237" s="716"/>
      <c r="BKF237" s="716"/>
      <c r="BKG237" s="716"/>
      <c r="BKH237" s="716"/>
      <c r="BKI237" s="716"/>
      <c r="BKJ237" s="716"/>
      <c r="BKK237" s="716"/>
      <c r="BKL237" s="716"/>
      <c r="BKM237" s="716"/>
      <c r="BKN237" s="716"/>
      <c r="BKO237" s="716"/>
      <c r="BKP237" s="716"/>
      <c r="BKQ237" s="716"/>
      <c r="BKR237" s="716"/>
      <c r="BKS237" s="716"/>
      <c r="BKT237" s="716"/>
      <c r="BKU237" s="716"/>
      <c r="BKV237" s="716"/>
      <c r="BKW237" s="716"/>
      <c r="BKX237" s="716"/>
      <c r="BKY237" s="716"/>
      <c r="BKZ237" s="716"/>
      <c r="BLA237" s="716"/>
      <c r="BLB237" s="716"/>
      <c r="BLC237" s="716"/>
      <c r="BLD237" s="716"/>
      <c r="BLE237" s="716"/>
      <c r="BLF237" s="716"/>
      <c r="BLG237" s="716"/>
      <c r="BLH237" s="716"/>
      <c r="BLI237" s="716"/>
      <c r="BLJ237" s="716"/>
      <c r="BLK237" s="716"/>
      <c r="BLL237" s="716"/>
      <c r="BLM237" s="716"/>
      <c r="BLN237" s="716"/>
      <c r="BLO237" s="716"/>
      <c r="BLP237" s="716"/>
      <c r="BLQ237" s="716"/>
      <c r="BLR237" s="716"/>
      <c r="BLS237" s="716"/>
      <c r="BLT237" s="716"/>
      <c r="BLU237" s="716"/>
      <c r="BLV237" s="716"/>
      <c r="BLW237" s="716"/>
      <c r="BLX237" s="716"/>
      <c r="BLY237" s="716"/>
      <c r="BLZ237" s="716"/>
      <c r="BMA237" s="716"/>
      <c r="BMB237" s="716"/>
      <c r="BMC237" s="716"/>
      <c r="BMD237" s="716"/>
      <c r="BME237" s="716"/>
      <c r="BMF237" s="716"/>
      <c r="BMG237" s="716"/>
      <c r="BMH237" s="716"/>
      <c r="BMI237" s="716"/>
      <c r="BMJ237" s="716"/>
      <c r="BMK237" s="716"/>
      <c r="BML237" s="716"/>
      <c r="BMM237" s="716"/>
      <c r="BMN237" s="716"/>
      <c r="BMO237" s="716"/>
      <c r="BMP237" s="716"/>
      <c r="BMQ237" s="716"/>
      <c r="BMR237" s="716"/>
      <c r="BMS237" s="716"/>
      <c r="BMT237" s="716"/>
      <c r="BMU237" s="716"/>
      <c r="BMV237" s="716"/>
      <c r="BMW237" s="716"/>
      <c r="BMX237" s="716"/>
      <c r="BMY237" s="716"/>
      <c r="BMZ237" s="716"/>
      <c r="BNA237" s="716"/>
      <c r="BNB237" s="716"/>
      <c r="BNC237" s="716"/>
      <c r="BND237" s="716"/>
      <c r="BNE237" s="716"/>
      <c r="BNF237" s="716"/>
      <c r="BNG237" s="716"/>
      <c r="BNH237" s="716"/>
      <c r="BNI237" s="716"/>
      <c r="BNJ237" s="716"/>
      <c r="BNK237" s="716"/>
      <c r="BNL237" s="716"/>
      <c r="BNM237" s="716"/>
      <c r="BNN237" s="716"/>
      <c r="BNO237" s="716"/>
      <c r="BNP237" s="716"/>
      <c r="BNQ237" s="716"/>
      <c r="BNR237" s="716"/>
      <c r="BNS237" s="716"/>
      <c r="BNT237" s="716"/>
      <c r="BNU237" s="716"/>
      <c r="BNV237" s="716"/>
      <c r="BNW237" s="716"/>
      <c r="BNX237" s="716"/>
      <c r="BNY237" s="716"/>
      <c r="BNZ237" s="716"/>
      <c r="BOA237" s="716"/>
      <c r="BOB237" s="716"/>
      <c r="BOC237" s="716"/>
      <c r="BOD237" s="716"/>
      <c r="BOE237" s="716"/>
      <c r="BOF237" s="716"/>
      <c r="BOG237" s="716"/>
      <c r="BOH237" s="716"/>
      <c r="BOI237" s="716"/>
      <c r="BOJ237" s="716"/>
      <c r="BOK237" s="716"/>
      <c r="BOL237" s="716"/>
      <c r="BOM237" s="716"/>
      <c r="BON237" s="716"/>
      <c r="BOO237" s="716"/>
      <c r="BOP237" s="716"/>
      <c r="BOQ237" s="716"/>
    </row>
    <row r="238" spans="1:1759" s="717" customFormat="1" ht="12.75">
      <c r="A238" s="716" t="s">
        <v>1696</v>
      </c>
      <c r="B238" s="670">
        <v>2</v>
      </c>
      <c r="C238" s="671"/>
      <c r="D238" s="672">
        <f>B238*$F$2</f>
        <v>0.17709297141000147</v>
      </c>
      <c r="E238" s="673"/>
      <c r="F238" s="670">
        <f t="shared" ref="F238" si="38">+B238+D238</f>
        <v>2.1770929714100014</v>
      </c>
      <c r="H238" s="716"/>
      <c r="J238" s="716"/>
      <c r="K238" s="716"/>
      <c r="L238" s="716"/>
      <c r="M238" s="716"/>
      <c r="N238" s="716"/>
      <c r="O238" s="716"/>
      <c r="P238" s="716"/>
      <c r="Q238" s="716"/>
      <c r="R238" s="716"/>
      <c r="S238" s="716"/>
      <c r="T238" s="716"/>
      <c r="U238" s="716"/>
      <c r="V238" s="716"/>
      <c r="W238" s="716"/>
      <c r="X238" s="716"/>
      <c r="Y238" s="716"/>
      <c r="Z238" s="716"/>
      <c r="AA238" s="716"/>
      <c r="AB238" s="716"/>
      <c r="AC238" s="716"/>
      <c r="AD238" s="716"/>
      <c r="AE238" s="716"/>
      <c r="AF238" s="716"/>
      <c r="AG238" s="716"/>
      <c r="AH238" s="716"/>
      <c r="AI238" s="716"/>
      <c r="AJ238" s="716"/>
      <c r="AK238" s="716"/>
      <c r="AL238" s="716"/>
      <c r="AM238" s="716"/>
      <c r="AN238" s="716"/>
      <c r="AO238" s="716"/>
      <c r="AP238" s="716"/>
      <c r="AQ238" s="716"/>
      <c r="AR238" s="716"/>
      <c r="AS238" s="716"/>
      <c r="AT238" s="716"/>
      <c r="AU238" s="716"/>
      <c r="AV238" s="716"/>
      <c r="AW238" s="716"/>
      <c r="AX238" s="716"/>
      <c r="AY238" s="716"/>
      <c r="AZ238" s="716"/>
      <c r="BA238" s="716"/>
      <c r="BB238" s="716"/>
      <c r="BC238" s="716"/>
      <c r="BD238" s="716"/>
      <c r="BE238" s="716"/>
      <c r="BF238" s="716"/>
      <c r="BG238" s="716"/>
      <c r="BH238" s="716"/>
      <c r="BI238" s="716"/>
      <c r="BJ238" s="716"/>
      <c r="BK238" s="716"/>
      <c r="BL238" s="716"/>
      <c r="BM238" s="716"/>
      <c r="BN238" s="716"/>
      <c r="BO238" s="716"/>
      <c r="BP238" s="716"/>
      <c r="BQ238" s="716"/>
      <c r="BR238" s="716"/>
      <c r="BS238" s="716"/>
      <c r="BT238" s="716"/>
      <c r="BU238" s="716"/>
      <c r="BV238" s="716"/>
      <c r="BW238" s="716"/>
      <c r="BX238" s="716"/>
      <c r="BY238" s="716"/>
      <c r="BZ238" s="716"/>
      <c r="CA238" s="716"/>
      <c r="CB238" s="716"/>
      <c r="CC238" s="716"/>
      <c r="CD238" s="716"/>
      <c r="CE238" s="716"/>
      <c r="CF238" s="716"/>
      <c r="CG238" s="716"/>
      <c r="CH238" s="716"/>
      <c r="CI238" s="716"/>
      <c r="CJ238" s="716"/>
      <c r="CK238" s="716"/>
      <c r="CL238" s="716"/>
      <c r="CM238" s="716"/>
      <c r="CN238" s="716"/>
      <c r="CO238" s="716"/>
      <c r="CP238" s="716"/>
      <c r="CQ238" s="716"/>
      <c r="CR238" s="716"/>
      <c r="CS238" s="716"/>
      <c r="CT238" s="716"/>
      <c r="CU238" s="716"/>
      <c r="CV238" s="716"/>
      <c r="CW238" s="716"/>
      <c r="CX238" s="716"/>
      <c r="CY238" s="716"/>
      <c r="CZ238" s="716"/>
      <c r="DA238" s="716"/>
      <c r="DB238" s="716"/>
      <c r="DC238" s="716"/>
      <c r="DD238" s="716"/>
      <c r="DE238" s="716"/>
      <c r="DF238" s="716"/>
      <c r="DG238" s="716"/>
      <c r="DH238" s="716"/>
      <c r="DI238" s="716"/>
      <c r="DJ238" s="716"/>
      <c r="DK238" s="716"/>
      <c r="DL238" s="716"/>
      <c r="DM238" s="716"/>
      <c r="DN238" s="716"/>
      <c r="DO238" s="716"/>
      <c r="DP238" s="716"/>
      <c r="DQ238" s="716"/>
      <c r="DR238" s="716"/>
      <c r="DS238" s="716"/>
      <c r="DT238" s="716"/>
      <c r="DU238" s="716"/>
      <c r="DV238" s="716"/>
      <c r="DW238" s="716"/>
      <c r="DX238" s="716"/>
      <c r="DY238" s="716"/>
      <c r="DZ238" s="716"/>
      <c r="EA238" s="716"/>
      <c r="EB238" s="716"/>
      <c r="EC238" s="716"/>
      <c r="ED238" s="716"/>
      <c r="EE238" s="716"/>
      <c r="EF238" s="716"/>
      <c r="EG238" s="716"/>
      <c r="EH238" s="716"/>
      <c r="EI238" s="716"/>
      <c r="EJ238" s="716"/>
      <c r="EK238" s="716"/>
      <c r="EL238" s="716"/>
      <c r="EM238" s="716"/>
      <c r="EN238" s="716"/>
      <c r="EO238" s="716"/>
      <c r="EP238" s="716"/>
      <c r="EQ238" s="716"/>
      <c r="ER238" s="716"/>
      <c r="ES238" s="716"/>
      <c r="ET238" s="716"/>
      <c r="EU238" s="716"/>
      <c r="EV238" s="716"/>
      <c r="EW238" s="716"/>
      <c r="EX238" s="716"/>
      <c r="EY238" s="716"/>
      <c r="EZ238" s="716"/>
      <c r="FA238" s="716"/>
      <c r="FB238" s="716"/>
      <c r="FC238" s="716"/>
      <c r="FD238" s="716"/>
      <c r="FE238" s="716"/>
      <c r="FF238" s="716"/>
      <c r="FG238" s="716"/>
      <c r="FH238" s="716"/>
      <c r="FI238" s="716"/>
      <c r="FJ238" s="716"/>
      <c r="FK238" s="716"/>
      <c r="FL238" s="716"/>
      <c r="FM238" s="716"/>
      <c r="FN238" s="716"/>
      <c r="FO238" s="716"/>
      <c r="FP238" s="716"/>
      <c r="FQ238" s="716"/>
      <c r="FR238" s="716"/>
      <c r="FS238" s="716"/>
      <c r="FT238" s="716"/>
      <c r="FU238" s="716"/>
      <c r="FV238" s="716"/>
      <c r="FW238" s="716"/>
      <c r="FX238" s="716"/>
      <c r="FY238" s="716"/>
      <c r="FZ238" s="716"/>
      <c r="GA238" s="716"/>
      <c r="GB238" s="716"/>
      <c r="GC238" s="716"/>
      <c r="GD238" s="716"/>
      <c r="GE238" s="716"/>
      <c r="GF238" s="716"/>
      <c r="GG238" s="716"/>
      <c r="GH238" s="716"/>
      <c r="GI238" s="716"/>
      <c r="GJ238" s="716"/>
      <c r="GK238" s="716"/>
      <c r="GL238" s="716"/>
      <c r="GM238" s="716"/>
      <c r="GN238" s="716"/>
      <c r="GO238" s="716"/>
      <c r="GP238" s="716"/>
      <c r="GQ238" s="716"/>
      <c r="GR238" s="716"/>
      <c r="GS238" s="716"/>
      <c r="GT238" s="716"/>
      <c r="GU238" s="716"/>
      <c r="GV238" s="716"/>
      <c r="GW238" s="716"/>
      <c r="GX238" s="716"/>
      <c r="GY238" s="716"/>
      <c r="GZ238" s="716"/>
      <c r="HA238" s="716"/>
      <c r="HB238" s="716"/>
      <c r="HC238" s="716"/>
      <c r="HD238" s="716"/>
      <c r="HE238" s="716"/>
      <c r="HF238" s="716"/>
      <c r="HG238" s="716"/>
      <c r="HH238" s="716"/>
      <c r="HI238" s="716"/>
      <c r="HJ238" s="716"/>
      <c r="HK238" s="716"/>
      <c r="HL238" s="716"/>
      <c r="HM238" s="716"/>
      <c r="HN238" s="716"/>
      <c r="HO238" s="716"/>
      <c r="HP238" s="716"/>
      <c r="HQ238" s="716"/>
      <c r="HR238" s="716"/>
      <c r="HS238" s="716"/>
      <c r="HT238" s="716"/>
      <c r="HU238" s="716"/>
      <c r="HV238" s="716"/>
      <c r="HW238" s="716"/>
      <c r="HX238" s="716"/>
      <c r="HY238" s="716"/>
      <c r="HZ238" s="716"/>
      <c r="IA238" s="716"/>
      <c r="IB238" s="716"/>
      <c r="IC238" s="716"/>
      <c r="ID238" s="716"/>
      <c r="IE238" s="716"/>
      <c r="IF238" s="716"/>
      <c r="IG238" s="716"/>
      <c r="IH238" s="716"/>
      <c r="II238" s="716"/>
      <c r="IJ238" s="716"/>
      <c r="IK238" s="716"/>
      <c r="IL238" s="716"/>
      <c r="IM238" s="716"/>
      <c r="IN238" s="716"/>
      <c r="IO238" s="716"/>
      <c r="IP238" s="716"/>
      <c r="IQ238" s="716"/>
      <c r="IR238" s="716"/>
      <c r="IS238" s="716"/>
      <c r="IT238" s="716"/>
      <c r="IU238" s="716"/>
      <c r="IV238" s="716"/>
      <c r="IW238" s="716"/>
      <c r="IX238" s="716"/>
      <c r="IY238" s="716"/>
      <c r="IZ238" s="716"/>
      <c r="JA238" s="716"/>
      <c r="JB238" s="716"/>
      <c r="JC238" s="716"/>
      <c r="JD238" s="716"/>
      <c r="JE238" s="716"/>
      <c r="JF238" s="716"/>
      <c r="JG238" s="716"/>
      <c r="JH238" s="716"/>
      <c r="JI238" s="716"/>
      <c r="JJ238" s="716"/>
      <c r="JK238" s="716"/>
      <c r="JL238" s="716"/>
      <c r="JM238" s="716"/>
      <c r="JN238" s="716"/>
      <c r="JO238" s="716"/>
      <c r="JP238" s="716"/>
      <c r="JQ238" s="716"/>
      <c r="JR238" s="716"/>
      <c r="JS238" s="716"/>
      <c r="JT238" s="716"/>
      <c r="JU238" s="716"/>
      <c r="JV238" s="716"/>
      <c r="JW238" s="716"/>
      <c r="JX238" s="716"/>
      <c r="JY238" s="716"/>
      <c r="JZ238" s="716"/>
      <c r="KA238" s="716"/>
      <c r="KB238" s="716"/>
      <c r="KC238" s="716"/>
      <c r="KD238" s="716"/>
      <c r="KE238" s="716"/>
      <c r="KF238" s="716"/>
      <c r="KG238" s="716"/>
      <c r="KH238" s="716"/>
      <c r="KI238" s="716"/>
      <c r="KJ238" s="716"/>
      <c r="KK238" s="716"/>
      <c r="KL238" s="716"/>
      <c r="KM238" s="716"/>
      <c r="KN238" s="716"/>
      <c r="KO238" s="716"/>
      <c r="KP238" s="716"/>
      <c r="KQ238" s="716"/>
      <c r="KR238" s="716"/>
      <c r="KS238" s="716"/>
      <c r="KT238" s="716"/>
      <c r="KU238" s="716"/>
      <c r="KV238" s="716"/>
      <c r="KW238" s="716"/>
      <c r="KX238" s="716"/>
      <c r="KY238" s="716"/>
      <c r="KZ238" s="716"/>
      <c r="LA238" s="716"/>
      <c r="LB238" s="716"/>
      <c r="LC238" s="716"/>
      <c r="LD238" s="716"/>
      <c r="LE238" s="716"/>
      <c r="LF238" s="716"/>
      <c r="LG238" s="716"/>
      <c r="LH238" s="716"/>
      <c r="LI238" s="716"/>
      <c r="LJ238" s="716"/>
      <c r="LK238" s="716"/>
      <c r="LL238" s="716"/>
      <c r="LM238" s="716"/>
      <c r="LN238" s="716"/>
      <c r="LO238" s="716"/>
      <c r="LP238" s="716"/>
      <c r="LQ238" s="716"/>
      <c r="LR238" s="716"/>
      <c r="LS238" s="716"/>
      <c r="LT238" s="716"/>
      <c r="LU238" s="716"/>
      <c r="LV238" s="716"/>
      <c r="LW238" s="716"/>
      <c r="LX238" s="716"/>
      <c r="LY238" s="716"/>
      <c r="LZ238" s="716"/>
      <c r="MA238" s="716"/>
      <c r="MB238" s="716"/>
      <c r="MC238" s="716"/>
      <c r="MD238" s="716"/>
      <c r="ME238" s="716"/>
      <c r="MF238" s="716"/>
      <c r="MG238" s="716"/>
      <c r="MH238" s="716"/>
      <c r="MI238" s="716"/>
      <c r="MJ238" s="716"/>
      <c r="MK238" s="716"/>
      <c r="ML238" s="716"/>
      <c r="MM238" s="716"/>
      <c r="MN238" s="716"/>
      <c r="MO238" s="716"/>
      <c r="MP238" s="716"/>
      <c r="MQ238" s="716"/>
      <c r="MR238" s="716"/>
      <c r="MS238" s="716"/>
      <c r="MT238" s="716"/>
      <c r="MU238" s="716"/>
      <c r="MV238" s="716"/>
      <c r="MW238" s="716"/>
      <c r="MX238" s="716"/>
      <c r="MY238" s="716"/>
      <c r="MZ238" s="716"/>
      <c r="NA238" s="716"/>
      <c r="NB238" s="716"/>
      <c r="NC238" s="716"/>
      <c r="ND238" s="716"/>
      <c r="NE238" s="716"/>
      <c r="NF238" s="716"/>
      <c r="NG238" s="716"/>
      <c r="NH238" s="716"/>
      <c r="NI238" s="716"/>
      <c r="NJ238" s="716"/>
      <c r="NK238" s="716"/>
      <c r="NL238" s="716"/>
      <c r="NM238" s="716"/>
      <c r="NN238" s="716"/>
      <c r="NO238" s="716"/>
      <c r="NP238" s="716"/>
      <c r="NQ238" s="716"/>
      <c r="NR238" s="716"/>
      <c r="NS238" s="716"/>
      <c r="NT238" s="716"/>
      <c r="NU238" s="716"/>
      <c r="NV238" s="716"/>
      <c r="NW238" s="716"/>
      <c r="NX238" s="716"/>
      <c r="NY238" s="716"/>
      <c r="NZ238" s="716"/>
      <c r="OA238" s="716"/>
      <c r="OB238" s="716"/>
      <c r="OC238" s="716"/>
      <c r="OD238" s="716"/>
      <c r="OE238" s="716"/>
      <c r="OF238" s="716"/>
      <c r="OG238" s="716"/>
      <c r="OH238" s="716"/>
      <c r="OI238" s="716"/>
      <c r="OJ238" s="716"/>
      <c r="OK238" s="716"/>
      <c r="OL238" s="716"/>
      <c r="OM238" s="716"/>
      <c r="ON238" s="716"/>
      <c r="OO238" s="716"/>
      <c r="OP238" s="716"/>
      <c r="OQ238" s="716"/>
      <c r="OR238" s="716"/>
      <c r="OS238" s="716"/>
      <c r="OT238" s="716"/>
      <c r="OU238" s="716"/>
      <c r="OV238" s="716"/>
      <c r="OW238" s="716"/>
      <c r="OX238" s="716"/>
      <c r="OY238" s="716"/>
      <c r="OZ238" s="716"/>
      <c r="PA238" s="716"/>
      <c r="PB238" s="716"/>
      <c r="PC238" s="716"/>
      <c r="PD238" s="716"/>
      <c r="PE238" s="716"/>
      <c r="PF238" s="716"/>
      <c r="PG238" s="716"/>
      <c r="PH238" s="716"/>
      <c r="PI238" s="716"/>
      <c r="PJ238" s="716"/>
      <c r="PK238" s="716"/>
      <c r="PL238" s="716"/>
      <c r="PM238" s="716"/>
      <c r="PN238" s="716"/>
      <c r="PO238" s="716"/>
      <c r="PP238" s="716"/>
      <c r="PQ238" s="716"/>
      <c r="PR238" s="716"/>
      <c r="PS238" s="716"/>
      <c r="PT238" s="716"/>
      <c r="PU238" s="716"/>
      <c r="PV238" s="716"/>
      <c r="PW238" s="716"/>
      <c r="PX238" s="716"/>
      <c r="PY238" s="716"/>
      <c r="PZ238" s="716"/>
      <c r="QA238" s="716"/>
      <c r="QB238" s="716"/>
      <c r="QC238" s="716"/>
      <c r="QD238" s="716"/>
      <c r="QE238" s="716"/>
      <c r="QF238" s="716"/>
      <c r="QG238" s="716"/>
      <c r="QH238" s="716"/>
      <c r="QI238" s="716"/>
      <c r="QJ238" s="716"/>
      <c r="QK238" s="716"/>
      <c r="QL238" s="716"/>
      <c r="QM238" s="716"/>
      <c r="QN238" s="716"/>
      <c r="QO238" s="716"/>
      <c r="QP238" s="716"/>
      <c r="QQ238" s="716"/>
      <c r="QR238" s="716"/>
      <c r="QS238" s="716"/>
      <c r="QT238" s="716"/>
      <c r="QU238" s="716"/>
      <c r="QV238" s="716"/>
      <c r="QW238" s="716"/>
      <c r="QX238" s="716"/>
      <c r="QY238" s="716"/>
      <c r="QZ238" s="716"/>
      <c r="RA238" s="716"/>
      <c r="RB238" s="716"/>
      <c r="RC238" s="716"/>
      <c r="RD238" s="716"/>
      <c r="RE238" s="716"/>
      <c r="RF238" s="716"/>
      <c r="RG238" s="716"/>
      <c r="RH238" s="716"/>
      <c r="RI238" s="716"/>
      <c r="RJ238" s="716"/>
      <c r="RK238" s="716"/>
      <c r="RL238" s="716"/>
      <c r="RM238" s="716"/>
      <c r="RN238" s="716"/>
      <c r="RO238" s="716"/>
      <c r="RP238" s="716"/>
      <c r="RQ238" s="716"/>
      <c r="RR238" s="716"/>
      <c r="RS238" s="716"/>
      <c r="RT238" s="716"/>
      <c r="RU238" s="716"/>
      <c r="RV238" s="716"/>
      <c r="RW238" s="716"/>
      <c r="RX238" s="716"/>
      <c r="RY238" s="716"/>
      <c r="RZ238" s="716"/>
      <c r="SA238" s="716"/>
      <c r="SB238" s="716"/>
      <c r="SC238" s="716"/>
      <c r="SD238" s="716"/>
      <c r="SE238" s="716"/>
      <c r="SF238" s="716"/>
      <c r="SG238" s="716"/>
      <c r="SH238" s="716"/>
      <c r="SI238" s="716"/>
      <c r="SJ238" s="716"/>
      <c r="SK238" s="716"/>
      <c r="SL238" s="716"/>
      <c r="SM238" s="716"/>
      <c r="SN238" s="716"/>
      <c r="SO238" s="716"/>
      <c r="SP238" s="716"/>
      <c r="SQ238" s="716"/>
      <c r="SR238" s="716"/>
      <c r="SS238" s="716"/>
      <c r="ST238" s="716"/>
      <c r="SU238" s="716"/>
      <c r="SV238" s="716"/>
      <c r="SW238" s="716"/>
      <c r="SX238" s="716"/>
      <c r="SY238" s="716"/>
      <c r="SZ238" s="716"/>
      <c r="TA238" s="716"/>
      <c r="TB238" s="716"/>
      <c r="TC238" s="716"/>
      <c r="TD238" s="716"/>
      <c r="TE238" s="716"/>
      <c r="TF238" s="716"/>
      <c r="TG238" s="716"/>
      <c r="TH238" s="716"/>
      <c r="TI238" s="716"/>
      <c r="TJ238" s="716"/>
      <c r="TK238" s="716"/>
      <c r="TL238" s="716"/>
      <c r="TM238" s="716"/>
      <c r="TN238" s="716"/>
      <c r="TO238" s="716"/>
      <c r="TP238" s="716"/>
      <c r="TQ238" s="716"/>
      <c r="TR238" s="716"/>
      <c r="TS238" s="716"/>
      <c r="TT238" s="716"/>
      <c r="TU238" s="716"/>
      <c r="TV238" s="716"/>
      <c r="TW238" s="716"/>
      <c r="TX238" s="716"/>
      <c r="TY238" s="716"/>
      <c r="TZ238" s="716"/>
      <c r="UA238" s="716"/>
      <c r="UB238" s="716"/>
      <c r="UC238" s="716"/>
      <c r="UD238" s="716"/>
      <c r="UE238" s="716"/>
      <c r="UF238" s="716"/>
      <c r="UG238" s="716"/>
      <c r="UH238" s="716"/>
      <c r="UI238" s="716"/>
      <c r="UJ238" s="716"/>
      <c r="UK238" s="716"/>
      <c r="UL238" s="716"/>
      <c r="UM238" s="716"/>
      <c r="UN238" s="716"/>
      <c r="UO238" s="716"/>
      <c r="UP238" s="716"/>
      <c r="UQ238" s="716"/>
      <c r="UR238" s="716"/>
      <c r="US238" s="716"/>
      <c r="UT238" s="716"/>
      <c r="UU238" s="716"/>
      <c r="UV238" s="716"/>
      <c r="UW238" s="716"/>
      <c r="UX238" s="716"/>
      <c r="UY238" s="716"/>
      <c r="UZ238" s="716"/>
      <c r="VA238" s="716"/>
      <c r="VB238" s="716"/>
      <c r="VC238" s="716"/>
      <c r="VD238" s="716"/>
      <c r="VE238" s="716"/>
      <c r="VF238" s="716"/>
      <c r="VG238" s="716"/>
      <c r="VH238" s="716"/>
      <c r="VI238" s="716"/>
      <c r="VJ238" s="716"/>
      <c r="VK238" s="716"/>
      <c r="VL238" s="716"/>
      <c r="VM238" s="716"/>
      <c r="VN238" s="716"/>
      <c r="VO238" s="716"/>
      <c r="VP238" s="716"/>
      <c r="VQ238" s="716"/>
      <c r="VR238" s="716"/>
      <c r="VS238" s="716"/>
      <c r="VT238" s="716"/>
      <c r="VU238" s="716"/>
      <c r="VV238" s="716"/>
      <c r="VW238" s="716"/>
      <c r="VX238" s="716"/>
      <c r="VY238" s="716"/>
      <c r="VZ238" s="716"/>
      <c r="WA238" s="716"/>
      <c r="WB238" s="716"/>
      <c r="WC238" s="716"/>
      <c r="WD238" s="716"/>
      <c r="WE238" s="716"/>
      <c r="WF238" s="716"/>
      <c r="WG238" s="716"/>
      <c r="WH238" s="716"/>
      <c r="WI238" s="716"/>
      <c r="WJ238" s="716"/>
      <c r="WK238" s="716"/>
      <c r="WL238" s="716"/>
      <c r="WM238" s="716"/>
      <c r="WN238" s="716"/>
      <c r="WO238" s="716"/>
      <c r="WP238" s="716"/>
      <c r="WQ238" s="716"/>
      <c r="WR238" s="716"/>
      <c r="WS238" s="716"/>
      <c r="WT238" s="716"/>
      <c r="WU238" s="716"/>
      <c r="WV238" s="716"/>
      <c r="WW238" s="716"/>
      <c r="WX238" s="716"/>
      <c r="WY238" s="716"/>
      <c r="WZ238" s="716"/>
      <c r="XA238" s="716"/>
      <c r="XB238" s="716"/>
      <c r="XC238" s="716"/>
      <c r="XD238" s="716"/>
      <c r="XE238" s="716"/>
      <c r="XF238" s="716"/>
      <c r="XG238" s="716"/>
      <c r="XH238" s="716"/>
      <c r="XI238" s="716"/>
      <c r="XJ238" s="716"/>
      <c r="XK238" s="716"/>
      <c r="XL238" s="716"/>
      <c r="XM238" s="716"/>
      <c r="XN238" s="716"/>
      <c r="XO238" s="716"/>
      <c r="XP238" s="716"/>
      <c r="XQ238" s="716"/>
      <c r="XR238" s="716"/>
      <c r="XS238" s="716"/>
      <c r="XT238" s="716"/>
      <c r="XU238" s="716"/>
      <c r="XV238" s="716"/>
      <c r="XW238" s="716"/>
      <c r="XX238" s="716"/>
      <c r="XY238" s="716"/>
      <c r="XZ238" s="716"/>
      <c r="YA238" s="716"/>
      <c r="YB238" s="716"/>
      <c r="YC238" s="716"/>
      <c r="YD238" s="716"/>
      <c r="YE238" s="716"/>
      <c r="YF238" s="716"/>
      <c r="YG238" s="716"/>
      <c r="YH238" s="716"/>
      <c r="YI238" s="716"/>
      <c r="YJ238" s="716"/>
      <c r="YK238" s="716"/>
      <c r="YL238" s="716"/>
      <c r="YM238" s="716"/>
      <c r="YN238" s="716"/>
      <c r="YO238" s="716"/>
      <c r="YP238" s="716"/>
      <c r="YQ238" s="716"/>
      <c r="YR238" s="716"/>
      <c r="YS238" s="716"/>
      <c r="YT238" s="716"/>
      <c r="YU238" s="716"/>
      <c r="YV238" s="716"/>
      <c r="YW238" s="716"/>
      <c r="YX238" s="716"/>
      <c r="YY238" s="716"/>
      <c r="YZ238" s="716"/>
      <c r="ZA238" s="716"/>
      <c r="ZB238" s="716"/>
      <c r="ZC238" s="716"/>
      <c r="ZD238" s="716"/>
      <c r="ZE238" s="716"/>
      <c r="ZF238" s="716"/>
      <c r="ZG238" s="716"/>
      <c r="ZH238" s="716"/>
      <c r="ZI238" s="716"/>
      <c r="ZJ238" s="716"/>
      <c r="ZK238" s="716"/>
      <c r="ZL238" s="716"/>
      <c r="ZM238" s="716"/>
      <c r="ZN238" s="716"/>
      <c r="ZO238" s="716"/>
      <c r="ZP238" s="716"/>
      <c r="ZQ238" s="716"/>
      <c r="ZR238" s="716"/>
      <c r="ZS238" s="716"/>
      <c r="ZT238" s="716"/>
      <c r="ZU238" s="716"/>
      <c r="ZV238" s="716"/>
      <c r="ZW238" s="716"/>
      <c r="ZX238" s="716"/>
      <c r="ZY238" s="716"/>
      <c r="ZZ238" s="716"/>
      <c r="AAA238" s="716"/>
      <c r="AAB238" s="716"/>
      <c r="AAC238" s="716"/>
      <c r="AAD238" s="716"/>
      <c r="AAE238" s="716"/>
      <c r="AAF238" s="716"/>
      <c r="AAG238" s="716"/>
      <c r="AAH238" s="716"/>
      <c r="AAI238" s="716"/>
      <c r="AAJ238" s="716"/>
      <c r="AAK238" s="716"/>
      <c r="AAL238" s="716"/>
      <c r="AAM238" s="716"/>
      <c r="AAN238" s="716"/>
      <c r="AAO238" s="716"/>
      <c r="AAP238" s="716"/>
      <c r="AAQ238" s="716"/>
      <c r="AAR238" s="716"/>
      <c r="AAS238" s="716"/>
      <c r="AAT238" s="716"/>
      <c r="AAU238" s="716"/>
      <c r="AAV238" s="716"/>
      <c r="AAW238" s="716"/>
      <c r="AAX238" s="716"/>
      <c r="AAY238" s="716"/>
      <c r="AAZ238" s="716"/>
      <c r="ABA238" s="716"/>
      <c r="ABB238" s="716"/>
      <c r="ABC238" s="716"/>
      <c r="ABD238" s="716"/>
      <c r="ABE238" s="716"/>
      <c r="ABF238" s="716"/>
      <c r="ABG238" s="716"/>
      <c r="ABH238" s="716"/>
      <c r="ABI238" s="716"/>
      <c r="ABJ238" s="716"/>
      <c r="ABK238" s="716"/>
      <c r="ABL238" s="716"/>
      <c r="ABM238" s="716"/>
      <c r="ABN238" s="716"/>
      <c r="ABO238" s="716"/>
      <c r="ABP238" s="716"/>
      <c r="ABQ238" s="716"/>
      <c r="ABR238" s="716"/>
      <c r="ABS238" s="716"/>
      <c r="ABT238" s="716"/>
      <c r="ABU238" s="716"/>
      <c r="ABV238" s="716"/>
      <c r="ABW238" s="716"/>
      <c r="ABX238" s="716"/>
      <c r="ABY238" s="716"/>
      <c r="ABZ238" s="716"/>
      <c r="ACA238" s="716"/>
      <c r="ACB238" s="716"/>
      <c r="ACC238" s="716"/>
      <c r="ACD238" s="716"/>
      <c r="ACE238" s="716"/>
      <c r="ACF238" s="716"/>
      <c r="ACG238" s="716"/>
      <c r="ACH238" s="716"/>
      <c r="ACI238" s="716"/>
      <c r="ACJ238" s="716"/>
      <c r="ACK238" s="716"/>
      <c r="ACL238" s="716"/>
      <c r="ACM238" s="716"/>
      <c r="ACN238" s="716"/>
      <c r="ACO238" s="716"/>
      <c r="ACP238" s="716"/>
      <c r="ACQ238" s="716"/>
      <c r="ACR238" s="716"/>
      <c r="ACS238" s="716"/>
      <c r="ACT238" s="716"/>
      <c r="ACU238" s="716"/>
      <c r="ACV238" s="716"/>
      <c r="ACW238" s="716"/>
      <c r="ACX238" s="716"/>
      <c r="ACY238" s="716"/>
      <c r="ACZ238" s="716"/>
      <c r="ADA238" s="716"/>
      <c r="ADB238" s="716"/>
      <c r="ADC238" s="716"/>
      <c r="ADD238" s="716"/>
      <c r="ADE238" s="716"/>
      <c r="ADF238" s="716"/>
      <c r="ADG238" s="716"/>
      <c r="ADH238" s="716"/>
      <c r="ADI238" s="716"/>
      <c r="ADJ238" s="716"/>
      <c r="ADK238" s="716"/>
      <c r="ADL238" s="716"/>
      <c r="ADM238" s="716"/>
      <c r="ADN238" s="716"/>
      <c r="ADO238" s="716"/>
      <c r="ADP238" s="716"/>
      <c r="ADQ238" s="716"/>
      <c r="ADR238" s="716"/>
      <c r="ADS238" s="716"/>
      <c r="ADT238" s="716"/>
      <c r="ADU238" s="716"/>
      <c r="ADV238" s="716"/>
      <c r="ADW238" s="716"/>
      <c r="ADX238" s="716"/>
      <c r="ADY238" s="716"/>
      <c r="ADZ238" s="716"/>
      <c r="AEA238" s="716"/>
      <c r="AEB238" s="716"/>
      <c r="AEC238" s="716"/>
      <c r="AED238" s="716"/>
      <c r="AEE238" s="716"/>
      <c r="AEF238" s="716"/>
      <c r="AEG238" s="716"/>
      <c r="AEH238" s="716"/>
      <c r="AEI238" s="716"/>
      <c r="AEJ238" s="716"/>
      <c r="AEK238" s="716"/>
      <c r="AEL238" s="716"/>
      <c r="AEM238" s="716"/>
      <c r="AEN238" s="716"/>
      <c r="AEO238" s="716"/>
      <c r="AEP238" s="716"/>
      <c r="AEQ238" s="716"/>
      <c r="AER238" s="716"/>
      <c r="AES238" s="716"/>
      <c r="AET238" s="716"/>
      <c r="AEU238" s="716"/>
      <c r="AEV238" s="716"/>
      <c r="AEW238" s="716"/>
      <c r="AEX238" s="716"/>
      <c r="AEY238" s="716"/>
      <c r="AEZ238" s="716"/>
      <c r="AFA238" s="716"/>
      <c r="AFB238" s="716"/>
      <c r="AFC238" s="716"/>
      <c r="AFD238" s="716"/>
      <c r="AFE238" s="716"/>
      <c r="AFF238" s="716"/>
      <c r="AFG238" s="716"/>
      <c r="AFH238" s="716"/>
      <c r="AFI238" s="716"/>
      <c r="AFJ238" s="716"/>
      <c r="AFK238" s="716"/>
      <c r="AFL238" s="716"/>
      <c r="AFM238" s="716"/>
      <c r="AFN238" s="716"/>
      <c r="AFO238" s="716"/>
      <c r="AFP238" s="716"/>
      <c r="AFQ238" s="716"/>
      <c r="AFR238" s="716"/>
      <c r="AFS238" s="716"/>
      <c r="AFT238" s="716"/>
      <c r="AFU238" s="716"/>
      <c r="AFV238" s="716"/>
      <c r="AFW238" s="716"/>
      <c r="AFX238" s="716"/>
      <c r="AFY238" s="716"/>
      <c r="AFZ238" s="716"/>
      <c r="AGA238" s="716"/>
      <c r="AGB238" s="716"/>
      <c r="AGC238" s="716"/>
      <c r="AGD238" s="716"/>
      <c r="AGE238" s="716"/>
      <c r="AGF238" s="716"/>
      <c r="AGG238" s="716"/>
      <c r="AGH238" s="716"/>
      <c r="AGI238" s="716"/>
      <c r="AGJ238" s="716"/>
      <c r="AGK238" s="716"/>
      <c r="AGL238" s="716"/>
      <c r="AGM238" s="716"/>
      <c r="AGN238" s="716"/>
      <c r="AGO238" s="716"/>
      <c r="AGP238" s="716"/>
      <c r="AGQ238" s="716"/>
      <c r="AGR238" s="716"/>
      <c r="AGS238" s="716"/>
      <c r="AGT238" s="716"/>
      <c r="AGU238" s="716"/>
      <c r="AGV238" s="716"/>
      <c r="AGW238" s="716"/>
      <c r="AGX238" s="716"/>
      <c r="AGY238" s="716"/>
      <c r="AGZ238" s="716"/>
      <c r="AHA238" s="716"/>
      <c r="AHB238" s="716"/>
      <c r="AHC238" s="716"/>
      <c r="AHD238" s="716"/>
      <c r="AHE238" s="716"/>
      <c r="AHF238" s="716"/>
      <c r="AHG238" s="716"/>
      <c r="AHH238" s="716"/>
      <c r="AHI238" s="716"/>
      <c r="AHJ238" s="716"/>
      <c r="AHK238" s="716"/>
      <c r="AHL238" s="716"/>
      <c r="AHM238" s="716"/>
      <c r="AHN238" s="716"/>
      <c r="AHO238" s="716"/>
      <c r="AHP238" s="716"/>
      <c r="AHQ238" s="716"/>
      <c r="AHR238" s="716"/>
      <c r="AHS238" s="716"/>
      <c r="AHT238" s="716"/>
      <c r="AHU238" s="716"/>
      <c r="AHV238" s="716"/>
      <c r="AHW238" s="716"/>
      <c r="AHX238" s="716"/>
      <c r="AHY238" s="716"/>
      <c r="AHZ238" s="716"/>
      <c r="AIA238" s="716"/>
      <c r="AIB238" s="716"/>
      <c r="AIC238" s="716"/>
      <c r="AID238" s="716"/>
      <c r="AIE238" s="716"/>
      <c r="AIF238" s="716"/>
      <c r="AIG238" s="716"/>
      <c r="AIH238" s="716"/>
      <c r="AII238" s="716"/>
      <c r="AIJ238" s="716"/>
      <c r="AIK238" s="716"/>
      <c r="AIL238" s="716"/>
      <c r="AIM238" s="716"/>
      <c r="AIN238" s="716"/>
      <c r="AIO238" s="716"/>
      <c r="AIP238" s="716"/>
      <c r="AIQ238" s="716"/>
      <c r="AIR238" s="716"/>
      <c r="AIS238" s="716"/>
      <c r="AIT238" s="716"/>
      <c r="AIU238" s="716"/>
      <c r="AIV238" s="716"/>
      <c r="AIW238" s="716"/>
      <c r="AIX238" s="716"/>
      <c r="AIY238" s="716"/>
      <c r="AIZ238" s="716"/>
      <c r="AJA238" s="716"/>
      <c r="AJB238" s="716"/>
      <c r="AJC238" s="716"/>
      <c r="AJD238" s="716"/>
      <c r="AJE238" s="716"/>
      <c r="AJF238" s="716"/>
      <c r="AJG238" s="716"/>
      <c r="AJH238" s="716"/>
      <c r="AJI238" s="716"/>
      <c r="AJJ238" s="716"/>
      <c r="AJK238" s="716"/>
      <c r="AJL238" s="716"/>
      <c r="AJM238" s="716"/>
      <c r="AJN238" s="716"/>
      <c r="AJO238" s="716"/>
      <c r="AJP238" s="716"/>
      <c r="AJQ238" s="716"/>
      <c r="AJR238" s="716"/>
      <c r="AJS238" s="716"/>
      <c r="AJT238" s="716"/>
      <c r="AJU238" s="716"/>
      <c r="AJV238" s="716"/>
      <c r="AJW238" s="716"/>
      <c r="AJX238" s="716"/>
      <c r="AJY238" s="716"/>
      <c r="AJZ238" s="716"/>
      <c r="AKA238" s="716"/>
      <c r="AKB238" s="716"/>
      <c r="AKC238" s="716"/>
      <c r="AKD238" s="716"/>
      <c r="AKE238" s="716"/>
      <c r="AKF238" s="716"/>
      <c r="AKG238" s="716"/>
      <c r="AKH238" s="716"/>
      <c r="AKI238" s="716"/>
      <c r="AKJ238" s="716"/>
      <c r="AKK238" s="716"/>
      <c r="AKL238" s="716"/>
      <c r="AKM238" s="716"/>
      <c r="AKN238" s="716"/>
      <c r="AKO238" s="716"/>
      <c r="AKP238" s="716"/>
      <c r="AKQ238" s="716"/>
      <c r="AKR238" s="716"/>
      <c r="AKS238" s="716"/>
      <c r="AKT238" s="716"/>
      <c r="AKU238" s="716"/>
      <c r="AKV238" s="716"/>
      <c r="AKW238" s="716"/>
      <c r="AKX238" s="716"/>
      <c r="AKY238" s="716"/>
      <c r="AKZ238" s="716"/>
      <c r="ALA238" s="716"/>
      <c r="ALB238" s="716"/>
      <c r="ALC238" s="716"/>
      <c r="ALD238" s="716"/>
      <c r="ALE238" s="716"/>
      <c r="ALF238" s="716"/>
      <c r="ALG238" s="716"/>
      <c r="ALH238" s="716"/>
      <c r="ALI238" s="716"/>
      <c r="ALJ238" s="716"/>
      <c r="ALK238" s="716"/>
      <c r="ALL238" s="716"/>
      <c r="ALM238" s="716"/>
      <c r="ALN238" s="716"/>
      <c r="ALO238" s="716"/>
      <c r="ALP238" s="716"/>
      <c r="ALQ238" s="716"/>
      <c r="ALR238" s="716"/>
      <c r="ALS238" s="716"/>
      <c r="ALT238" s="716"/>
      <c r="ALU238" s="716"/>
      <c r="ALV238" s="716"/>
      <c r="ALW238" s="716"/>
      <c r="ALX238" s="716"/>
      <c r="ALY238" s="716"/>
      <c r="ALZ238" s="716"/>
      <c r="AMA238" s="716"/>
      <c r="AMB238" s="716"/>
      <c r="AMC238" s="716"/>
      <c r="AMD238" s="716"/>
      <c r="AME238" s="716"/>
      <c r="AMF238" s="716"/>
      <c r="AMG238" s="716"/>
      <c r="AMH238" s="716"/>
      <c r="AMI238" s="716"/>
      <c r="AMJ238" s="716"/>
      <c r="AMK238" s="716"/>
      <c r="AML238" s="716"/>
      <c r="AMM238" s="716"/>
      <c r="AMN238" s="716"/>
      <c r="AMO238" s="716"/>
      <c r="AMP238" s="716"/>
      <c r="AMQ238" s="716"/>
      <c r="AMR238" s="716"/>
      <c r="AMS238" s="716"/>
      <c r="AMT238" s="716"/>
      <c r="AMU238" s="716"/>
      <c r="AMV238" s="716"/>
      <c r="AMW238" s="716"/>
      <c r="AMX238" s="716"/>
      <c r="AMY238" s="716"/>
      <c r="AMZ238" s="716"/>
      <c r="ANA238" s="716"/>
      <c r="ANB238" s="716"/>
      <c r="ANC238" s="716"/>
      <c r="AND238" s="716"/>
      <c r="ANE238" s="716"/>
      <c r="ANF238" s="716"/>
      <c r="ANG238" s="716"/>
      <c r="ANH238" s="716"/>
      <c r="ANI238" s="716"/>
      <c r="ANJ238" s="716"/>
      <c r="ANK238" s="716"/>
      <c r="ANL238" s="716"/>
      <c r="ANM238" s="716"/>
      <c r="ANN238" s="716"/>
      <c r="ANO238" s="716"/>
      <c r="ANP238" s="716"/>
      <c r="ANQ238" s="716"/>
      <c r="ANR238" s="716"/>
      <c r="ANS238" s="716"/>
      <c r="ANT238" s="716"/>
      <c r="ANU238" s="716"/>
      <c r="ANV238" s="716"/>
      <c r="ANW238" s="716"/>
      <c r="ANX238" s="716"/>
      <c r="ANY238" s="716"/>
      <c r="ANZ238" s="716"/>
      <c r="AOA238" s="716"/>
      <c r="AOB238" s="716"/>
      <c r="AOC238" s="716"/>
      <c r="AOD238" s="716"/>
      <c r="AOE238" s="716"/>
      <c r="AOF238" s="716"/>
      <c r="AOG238" s="716"/>
      <c r="AOH238" s="716"/>
      <c r="AOI238" s="716"/>
      <c r="AOJ238" s="716"/>
      <c r="AOK238" s="716"/>
      <c r="AOL238" s="716"/>
      <c r="AOM238" s="716"/>
      <c r="AON238" s="716"/>
      <c r="AOO238" s="716"/>
      <c r="AOP238" s="716"/>
      <c r="AOQ238" s="716"/>
      <c r="AOR238" s="716"/>
      <c r="AOS238" s="716"/>
      <c r="AOT238" s="716"/>
      <c r="AOU238" s="716"/>
      <c r="AOV238" s="716"/>
      <c r="AOW238" s="716"/>
      <c r="AOX238" s="716"/>
      <c r="AOY238" s="716"/>
      <c r="AOZ238" s="716"/>
      <c r="APA238" s="716"/>
      <c r="APB238" s="716"/>
      <c r="APC238" s="716"/>
      <c r="APD238" s="716"/>
      <c r="APE238" s="716"/>
      <c r="APF238" s="716"/>
      <c r="APG238" s="716"/>
      <c r="APH238" s="716"/>
      <c r="API238" s="716"/>
      <c r="APJ238" s="716"/>
      <c r="APK238" s="716"/>
      <c r="APL238" s="716"/>
      <c r="APM238" s="716"/>
      <c r="APN238" s="716"/>
      <c r="APO238" s="716"/>
      <c r="APP238" s="716"/>
      <c r="APQ238" s="716"/>
      <c r="APR238" s="716"/>
      <c r="APS238" s="716"/>
      <c r="APT238" s="716"/>
      <c r="APU238" s="716"/>
      <c r="APV238" s="716"/>
      <c r="APW238" s="716"/>
      <c r="APX238" s="716"/>
      <c r="APY238" s="716"/>
      <c r="APZ238" s="716"/>
      <c r="AQA238" s="716"/>
      <c r="AQB238" s="716"/>
      <c r="AQC238" s="716"/>
      <c r="AQD238" s="716"/>
      <c r="AQE238" s="716"/>
      <c r="AQF238" s="716"/>
      <c r="AQG238" s="716"/>
      <c r="AQH238" s="716"/>
      <c r="AQI238" s="716"/>
      <c r="AQJ238" s="716"/>
      <c r="AQK238" s="716"/>
      <c r="AQL238" s="716"/>
      <c r="AQM238" s="716"/>
      <c r="AQN238" s="716"/>
      <c r="AQO238" s="716"/>
      <c r="AQP238" s="716"/>
      <c r="AQQ238" s="716"/>
      <c r="AQR238" s="716"/>
      <c r="AQS238" s="716"/>
      <c r="AQT238" s="716"/>
      <c r="AQU238" s="716"/>
      <c r="AQV238" s="716"/>
      <c r="AQW238" s="716"/>
      <c r="AQX238" s="716"/>
      <c r="AQY238" s="716"/>
      <c r="AQZ238" s="716"/>
      <c r="ARA238" s="716"/>
      <c r="ARB238" s="716"/>
      <c r="ARC238" s="716"/>
      <c r="ARD238" s="716"/>
      <c r="ARE238" s="716"/>
      <c r="ARF238" s="716"/>
      <c r="ARG238" s="716"/>
      <c r="ARH238" s="716"/>
      <c r="ARI238" s="716"/>
      <c r="ARJ238" s="716"/>
      <c r="ARK238" s="716"/>
      <c r="ARL238" s="716"/>
      <c r="ARM238" s="716"/>
      <c r="ARN238" s="716"/>
      <c r="ARO238" s="716"/>
      <c r="ARP238" s="716"/>
      <c r="ARQ238" s="716"/>
      <c r="ARR238" s="716"/>
      <c r="ARS238" s="716"/>
      <c r="ART238" s="716"/>
      <c r="ARU238" s="716"/>
      <c r="ARV238" s="716"/>
      <c r="ARW238" s="716"/>
      <c r="ARX238" s="716"/>
      <c r="ARY238" s="716"/>
      <c r="ARZ238" s="716"/>
      <c r="ASA238" s="716"/>
      <c r="ASB238" s="716"/>
      <c r="ASC238" s="716"/>
      <c r="ASD238" s="716"/>
      <c r="ASE238" s="716"/>
      <c r="ASF238" s="716"/>
      <c r="ASG238" s="716"/>
      <c r="ASH238" s="716"/>
      <c r="ASI238" s="716"/>
      <c r="ASJ238" s="716"/>
      <c r="ASK238" s="716"/>
      <c r="ASL238" s="716"/>
      <c r="ASM238" s="716"/>
      <c r="ASN238" s="716"/>
      <c r="ASO238" s="716"/>
      <c r="ASP238" s="716"/>
      <c r="ASQ238" s="716"/>
      <c r="ASR238" s="716"/>
      <c r="ASS238" s="716"/>
      <c r="AST238" s="716"/>
      <c r="ASU238" s="716"/>
      <c r="ASV238" s="716"/>
      <c r="ASW238" s="716"/>
      <c r="ASX238" s="716"/>
      <c r="ASY238" s="716"/>
      <c r="ASZ238" s="716"/>
      <c r="ATA238" s="716"/>
      <c r="ATB238" s="716"/>
      <c r="ATC238" s="716"/>
      <c r="ATD238" s="716"/>
      <c r="ATE238" s="716"/>
      <c r="ATF238" s="716"/>
      <c r="ATG238" s="716"/>
      <c r="ATH238" s="716"/>
      <c r="ATI238" s="716"/>
      <c r="ATJ238" s="716"/>
      <c r="ATK238" s="716"/>
      <c r="ATL238" s="716"/>
      <c r="ATM238" s="716"/>
      <c r="ATN238" s="716"/>
      <c r="ATO238" s="716"/>
      <c r="ATP238" s="716"/>
      <c r="ATQ238" s="716"/>
      <c r="ATR238" s="716"/>
      <c r="ATS238" s="716"/>
      <c r="ATT238" s="716"/>
      <c r="ATU238" s="716"/>
      <c r="ATV238" s="716"/>
      <c r="ATW238" s="716"/>
      <c r="ATX238" s="716"/>
      <c r="ATY238" s="716"/>
      <c r="ATZ238" s="716"/>
      <c r="AUA238" s="716"/>
      <c r="AUB238" s="716"/>
      <c r="AUC238" s="716"/>
      <c r="AUD238" s="716"/>
      <c r="AUE238" s="716"/>
      <c r="AUF238" s="716"/>
      <c r="AUG238" s="716"/>
      <c r="AUH238" s="716"/>
      <c r="AUI238" s="716"/>
      <c r="AUJ238" s="716"/>
      <c r="AUK238" s="716"/>
      <c r="AUL238" s="716"/>
      <c r="AUM238" s="716"/>
      <c r="AUN238" s="716"/>
      <c r="AUO238" s="716"/>
      <c r="AUP238" s="716"/>
      <c r="AUQ238" s="716"/>
      <c r="AUR238" s="716"/>
      <c r="AUS238" s="716"/>
      <c r="AUT238" s="716"/>
      <c r="AUU238" s="716"/>
      <c r="AUV238" s="716"/>
      <c r="AUW238" s="716"/>
      <c r="AUX238" s="716"/>
      <c r="AUY238" s="716"/>
      <c r="AUZ238" s="716"/>
      <c r="AVA238" s="716"/>
      <c r="AVB238" s="716"/>
      <c r="AVC238" s="716"/>
      <c r="AVD238" s="716"/>
      <c r="AVE238" s="716"/>
      <c r="AVF238" s="716"/>
      <c r="AVG238" s="716"/>
      <c r="AVH238" s="716"/>
      <c r="AVI238" s="716"/>
      <c r="AVJ238" s="716"/>
      <c r="AVK238" s="716"/>
      <c r="AVL238" s="716"/>
      <c r="AVM238" s="716"/>
      <c r="AVN238" s="716"/>
      <c r="AVO238" s="716"/>
      <c r="AVP238" s="716"/>
      <c r="AVQ238" s="716"/>
      <c r="AVR238" s="716"/>
      <c r="AVS238" s="716"/>
      <c r="AVT238" s="716"/>
      <c r="AVU238" s="716"/>
      <c r="AVV238" s="716"/>
      <c r="AVW238" s="716"/>
      <c r="AVX238" s="716"/>
      <c r="AVY238" s="716"/>
      <c r="AVZ238" s="716"/>
      <c r="AWA238" s="716"/>
      <c r="AWB238" s="716"/>
      <c r="AWC238" s="716"/>
      <c r="AWD238" s="716"/>
      <c r="AWE238" s="716"/>
      <c r="AWF238" s="716"/>
      <c r="AWG238" s="716"/>
      <c r="AWH238" s="716"/>
      <c r="AWI238" s="716"/>
      <c r="AWJ238" s="716"/>
      <c r="AWK238" s="716"/>
      <c r="AWL238" s="716"/>
      <c r="AWM238" s="716"/>
      <c r="AWN238" s="716"/>
      <c r="AWO238" s="716"/>
      <c r="AWP238" s="716"/>
      <c r="AWQ238" s="716"/>
      <c r="AWR238" s="716"/>
      <c r="AWS238" s="716"/>
      <c r="AWT238" s="716"/>
      <c r="AWU238" s="716"/>
      <c r="AWV238" s="716"/>
      <c r="AWW238" s="716"/>
      <c r="AWX238" s="716"/>
      <c r="AWY238" s="716"/>
      <c r="AWZ238" s="716"/>
      <c r="AXA238" s="716"/>
      <c r="AXB238" s="716"/>
      <c r="AXC238" s="716"/>
      <c r="AXD238" s="716"/>
      <c r="AXE238" s="716"/>
      <c r="AXF238" s="716"/>
      <c r="AXG238" s="716"/>
      <c r="AXH238" s="716"/>
      <c r="AXI238" s="716"/>
      <c r="AXJ238" s="716"/>
      <c r="AXK238" s="716"/>
      <c r="AXL238" s="716"/>
      <c r="AXM238" s="716"/>
      <c r="AXN238" s="716"/>
      <c r="AXO238" s="716"/>
      <c r="AXP238" s="716"/>
      <c r="AXQ238" s="716"/>
      <c r="AXR238" s="716"/>
      <c r="AXS238" s="716"/>
      <c r="AXT238" s="716"/>
      <c r="AXU238" s="716"/>
      <c r="AXV238" s="716"/>
      <c r="AXW238" s="716"/>
      <c r="AXX238" s="716"/>
      <c r="AXY238" s="716"/>
      <c r="AXZ238" s="716"/>
      <c r="AYA238" s="716"/>
      <c r="AYB238" s="716"/>
      <c r="AYC238" s="716"/>
      <c r="AYD238" s="716"/>
      <c r="AYE238" s="716"/>
      <c r="AYF238" s="716"/>
      <c r="AYG238" s="716"/>
      <c r="AYH238" s="716"/>
      <c r="AYI238" s="716"/>
      <c r="AYJ238" s="716"/>
      <c r="AYK238" s="716"/>
      <c r="AYL238" s="716"/>
      <c r="AYM238" s="716"/>
      <c r="AYN238" s="716"/>
      <c r="AYO238" s="716"/>
      <c r="AYP238" s="716"/>
      <c r="AYQ238" s="716"/>
      <c r="AYR238" s="716"/>
      <c r="AYS238" s="716"/>
      <c r="AYT238" s="716"/>
      <c r="AYU238" s="716"/>
      <c r="AYV238" s="716"/>
      <c r="AYW238" s="716"/>
      <c r="AYX238" s="716"/>
      <c r="AYY238" s="716"/>
      <c r="AYZ238" s="716"/>
      <c r="AZA238" s="716"/>
      <c r="AZB238" s="716"/>
      <c r="AZC238" s="716"/>
      <c r="AZD238" s="716"/>
      <c r="AZE238" s="716"/>
      <c r="AZF238" s="716"/>
      <c r="AZG238" s="716"/>
      <c r="AZH238" s="716"/>
      <c r="AZI238" s="716"/>
      <c r="AZJ238" s="716"/>
      <c r="AZK238" s="716"/>
      <c r="AZL238" s="716"/>
      <c r="AZM238" s="716"/>
      <c r="AZN238" s="716"/>
      <c r="AZO238" s="716"/>
      <c r="AZP238" s="716"/>
      <c r="AZQ238" s="716"/>
      <c r="AZR238" s="716"/>
      <c r="AZS238" s="716"/>
      <c r="AZT238" s="716"/>
      <c r="AZU238" s="716"/>
      <c r="AZV238" s="716"/>
      <c r="AZW238" s="716"/>
      <c r="AZX238" s="716"/>
      <c r="AZY238" s="716"/>
      <c r="AZZ238" s="716"/>
      <c r="BAA238" s="716"/>
      <c r="BAB238" s="716"/>
      <c r="BAC238" s="716"/>
      <c r="BAD238" s="716"/>
      <c r="BAE238" s="716"/>
      <c r="BAF238" s="716"/>
      <c r="BAG238" s="716"/>
      <c r="BAH238" s="716"/>
      <c r="BAI238" s="716"/>
      <c r="BAJ238" s="716"/>
      <c r="BAK238" s="716"/>
      <c r="BAL238" s="716"/>
      <c r="BAM238" s="716"/>
      <c r="BAN238" s="716"/>
      <c r="BAO238" s="716"/>
      <c r="BAP238" s="716"/>
      <c r="BAQ238" s="716"/>
      <c r="BAR238" s="716"/>
      <c r="BAS238" s="716"/>
      <c r="BAT238" s="716"/>
      <c r="BAU238" s="716"/>
      <c r="BAV238" s="716"/>
      <c r="BAW238" s="716"/>
      <c r="BAX238" s="716"/>
      <c r="BAY238" s="716"/>
      <c r="BAZ238" s="716"/>
      <c r="BBA238" s="716"/>
      <c r="BBB238" s="716"/>
      <c r="BBC238" s="716"/>
      <c r="BBD238" s="716"/>
      <c r="BBE238" s="716"/>
      <c r="BBF238" s="716"/>
      <c r="BBG238" s="716"/>
      <c r="BBH238" s="716"/>
      <c r="BBI238" s="716"/>
      <c r="BBJ238" s="716"/>
      <c r="BBK238" s="716"/>
      <c r="BBL238" s="716"/>
      <c r="BBM238" s="716"/>
      <c r="BBN238" s="716"/>
      <c r="BBO238" s="716"/>
      <c r="BBP238" s="716"/>
      <c r="BBQ238" s="716"/>
      <c r="BBR238" s="716"/>
      <c r="BBS238" s="716"/>
      <c r="BBT238" s="716"/>
      <c r="BBU238" s="716"/>
      <c r="BBV238" s="716"/>
      <c r="BBW238" s="716"/>
      <c r="BBX238" s="716"/>
      <c r="BBY238" s="716"/>
      <c r="BBZ238" s="716"/>
      <c r="BCA238" s="716"/>
      <c r="BCB238" s="716"/>
      <c r="BCC238" s="716"/>
      <c r="BCD238" s="716"/>
      <c r="BCE238" s="716"/>
      <c r="BCF238" s="716"/>
      <c r="BCG238" s="716"/>
      <c r="BCH238" s="716"/>
      <c r="BCI238" s="716"/>
      <c r="BCJ238" s="716"/>
      <c r="BCK238" s="716"/>
      <c r="BCL238" s="716"/>
      <c r="BCM238" s="716"/>
      <c r="BCN238" s="716"/>
      <c r="BCO238" s="716"/>
      <c r="BCP238" s="716"/>
      <c r="BCQ238" s="716"/>
      <c r="BCR238" s="716"/>
      <c r="BCS238" s="716"/>
      <c r="BCT238" s="716"/>
      <c r="BCU238" s="716"/>
      <c r="BCV238" s="716"/>
      <c r="BCW238" s="716"/>
      <c r="BCX238" s="716"/>
      <c r="BCY238" s="716"/>
      <c r="BCZ238" s="716"/>
      <c r="BDA238" s="716"/>
      <c r="BDB238" s="716"/>
      <c r="BDC238" s="716"/>
      <c r="BDD238" s="716"/>
      <c r="BDE238" s="716"/>
      <c r="BDF238" s="716"/>
      <c r="BDG238" s="716"/>
      <c r="BDH238" s="716"/>
      <c r="BDI238" s="716"/>
      <c r="BDJ238" s="716"/>
      <c r="BDK238" s="716"/>
      <c r="BDL238" s="716"/>
      <c r="BDM238" s="716"/>
      <c r="BDN238" s="716"/>
      <c r="BDO238" s="716"/>
      <c r="BDP238" s="716"/>
      <c r="BDQ238" s="716"/>
      <c r="BDR238" s="716"/>
      <c r="BDS238" s="716"/>
      <c r="BDT238" s="716"/>
      <c r="BDU238" s="716"/>
      <c r="BDV238" s="716"/>
      <c r="BDW238" s="716"/>
      <c r="BDX238" s="716"/>
      <c r="BDY238" s="716"/>
      <c r="BDZ238" s="716"/>
      <c r="BEA238" s="716"/>
      <c r="BEB238" s="716"/>
      <c r="BEC238" s="716"/>
      <c r="BED238" s="716"/>
      <c r="BEE238" s="716"/>
      <c r="BEF238" s="716"/>
      <c r="BEG238" s="716"/>
      <c r="BEH238" s="716"/>
      <c r="BEI238" s="716"/>
      <c r="BEJ238" s="716"/>
      <c r="BEK238" s="716"/>
      <c r="BEL238" s="716"/>
      <c r="BEM238" s="716"/>
      <c r="BEN238" s="716"/>
      <c r="BEO238" s="716"/>
      <c r="BEP238" s="716"/>
      <c r="BEQ238" s="716"/>
      <c r="BER238" s="716"/>
      <c r="BES238" s="716"/>
      <c r="BET238" s="716"/>
      <c r="BEU238" s="716"/>
      <c r="BEV238" s="716"/>
      <c r="BEW238" s="716"/>
      <c r="BEX238" s="716"/>
      <c r="BEY238" s="716"/>
      <c r="BEZ238" s="716"/>
      <c r="BFA238" s="716"/>
      <c r="BFB238" s="716"/>
      <c r="BFC238" s="716"/>
      <c r="BFD238" s="716"/>
      <c r="BFE238" s="716"/>
      <c r="BFF238" s="716"/>
      <c r="BFG238" s="716"/>
      <c r="BFH238" s="716"/>
      <c r="BFI238" s="716"/>
      <c r="BFJ238" s="716"/>
      <c r="BFK238" s="716"/>
      <c r="BFL238" s="716"/>
      <c r="BFM238" s="716"/>
      <c r="BFN238" s="716"/>
      <c r="BFO238" s="716"/>
      <c r="BFP238" s="716"/>
      <c r="BFQ238" s="716"/>
      <c r="BFR238" s="716"/>
      <c r="BFS238" s="716"/>
      <c r="BFT238" s="716"/>
      <c r="BFU238" s="716"/>
      <c r="BFV238" s="716"/>
      <c r="BFW238" s="716"/>
      <c r="BFX238" s="716"/>
      <c r="BFY238" s="716"/>
      <c r="BFZ238" s="716"/>
      <c r="BGA238" s="716"/>
      <c r="BGB238" s="716"/>
      <c r="BGC238" s="716"/>
      <c r="BGD238" s="716"/>
      <c r="BGE238" s="716"/>
      <c r="BGF238" s="716"/>
      <c r="BGG238" s="716"/>
      <c r="BGH238" s="716"/>
      <c r="BGI238" s="716"/>
      <c r="BGJ238" s="716"/>
      <c r="BGK238" s="716"/>
      <c r="BGL238" s="716"/>
      <c r="BGM238" s="716"/>
      <c r="BGN238" s="716"/>
      <c r="BGO238" s="716"/>
      <c r="BGP238" s="716"/>
      <c r="BGQ238" s="716"/>
      <c r="BGR238" s="716"/>
      <c r="BGS238" s="716"/>
      <c r="BGT238" s="716"/>
      <c r="BGU238" s="716"/>
      <c r="BGV238" s="716"/>
      <c r="BGW238" s="716"/>
      <c r="BGX238" s="716"/>
      <c r="BGY238" s="716"/>
      <c r="BGZ238" s="716"/>
      <c r="BHA238" s="716"/>
      <c r="BHB238" s="716"/>
      <c r="BHC238" s="716"/>
      <c r="BHD238" s="716"/>
      <c r="BHE238" s="716"/>
      <c r="BHF238" s="716"/>
      <c r="BHG238" s="716"/>
      <c r="BHH238" s="716"/>
      <c r="BHI238" s="716"/>
      <c r="BHJ238" s="716"/>
      <c r="BHK238" s="716"/>
      <c r="BHL238" s="716"/>
      <c r="BHM238" s="716"/>
      <c r="BHN238" s="716"/>
      <c r="BHO238" s="716"/>
      <c r="BHP238" s="716"/>
      <c r="BHQ238" s="716"/>
      <c r="BHR238" s="716"/>
      <c r="BHS238" s="716"/>
      <c r="BHT238" s="716"/>
      <c r="BHU238" s="716"/>
      <c r="BHV238" s="716"/>
      <c r="BHW238" s="716"/>
      <c r="BHX238" s="716"/>
      <c r="BHY238" s="716"/>
      <c r="BHZ238" s="716"/>
      <c r="BIA238" s="716"/>
      <c r="BIB238" s="716"/>
      <c r="BIC238" s="716"/>
      <c r="BID238" s="716"/>
      <c r="BIE238" s="716"/>
      <c r="BIF238" s="716"/>
      <c r="BIG238" s="716"/>
      <c r="BIH238" s="716"/>
      <c r="BII238" s="716"/>
      <c r="BIJ238" s="716"/>
      <c r="BIK238" s="716"/>
      <c r="BIL238" s="716"/>
      <c r="BIM238" s="716"/>
      <c r="BIN238" s="716"/>
      <c r="BIO238" s="716"/>
      <c r="BIP238" s="716"/>
      <c r="BIQ238" s="716"/>
      <c r="BIR238" s="716"/>
      <c r="BIS238" s="716"/>
      <c r="BIT238" s="716"/>
      <c r="BIU238" s="716"/>
      <c r="BIV238" s="716"/>
      <c r="BIW238" s="716"/>
      <c r="BIX238" s="716"/>
      <c r="BIY238" s="716"/>
      <c r="BIZ238" s="716"/>
      <c r="BJA238" s="716"/>
      <c r="BJB238" s="716"/>
      <c r="BJC238" s="716"/>
      <c r="BJD238" s="716"/>
      <c r="BJE238" s="716"/>
      <c r="BJF238" s="716"/>
      <c r="BJG238" s="716"/>
      <c r="BJH238" s="716"/>
      <c r="BJI238" s="716"/>
      <c r="BJJ238" s="716"/>
      <c r="BJK238" s="716"/>
      <c r="BJL238" s="716"/>
      <c r="BJM238" s="716"/>
      <c r="BJN238" s="716"/>
      <c r="BJO238" s="716"/>
      <c r="BJP238" s="716"/>
      <c r="BJQ238" s="716"/>
      <c r="BJR238" s="716"/>
      <c r="BJS238" s="716"/>
      <c r="BJT238" s="716"/>
      <c r="BJU238" s="716"/>
      <c r="BJV238" s="716"/>
      <c r="BJW238" s="716"/>
      <c r="BJX238" s="716"/>
      <c r="BJY238" s="716"/>
      <c r="BJZ238" s="716"/>
      <c r="BKA238" s="716"/>
      <c r="BKB238" s="716"/>
      <c r="BKC238" s="716"/>
      <c r="BKD238" s="716"/>
      <c r="BKE238" s="716"/>
      <c r="BKF238" s="716"/>
      <c r="BKG238" s="716"/>
      <c r="BKH238" s="716"/>
      <c r="BKI238" s="716"/>
      <c r="BKJ238" s="716"/>
      <c r="BKK238" s="716"/>
      <c r="BKL238" s="716"/>
      <c r="BKM238" s="716"/>
      <c r="BKN238" s="716"/>
      <c r="BKO238" s="716"/>
      <c r="BKP238" s="716"/>
      <c r="BKQ238" s="716"/>
      <c r="BKR238" s="716"/>
      <c r="BKS238" s="716"/>
      <c r="BKT238" s="716"/>
      <c r="BKU238" s="716"/>
      <c r="BKV238" s="716"/>
      <c r="BKW238" s="716"/>
      <c r="BKX238" s="716"/>
      <c r="BKY238" s="716"/>
      <c r="BKZ238" s="716"/>
      <c r="BLA238" s="716"/>
      <c r="BLB238" s="716"/>
      <c r="BLC238" s="716"/>
      <c r="BLD238" s="716"/>
      <c r="BLE238" s="716"/>
      <c r="BLF238" s="716"/>
      <c r="BLG238" s="716"/>
      <c r="BLH238" s="716"/>
      <c r="BLI238" s="716"/>
      <c r="BLJ238" s="716"/>
      <c r="BLK238" s="716"/>
      <c r="BLL238" s="716"/>
      <c r="BLM238" s="716"/>
      <c r="BLN238" s="716"/>
      <c r="BLO238" s="716"/>
      <c r="BLP238" s="716"/>
      <c r="BLQ238" s="716"/>
      <c r="BLR238" s="716"/>
      <c r="BLS238" s="716"/>
      <c r="BLT238" s="716"/>
      <c r="BLU238" s="716"/>
      <c r="BLV238" s="716"/>
      <c r="BLW238" s="716"/>
      <c r="BLX238" s="716"/>
      <c r="BLY238" s="716"/>
      <c r="BLZ238" s="716"/>
      <c r="BMA238" s="716"/>
      <c r="BMB238" s="716"/>
      <c r="BMC238" s="716"/>
      <c r="BMD238" s="716"/>
      <c r="BME238" s="716"/>
      <c r="BMF238" s="716"/>
      <c r="BMG238" s="716"/>
      <c r="BMH238" s="716"/>
      <c r="BMI238" s="716"/>
      <c r="BMJ238" s="716"/>
      <c r="BMK238" s="716"/>
      <c r="BML238" s="716"/>
      <c r="BMM238" s="716"/>
      <c r="BMN238" s="716"/>
      <c r="BMO238" s="716"/>
      <c r="BMP238" s="716"/>
      <c r="BMQ238" s="716"/>
      <c r="BMR238" s="716"/>
      <c r="BMS238" s="716"/>
      <c r="BMT238" s="716"/>
      <c r="BMU238" s="716"/>
      <c r="BMV238" s="716"/>
      <c r="BMW238" s="716"/>
      <c r="BMX238" s="716"/>
      <c r="BMY238" s="716"/>
      <c r="BMZ238" s="716"/>
      <c r="BNA238" s="716"/>
      <c r="BNB238" s="716"/>
      <c r="BNC238" s="716"/>
      <c r="BND238" s="716"/>
      <c r="BNE238" s="716"/>
      <c r="BNF238" s="716"/>
      <c r="BNG238" s="716"/>
      <c r="BNH238" s="716"/>
      <c r="BNI238" s="716"/>
      <c r="BNJ238" s="716"/>
      <c r="BNK238" s="716"/>
      <c r="BNL238" s="716"/>
      <c r="BNM238" s="716"/>
      <c r="BNN238" s="716"/>
      <c r="BNO238" s="716"/>
      <c r="BNP238" s="716"/>
      <c r="BNQ238" s="716"/>
      <c r="BNR238" s="716"/>
      <c r="BNS238" s="716"/>
      <c r="BNT238" s="716"/>
      <c r="BNU238" s="716"/>
      <c r="BNV238" s="716"/>
      <c r="BNW238" s="716"/>
      <c r="BNX238" s="716"/>
      <c r="BNY238" s="716"/>
      <c r="BNZ238" s="716"/>
      <c r="BOA238" s="716"/>
      <c r="BOB238" s="716"/>
      <c r="BOC238" s="716"/>
      <c r="BOD238" s="716"/>
      <c r="BOE238" s="716"/>
      <c r="BOF238" s="716"/>
      <c r="BOG238" s="716"/>
      <c r="BOH238" s="716"/>
      <c r="BOI238" s="716"/>
      <c r="BOJ238" s="716"/>
      <c r="BOK238" s="716"/>
      <c r="BOL238" s="716"/>
      <c r="BOM238" s="716"/>
      <c r="BON238" s="716"/>
      <c r="BOO238" s="716"/>
      <c r="BOP238" s="716"/>
      <c r="BOQ238" s="716"/>
    </row>
    <row r="239" spans="1:1759">
      <c r="F239" s="717"/>
      <c r="H239" s="716"/>
      <c r="I239" s="717"/>
      <c r="J239" s="716"/>
    </row>
    <row r="240" spans="1:1759" s="671" customFormat="1" ht="12.75">
      <c r="A240" s="690" t="s">
        <v>1697</v>
      </c>
      <c r="B240" s="693"/>
      <c r="C240" s="710"/>
      <c r="D240" s="703"/>
      <c r="E240" s="711"/>
      <c r="F240" s="693"/>
      <c r="H240" s="670"/>
    </row>
    <row r="241" spans="1:8" s="674" customFormat="1" ht="12.75">
      <c r="A241" s="674" t="s">
        <v>1698</v>
      </c>
      <c r="B241" s="706"/>
      <c r="D241" s="698"/>
      <c r="E241" s="714"/>
      <c r="F241" s="706"/>
      <c r="H241" s="706"/>
    </row>
    <row r="242" spans="1:8" s="671" customFormat="1" ht="12.75">
      <c r="A242" s="671" t="s">
        <v>1629</v>
      </c>
      <c r="B242" s="670">
        <v>2.4500000000000002</v>
      </c>
      <c r="D242" s="672">
        <f>B242*$F$2</f>
        <v>0.2169388899772518</v>
      </c>
      <c r="E242" s="673"/>
      <c r="F242" s="670">
        <f t="shared" ref="F242:F244" si="39">+B242+D242</f>
        <v>2.6669388899772519</v>
      </c>
      <c r="H242" s="670"/>
    </row>
    <row r="243" spans="1:8" s="671" customFormat="1" ht="12.75">
      <c r="A243" s="671" t="s">
        <v>1630</v>
      </c>
      <c r="B243" s="670">
        <v>2.6</v>
      </c>
      <c r="D243" s="672">
        <f>B243*$F$2</f>
        <v>0.23022086283300192</v>
      </c>
      <c r="E243" s="673"/>
      <c r="F243" s="670">
        <f t="shared" si="39"/>
        <v>2.8302208628330021</v>
      </c>
      <c r="H243" s="670"/>
    </row>
    <row r="244" spans="1:8" s="671" customFormat="1" ht="12.75">
      <c r="A244" s="671" t="s">
        <v>1631</v>
      </c>
      <c r="B244" s="670">
        <v>3.16</v>
      </c>
      <c r="D244" s="672">
        <f>B244*$F$2</f>
        <v>0.27980689482780235</v>
      </c>
      <c r="E244" s="673"/>
      <c r="F244" s="670">
        <f t="shared" si="39"/>
        <v>3.4398068948278024</v>
      </c>
      <c r="H244" s="670"/>
    </row>
    <row r="245" spans="1:8" s="671" customFormat="1" ht="12.75">
      <c r="B245" s="670"/>
      <c r="D245" s="672"/>
      <c r="E245" s="673"/>
      <c r="F245" s="670"/>
      <c r="H245" s="670"/>
    </row>
    <row r="246" spans="1:8" s="674" customFormat="1" ht="12.75">
      <c r="A246" s="674" t="s">
        <v>1699</v>
      </c>
      <c r="B246" s="706"/>
      <c r="D246" s="698"/>
      <c r="E246" s="714"/>
      <c r="F246" s="706"/>
      <c r="H246" s="706"/>
    </row>
    <row r="247" spans="1:8" s="671" customFormat="1" ht="12.75">
      <c r="A247" s="671" t="s">
        <v>1629</v>
      </c>
      <c r="B247" s="670">
        <v>3.53</v>
      </c>
      <c r="D247" s="672">
        <f>B247*$F$2</f>
        <v>0.31256909453865256</v>
      </c>
      <c r="E247" s="673"/>
      <c r="F247" s="670">
        <f t="shared" ref="F247:F249" si="40">+B247+D247</f>
        <v>3.8425690945386526</v>
      </c>
      <c r="H247" s="670"/>
    </row>
    <row r="248" spans="1:8" s="671" customFormat="1" ht="12.75">
      <c r="A248" s="671" t="s">
        <v>1630</v>
      </c>
      <c r="B248" s="670">
        <v>3.73</v>
      </c>
      <c r="D248" s="672">
        <f>B248*$F$2</f>
        <v>0.33027839167965273</v>
      </c>
      <c r="E248" s="673"/>
      <c r="F248" s="670">
        <f t="shared" si="40"/>
        <v>4.0602783916796525</v>
      </c>
      <c r="H248" s="670"/>
    </row>
    <row r="249" spans="1:8" s="671" customFormat="1" ht="12.75">
      <c r="A249" s="671" t="s">
        <v>1631</v>
      </c>
      <c r="B249" s="670">
        <v>4.16</v>
      </c>
      <c r="D249" s="672">
        <f>B249*$F$2</f>
        <v>0.36835338053280309</v>
      </c>
      <c r="E249" s="673"/>
      <c r="F249" s="670">
        <f t="shared" si="40"/>
        <v>4.5283533805328036</v>
      </c>
      <c r="H249" s="670"/>
    </row>
    <row r="250" spans="1:8" s="671" customFormat="1" ht="12.75">
      <c r="B250" s="670"/>
      <c r="D250" s="672"/>
      <c r="E250" s="673"/>
      <c r="F250" s="670"/>
      <c r="H250" s="670"/>
    </row>
    <row r="251" spans="1:8" s="671" customFormat="1" ht="12.75">
      <c r="A251" s="674" t="s">
        <v>1695</v>
      </c>
      <c r="B251" s="670">
        <v>1.2</v>
      </c>
      <c r="D251" s="672">
        <f>B251*$F$2</f>
        <v>0.10625578284600087</v>
      </c>
      <c r="E251" s="673"/>
      <c r="F251" s="670">
        <f t="shared" ref="F251" si="41">+B251+D251</f>
        <v>1.3062557828460009</v>
      </c>
      <c r="H251" s="670"/>
    </row>
    <row r="252" spans="1:8" s="671" customFormat="1" ht="12.75">
      <c r="A252" s="674"/>
      <c r="B252" s="670"/>
      <c r="D252" s="672"/>
      <c r="E252" s="673"/>
      <c r="F252" s="670"/>
      <c r="H252" s="670"/>
    </row>
    <row r="253" spans="1:8" s="671" customFormat="1" ht="12.75">
      <c r="A253" s="690" t="s">
        <v>1700</v>
      </c>
      <c r="B253" s="693"/>
      <c r="C253" s="710"/>
      <c r="D253" s="703"/>
      <c r="E253" s="711"/>
      <c r="F253" s="693"/>
      <c r="H253" s="670"/>
    </row>
    <row r="254" spans="1:8" s="671" customFormat="1" ht="12.75">
      <c r="A254" s="671" t="s">
        <v>1641</v>
      </c>
      <c r="B254" s="670">
        <v>1.41</v>
      </c>
      <c r="D254" s="672">
        <f t="shared" ref="D254:D259" si="42">B254*$F$2</f>
        <v>0.12485054484405103</v>
      </c>
      <c r="E254" s="673"/>
      <c r="F254" s="670">
        <f t="shared" ref="F254:F259" si="43">+B254+D254</f>
        <v>1.534850544844051</v>
      </c>
      <c r="G254" s="709"/>
      <c r="H254" s="670"/>
    </row>
    <row r="255" spans="1:8" s="671" customFormat="1" ht="12.75">
      <c r="A255" s="671" t="s">
        <v>1669</v>
      </c>
      <c r="B255" s="670">
        <v>6.24</v>
      </c>
      <c r="D255" s="672">
        <f t="shared" si="42"/>
        <v>0.55253007079920458</v>
      </c>
      <c r="E255" s="673"/>
      <c r="F255" s="670">
        <f t="shared" si="43"/>
        <v>6.7925300707992049</v>
      </c>
      <c r="G255" s="709"/>
      <c r="H255" s="670"/>
    </row>
    <row r="256" spans="1:8" s="671" customFormat="1" ht="12.75">
      <c r="A256" s="671" t="s">
        <v>1694</v>
      </c>
      <c r="B256" s="670">
        <v>7</v>
      </c>
      <c r="D256" s="672">
        <f t="shared" si="42"/>
        <v>0.61982539993500518</v>
      </c>
      <c r="E256" s="673"/>
      <c r="F256" s="670">
        <f t="shared" si="43"/>
        <v>7.6198253999350047</v>
      </c>
      <c r="G256" s="709"/>
      <c r="H256" s="670"/>
    </row>
    <row r="257" spans="1:16" s="671" customFormat="1" ht="12.75">
      <c r="A257" s="671" t="s">
        <v>1671</v>
      </c>
      <c r="B257" s="670">
        <v>12.53</v>
      </c>
      <c r="D257" s="672">
        <f t="shared" si="42"/>
        <v>1.1094874658836591</v>
      </c>
      <c r="E257" s="673"/>
      <c r="F257" s="670">
        <f t="shared" si="43"/>
        <v>13.639487465883658</v>
      </c>
      <c r="G257" s="709"/>
      <c r="H257" s="670"/>
    </row>
    <row r="258" spans="1:16" s="671" customFormat="1" ht="12.75">
      <c r="A258" s="671" t="s">
        <v>1672</v>
      </c>
      <c r="B258" s="670">
        <v>16.91</v>
      </c>
      <c r="D258" s="672">
        <f t="shared" si="42"/>
        <v>1.4973210732715625</v>
      </c>
      <c r="E258" s="673"/>
      <c r="F258" s="670">
        <f t="shared" si="43"/>
        <v>18.407321073271561</v>
      </c>
      <c r="G258" s="709"/>
      <c r="H258" s="670"/>
    </row>
    <row r="259" spans="1:16" s="671" customFormat="1" ht="12.75">
      <c r="A259" s="671" t="s">
        <v>1673</v>
      </c>
      <c r="B259" s="670">
        <v>23.01</v>
      </c>
      <c r="D259" s="672">
        <f t="shared" si="42"/>
        <v>2.0374546360720669</v>
      </c>
      <c r="E259" s="673"/>
      <c r="F259" s="670">
        <f t="shared" si="43"/>
        <v>25.047454636072068</v>
      </c>
      <c r="G259" s="709"/>
      <c r="H259" s="670"/>
    </row>
    <row r="260" spans="1:16" s="670" customFormat="1" ht="12.75">
      <c r="A260" s="694"/>
      <c r="C260" s="671"/>
      <c r="D260" s="672"/>
      <c r="E260" s="673"/>
      <c r="G260" s="671"/>
      <c r="I260" s="671"/>
      <c r="J260" s="671"/>
      <c r="K260" s="671"/>
      <c r="L260" s="671"/>
      <c r="M260" s="671"/>
      <c r="N260" s="671"/>
      <c r="O260" s="671"/>
      <c r="P260" s="671"/>
    </row>
    <row r="261" spans="1:16" s="706" customFormat="1" ht="12.75">
      <c r="A261" s="674" t="s">
        <v>1701</v>
      </c>
      <c r="C261" s="674"/>
      <c r="D261" s="698"/>
      <c r="E261" s="714"/>
      <c r="G261" s="674"/>
      <c r="I261" s="674"/>
      <c r="J261" s="674"/>
      <c r="K261" s="674"/>
      <c r="L261" s="674"/>
      <c r="M261" s="674"/>
      <c r="N261" s="674"/>
      <c r="O261" s="674"/>
      <c r="P261" s="674"/>
    </row>
    <row r="262" spans="1:16" s="670" customFormat="1" ht="12.75">
      <c r="A262" s="671" t="s">
        <v>1641</v>
      </c>
      <c r="B262" s="670">
        <v>2.2200000000000002</v>
      </c>
      <c r="C262" s="671"/>
      <c r="D262" s="672">
        <f t="shared" ref="D262:D267" si="44">B262*$F$2</f>
        <v>0.19657319826510164</v>
      </c>
      <c r="E262" s="673"/>
      <c r="F262" s="670">
        <f t="shared" ref="F262:F267" si="45">+B262+D262</f>
        <v>2.4165731982651018</v>
      </c>
      <c r="G262" s="671"/>
      <c r="I262" s="671"/>
      <c r="J262" s="671"/>
      <c r="K262" s="671"/>
      <c r="L262" s="671"/>
      <c r="M262" s="671"/>
      <c r="N262" s="671"/>
      <c r="O262" s="671"/>
      <c r="P262" s="671"/>
    </row>
    <row r="263" spans="1:16" s="670" customFormat="1" ht="12.75">
      <c r="A263" s="671" t="s">
        <v>1669</v>
      </c>
      <c r="B263" s="670">
        <v>10.11</v>
      </c>
      <c r="C263" s="671"/>
      <c r="D263" s="672">
        <f t="shared" si="44"/>
        <v>0.89520497047755732</v>
      </c>
      <c r="E263" s="673"/>
      <c r="F263" s="670">
        <f t="shared" si="45"/>
        <v>11.005204970477557</v>
      </c>
      <c r="G263" s="671"/>
      <c r="I263" s="671"/>
      <c r="J263" s="671"/>
      <c r="K263" s="671"/>
      <c r="L263" s="671"/>
      <c r="M263" s="671"/>
      <c r="N263" s="671"/>
      <c r="O263" s="671"/>
      <c r="P263" s="671"/>
    </row>
    <row r="264" spans="1:16" s="670" customFormat="1" ht="12.75">
      <c r="A264" s="671" t="s">
        <v>1694</v>
      </c>
      <c r="B264" s="670">
        <v>10.6</v>
      </c>
      <c r="C264" s="671"/>
      <c r="D264" s="672">
        <f t="shared" si="44"/>
        <v>0.93859274847300778</v>
      </c>
      <c r="E264" s="673"/>
      <c r="F264" s="670">
        <f t="shared" si="45"/>
        <v>11.538592748473008</v>
      </c>
      <c r="G264" s="671"/>
      <c r="I264" s="671"/>
      <c r="J264" s="671"/>
      <c r="K264" s="671"/>
      <c r="L264" s="671"/>
      <c r="M264" s="671"/>
      <c r="N264" s="671"/>
      <c r="O264" s="671"/>
      <c r="P264" s="671"/>
    </row>
    <row r="265" spans="1:16" s="670" customFormat="1" ht="12.75">
      <c r="A265" s="671" t="s">
        <v>1671</v>
      </c>
      <c r="B265" s="670">
        <v>17.079999999999998</v>
      </c>
      <c r="C265" s="671"/>
      <c r="D265" s="672">
        <f t="shared" si="44"/>
        <v>1.5123739758414123</v>
      </c>
      <c r="E265" s="673"/>
      <c r="F265" s="670">
        <f t="shared" si="45"/>
        <v>18.592373975841411</v>
      </c>
      <c r="G265" s="671"/>
      <c r="I265" s="671"/>
      <c r="J265" s="671"/>
      <c r="K265" s="671"/>
      <c r="L265" s="671"/>
      <c r="M265" s="671"/>
      <c r="N265" s="671"/>
      <c r="O265" s="671"/>
      <c r="P265" s="671"/>
    </row>
    <row r="266" spans="1:16" s="670" customFormat="1" ht="12.75">
      <c r="A266" s="671" t="s">
        <v>1672</v>
      </c>
      <c r="B266" s="670">
        <v>20.48</v>
      </c>
      <c r="C266" s="671"/>
      <c r="D266" s="672">
        <f t="shared" si="44"/>
        <v>1.813432027238415</v>
      </c>
      <c r="E266" s="673"/>
      <c r="F266" s="670">
        <f t="shared" si="45"/>
        <v>22.293432027238417</v>
      </c>
      <c r="G266" s="671"/>
      <c r="I266" s="671"/>
      <c r="J266" s="671"/>
      <c r="K266" s="671"/>
      <c r="L266" s="671"/>
      <c r="M266" s="671"/>
      <c r="N266" s="671"/>
      <c r="O266" s="671"/>
      <c r="P266" s="671"/>
    </row>
    <row r="267" spans="1:16" s="670" customFormat="1" ht="12.75">
      <c r="A267" s="671" t="s">
        <v>1673</v>
      </c>
      <c r="B267" s="670">
        <v>27.71</v>
      </c>
      <c r="C267" s="671"/>
      <c r="D267" s="672">
        <f t="shared" si="44"/>
        <v>2.4536231188855702</v>
      </c>
      <c r="E267" s="673"/>
      <c r="F267" s="670">
        <f t="shared" si="45"/>
        <v>30.163623118885571</v>
      </c>
      <c r="G267" s="671"/>
      <c r="I267" s="671"/>
      <c r="J267" s="671"/>
      <c r="K267" s="671"/>
      <c r="L267" s="671"/>
      <c r="M267" s="671"/>
      <c r="N267" s="671"/>
      <c r="O267" s="671"/>
      <c r="P267" s="671"/>
    </row>
    <row r="268" spans="1:16" s="670" customFormat="1" ht="12.75">
      <c r="A268" s="671"/>
      <c r="C268" s="671"/>
      <c r="D268" s="672"/>
      <c r="E268" s="673"/>
      <c r="G268" s="671"/>
      <c r="I268" s="671"/>
      <c r="J268" s="671"/>
      <c r="K268" s="671"/>
      <c r="L268" s="671"/>
      <c r="M268" s="671"/>
      <c r="N268" s="671"/>
      <c r="O268" s="671"/>
      <c r="P268" s="671"/>
    </row>
    <row r="269" spans="1:16" s="670" customFormat="1" ht="12.75">
      <c r="A269" s="671" t="s">
        <v>1702</v>
      </c>
      <c r="B269" s="670">
        <v>6.09</v>
      </c>
      <c r="C269" s="671"/>
      <c r="D269" s="672">
        <f t="shared" ref="D269:D274" si="46">B269*$F$2</f>
        <v>0.53924809794345441</v>
      </c>
      <c r="E269" s="673"/>
      <c r="F269" s="670">
        <f t="shared" ref="F269:F274" si="47">+B269+D269</f>
        <v>6.6292480979434547</v>
      </c>
      <c r="G269" s="671"/>
      <c r="I269" s="671"/>
      <c r="J269" s="671"/>
      <c r="K269" s="671"/>
      <c r="L269" s="671"/>
      <c r="M269" s="671"/>
      <c r="N269" s="671"/>
      <c r="O269" s="671"/>
      <c r="P269" s="671"/>
    </row>
    <row r="270" spans="1:16" s="670" customFormat="1" ht="12.75">
      <c r="A270" s="671" t="s">
        <v>1703</v>
      </c>
      <c r="B270" s="670">
        <v>2.2200000000000002</v>
      </c>
      <c r="C270" s="671"/>
      <c r="D270" s="672">
        <f t="shared" si="46"/>
        <v>0.19657319826510164</v>
      </c>
      <c r="E270" s="673"/>
      <c r="F270" s="670">
        <f t="shared" si="47"/>
        <v>2.4165731982651018</v>
      </c>
      <c r="G270" s="671"/>
      <c r="I270" s="671"/>
      <c r="J270" s="671"/>
      <c r="K270" s="671"/>
      <c r="L270" s="671"/>
      <c r="M270" s="671"/>
      <c r="N270" s="671"/>
      <c r="O270" s="671"/>
      <c r="P270" s="671"/>
    </row>
    <row r="271" spans="1:16" s="670" customFormat="1" ht="12.75">
      <c r="A271" s="671" t="s">
        <v>1704</v>
      </c>
      <c r="B271" s="670">
        <v>1.82</v>
      </c>
      <c r="C271" s="671"/>
      <c r="D271" s="672">
        <f t="shared" si="46"/>
        <v>0.16115460398310133</v>
      </c>
      <c r="E271" s="673"/>
      <c r="F271" s="670">
        <f t="shared" si="47"/>
        <v>1.9811546039831014</v>
      </c>
      <c r="G271" s="671"/>
      <c r="I271" s="671"/>
      <c r="J271" s="671"/>
      <c r="K271" s="671"/>
      <c r="L271" s="671"/>
      <c r="M271" s="671"/>
      <c r="N271" s="671"/>
      <c r="O271" s="671"/>
      <c r="P271" s="671"/>
    </row>
    <row r="272" spans="1:16" s="670" customFormat="1" ht="12.75">
      <c r="A272" s="671" t="s">
        <v>1705</v>
      </c>
      <c r="B272" s="670">
        <v>2.15</v>
      </c>
      <c r="C272" s="671"/>
      <c r="D272" s="672">
        <f t="shared" si="46"/>
        <v>0.19037494426575158</v>
      </c>
      <c r="E272" s="673"/>
      <c r="F272" s="670">
        <f t="shared" si="47"/>
        <v>2.3403749442657515</v>
      </c>
      <c r="G272" s="671"/>
      <c r="I272" s="671"/>
      <c r="J272" s="671"/>
      <c r="K272" s="671"/>
      <c r="L272" s="671"/>
      <c r="M272" s="671"/>
      <c r="N272" s="671"/>
      <c r="O272" s="671"/>
      <c r="P272" s="671"/>
    </row>
    <row r="273" spans="1:16" s="670" customFormat="1" ht="12.75">
      <c r="A273" s="671" t="s">
        <v>1706</v>
      </c>
      <c r="B273" s="670">
        <v>1.2</v>
      </c>
      <c r="C273" s="671"/>
      <c r="D273" s="672">
        <f t="shared" si="46"/>
        <v>0.10625578284600087</v>
      </c>
      <c r="E273" s="673"/>
      <c r="F273" s="670">
        <f t="shared" si="47"/>
        <v>1.3062557828460009</v>
      </c>
      <c r="G273" s="671"/>
      <c r="I273" s="671"/>
      <c r="J273" s="671"/>
      <c r="K273" s="671"/>
      <c r="L273" s="671"/>
      <c r="M273" s="671"/>
      <c r="N273" s="671"/>
      <c r="O273" s="671"/>
      <c r="P273" s="671"/>
    </row>
    <row r="274" spans="1:16" s="670" customFormat="1" ht="12.75">
      <c r="A274" s="694" t="s">
        <v>1707</v>
      </c>
      <c r="B274" s="670">
        <v>2</v>
      </c>
      <c r="C274" s="671"/>
      <c r="D274" s="672">
        <f t="shared" si="46"/>
        <v>0.17709297141000147</v>
      </c>
      <c r="E274" s="673"/>
      <c r="F274" s="670">
        <f t="shared" si="47"/>
        <v>2.1770929714100014</v>
      </c>
      <c r="G274" s="671"/>
      <c r="I274" s="671"/>
      <c r="J274" s="671"/>
      <c r="K274" s="671"/>
      <c r="L274" s="671"/>
      <c r="M274" s="671"/>
      <c r="N274" s="671"/>
      <c r="O274" s="671"/>
      <c r="P274" s="671"/>
    </row>
    <row r="275" spans="1:16" s="670" customFormat="1" ht="12.75">
      <c r="A275" s="694"/>
      <c r="C275" s="671"/>
      <c r="D275" s="672"/>
      <c r="E275" s="673"/>
      <c r="G275" s="671"/>
      <c r="I275" s="671"/>
      <c r="J275" s="671"/>
      <c r="K275" s="671"/>
      <c r="L275" s="671"/>
      <c r="M275" s="671"/>
      <c r="N275" s="671"/>
      <c r="O275" s="671"/>
      <c r="P275" s="671"/>
    </row>
    <row r="276" spans="1:16" s="670" customFormat="1" ht="12.75">
      <c r="A276" s="690" t="s">
        <v>1708</v>
      </c>
      <c r="B276" s="693"/>
      <c r="C276" s="710"/>
      <c r="D276" s="703"/>
      <c r="E276" s="711"/>
      <c r="F276" s="693"/>
      <c r="G276" s="671"/>
      <c r="I276" s="671"/>
      <c r="J276" s="671"/>
      <c r="K276" s="671"/>
      <c r="L276" s="671"/>
      <c r="M276" s="671"/>
      <c r="N276" s="671"/>
      <c r="O276" s="671"/>
      <c r="P276" s="671"/>
    </row>
    <row r="277" spans="1:16" s="706" customFormat="1" ht="12.75">
      <c r="A277" s="674" t="s">
        <v>1709</v>
      </c>
      <c r="C277" s="674"/>
      <c r="D277" s="698"/>
      <c r="E277" s="714"/>
      <c r="G277" s="674"/>
      <c r="I277" s="674"/>
      <c r="J277" s="674"/>
      <c r="K277" s="674"/>
      <c r="L277" s="674"/>
      <c r="M277" s="674"/>
      <c r="N277" s="674"/>
      <c r="O277" s="674"/>
      <c r="P277" s="674"/>
    </row>
    <row r="278" spans="1:16" s="670" customFormat="1" ht="12.75">
      <c r="A278" s="671" t="s">
        <v>1710</v>
      </c>
      <c r="B278" s="670">
        <v>32.65</v>
      </c>
      <c r="C278" s="671"/>
      <c r="D278" s="672">
        <f>B278*$F$2</f>
        <v>2.8910427582682736</v>
      </c>
      <c r="E278" s="673"/>
      <c r="F278" s="670">
        <f t="shared" ref="F278:F279" si="48">+B278+D278</f>
        <v>35.541042758268276</v>
      </c>
      <c r="G278" s="671"/>
      <c r="I278" s="671"/>
      <c r="J278" s="671"/>
      <c r="K278" s="671"/>
      <c r="L278" s="671"/>
      <c r="M278" s="671"/>
      <c r="N278" s="671"/>
      <c r="O278" s="671"/>
      <c r="P278" s="671"/>
    </row>
    <row r="279" spans="1:16" s="671" customFormat="1" ht="12.75">
      <c r="A279" s="671" t="s">
        <v>1711</v>
      </c>
      <c r="B279" s="670">
        <v>43.52</v>
      </c>
      <c r="D279" s="672">
        <f>B279*$F$2</f>
        <v>3.8535430578816321</v>
      </c>
      <c r="E279" s="673"/>
      <c r="F279" s="670">
        <f t="shared" si="48"/>
        <v>47.373543057881633</v>
      </c>
      <c r="H279" s="670"/>
    </row>
    <row r="280" spans="1:16">
      <c r="F280" s="717"/>
      <c r="G280" s="716"/>
      <c r="J280" s="716"/>
    </row>
    <row r="281" spans="1:16" s="674" customFormat="1" ht="12.75">
      <c r="A281" s="674" t="s">
        <v>1712</v>
      </c>
      <c r="B281" s="706"/>
      <c r="D281" s="698"/>
      <c r="E281" s="714"/>
      <c r="F281" s="706"/>
      <c r="H281" s="706"/>
    </row>
    <row r="282" spans="1:16" s="671" customFormat="1" ht="12.75">
      <c r="A282" s="671" t="s">
        <v>1710</v>
      </c>
      <c r="B282" s="670">
        <v>34.79</v>
      </c>
      <c r="D282" s="672">
        <f>B282*$F$2</f>
        <v>3.0805322376769753</v>
      </c>
      <c r="E282" s="673"/>
      <c r="F282" s="670">
        <f t="shared" ref="F282:F283" si="49">+B282+D282</f>
        <v>37.870532237676976</v>
      </c>
      <c r="H282" s="670"/>
    </row>
    <row r="283" spans="1:16" s="671" customFormat="1" ht="12.75">
      <c r="A283" s="671" t="s">
        <v>1711</v>
      </c>
      <c r="B283" s="670">
        <v>45.66</v>
      </c>
      <c r="D283" s="672">
        <f>B283*$F$2</f>
        <v>4.0430325372903333</v>
      </c>
      <c r="E283" s="673"/>
      <c r="F283" s="670">
        <f t="shared" si="49"/>
        <v>49.703032537290326</v>
      </c>
      <c r="H283" s="670"/>
    </row>
    <row r="284" spans="1:16" s="671" customFormat="1" ht="12.75">
      <c r="B284" s="670"/>
      <c r="D284" s="672"/>
      <c r="E284" s="673"/>
      <c r="F284" s="670"/>
      <c r="H284" s="670"/>
    </row>
    <row r="285" spans="1:16" s="670" customFormat="1" ht="12.75">
      <c r="A285" s="671" t="s">
        <v>1706</v>
      </c>
      <c r="B285" s="670">
        <v>1.2</v>
      </c>
      <c r="C285" s="671"/>
      <c r="D285" s="672">
        <f>B285*$F$2</f>
        <v>0.10625578284600087</v>
      </c>
      <c r="E285" s="673"/>
      <c r="F285" s="670">
        <f t="shared" ref="F285:F286" si="50">+B285+D285</f>
        <v>1.3062557828460009</v>
      </c>
      <c r="G285" s="671"/>
      <c r="I285" s="671"/>
      <c r="J285" s="671"/>
      <c r="K285" s="671"/>
      <c r="L285" s="671"/>
      <c r="M285" s="671"/>
      <c r="N285" s="671"/>
      <c r="O285" s="671"/>
      <c r="P285" s="671"/>
    </row>
    <row r="286" spans="1:16" s="671" customFormat="1" ht="12.75">
      <c r="A286" s="671" t="s">
        <v>1707</v>
      </c>
      <c r="B286" s="670">
        <v>2</v>
      </c>
      <c r="D286" s="672">
        <f>B286*$F$2</f>
        <v>0.17709297141000147</v>
      </c>
      <c r="E286" s="673"/>
      <c r="F286" s="670">
        <f t="shared" si="50"/>
        <v>2.1770929714100014</v>
      </c>
      <c r="H286" s="670"/>
    </row>
    <row r="287" spans="1:16" s="671" customFormat="1" ht="12.75">
      <c r="B287" s="670"/>
      <c r="D287" s="672"/>
      <c r="E287" s="673"/>
      <c r="F287" s="670"/>
      <c r="H287" s="670"/>
    </row>
    <row r="288" spans="1:16" s="670" customFormat="1" ht="12.75">
      <c r="A288" s="688" t="s">
        <v>1713</v>
      </c>
      <c r="B288" s="693"/>
      <c r="C288" s="710"/>
      <c r="D288" s="703"/>
      <c r="E288" s="721"/>
      <c r="F288" s="693"/>
      <c r="G288" s="671"/>
      <c r="I288" s="671"/>
      <c r="J288" s="671"/>
      <c r="K288" s="671"/>
      <c r="L288" s="671"/>
      <c r="M288" s="671"/>
      <c r="N288" s="671"/>
      <c r="O288" s="671"/>
      <c r="P288" s="671"/>
    </row>
    <row r="289" spans="1:16" s="706" customFormat="1" ht="12.75">
      <c r="A289" s="674" t="s">
        <v>1714</v>
      </c>
      <c r="C289" s="674"/>
      <c r="D289" s="698"/>
      <c r="E289" s="695"/>
      <c r="G289" s="674"/>
      <c r="I289" s="674"/>
      <c r="J289" s="674"/>
      <c r="K289" s="674"/>
      <c r="L289" s="674"/>
      <c r="M289" s="674"/>
      <c r="N289" s="674"/>
      <c r="O289" s="674"/>
      <c r="P289" s="674"/>
    </row>
    <row r="290" spans="1:16" s="670" customFormat="1" ht="12.75">
      <c r="A290" s="671" t="s">
        <v>1715</v>
      </c>
      <c r="B290" s="670">
        <v>37.54</v>
      </c>
      <c r="C290" s="671"/>
      <c r="D290" s="672">
        <f>B290*$F$2</f>
        <v>3.3240350733657276</v>
      </c>
      <c r="E290" s="722"/>
      <c r="F290" s="670">
        <f t="shared" ref="F290:F293" si="51">+B290+D290</f>
        <v>40.864035073365727</v>
      </c>
      <c r="G290" s="671"/>
      <c r="I290" s="671"/>
      <c r="J290" s="671"/>
      <c r="K290" s="671"/>
      <c r="L290" s="671"/>
      <c r="M290" s="671"/>
      <c r="N290" s="671"/>
      <c r="O290" s="671"/>
      <c r="P290" s="671"/>
    </row>
    <row r="291" spans="1:16" s="670" customFormat="1" ht="12.75">
      <c r="A291" s="671" t="s">
        <v>1716</v>
      </c>
      <c r="B291" s="670">
        <v>43.78</v>
      </c>
      <c r="C291" s="671"/>
      <c r="D291" s="672">
        <f>B291*$F$2</f>
        <v>3.8765651441649323</v>
      </c>
      <c r="E291" s="722"/>
      <c r="F291" s="670">
        <f t="shared" si="51"/>
        <v>47.656565144164936</v>
      </c>
      <c r="G291" s="671"/>
      <c r="I291" s="671"/>
      <c r="J291" s="671"/>
      <c r="K291" s="671"/>
      <c r="L291" s="671"/>
      <c r="M291" s="671"/>
      <c r="N291" s="671"/>
      <c r="O291" s="671"/>
      <c r="P291" s="671"/>
    </row>
    <row r="292" spans="1:16" s="670" customFormat="1" ht="12.75">
      <c r="A292" s="671" t="s">
        <v>1717</v>
      </c>
      <c r="B292" s="670">
        <v>49.97</v>
      </c>
      <c r="C292" s="671"/>
      <c r="D292" s="672">
        <f>B292*$F$2</f>
        <v>4.4246678906788866</v>
      </c>
      <c r="E292" s="722"/>
      <c r="F292" s="670">
        <f t="shared" si="51"/>
        <v>54.394667890678889</v>
      </c>
      <c r="G292" s="671"/>
      <c r="I292" s="671"/>
      <c r="J292" s="671"/>
      <c r="K292" s="671"/>
      <c r="L292" s="671"/>
      <c r="M292" s="671"/>
      <c r="N292" s="671"/>
      <c r="O292" s="671"/>
      <c r="P292" s="671"/>
    </row>
    <row r="293" spans="1:16" s="670" customFormat="1" ht="12.75">
      <c r="A293" s="671" t="s">
        <v>1718</v>
      </c>
      <c r="B293" s="670">
        <v>56.18</v>
      </c>
      <c r="C293" s="671"/>
      <c r="D293" s="672">
        <f>B293*$F$2</f>
        <v>4.9745415669069413</v>
      </c>
      <c r="E293" s="722"/>
      <c r="F293" s="670">
        <f t="shared" si="51"/>
        <v>61.154541566906943</v>
      </c>
      <c r="G293" s="671"/>
      <c r="I293" s="671"/>
      <c r="J293" s="671"/>
      <c r="K293" s="671"/>
      <c r="L293" s="671"/>
      <c r="M293" s="671"/>
      <c r="N293" s="671"/>
      <c r="O293" s="671"/>
      <c r="P293" s="671"/>
    </row>
    <row r="294" spans="1:16" s="670" customFormat="1" ht="12.75">
      <c r="A294" s="674"/>
      <c r="C294" s="671"/>
      <c r="D294" s="672"/>
      <c r="E294" s="722"/>
      <c r="G294" s="671"/>
      <c r="I294" s="671"/>
      <c r="J294" s="671"/>
      <c r="K294" s="671"/>
      <c r="L294" s="671"/>
      <c r="M294" s="671"/>
      <c r="N294" s="671"/>
      <c r="O294" s="671"/>
      <c r="P294" s="671"/>
    </row>
    <row r="295" spans="1:16" s="706" customFormat="1" ht="12.75">
      <c r="A295" s="674" t="s">
        <v>1719</v>
      </c>
      <c r="C295" s="674"/>
      <c r="D295" s="698"/>
      <c r="E295" s="695"/>
      <c r="G295" s="674"/>
      <c r="I295" s="674"/>
      <c r="J295" s="674"/>
      <c r="K295" s="674"/>
      <c r="L295" s="674"/>
      <c r="M295" s="674"/>
      <c r="N295" s="674"/>
      <c r="O295" s="674"/>
      <c r="P295" s="674"/>
    </row>
    <row r="296" spans="1:16" s="706" customFormat="1" ht="12.75">
      <c r="A296" s="674" t="s">
        <v>1720</v>
      </c>
      <c r="C296" s="674"/>
      <c r="D296" s="698"/>
      <c r="E296" s="695"/>
      <c r="G296" s="674"/>
      <c r="I296" s="674"/>
      <c r="J296" s="674"/>
      <c r="K296" s="674"/>
      <c r="L296" s="674"/>
      <c r="M296" s="674"/>
      <c r="N296" s="674"/>
      <c r="O296" s="674"/>
      <c r="P296" s="674"/>
    </row>
    <row r="297" spans="1:16" s="670" customFormat="1" ht="12.75">
      <c r="A297" s="671" t="s">
        <v>1715</v>
      </c>
      <c r="B297" s="670">
        <v>80.78</v>
      </c>
      <c r="C297" s="671"/>
      <c r="D297" s="672">
        <f>B297*$F$2</f>
        <v>7.1527851152499595</v>
      </c>
      <c r="E297" s="722"/>
      <c r="F297" s="670">
        <f t="shared" ref="F297:F300" si="52">+B297+D297</f>
        <v>87.932785115249956</v>
      </c>
      <c r="G297" s="671"/>
      <c r="I297" s="671"/>
      <c r="J297" s="671"/>
      <c r="K297" s="671"/>
      <c r="L297" s="671"/>
      <c r="M297" s="671"/>
      <c r="N297" s="671"/>
      <c r="O297" s="671"/>
      <c r="P297" s="671"/>
    </row>
    <row r="298" spans="1:16" s="670" customFormat="1" ht="12.75">
      <c r="A298" s="671" t="s">
        <v>1716</v>
      </c>
      <c r="B298" s="670">
        <v>90.54</v>
      </c>
      <c r="C298" s="671"/>
      <c r="D298" s="672">
        <f>B298*$F$2</f>
        <v>8.0169988157307674</v>
      </c>
      <c r="E298" s="722"/>
      <c r="F298" s="670">
        <f t="shared" si="52"/>
        <v>98.556998815730779</v>
      </c>
      <c r="G298" s="671"/>
      <c r="I298" s="671"/>
      <c r="J298" s="671"/>
      <c r="K298" s="671"/>
      <c r="L298" s="671"/>
      <c r="M298" s="671"/>
      <c r="N298" s="671"/>
      <c r="O298" s="671"/>
      <c r="P298" s="671"/>
    </row>
    <row r="299" spans="1:16" s="670" customFormat="1" ht="12.75">
      <c r="A299" s="671" t="s">
        <v>1717</v>
      </c>
      <c r="B299" s="670">
        <v>111.29</v>
      </c>
      <c r="C299" s="671"/>
      <c r="D299" s="672">
        <f>B299*$F$2</f>
        <v>9.8543383941095328</v>
      </c>
      <c r="E299" s="722"/>
      <c r="F299" s="670">
        <f t="shared" si="52"/>
        <v>121.14433839410954</v>
      </c>
      <c r="G299" s="671"/>
      <c r="I299" s="671"/>
      <c r="J299" s="671"/>
      <c r="K299" s="671"/>
      <c r="L299" s="671"/>
      <c r="M299" s="671"/>
      <c r="N299" s="671"/>
      <c r="O299" s="671"/>
      <c r="P299" s="671"/>
    </row>
    <row r="300" spans="1:16" s="670" customFormat="1" ht="12.75">
      <c r="A300" s="671" t="s">
        <v>1718</v>
      </c>
      <c r="B300" s="670">
        <v>111.29</v>
      </c>
      <c r="C300" s="671"/>
      <c r="D300" s="672">
        <f>B300*$F$2</f>
        <v>9.8543383941095328</v>
      </c>
      <c r="E300" s="722"/>
      <c r="F300" s="670">
        <f t="shared" si="52"/>
        <v>121.14433839410954</v>
      </c>
      <c r="G300" s="671"/>
      <c r="I300" s="671"/>
      <c r="J300" s="671"/>
      <c r="K300" s="671"/>
      <c r="L300" s="671"/>
      <c r="M300" s="671"/>
      <c r="N300" s="671"/>
      <c r="O300" s="671"/>
      <c r="P300" s="671"/>
    </row>
    <row r="301" spans="1:16" s="670" customFormat="1" ht="12.75">
      <c r="A301" s="674"/>
      <c r="C301" s="671"/>
      <c r="D301" s="672"/>
      <c r="E301" s="722"/>
      <c r="G301" s="671"/>
      <c r="I301" s="671"/>
      <c r="J301" s="671"/>
      <c r="K301" s="671"/>
      <c r="L301" s="671"/>
      <c r="M301" s="671"/>
      <c r="N301" s="671"/>
      <c r="O301" s="671"/>
      <c r="P301" s="671"/>
    </row>
    <row r="302" spans="1:16" s="706" customFormat="1" ht="12.75">
      <c r="A302" s="674" t="s">
        <v>1721</v>
      </c>
      <c r="C302" s="674"/>
      <c r="D302" s="698"/>
      <c r="E302" s="695"/>
      <c r="G302" s="674"/>
      <c r="I302" s="674"/>
      <c r="J302" s="674"/>
      <c r="K302" s="674"/>
      <c r="L302" s="674"/>
      <c r="M302" s="674"/>
      <c r="N302" s="674"/>
      <c r="O302" s="674"/>
      <c r="P302" s="674"/>
    </row>
    <row r="303" spans="1:16" s="670" customFormat="1" ht="12.75">
      <c r="A303" s="671" t="s">
        <v>1715</v>
      </c>
      <c r="B303" s="670">
        <v>42.23</v>
      </c>
      <c r="C303" s="671"/>
      <c r="D303" s="672">
        <f>B303*$F$2</f>
        <v>3.7393180913221808</v>
      </c>
      <c r="E303" s="722"/>
      <c r="F303" s="670">
        <f t="shared" ref="F303:F306" si="53">+B303+D303</f>
        <v>45.969318091322179</v>
      </c>
      <c r="G303" s="671"/>
      <c r="I303" s="671"/>
      <c r="J303" s="671"/>
      <c r="K303" s="671"/>
      <c r="L303" s="671"/>
      <c r="M303" s="671"/>
      <c r="N303" s="671"/>
      <c r="O303" s="671"/>
      <c r="P303" s="671"/>
    </row>
    <row r="304" spans="1:16" s="670" customFormat="1" ht="12.75">
      <c r="A304" s="671" t="s">
        <v>1716</v>
      </c>
      <c r="B304" s="670">
        <v>42.23</v>
      </c>
      <c r="C304" s="671"/>
      <c r="D304" s="672">
        <f>B304*$F$2</f>
        <v>3.7393180913221808</v>
      </c>
      <c r="E304" s="722"/>
      <c r="F304" s="670">
        <f t="shared" si="53"/>
        <v>45.969318091322179</v>
      </c>
      <c r="G304" s="671"/>
      <c r="I304" s="671"/>
      <c r="J304" s="671"/>
      <c r="K304" s="671"/>
      <c r="L304" s="671"/>
      <c r="M304" s="671"/>
      <c r="N304" s="671"/>
      <c r="O304" s="671"/>
      <c r="P304" s="671"/>
    </row>
    <row r="305" spans="1:16" s="670" customFormat="1" ht="12.75">
      <c r="A305" s="671" t="s">
        <v>1717</v>
      </c>
      <c r="B305" s="670">
        <v>42.23</v>
      </c>
      <c r="C305" s="671"/>
      <c r="D305" s="672">
        <f>B305*$F$2</f>
        <v>3.7393180913221808</v>
      </c>
      <c r="E305" s="722"/>
      <c r="F305" s="670">
        <f t="shared" si="53"/>
        <v>45.969318091322179</v>
      </c>
      <c r="G305" s="671"/>
      <c r="I305" s="671"/>
      <c r="J305" s="671"/>
      <c r="K305" s="671"/>
      <c r="L305" s="671"/>
      <c r="M305" s="671"/>
      <c r="N305" s="671"/>
      <c r="O305" s="671"/>
      <c r="P305" s="671"/>
    </row>
    <row r="306" spans="1:16" s="670" customFormat="1" ht="12.75">
      <c r="A306" s="671" t="s">
        <v>1718</v>
      </c>
      <c r="B306" s="670">
        <v>42.23</v>
      </c>
      <c r="C306" s="671"/>
      <c r="D306" s="672">
        <f>B306*$F$2</f>
        <v>3.7393180913221808</v>
      </c>
      <c r="E306" s="722"/>
      <c r="F306" s="670">
        <f t="shared" si="53"/>
        <v>45.969318091322179</v>
      </c>
      <c r="G306" s="671"/>
      <c r="I306" s="671"/>
      <c r="J306" s="671"/>
      <c r="K306" s="671"/>
      <c r="L306" s="671"/>
      <c r="M306" s="671"/>
      <c r="N306" s="671"/>
      <c r="O306" s="671"/>
      <c r="P306" s="671"/>
    </row>
    <row r="307" spans="1:16" s="670" customFormat="1" ht="12.75">
      <c r="A307" s="674"/>
      <c r="C307" s="671"/>
      <c r="D307" s="672"/>
      <c r="E307" s="722"/>
      <c r="G307" s="671"/>
      <c r="I307" s="671"/>
      <c r="J307" s="671"/>
      <c r="K307" s="671"/>
      <c r="L307" s="671"/>
      <c r="M307" s="671"/>
      <c r="N307" s="671"/>
      <c r="O307" s="671"/>
      <c r="P307" s="671"/>
    </row>
    <row r="308" spans="1:16" s="670" customFormat="1" ht="12.75">
      <c r="A308" s="674"/>
      <c r="B308" s="673"/>
      <c r="C308" s="671"/>
      <c r="D308" s="672"/>
      <c r="E308" s="673"/>
      <c r="G308" s="671"/>
      <c r="I308" s="671"/>
      <c r="J308" s="671"/>
      <c r="K308" s="671"/>
      <c r="L308" s="671"/>
      <c r="M308" s="671"/>
      <c r="N308" s="671"/>
      <c r="O308" s="671"/>
      <c r="P308" s="671"/>
    </row>
    <row r="309" spans="1:16" s="706" customFormat="1" ht="12.75">
      <c r="A309" s="674" t="s">
        <v>1722</v>
      </c>
      <c r="B309" s="714"/>
      <c r="C309" s="674"/>
      <c r="D309" s="698"/>
      <c r="E309" s="714"/>
      <c r="G309" s="674"/>
      <c r="I309" s="674"/>
      <c r="J309" s="674"/>
      <c r="K309" s="674"/>
      <c r="L309" s="674"/>
      <c r="M309" s="674"/>
      <c r="N309" s="674"/>
      <c r="O309" s="674"/>
      <c r="P309" s="674"/>
    </row>
    <row r="310" spans="1:16" s="670" customFormat="1" ht="12.75">
      <c r="A310" s="671" t="s">
        <v>1715</v>
      </c>
      <c r="B310" s="670">
        <f>B297</f>
        <v>80.78</v>
      </c>
      <c r="C310" s="671"/>
      <c r="D310" s="672">
        <f>B310*$F$2</f>
        <v>7.1527851152499595</v>
      </c>
      <c r="E310" s="673"/>
      <c r="F310" s="670">
        <f t="shared" ref="F310:F313" si="54">+B310+D310</f>
        <v>87.932785115249956</v>
      </c>
      <c r="G310" s="671"/>
      <c r="I310" s="671"/>
      <c r="J310" s="671"/>
      <c r="K310" s="671"/>
      <c r="L310" s="671"/>
      <c r="M310" s="671"/>
      <c r="N310" s="671"/>
      <c r="O310" s="671"/>
      <c r="P310" s="671"/>
    </row>
    <row r="311" spans="1:16" s="670" customFormat="1" ht="12.75">
      <c r="A311" s="671" t="s">
        <v>1716</v>
      </c>
      <c r="B311" s="670">
        <f t="shared" ref="B311:B313" si="55">B298</f>
        <v>90.54</v>
      </c>
      <c r="C311" s="671"/>
      <c r="D311" s="672">
        <f>B311*$F$2</f>
        <v>8.0169988157307674</v>
      </c>
      <c r="E311" s="673"/>
      <c r="F311" s="670">
        <f t="shared" si="54"/>
        <v>98.556998815730779</v>
      </c>
      <c r="G311" s="671"/>
      <c r="I311" s="671"/>
      <c r="J311" s="671"/>
      <c r="K311" s="671"/>
      <c r="L311" s="671"/>
      <c r="M311" s="671"/>
      <c r="N311" s="671"/>
      <c r="O311" s="671"/>
      <c r="P311" s="671"/>
    </row>
    <row r="312" spans="1:16" s="670" customFormat="1" ht="12.75">
      <c r="A312" s="671" t="s">
        <v>1717</v>
      </c>
      <c r="B312" s="670">
        <f t="shared" si="55"/>
        <v>111.29</v>
      </c>
      <c r="C312" s="671"/>
      <c r="D312" s="672">
        <f>B312*$F$2</f>
        <v>9.8543383941095328</v>
      </c>
      <c r="E312" s="673"/>
      <c r="F312" s="670">
        <f t="shared" si="54"/>
        <v>121.14433839410954</v>
      </c>
      <c r="G312" s="671"/>
      <c r="I312" s="671"/>
      <c r="J312" s="671"/>
      <c r="K312" s="671"/>
      <c r="L312" s="671"/>
      <c r="M312" s="671"/>
      <c r="N312" s="671"/>
      <c r="O312" s="671"/>
      <c r="P312" s="671"/>
    </row>
    <row r="313" spans="1:16" s="670" customFormat="1" ht="12.75">
      <c r="A313" s="671" t="s">
        <v>1718</v>
      </c>
      <c r="B313" s="670">
        <f t="shared" si="55"/>
        <v>111.29</v>
      </c>
      <c r="C313" s="671"/>
      <c r="D313" s="672">
        <f>B313*$F$2</f>
        <v>9.8543383941095328</v>
      </c>
      <c r="E313" s="673"/>
      <c r="F313" s="670">
        <f t="shared" si="54"/>
        <v>121.14433839410954</v>
      </c>
      <c r="G313" s="671"/>
      <c r="I313" s="671"/>
      <c r="J313" s="671"/>
      <c r="K313" s="671"/>
      <c r="L313" s="671"/>
      <c r="M313" s="671"/>
      <c r="N313" s="671"/>
      <c r="O313" s="671"/>
      <c r="P313" s="671"/>
    </row>
    <row r="314" spans="1:16" s="670" customFormat="1" ht="12.75">
      <c r="A314" s="671"/>
      <c r="B314" s="673"/>
      <c r="C314" s="671"/>
      <c r="D314" s="672"/>
      <c r="E314" s="673"/>
      <c r="G314" s="671"/>
      <c r="I314" s="671"/>
      <c r="J314" s="671"/>
      <c r="K314" s="671"/>
      <c r="L314" s="671"/>
      <c r="M314" s="671"/>
      <c r="N314" s="671"/>
      <c r="O314" s="671"/>
      <c r="P314" s="671"/>
    </row>
    <row r="315" spans="1:16" s="706" customFormat="1" ht="12.75">
      <c r="A315" s="674" t="s">
        <v>1723</v>
      </c>
      <c r="B315" s="714"/>
      <c r="C315" s="674"/>
      <c r="D315" s="698"/>
      <c r="E315" s="714"/>
      <c r="G315" s="674"/>
      <c r="I315" s="674"/>
      <c r="J315" s="674"/>
      <c r="K315" s="674"/>
      <c r="L315" s="674"/>
      <c r="M315" s="674"/>
      <c r="N315" s="674"/>
      <c r="O315" s="674"/>
      <c r="P315" s="674"/>
    </row>
    <row r="316" spans="1:16" s="670" customFormat="1" ht="12.75">
      <c r="A316" s="671" t="s">
        <v>1715</v>
      </c>
      <c r="B316" s="673">
        <v>3.95</v>
      </c>
      <c r="C316" s="671"/>
      <c r="D316" s="672">
        <f>B316*$F$2</f>
        <v>0.34975861853475293</v>
      </c>
      <c r="E316" s="673"/>
      <c r="F316" s="670">
        <f t="shared" ref="F316:F319" si="56">+B316+D316</f>
        <v>4.2997586185347529</v>
      </c>
      <c r="G316" s="671"/>
      <c r="I316" s="671"/>
      <c r="J316" s="671"/>
      <c r="K316" s="671"/>
      <c r="L316" s="671"/>
      <c r="M316" s="671"/>
      <c r="N316" s="671"/>
      <c r="O316" s="671"/>
      <c r="P316" s="671"/>
    </row>
    <row r="317" spans="1:16" s="670" customFormat="1" ht="12.75">
      <c r="A317" s="671" t="s">
        <v>1716</v>
      </c>
      <c r="B317" s="673">
        <v>4.68</v>
      </c>
      <c r="C317" s="671"/>
      <c r="D317" s="672">
        <f>B317*$F$2</f>
        <v>0.4143975530994034</v>
      </c>
      <c r="E317" s="673"/>
      <c r="F317" s="670">
        <f t="shared" si="56"/>
        <v>5.0943975530994035</v>
      </c>
      <c r="G317" s="671"/>
      <c r="I317" s="671"/>
      <c r="J317" s="671"/>
      <c r="K317" s="671"/>
      <c r="L317" s="671"/>
      <c r="M317" s="671"/>
      <c r="N317" s="671"/>
      <c r="O317" s="671"/>
      <c r="P317" s="671"/>
    </row>
    <row r="318" spans="1:16" s="670" customFormat="1" ht="12.75">
      <c r="A318" s="671" t="s">
        <v>1717</v>
      </c>
      <c r="B318" s="673">
        <v>5.07</v>
      </c>
      <c r="C318" s="671"/>
      <c r="D318" s="672">
        <f>B318*$F$2</f>
        <v>0.44893068252435375</v>
      </c>
      <c r="E318" s="673"/>
      <c r="F318" s="670">
        <f t="shared" si="56"/>
        <v>5.5189306825243545</v>
      </c>
      <c r="G318" s="671"/>
      <c r="I318" s="671"/>
      <c r="J318" s="671"/>
      <c r="K318" s="671"/>
      <c r="L318" s="671"/>
      <c r="M318" s="671"/>
      <c r="N318" s="671"/>
      <c r="O318" s="671"/>
      <c r="P318" s="671"/>
    </row>
    <row r="319" spans="1:16" s="670" customFormat="1" ht="12.75">
      <c r="A319" s="671" t="s">
        <v>1718</v>
      </c>
      <c r="B319" s="673">
        <v>5.07</v>
      </c>
      <c r="C319" s="671"/>
      <c r="D319" s="672">
        <f>B319*$F$2</f>
        <v>0.44893068252435375</v>
      </c>
      <c r="E319" s="673"/>
      <c r="F319" s="670">
        <f t="shared" si="56"/>
        <v>5.5189306825243545</v>
      </c>
      <c r="G319" s="671"/>
      <c r="I319" s="671"/>
      <c r="J319" s="671"/>
      <c r="K319" s="671"/>
      <c r="L319" s="671"/>
      <c r="M319" s="671"/>
      <c r="N319" s="671"/>
      <c r="O319" s="671"/>
      <c r="P319" s="671"/>
    </row>
    <row r="320" spans="1:16" s="670" customFormat="1" ht="12.75">
      <c r="A320" s="671"/>
      <c r="B320" s="673"/>
      <c r="C320" s="671"/>
      <c r="D320" s="672"/>
      <c r="E320" s="673"/>
      <c r="G320" s="671"/>
      <c r="I320" s="671"/>
      <c r="J320" s="671"/>
      <c r="K320" s="671"/>
      <c r="L320" s="671"/>
      <c r="M320" s="671"/>
      <c r="N320" s="671"/>
      <c r="O320" s="671"/>
      <c r="P320" s="671"/>
    </row>
    <row r="321" spans="1:16" s="706" customFormat="1" ht="12.75">
      <c r="A321" s="671" t="s">
        <v>1724</v>
      </c>
      <c r="B321" s="673">
        <v>3.15</v>
      </c>
      <c r="C321" s="671"/>
      <c r="D321" s="672">
        <f>B321*$F$2</f>
        <v>0.27892142997075231</v>
      </c>
      <c r="E321" s="673"/>
      <c r="F321" s="670">
        <f t="shared" ref="F321:F322" si="57">+B321+D321</f>
        <v>3.4289214299707522</v>
      </c>
      <c r="G321" s="674"/>
      <c r="I321" s="674"/>
      <c r="J321" s="674"/>
      <c r="K321" s="674"/>
      <c r="L321" s="674"/>
      <c r="M321" s="674"/>
      <c r="N321" s="674"/>
      <c r="O321" s="674"/>
      <c r="P321" s="674"/>
    </row>
    <row r="322" spans="1:16" s="670" customFormat="1" ht="12.75">
      <c r="A322" s="671" t="s">
        <v>1725</v>
      </c>
      <c r="B322" s="673">
        <v>2.4500000000000002</v>
      </c>
      <c r="C322" s="671"/>
      <c r="D322" s="672">
        <f>B322*$F$2</f>
        <v>0.2169388899772518</v>
      </c>
      <c r="E322" s="673"/>
      <c r="F322" s="670">
        <f t="shared" si="57"/>
        <v>2.6669388899772519</v>
      </c>
      <c r="G322" s="671"/>
      <c r="I322" s="671"/>
      <c r="J322" s="671"/>
      <c r="K322" s="671"/>
      <c r="L322" s="671"/>
      <c r="M322" s="671"/>
      <c r="N322" s="671"/>
      <c r="O322" s="671"/>
      <c r="P322" s="671"/>
    </row>
    <row r="323" spans="1:16" s="670" customFormat="1" ht="12.75">
      <c r="A323" s="671"/>
      <c r="B323" s="673"/>
      <c r="C323" s="671"/>
      <c r="D323" s="672"/>
      <c r="E323" s="673"/>
      <c r="G323" s="671"/>
      <c r="I323" s="671"/>
      <c r="J323" s="671"/>
      <c r="K323" s="671"/>
      <c r="L323" s="671"/>
      <c r="M323" s="671"/>
      <c r="N323" s="671"/>
      <c r="O323" s="671"/>
      <c r="P323" s="671"/>
    </row>
    <row r="324" spans="1:16" s="670" customFormat="1" ht="12.75">
      <c r="A324" s="690" t="s">
        <v>1726</v>
      </c>
      <c r="B324" s="711"/>
      <c r="C324" s="710"/>
      <c r="D324" s="703"/>
      <c r="E324" s="711"/>
      <c r="F324" s="693"/>
      <c r="G324" s="671"/>
      <c r="I324" s="671"/>
      <c r="J324" s="671"/>
      <c r="K324" s="671"/>
      <c r="L324" s="671"/>
      <c r="M324" s="671"/>
      <c r="N324" s="671"/>
      <c r="O324" s="671"/>
      <c r="P324" s="671"/>
    </row>
    <row r="325" spans="1:16" s="670" customFormat="1" ht="12.75">
      <c r="A325" s="671" t="s">
        <v>1727</v>
      </c>
      <c r="B325" s="673"/>
      <c r="C325" s="671"/>
      <c r="D325" s="672"/>
      <c r="E325" s="673"/>
      <c r="G325" s="671"/>
      <c r="I325" s="671"/>
      <c r="J325" s="671"/>
      <c r="K325" s="671"/>
      <c r="L325" s="671"/>
      <c r="M325" s="671"/>
      <c r="N325" s="671"/>
      <c r="O325" s="671"/>
      <c r="P325" s="671"/>
    </row>
    <row r="326" spans="1:16" s="670" customFormat="1" ht="12.75">
      <c r="A326" s="671" t="s">
        <v>1728</v>
      </c>
      <c r="B326" s="673">
        <v>138.54</v>
      </c>
      <c r="C326" s="671"/>
      <c r="D326" s="672">
        <f t="shared" ref="D326:D332" si="58">B326*$F$2</f>
        <v>12.2672301295708</v>
      </c>
      <c r="E326" s="673"/>
      <c r="F326" s="670">
        <f t="shared" ref="F326:F332" si="59">+B326+D326</f>
        <v>150.8072301295708</v>
      </c>
      <c r="G326" s="671"/>
      <c r="I326" s="671"/>
      <c r="J326" s="671"/>
      <c r="K326" s="671"/>
      <c r="L326" s="671"/>
      <c r="M326" s="671"/>
      <c r="N326" s="671"/>
      <c r="O326" s="671"/>
      <c r="P326" s="671"/>
    </row>
    <row r="327" spans="1:16" s="670" customFormat="1" ht="12.75">
      <c r="A327" s="671" t="s">
        <v>1715</v>
      </c>
      <c r="B327" s="673">
        <v>144.19</v>
      </c>
      <c r="C327" s="671"/>
      <c r="D327" s="672">
        <f t="shared" si="58"/>
        <v>12.767517773804055</v>
      </c>
      <c r="E327" s="673"/>
      <c r="F327" s="670">
        <f t="shared" si="59"/>
        <v>156.95751777380406</v>
      </c>
      <c r="G327" s="671"/>
      <c r="I327" s="671"/>
      <c r="J327" s="671"/>
      <c r="K327" s="671"/>
      <c r="L327" s="671"/>
      <c r="M327" s="671"/>
      <c r="N327" s="671"/>
      <c r="O327" s="671"/>
      <c r="P327" s="671"/>
    </row>
    <row r="328" spans="1:16" s="670" customFormat="1" ht="12.75">
      <c r="A328" s="671" t="s">
        <v>1729</v>
      </c>
      <c r="B328" s="673">
        <v>157.94</v>
      </c>
      <c r="C328" s="671"/>
      <c r="D328" s="672">
        <f t="shared" si="58"/>
        <v>13.985031952247816</v>
      </c>
      <c r="E328" s="673"/>
      <c r="F328" s="670">
        <f t="shared" si="59"/>
        <v>171.92503195224782</v>
      </c>
      <c r="G328" s="671"/>
      <c r="I328" s="671"/>
      <c r="J328" s="671"/>
      <c r="K328" s="671"/>
      <c r="L328" s="671"/>
      <c r="M328" s="671"/>
      <c r="N328" s="671"/>
      <c r="O328" s="671"/>
      <c r="P328" s="671"/>
    </row>
    <row r="329" spans="1:16" s="670" customFormat="1" ht="12.75">
      <c r="A329" s="671" t="s">
        <v>1716</v>
      </c>
      <c r="B329" s="673">
        <v>171.05</v>
      </c>
      <c r="C329" s="671"/>
      <c r="D329" s="672">
        <f t="shared" si="58"/>
        <v>15.145876379840375</v>
      </c>
      <c r="E329" s="673"/>
      <c r="F329" s="670">
        <f t="shared" si="59"/>
        <v>186.1958763798404</v>
      </c>
      <c r="G329" s="671"/>
      <c r="I329" s="671"/>
      <c r="J329" s="671"/>
      <c r="K329" s="671"/>
      <c r="L329" s="671"/>
      <c r="M329" s="671"/>
      <c r="N329" s="671"/>
      <c r="O329" s="671"/>
      <c r="P329" s="671"/>
    </row>
    <row r="330" spans="1:16" s="670" customFormat="1" ht="12.75">
      <c r="A330" s="671" t="s">
        <v>1730</v>
      </c>
      <c r="B330" s="673">
        <v>203.86</v>
      </c>
      <c r="C330" s="671"/>
      <c r="D330" s="672">
        <f t="shared" si="58"/>
        <v>18.051086575821451</v>
      </c>
      <c r="E330" s="673"/>
      <c r="F330" s="670">
        <f t="shared" si="59"/>
        <v>221.91108657582146</v>
      </c>
      <c r="G330" s="671"/>
      <c r="I330" s="671"/>
      <c r="J330" s="671"/>
      <c r="K330" s="671"/>
      <c r="L330" s="671"/>
      <c r="M330" s="671"/>
      <c r="N330" s="671"/>
      <c r="O330" s="671"/>
      <c r="P330" s="671"/>
    </row>
    <row r="331" spans="1:16" s="670" customFormat="1" ht="12.75">
      <c r="A331" s="671" t="s">
        <v>1731</v>
      </c>
      <c r="B331" s="673">
        <v>203.86</v>
      </c>
      <c r="C331" s="671"/>
      <c r="D331" s="672">
        <f t="shared" si="58"/>
        <v>18.051086575821451</v>
      </c>
      <c r="E331" s="673"/>
      <c r="F331" s="670">
        <f t="shared" si="59"/>
        <v>221.91108657582146</v>
      </c>
      <c r="G331" s="671"/>
      <c r="I331" s="671"/>
      <c r="J331" s="671"/>
      <c r="K331" s="671"/>
      <c r="L331" s="671"/>
      <c r="M331" s="671"/>
      <c r="N331" s="671"/>
      <c r="O331" s="671"/>
      <c r="P331" s="671"/>
    </row>
    <row r="332" spans="1:16" s="670" customFormat="1" ht="12.75">
      <c r="A332" s="671" t="s">
        <v>1732</v>
      </c>
      <c r="B332" s="673">
        <v>203.86</v>
      </c>
      <c r="C332" s="671"/>
      <c r="D332" s="672">
        <f t="shared" si="58"/>
        <v>18.051086575821451</v>
      </c>
      <c r="E332" s="673"/>
      <c r="F332" s="670">
        <f t="shared" si="59"/>
        <v>221.91108657582146</v>
      </c>
      <c r="G332" s="671"/>
      <c r="I332" s="671"/>
      <c r="J332" s="671"/>
      <c r="K332" s="671"/>
      <c r="L332" s="671"/>
      <c r="M332" s="671"/>
      <c r="N332" s="671"/>
      <c r="O332" s="671"/>
      <c r="P332" s="671"/>
    </row>
    <row r="333" spans="1:16" s="670" customFormat="1" ht="12.75">
      <c r="A333" s="671"/>
      <c r="B333" s="673"/>
      <c r="C333" s="671"/>
      <c r="D333" s="672"/>
      <c r="E333" s="673"/>
      <c r="G333" s="671"/>
      <c r="I333" s="671"/>
      <c r="J333" s="671"/>
      <c r="K333" s="671"/>
      <c r="L333" s="671"/>
      <c r="M333" s="671"/>
      <c r="N333" s="671"/>
      <c r="O333" s="671"/>
      <c r="P333" s="671"/>
    </row>
    <row r="334" spans="1:16" s="670" customFormat="1" ht="12.75">
      <c r="A334" s="671" t="s">
        <v>1724</v>
      </c>
      <c r="B334" s="673">
        <v>3.15</v>
      </c>
      <c r="C334" s="671"/>
      <c r="D334" s="672">
        <f>B334*$F$2</f>
        <v>0.27892142997075231</v>
      </c>
      <c r="E334" s="673"/>
      <c r="F334" s="670">
        <f t="shared" ref="F334:F335" si="60">+B334+D334</f>
        <v>3.4289214299707522</v>
      </c>
      <c r="G334" s="671"/>
      <c r="I334" s="671"/>
      <c r="J334" s="671"/>
      <c r="K334" s="671"/>
      <c r="L334" s="671"/>
      <c r="M334" s="671"/>
      <c r="N334" s="671"/>
      <c r="O334" s="671"/>
      <c r="P334" s="671"/>
    </row>
    <row r="335" spans="1:16" s="670" customFormat="1" ht="12.75">
      <c r="A335" s="671" t="s">
        <v>1725</v>
      </c>
      <c r="B335" s="673">
        <v>2.4500000000000002</v>
      </c>
      <c r="C335" s="671"/>
      <c r="D335" s="672">
        <f>B335*$F$2</f>
        <v>0.2169388899772518</v>
      </c>
      <c r="E335" s="673"/>
      <c r="F335" s="670">
        <f t="shared" si="60"/>
        <v>2.6669388899772519</v>
      </c>
      <c r="G335" s="671"/>
      <c r="I335" s="671"/>
      <c r="J335" s="671"/>
      <c r="K335" s="671"/>
      <c r="L335" s="671"/>
      <c r="M335" s="671"/>
      <c r="N335" s="671"/>
      <c r="O335" s="671"/>
      <c r="P335" s="671"/>
    </row>
    <row r="336" spans="1:16" s="670" customFormat="1" ht="12.75">
      <c r="A336" s="671"/>
      <c r="B336" s="673"/>
      <c r="C336" s="671"/>
      <c r="D336" s="672"/>
      <c r="E336" s="673"/>
      <c r="G336" s="671"/>
      <c r="I336" s="671"/>
      <c r="J336" s="671"/>
      <c r="K336" s="671"/>
      <c r="L336" s="671"/>
      <c r="M336" s="671"/>
      <c r="N336" s="671"/>
      <c r="O336" s="671"/>
      <c r="P336" s="671"/>
    </row>
    <row r="337" spans="1:1322" s="670" customFormat="1" ht="12.75">
      <c r="A337" s="671"/>
      <c r="B337" s="673"/>
      <c r="C337" s="671"/>
      <c r="D337" s="672"/>
      <c r="E337" s="673"/>
      <c r="F337" s="673"/>
      <c r="I337" s="671"/>
      <c r="K337" s="671"/>
      <c r="L337" s="671"/>
      <c r="M337" s="671"/>
      <c r="N337" s="671"/>
      <c r="O337" s="671"/>
      <c r="P337" s="671"/>
      <c r="Q337" s="671"/>
      <c r="R337" s="671"/>
    </row>
    <row r="338" spans="1:1322" s="670" customFormat="1" ht="12.75">
      <c r="A338" s="671"/>
      <c r="B338" s="673"/>
      <c r="C338" s="671"/>
      <c r="D338" s="672"/>
      <c r="E338" s="673"/>
      <c r="F338" s="673"/>
      <c r="I338" s="671"/>
      <c r="K338" s="671"/>
      <c r="L338" s="671"/>
      <c r="M338" s="671"/>
      <c r="N338" s="671"/>
      <c r="O338" s="671"/>
      <c r="P338" s="671"/>
      <c r="Q338" s="671"/>
      <c r="R338" s="671"/>
    </row>
    <row r="339" spans="1:1322" s="670" customFormat="1" ht="12.75">
      <c r="A339" s="671"/>
      <c r="B339" s="673"/>
      <c r="C339" s="671"/>
      <c r="D339" s="672"/>
      <c r="E339" s="673"/>
      <c r="F339" s="673"/>
      <c r="I339" s="671"/>
      <c r="K339" s="671"/>
      <c r="L339" s="671"/>
      <c r="M339" s="671"/>
      <c r="N339" s="671"/>
      <c r="O339" s="671"/>
      <c r="P339" s="671"/>
      <c r="Q339" s="671"/>
      <c r="R339" s="671"/>
    </row>
    <row r="340" spans="1:1322" s="670" customFormat="1" ht="12.75">
      <c r="A340" s="674"/>
      <c r="B340" s="673"/>
      <c r="C340" s="671"/>
      <c r="D340" s="672"/>
      <c r="E340" s="673"/>
      <c r="F340" s="673"/>
      <c r="I340" s="671"/>
      <c r="K340" s="671"/>
      <c r="L340" s="671"/>
      <c r="M340" s="671"/>
      <c r="N340" s="671"/>
      <c r="O340" s="671"/>
      <c r="P340" s="671"/>
      <c r="Q340" s="671"/>
      <c r="R340" s="671"/>
    </row>
    <row r="341" spans="1:1322" s="670" customFormat="1" ht="12.75">
      <c r="A341" s="671"/>
      <c r="B341" s="673"/>
      <c r="C341" s="671"/>
      <c r="D341" s="672"/>
      <c r="E341" s="673"/>
      <c r="F341" s="673"/>
      <c r="I341" s="671"/>
      <c r="K341" s="671"/>
      <c r="L341" s="671"/>
      <c r="M341" s="671"/>
      <c r="N341" s="671"/>
      <c r="O341" s="671"/>
      <c r="P341" s="671"/>
      <c r="Q341" s="671"/>
      <c r="R341" s="671"/>
    </row>
    <row r="342" spans="1:1322" s="670" customFormat="1" ht="12.75">
      <c r="A342" s="671"/>
      <c r="B342" s="673"/>
      <c r="C342" s="671"/>
      <c r="D342" s="672"/>
      <c r="E342" s="673"/>
      <c r="F342" s="673"/>
      <c r="I342" s="671"/>
      <c r="K342" s="671"/>
      <c r="L342" s="671"/>
      <c r="M342" s="671"/>
      <c r="N342" s="671"/>
      <c r="O342" s="671"/>
      <c r="P342" s="671"/>
      <c r="Q342" s="671"/>
      <c r="R342" s="671"/>
    </row>
    <row r="343" spans="1:1322" s="670" customFormat="1" ht="12.75">
      <c r="A343" s="671"/>
      <c r="B343" s="673"/>
      <c r="C343" s="671"/>
      <c r="D343" s="672"/>
      <c r="E343" s="673"/>
      <c r="F343" s="673"/>
      <c r="I343" s="671"/>
      <c r="K343" s="671"/>
      <c r="L343" s="671"/>
      <c r="M343" s="671"/>
      <c r="N343" s="671"/>
      <c r="O343" s="671"/>
      <c r="P343" s="671"/>
      <c r="Q343" s="671"/>
      <c r="R343" s="671"/>
    </row>
    <row r="344" spans="1:1322" s="670" customFormat="1" ht="12.75">
      <c r="A344" s="671"/>
      <c r="B344" s="673"/>
      <c r="C344" s="671"/>
      <c r="D344" s="672"/>
      <c r="E344" s="673"/>
      <c r="F344" s="673"/>
      <c r="I344" s="671"/>
      <c r="K344" s="671"/>
      <c r="L344" s="671"/>
      <c r="M344" s="671"/>
      <c r="N344" s="671"/>
      <c r="O344" s="671"/>
      <c r="P344" s="671"/>
      <c r="Q344" s="671"/>
      <c r="R344" s="671"/>
    </row>
    <row r="345" spans="1:1322" s="670" customFormat="1" ht="12.75">
      <c r="A345" s="671"/>
      <c r="B345" s="673"/>
      <c r="C345" s="671"/>
      <c r="D345" s="672"/>
      <c r="E345" s="673"/>
      <c r="F345" s="673"/>
      <c r="I345" s="671"/>
      <c r="K345" s="671"/>
      <c r="L345" s="671"/>
      <c r="M345" s="671"/>
      <c r="N345" s="671"/>
      <c r="O345" s="671"/>
      <c r="P345" s="671"/>
      <c r="Q345" s="671"/>
      <c r="R345" s="671"/>
    </row>
    <row r="346" spans="1:1322" s="670" customFormat="1" ht="12.75">
      <c r="A346" s="671"/>
      <c r="B346" s="673"/>
      <c r="C346" s="671"/>
      <c r="D346" s="672"/>
      <c r="E346" s="673"/>
      <c r="F346" s="673"/>
      <c r="I346" s="671"/>
      <c r="K346" s="671"/>
      <c r="L346" s="671"/>
      <c r="M346" s="671"/>
      <c r="N346" s="671"/>
      <c r="O346" s="671"/>
      <c r="P346" s="671"/>
      <c r="Q346" s="671"/>
      <c r="R346" s="671"/>
    </row>
    <row r="347" spans="1:1322" s="670" customFormat="1" ht="12.75">
      <c r="A347" s="671"/>
      <c r="B347" s="673"/>
      <c r="C347" s="671"/>
      <c r="D347" s="672"/>
      <c r="E347" s="673"/>
      <c r="F347" s="673"/>
      <c r="I347" s="671"/>
      <c r="K347" s="671"/>
      <c r="L347" s="671"/>
      <c r="M347" s="671"/>
      <c r="N347" s="671"/>
      <c r="O347" s="671"/>
      <c r="P347" s="671"/>
      <c r="Q347" s="671"/>
      <c r="R347" s="671"/>
    </row>
    <row r="348" spans="1:1322" s="670" customFormat="1" ht="12.75">
      <c r="A348" s="671"/>
      <c r="C348" s="671"/>
      <c r="D348" s="672"/>
      <c r="E348" s="673"/>
      <c r="F348" s="673"/>
      <c r="I348" s="671"/>
      <c r="K348" s="671"/>
      <c r="L348" s="671"/>
      <c r="M348" s="671"/>
      <c r="N348" s="671"/>
      <c r="O348" s="671"/>
      <c r="P348" s="671"/>
      <c r="Q348" s="671"/>
      <c r="R348" s="671"/>
    </row>
    <row r="349" spans="1:1322" s="723" customFormat="1" ht="12.75">
      <c r="A349" s="671"/>
      <c r="B349" s="670"/>
      <c r="C349" s="671"/>
      <c r="D349" s="672"/>
      <c r="E349" s="673"/>
      <c r="F349" s="673"/>
      <c r="G349" s="670"/>
      <c r="H349" s="670"/>
      <c r="I349" s="671"/>
      <c r="J349" s="670"/>
      <c r="K349" s="671"/>
      <c r="L349" s="671"/>
      <c r="M349" s="671"/>
      <c r="N349" s="671"/>
      <c r="O349" s="671"/>
      <c r="P349" s="671"/>
      <c r="Q349" s="671"/>
      <c r="R349" s="671"/>
      <c r="S349" s="670"/>
      <c r="T349" s="670"/>
      <c r="U349" s="670"/>
      <c r="V349" s="670"/>
      <c r="W349" s="670"/>
      <c r="X349" s="670"/>
      <c r="Y349" s="670"/>
      <c r="Z349" s="670"/>
      <c r="AA349" s="670"/>
      <c r="AB349" s="670"/>
      <c r="AC349" s="670"/>
      <c r="AD349" s="670"/>
      <c r="AE349" s="670"/>
      <c r="AF349" s="670"/>
      <c r="AG349" s="670"/>
      <c r="AH349" s="670"/>
      <c r="AI349" s="670"/>
      <c r="AJ349" s="670"/>
      <c r="AK349" s="670"/>
      <c r="AL349" s="670"/>
      <c r="AM349" s="670"/>
      <c r="AN349" s="670"/>
      <c r="AO349" s="670"/>
      <c r="AP349" s="670"/>
      <c r="AQ349" s="670"/>
      <c r="AR349" s="670"/>
      <c r="AS349" s="670"/>
      <c r="AT349" s="670"/>
      <c r="AU349" s="670"/>
      <c r="AV349" s="670"/>
      <c r="AW349" s="670"/>
      <c r="AX349" s="670"/>
      <c r="AY349" s="670"/>
      <c r="AZ349" s="670"/>
      <c r="BA349" s="670"/>
      <c r="BB349" s="670"/>
      <c r="BC349" s="670"/>
      <c r="BD349" s="670"/>
      <c r="BE349" s="670"/>
      <c r="BF349" s="670"/>
      <c r="BG349" s="670"/>
      <c r="BH349" s="670"/>
      <c r="BI349" s="670"/>
      <c r="BJ349" s="670"/>
      <c r="BK349" s="670"/>
      <c r="BL349" s="670"/>
      <c r="BM349" s="670"/>
      <c r="BN349" s="670"/>
      <c r="BO349" s="670"/>
      <c r="BP349" s="670"/>
      <c r="BQ349" s="670"/>
      <c r="BR349" s="670"/>
      <c r="BS349" s="670"/>
      <c r="BT349" s="670"/>
      <c r="BU349" s="670"/>
      <c r="BV349" s="670"/>
      <c r="BW349" s="670"/>
      <c r="BX349" s="670"/>
      <c r="BY349" s="670"/>
      <c r="BZ349" s="670"/>
      <c r="CA349" s="670"/>
      <c r="CB349" s="670"/>
      <c r="CC349" s="670"/>
      <c r="CD349" s="670"/>
      <c r="CE349" s="670"/>
      <c r="CF349" s="670"/>
      <c r="CG349" s="670"/>
      <c r="CH349" s="670"/>
      <c r="CI349" s="670"/>
      <c r="CJ349" s="670"/>
      <c r="CK349" s="670"/>
      <c r="CL349" s="670"/>
      <c r="CM349" s="670"/>
      <c r="CN349" s="670"/>
      <c r="CO349" s="670"/>
      <c r="CP349" s="670"/>
      <c r="CQ349" s="670"/>
      <c r="CR349" s="670"/>
      <c r="CS349" s="670"/>
      <c r="CT349" s="670"/>
      <c r="CU349" s="670"/>
      <c r="CV349" s="670"/>
      <c r="CW349" s="670"/>
      <c r="CX349" s="670"/>
      <c r="CY349" s="670"/>
      <c r="CZ349" s="670"/>
      <c r="DA349" s="670"/>
      <c r="DB349" s="670"/>
      <c r="DC349" s="670"/>
      <c r="DD349" s="670"/>
      <c r="DE349" s="670"/>
      <c r="DF349" s="670"/>
      <c r="DG349" s="670"/>
      <c r="DH349" s="670"/>
      <c r="DI349" s="670"/>
      <c r="DJ349" s="670"/>
      <c r="DK349" s="670"/>
      <c r="DL349" s="670"/>
      <c r="DM349" s="670"/>
      <c r="DN349" s="670"/>
      <c r="DO349" s="670"/>
      <c r="DP349" s="670"/>
      <c r="DQ349" s="670"/>
      <c r="DR349" s="670"/>
      <c r="DS349" s="670"/>
      <c r="DT349" s="670"/>
      <c r="DU349" s="670"/>
      <c r="DV349" s="670"/>
      <c r="DW349" s="670"/>
      <c r="DX349" s="670"/>
      <c r="DY349" s="670"/>
      <c r="DZ349" s="670"/>
      <c r="EA349" s="670"/>
      <c r="EB349" s="670"/>
      <c r="EC349" s="670"/>
      <c r="ED349" s="670"/>
      <c r="EE349" s="670"/>
      <c r="EF349" s="670"/>
      <c r="EG349" s="670"/>
      <c r="EH349" s="670"/>
      <c r="EI349" s="670"/>
      <c r="EJ349" s="670"/>
      <c r="EK349" s="670"/>
      <c r="EL349" s="670"/>
      <c r="EM349" s="670"/>
      <c r="EN349" s="670"/>
      <c r="EO349" s="670"/>
      <c r="EP349" s="670"/>
      <c r="EQ349" s="670"/>
      <c r="ER349" s="670"/>
      <c r="ES349" s="670"/>
      <c r="ET349" s="670"/>
      <c r="EU349" s="670"/>
      <c r="EV349" s="670"/>
      <c r="EW349" s="670"/>
      <c r="EX349" s="670"/>
      <c r="EY349" s="670"/>
      <c r="EZ349" s="670"/>
      <c r="FA349" s="670"/>
      <c r="FB349" s="670"/>
      <c r="FC349" s="670"/>
      <c r="FD349" s="670"/>
      <c r="FE349" s="670"/>
      <c r="FF349" s="670"/>
      <c r="FG349" s="670"/>
      <c r="FH349" s="670"/>
      <c r="FI349" s="670"/>
      <c r="FJ349" s="670"/>
      <c r="FK349" s="670"/>
      <c r="FL349" s="670"/>
      <c r="FM349" s="670"/>
      <c r="FN349" s="670"/>
      <c r="FO349" s="670"/>
      <c r="FP349" s="670"/>
      <c r="FQ349" s="670"/>
      <c r="FR349" s="670"/>
      <c r="FS349" s="670"/>
      <c r="FT349" s="670"/>
      <c r="FU349" s="670"/>
      <c r="FV349" s="670"/>
      <c r="FW349" s="670"/>
      <c r="FX349" s="670"/>
      <c r="FY349" s="670"/>
      <c r="FZ349" s="670"/>
      <c r="GA349" s="670"/>
      <c r="GB349" s="670"/>
      <c r="GC349" s="670"/>
      <c r="GD349" s="670"/>
      <c r="GE349" s="670"/>
      <c r="GF349" s="670"/>
      <c r="GG349" s="670"/>
      <c r="GH349" s="670"/>
      <c r="GI349" s="670"/>
      <c r="GJ349" s="670"/>
      <c r="GK349" s="670"/>
      <c r="GL349" s="670"/>
      <c r="GM349" s="670"/>
      <c r="GN349" s="670"/>
      <c r="GO349" s="670"/>
      <c r="GP349" s="670"/>
      <c r="GQ349" s="670"/>
      <c r="GR349" s="670"/>
      <c r="GS349" s="670"/>
      <c r="GT349" s="670"/>
      <c r="GU349" s="670"/>
      <c r="GV349" s="670"/>
      <c r="GW349" s="670"/>
      <c r="GX349" s="670"/>
      <c r="GY349" s="670"/>
      <c r="GZ349" s="670"/>
      <c r="HA349" s="670"/>
      <c r="HB349" s="670"/>
      <c r="HC349" s="670"/>
      <c r="HD349" s="670"/>
      <c r="HE349" s="670"/>
      <c r="HF349" s="670"/>
      <c r="HG349" s="670"/>
      <c r="HH349" s="670"/>
      <c r="HI349" s="670"/>
      <c r="HJ349" s="670"/>
      <c r="HK349" s="670"/>
      <c r="HL349" s="670"/>
      <c r="HM349" s="670"/>
      <c r="HN349" s="670"/>
      <c r="HO349" s="670"/>
      <c r="HP349" s="670"/>
      <c r="HQ349" s="670"/>
      <c r="HR349" s="670"/>
      <c r="HS349" s="670"/>
      <c r="HT349" s="670"/>
      <c r="HU349" s="670"/>
      <c r="HV349" s="670"/>
      <c r="HW349" s="670"/>
      <c r="HX349" s="670"/>
      <c r="HY349" s="670"/>
      <c r="HZ349" s="670"/>
      <c r="IA349" s="670"/>
      <c r="IB349" s="670"/>
      <c r="IC349" s="670"/>
      <c r="ID349" s="670"/>
      <c r="IE349" s="670"/>
      <c r="IF349" s="670"/>
      <c r="IG349" s="670"/>
      <c r="IH349" s="670"/>
      <c r="II349" s="670"/>
      <c r="IJ349" s="670"/>
      <c r="IK349" s="670"/>
      <c r="IL349" s="670"/>
      <c r="IM349" s="670"/>
      <c r="IN349" s="670"/>
      <c r="IO349" s="670"/>
      <c r="IP349" s="670"/>
      <c r="IQ349" s="670"/>
      <c r="IR349" s="670"/>
      <c r="IS349" s="670"/>
      <c r="IT349" s="670"/>
      <c r="IU349" s="670"/>
      <c r="IV349" s="670"/>
      <c r="IW349" s="670"/>
      <c r="IX349" s="670"/>
      <c r="IY349" s="670"/>
      <c r="IZ349" s="670"/>
      <c r="JA349" s="670"/>
      <c r="JB349" s="670"/>
      <c r="JC349" s="670"/>
      <c r="JD349" s="670"/>
      <c r="JE349" s="670"/>
      <c r="JF349" s="670"/>
      <c r="JG349" s="670"/>
      <c r="JH349" s="670"/>
      <c r="JI349" s="670"/>
      <c r="JJ349" s="670"/>
      <c r="JK349" s="670"/>
      <c r="JL349" s="670"/>
      <c r="JM349" s="670"/>
      <c r="JN349" s="670"/>
      <c r="JO349" s="670"/>
      <c r="JP349" s="670"/>
      <c r="JQ349" s="670"/>
      <c r="JR349" s="670"/>
      <c r="JS349" s="670"/>
      <c r="JT349" s="670"/>
      <c r="JU349" s="670"/>
      <c r="JV349" s="670"/>
      <c r="JW349" s="670"/>
      <c r="JX349" s="670"/>
      <c r="JY349" s="670"/>
      <c r="JZ349" s="670"/>
      <c r="KA349" s="670"/>
      <c r="KB349" s="670"/>
      <c r="KC349" s="670"/>
      <c r="KD349" s="670"/>
      <c r="KE349" s="670"/>
      <c r="KF349" s="670"/>
      <c r="KG349" s="670"/>
      <c r="KH349" s="670"/>
      <c r="KI349" s="670"/>
      <c r="KJ349" s="670"/>
      <c r="KK349" s="670"/>
      <c r="KL349" s="670"/>
      <c r="KM349" s="670"/>
      <c r="KN349" s="670"/>
      <c r="KO349" s="670"/>
      <c r="KP349" s="670"/>
      <c r="KQ349" s="670"/>
      <c r="KR349" s="670"/>
      <c r="KS349" s="670"/>
      <c r="KT349" s="670"/>
      <c r="KU349" s="670"/>
      <c r="KV349" s="670"/>
      <c r="KW349" s="670"/>
      <c r="KX349" s="670"/>
      <c r="KY349" s="670"/>
      <c r="KZ349" s="670"/>
      <c r="LA349" s="670"/>
      <c r="LB349" s="670"/>
      <c r="LC349" s="670"/>
      <c r="LD349" s="670"/>
      <c r="LE349" s="670"/>
      <c r="LF349" s="670"/>
      <c r="LG349" s="670"/>
      <c r="LH349" s="670"/>
      <c r="LI349" s="670"/>
      <c r="LJ349" s="670"/>
      <c r="LK349" s="670"/>
      <c r="LL349" s="670"/>
      <c r="LM349" s="670"/>
      <c r="LN349" s="670"/>
      <c r="LO349" s="670"/>
      <c r="LP349" s="670"/>
      <c r="LQ349" s="670"/>
      <c r="LR349" s="670"/>
      <c r="LS349" s="670"/>
      <c r="LT349" s="670"/>
      <c r="LU349" s="670"/>
      <c r="LV349" s="670"/>
      <c r="LW349" s="670"/>
      <c r="LX349" s="670"/>
      <c r="LY349" s="670"/>
      <c r="LZ349" s="670"/>
      <c r="MA349" s="670"/>
      <c r="MB349" s="670"/>
      <c r="MC349" s="670"/>
      <c r="MD349" s="670"/>
      <c r="ME349" s="670"/>
      <c r="MF349" s="670"/>
      <c r="MG349" s="670"/>
      <c r="MH349" s="670"/>
      <c r="MI349" s="670"/>
      <c r="MJ349" s="670"/>
      <c r="MK349" s="670"/>
      <c r="ML349" s="670"/>
      <c r="MM349" s="670"/>
      <c r="MN349" s="670"/>
      <c r="MO349" s="670"/>
      <c r="MP349" s="670"/>
      <c r="MQ349" s="670"/>
      <c r="MR349" s="670"/>
      <c r="MS349" s="670"/>
      <c r="MT349" s="670"/>
      <c r="MU349" s="670"/>
      <c r="MV349" s="670"/>
      <c r="MW349" s="670"/>
      <c r="MX349" s="670"/>
      <c r="MY349" s="670"/>
      <c r="MZ349" s="670"/>
      <c r="NA349" s="670"/>
      <c r="NB349" s="670"/>
      <c r="NC349" s="670"/>
      <c r="ND349" s="670"/>
      <c r="NE349" s="670"/>
      <c r="NF349" s="670"/>
      <c r="NG349" s="670"/>
      <c r="NH349" s="670"/>
      <c r="NI349" s="670"/>
      <c r="NJ349" s="670"/>
      <c r="NK349" s="670"/>
      <c r="NL349" s="670"/>
      <c r="NM349" s="670"/>
      <c r="NN349" s="670"/>
      <c r="NO349" s="670"/>
      <c r="NP349" s="670"/>
      <c r="NQ349" s="670"/>
      <c r="NR349" s="670"/>
      <c r="NS349" s="670"/>
      <c r="NT349" s="670"/>
      <c r="NU349" s="670"/>
      <c r="NV349" s="670"/>
      <c r="NW349" s="670"/>
      <c r="NX349" s="670"/>
      <c r="NY349" s="670"/>
      <c r="NZ349" s="670"/>
      <c r="OA349" s="670"/>
      <c r="OB349" s="670"/>
      <c r="OC349" s="670"/>
      <c r="OD349" s="670"/>
      <c r="OE349" s="670"/>
      <c r="OF349" s="670"/>
      <c r="OG349" s="670"/>
      <c r="OH349" s="670"/>
      <c r="OI349" s="670"/>
      <c r="OJ349" s="670"/>
      <c r="OK349" s="670"/>
      <c r="OL349" s="670"/>
      <c r="OM349" s="670"/>
      <c r="ON349" s="670"/>
      <c r="OO349" s="670"/>
      <c r="OP349" s="670"/>
      <c r="OQ349" s="670"/>
      <c r="OR349" s="670"/>
      <c r="OS349" s="670"/>
      <c r="OT349" s="670"/>
      <c r="OU349" s="670"/>
      <c r="OV349" s="670"/>
      <c r="OW349" s="670"/>
      <c r="OX349" s="670"/>
      <c r="OY349" s="670"/>
      <c r="OZ349" s="670"/>
      <c r="PA349" s="670"/>
      <c r="PB349" s="670"/>
      <c r="PC349" s="670"/>
      <c r="PD349" s="670"/>
      <c r="PE349" s="670"/>
      <c r="PF349" s="670"/>
      <c r="PG349" s="670"/>
      <c r="PH349" s="670"/>
      <c r="PI349" s="670"/>
      <c r="PJ349" s="670"/>
      <c r="PK349" s="670"/>
      <c r="PL349" s="670"/>
      <c r="PM349" s="670"/>
      <c r="PN349" s="670"/>
      <c r="PO349" s="670"/>
      <c r="PP349" s="670"/>
      <c r="PQ349" s="670"/>
      <c r="PR349" s="670"/>
      <c r="PS349" s="670"/>
      <c r="PT349" s="670"/>
      <c r="PU349" s="670"/>
      <c r="PV349" s="670"/>
      <c r="PW349" s="670"/>
      <c r="PX349" s="670"/>
      <c r="PY349" s="670"/>
      <c r="PZ349" s="670"/>
      <c r="QA349" s="670"/>
      <c r="QB349" s="670"/>
      <c r="QC349" s="670"/>
      <c r="QD349" s="670"/>
      <c r="QE349" s="670"/>
      <c r="QF349" s="670"/>
      <c r="QG349" s="670"/>
      <c r="QH349" s="670"/>
      <c r="QI349" s="670"/>
      <c r="QJ349" s="670"/>
      <c r="QK349" s="670"/>
      <c r="QL349" s="670"/>
      <c r="QM349" s="670"/>
      <c r="QN349" s="670"/>
      <c r="QO349" s="670"/>
      <c r="QP349" s="670"/>
      <c r="QQ349" s="670"/>
      <c r="QR349" s="670"/>
      <c r="QS349" s="670"/>
      <c r="QT349" s="670"/>
      <c r="QU349" s="670"/>
      <c r="QV349" s="670"/>
      <c r="QW349" s="670"/>
      <c r="QX349" s="670"/>
      <c r="QY349" s="670"/>
      <c r="QZ349" s="670"/>
      <c r="RA349" s="670"/>
      <c r="RB349" s="670"/>
      <c r="RC349" s="670"/>
      <c r="RD349" s="670"/>
      <c r="RE349" s="670"/>
      <c r="RF349" s="670"/>
      <c r="RG349" s="670"/>
      <c r="RH349" s="670"/>
      <c r="RI349" s="670"/>
      <c r="RJ349" s="670"/>
      <c r="RK349" s="670"/>
      <c r="RL349" s="670"/>
      <c r="RM349" s="670"/>
      <c r="RN349" s="670"/>
      <c r="RO349" s="670"/>
      <c r="RP349" s="670"/>
      <c r="RQ349" s="670"/>
      <c r="RR349" s="670"/>
      <c r="RS349" s="670"/>
      <c r="RT349" s="670"/>
      <c r="RU349" s="670"/>
      <c r="RV349" s="670"/>
      <c r="RW349" s="670"/>
      <c r="RX349" s="670"/>
      <c r="RY349" s="670"/>
      <c r="RZ349" s="670"/>
      <c r="SA349" s="670"/>
      <c r="SB349" s="670"/>
      <c r="SC349" s="670"/>
      <c r="SD349" s="670"/>
      <c r="SE349" s="670"/>
      <c r="SF349" s="670"/>
      <c r="SG349" s="670"/>
      <c r="SH349" s="670"/>
      <c r="SI349" s="670"/>
      <c r="SJ349" s="670"/>
      <c r="SK349" s="670"/>
      <c r="SL349" s="670"/>
      <c r="SM349" s="670"/>
      <c r="SN349" s="670"/>
      <c r="SO349" s="670"/>
      <c r="SP349" s="670"/>
      <c r="SQ349" s="670"/>
      <c r="SR349" s="670"/>
      <c r="SS349" s="670"/>
      <c r="ST349" s="670"/>
      <c r="SU349" s="670"/>
      <c r="SV349" s="670"/>
      <c r="SW349" s="670"/>
      <c r="SX349" s="670"/>
      <c r="SY349" s="670"/>
      <c r="SZ349" s="670"/>
      <c r="TA349" s="670"/>
      <c r="TB349" s="670"/>
      <c r="TC349" s="670"/>
      <c r="TD349" s="670"/>
      <c r="TE349" s="670"/>
      <c r="TF349" s="670"/>
      <c r="TG349" s="670"/>
      <c r="TH349" s="670"/>
      <c r="TI349" s="670"/>
      <c r="TJ349" s="670"/>
      <c r="TK349" s="670"/>
      <c r="TL349" s="670"/>
      <c r="TM349" s="670"/>
      <c r="TN349" s="670"/>
      <c r="TO349" s="670"/>
      <c r="TP349" s="670"/>
      <c r="TQ349" s="670"/>
      <c r="TR349" s="670"/>
      <c r="TS349" s="670"/>
      <c r="TT349" s="670"/>
      <c r="TU349" s="670"/>
      <c r="TV349" s="670"/>
      <c r="TW349" s="670"/>
      <c r="TX349" s="670"/>
      <c r="TY349" s="670"/>
      <c r="TZ349" s="670"/>
      <c r="UA349" s="670"/>
      <c r="UB349" s="670"/>
      <c r="UC349" s="670"/>
      <c r="UD349" s="670"/>
      <c r="UE349" s="670"/>
      <c r="UF349" s="670"/>
      <c r="UG349" s="670"/>
      <c r="UH349" s="670"/>
      <c r="UI349" s="670"/>
      <c r="UJ349" s="670"/>
      <c r="UK349" s="670"/>
      <c r="UL349" s="670"/>
      <c r="UM349" s="670"/>
      <c r="UN349" s="670"/>
      <c r="UO349" s="670"/>
      <c r="UP349" s="670"/>
      <c r="UQ349" s="670"/>
      <c r="UR349" s="670"/>
      <c r="US349" s="670"/>
      <c r="UT349" s="670"/>
      <c r="UU349" s="670"/>
      <c r="UV349" s="670"/>
      <c r="UW349" s="670"/>
      <c r="UX349" s="670"/>
      <c r="UY349" s="670"/>
      <c r="UZ349" s="670"/>
      <c r="VA349" s="670"/>
      <c r="VB349" s="670"/>
      <c r="VC349" s="670"/>
      <c r="VD349" s="670"/>
      <c r="VE349" s="670"/>
      <c r="VF349" s="670"/>
      <c r="VG349" s="670"/>
      <c r="VH349" s="670"/>
      <c r="VI349" s="670"/>
      <c r="VJ349" s="670"/>
      <c r="VK349" s="670"/>
      <c r="VL349" s="670"/>
      <c r="VM349" s="670"/>
      <c r="VN349" s="670"/>
      <c r="VO349" s="670"/>
      <c r="VP349" s="670"/>
      <c r="VQ349" s="670"/>
      <c r="VR349" s="670"/>
      <c r="VS349" s="670"/>
      <c r="VT349" s="670"/>
      <c r="VU349" s="670"/>
      <c r="VV349" s="670"/>
      <c r="VW349" s="670"/>
      <c r="VX349" s="670"/>
      <c r="VY349" s="670"/>
      <c r="VZ349" s="670"/>
      <c r="WA349" s="670"/>
      <c r="WB349" s="670"/>
      <c r="WC349" s="670"/>
      <c r="WD349" s="670"/>
      <c r="WE349" s="670"/>
      <c r="WF349" s="670"/>
      <c r="WG349" s="670"/>
      <c r="WH349" s="670"/>
      <c r="WI349" s="670"/>
      <c r="WJ349" s="670"/>
      <c r="WK349" s="670"/>
      <c r="WL349" s="670"/>
      <c r="WM349" s="670"/>
      <c r="WN349" s="670"/>
      <c r="WO349" s="670"/>
      <c r="WP349" s="670"/>
      <c r="WQ349" s="670"/>
      <c r="WR349" s="670"/>
      <c r="WS349" s="670"/>
      <c r="WT349" s="670"/>
      <c r="WU349" s="670"/>
      <c r="WV349" s="670"/>
      <c r="WW349" s="670"/>
      <c r="WX349" s="670"/>
      <c r="WY349" s="670"/>
      <c r="WZ349" s="670"/>
      <c r="XA349" s="670"/>
      <c r="XB349" s="670"/>
      <c r="XC349" s="670"/>
      <c r="XD349" s="670"/>
      <c r="XE349" s="670"/>
      <c r="XF349" s="670"/>
      <c r="XG349" s="670"/>
      <c r="XH349" s="670"/>
      <c r="XI349" s="670"/>
      <c r="XJ349" s="670"/>
      <c r="XK349" s="670"/>
      <c r="XL349" s="670"/>
      <c r="XM349" s="670"/>
      <c r="XN349" s="670"/>
      <c r="XO349" s="670"/>
      <c r="XP349" s="670"/>
      <c r="XQ349" s="670"/>
      <c r="XR349" s="670"/>
      <c r="XS349" s="670"/>
      <c r="XT349" s="670"/>
      <c r="XU349" s="670"/>
      <c r="XV349" s="670"/>
      <c r="XW349" s="670"/>
      <c r="XX349" s="670"/>
      <c r="XY349" s="670"/>
      <c r="XZ349" s="670"/>
      <c r="YA349" s="670"/>
      <c r="YB349" s="670"/>
      <c r="YC349" s="670"/>
      <c r="YD349" s="670"/>
      <c r="YE349" s="670"/>
      <c r="YF349" s="670"/>
      <c r="YG349" s="670"/>
      <c r="YH349" s="670"/>
      <c r="YI349" s="670"/>
      <c r="YJ349" s="670"/>
      <c r="YK349" s="670"/>
      <c r="YL349" s="670"/>
      <c r="YM349" s="670"/>
      <c r="YN349" s="670"/>
      <c r="YO349" s="670"/>
      <c r="YP349" s="670"/>
      <c r="YQ349" s="670"/>
      <c r="YR349" s="670"/>
      <c r="YS349" s="670"/>
      <c r="YT349" s="670"/>
      <c r="YU349" s="670"/>
      <c r="YV349" s="670"/>
      <c r="YW349" s="670"/>
      <c r="YX349" s="670"/>
      <c r="YY349" s="670"/>
      <c r="YZ349" s="670"/>
      <c r="ZA349" s="670"/>
      <c r="ZB349" s="670"/>
      <c r="ZC349" s="670"/>
      <c r="ZD349" s="670"/>
      <c r="ZE349" s="670"/>
      <c r="ZF349" s="670"/>
      <c r="ZG349" s="670"/>
      <c r="ZH349" s="670"/>
      <c r="ZI349" s="670"/>
      <c r="ZJ349" s="670"/>
      <c r="ZK349" s="670"/>
      <c r="ZL349" s="670"/>
      <c r="ZM349" s="670"/>
      <c r="ZN349" s="670"/>
      <c r="ZO349" s="670"/>
      <c r="ZP349" s="670"/>
      <c r="ZQ349" s="670"/>
      <c r="ZR349" s="670"/>
      <c r="ZS349" s="670"/>
      <c r="ZT349" s="670"/>
      <c r="ZU349" s="670"/>
      <c r="ZV349" s="670"/>
      <c r="ZW349" s="670"/>
      <c r="ZX349" s="670"/>
      <c r="ZY349" s="670"/>
      <c r="ZZ349" s="670"/>
      <c r="AAA349" s="670"/>
      <c r="AAB349" s="670"/>
      <c r="AAC349" s="670"/>
      <c r="AAD349" s="670"/>
      <c r="AAE349" s="670"/>
      <c r="AAF349" s="670"/>
      <c r="AAG349" s="670"/>
      <c r="AAH349" s="670"/>
      <c r="AAI349" s="670"/>
      <c r="AAJ349" s="670"/>
      <c r="AAK349" s="670"/>
      <c r="AAL349" s="670"/>
      <c r="AAM349" s="670"/>
      <c r="AAN349" s="670"/>
      <c r="AAO349" s="670"/>
      <c r="AAP349" s="670"/>
      <c r="AAQ349" s="670"/>
      <c r="AAR349" s="670"/>
      <c r="AAS349" s="670"/>
      <c r="AAT349" s="670"/>
      <c r="AAU349" s="670"/>
      <c r="AAV349" s="670"/>
      <c r="AAW349" s="670"/>
      <c r="AAX349" s="670"/>
      <c r="AAY349" s="670"/>
      <c r="AAZ349" s="670"/>
      <c r="ABA349" s="670"/>
      <c r="ABB349" s="670"/>
      <c r="ABC349" s="670"/>
      <c r="ABD349" s="670"/>
      <c r="ABE349" s="670"/>
      <c r="ABF349" s="670"/>
      <c r="ABG349" s="670"/>
      <c r="ABH349" s="670"/>
      <c r="ABI349" s="670"/>
      <c r="ABJ349" s="670"/>
      <c r="ABK349" s="670"/>
      <c r="ABL349" s="670"/>
      <c r="ABM349" s="670"/>
      <c r="ABN349" s="670"/>
      <c r="ABO349" s="670"/>
      <c r="ABP349" s="670"/>
      <c r="ABQ349" s="670"/>
      <c r="ABR349" s="670"/>
      <c r="ABS349" s="670"/>
      <c r="ABT349" s="670"/>
      <c r="ABU349" s="670"/>
      <c r="ABV349" s="670"/>
      <c r="ABW349" s="670"/>
      <c r="ABX349" s="670"/>
      <c r="ABY349" s="670"/>
      <c r="ABZ349" s="670"/>
      <c r="ACA349" s="670"/>
      <c r="ACB349" s="670"/>
      <c r="ACC349" s="670"/>
      <c r="ACD349" s="670"/>
      <c r="ACE349" s="670"/>
      <c r="ACF349" s="670"/>
      <c r="ACG349" s="670"/>
      <c r="ACH349" s="670"/>
      <c r="ACI349" s="670"/>
      <c r="ACJ349" s="670"/>
      <c r="ACK349" s="670"/>
      <c r="ACL349" s="670"/>
      <c r="ACM349" s="670"/>
      <c r="ACN349" s="670"/>
      <c r="ACO349" s="670"/>
      <c r="ACP349" s="670"/>
      <c r="ACQ349" s="670"/>
      <c r="ACR349" s="670"/>
      <c r="ACS349" s="670"/>
      <c r="ACT349" s="670"/>
      <c r="ACU349" s="670"/>
      <c r="ACV349" s="670"/>
      <c r="ACW349" s="670"/>
      <c r="ACX349" s="670"/>
      <c r="ACY349" s="670"/>
      <c r="ACZ349" s="670"/>
      <c r="ADA349" s="670"/>
      <c r="ADB349" s="670"/>
      <c r="ADC349" s="670"/>
      <c r="ADD349" s="670"/>
      <c r="ADE349" s="670"/>
      <c r="ADF349" s="670"/>
      <c r="ADG349" s="670"/>
      <c r="ADH349" s="670"/>
      <c r="ADI349" s="670"/>
      <c r="ADJ349" s="670"/>
      <c r="ADK349" s="670"/>
      <c r="ADL349" s="670"/>
      <c r="ADM349" s="670"/>
      <c r="ADN349" s="670"/>
      <c r="ADO349" s="670"/>
      <c r="ADP349" s="670"/>
      <c r="ADQ349" s="670"/>
      <c r="ADR349" s="670"/>
      <c r="ADS349" s="670"/>
      <c r="ADT349" s="670"/>
      <c r="ADU349" s="670"/>
      <c r="ADV349" s="670"/>
      <c r="ADW349" s="670"/>
      <c r="ADX349" s="670"/>
      <c r="ADY349" s="670"/>
      <c r="ADZ349" s="670"/>
      <c r="AEA349" s="670"/>
      <c r="AEB349" s="670"/>
      <c r="AEC349" s="670"/>
      <c r="AED349" s="670"/>
      <c r="AEE349" s="670"/>
      <c r="AEF349" s="670"/>
      <c r="AEG349" s="670"/>
      <c r="AEH349" s="670"/>
      <c r="AEI349" s="670"/>
      <c r="AEJ349" s="670"/>
      <c r="AEK349" s="670"/>
      <c r="AEL349" s="670"/>
      <c r="AEM349" s="670"/>
      <c r="AEN349" s="670"/>
      <c r="AEO349" s="670"/>
      <c r="AEP349" s="670"/>
      <c r="AEQ349" s="670"/>
      <c r="AER349" s="670"/>
      <c r="AES349" s="670"/>
      <c r="AET349" s="670"/>
      <c r="AEU349" s="670"/>
      <c r="AEV349" s="670"/>
      <c r="AEW349" s="670"/>
      <c r="AEX349" s="670"/>
      <c r="AEY349" s="670"/>
      <c r="AEZ349" s="670"/>
      <c r="AFA349" s="670"/>
      <c r="AFB349" s="670"/>
      <c r="AFC349" s="670"/>
      <c r="AFD349" s="670"/>
      <c r="AFE349" s="670"/>
      <c r="AFF349" s="670"/>
      <c r="AFG349" s="670"/>
      <c r="AFH349" s="670"/>
      <c r="AFI349" s="670"/>
      <c r="AFJ349" s="670"/>
      <c r="AFK349" s="670"/>
      <c r="AFL349" s="670"/>
      <c r="AFM349" s="670"/>
      <c r="AFN349" s="670"/>
      <c r="AFO349" s="670"/>
      <c r="AFP349" s="670"/>
      <c r="AFQ349" s="670"/>
      <c r="AFR349" s="670"/>
      <c r="AFS349" s="670"/>
      <c r="AFT349" s="670"/>
      <c r="AFU349" s="670"/>
      <c r="AFV349" s="670"/>
      <c r="AFW349" s="670"/>
      <c r="AFX349" s="670"/>
      <c r="AFY349" s="670"/>
      <c r="AFZ349" s="670"/>
      <c r="AGA349" s="670"/>
      <c r="AGB349" s="670"/>
      <c r="AGC349" s="670"/>
      <c r="AGD349" s="670"/>
      <c r="AGE349" s="670"/>
      <c r="AGF349" s="670"/>
      <c r="AGG349" s="670"/>
      <c r="AGH349" s="670"/>
      <c r="AGI349" s="670"/>
      <c r="AGJ349" s="670"/>
      <c r="AGK349" s="670"/>
      <c r="AGL349" s="670"/>
      <c r="AGM349" s="670"/>
      <c r="AGN349" s="670"/>
      <c r="AGO349" s="670"/>
      <c r="AGP349" s="670"/>
      <c r="AGQ349" s="670"/>
      <c r="AGR349" s="670"/>
      <c r="AGS349" s="670"/>
      <c r="AGT349" s="670"/>
      <c r="AGU349" s="670"/>
      <c r="AGV349" s="670"/>
      <c r="AGW349" s="670"/>
      <c r="AGX349" s="670"/>
      <c r="AGY349" s="670"/>
      <c r="AGZ349" s="670"/>
      <c r="AHA349" s="670"/>
      <c r="AHB349" s="670"/>
      <c r="AHC349" s="670"/>
      <c r="AHD349" s="670"/>
      <c r="AHE349" s="670"/>
      <c r="AHF349" s="670"/>
      <c r="AHG349" s="670"/>
      <c r="AHH349" s="670"/>
      <c r="AHI349" s="670"/>
      <c r="AHJ349" s="670"/>
      <c r="AHK349" s="670"/>
      <c r="AHL349" s="670"/>
      <c r="AHM349" s="670"/>
      <c r="AHN349" s="670"/>
      <c r="AHO349" s="670"/>
      <c r="AHP349" s="670"/>
      <c r="AHQ349" s="670"/>
      <c r="AHR349" s="670"/>
      <c r="AHS349" s="670"/>
      <c r="AHT349" s="670"/>
      <c r="AHU349" s="670"/>
      <c r="AHV349" s="670"/>
      <c r="AHW349" s="670"/>
      <c r="AHX349" s="670"/>
      <c r="AHY349" s="670"/>
      <c r="AHZ349" s="670"/>
      <c r="AIA349" s="670"/>
      <c r="AIB349" s="670"/>
      <c r="AIC349" s="670"/>
      <c r="AID349" s="670"/>
      <c r="AIE349" s="670"/>
      <c r="AIF349" s="670"/>
      <c r="AIG349" s="670"/>
      <c r="AIH349" s="670"/>
      <c r="AII349" s="670"/>
      <c r="AIJ349" s="670"/>
      <c r="AIK349" s="670"/>
      <c r="AIL349" s="670"/>
      <c r="AIM349" s="670"/>
      <c r="AIN349" s="670"/>
      <c r="AIO349" s="670"/>
      <c r="AIP349" s="670"/>
      <c r="AIQ349" s="670"/>
      <c r="AIR349" s="670"/>
      <c r="AIS349" s="670"/>
      <c r="AIT349" s="670"/>
      <c r="AIU349" s="670"/>
      <c r="AIV349" s="670"/>
      <c r="AIW349" s="670"/>
      <c r="AIX349" s="670"/>
      <c r="AIY349" s="670"/>
      <c r="AIZ349" s="670"/>
      <c r="AJA349" s="670"/>
      <c r="AJB349" s="670"/>
      <c r="AJC349" s="670"/>
      <c r="AJD349" s="670"/>
      <c r="AJE349" s="670"/>
      <c r="AJF349" s="670"/>
      <c r="AJG349" s="670"/>
      <c r="AJH349" s="670"/>
      <c r="AJI349" s="670"/>
      <c r="AJJ349" s="670"/>
      <c r="AJK349" s="670"/>
      <c r="AJL349" s="670"/>
      <c r="AJM349" s="670"/>
      <c r="AJN349" s="670"/>
      <c r="AJO349" s="670"/>
      <c r="AJP349" s="670"/>
      <c r="AJQ349" s="670"/>
      <c r="AJR349" s="670"/>
      <c r="AJS349" s="670"/>
      <c r="AJT349" s="670"/>
      <c r="AJU349" s="670"/>
      <c r="AJV349" s="670"/>
      <c r="AJW349" s="670"/>
      <c r="AJX349" s="670"/>
      <c r="AJY349" s="670"/>
      <c r="AJZ349" s="670"/>
      <c r="AKA349" s="670"/>
      <c r="AKB349" s="670"/>
      <c r="AKC349" s="670"/>
      <c r="AKD349" s="670"/>
      <c r="AKE349" s="670"/>
      <c r="AKF349" s="670"/>
      <c r="AKG349" s="670"/>
      <c r="AKH349" s="670"/>
      <c r="AKI349" s="670"/>
      <c r="AKJ349" s="670"/>
      <c r="AKK349" s="670"/>
      <c r="AKL349" s="670"/>
      <c r="AKM349" s="670"/>
      <c r="AKN349" s="670"/>
      <c r="AKO349" s="670"/>
      <c r="AKP349" s="670"/>
      <c r="AKQ349" s="670"/>
      <c r="AKR349" s="670"/>
      <c r="AKS349" s="670"/>
      <c r="AKT349" s="670"/>
      <c r="AKU349" s="670"/>
      <c r="AKV349" s="670"/>
      <c r="AKW349" s="670"/>
      <c r="AKX349" s="670"/>
      <c r="AKY349" s="670"/>
      <c r="AKZ349" s="670"/>
      <c r="ALA349" s="670"/>
      <c r="ALB349" s="670"/>
      <c r="ALC349" s="670"/>
      <c r="ALD349" s="670"/>
      <c r="ALE349" s="670"/>
      <c r="ALF349" s="670"/>
      <c r="ALG349" s="670"/>
      <c r="ALH349" s="670"/>
      <c r="ALI349" s="670"/>
      <c r="ALJ349" s="670"/>
      <c r="ALK349" s="670"/>
      <c r="ALL349" s="670"/>
      <c r="ALM349" s="670"/>
      <c r="ALN349" s="670"/>
      <c r="ALO349" s="670"/>
      <c r="ALP349" s="670"/>
      <c r="ALQ349" s="670"/>
      <c r="ALR349" s="670"/>
      <c r="ALS349" s="670"/>
      <c r="ALT349" s="670"/>
      <c r="ALU349" s="670"/>
      <c r="ALV349" s="670"/>
      <c r="ALW349" s="670"/>
      <c r="ALX349" s="670"/>
      <c r="ALY349" s="670"/>
      <c r="ALZ349" s="670"/>
      <c r="AMA349" s="670"/>
      <c r="AMB349" s="670"/>
      <c r="AMC349" s="670"/>
      <c r="AMD349" s="670"/>
      <c r="AME349" s="670"/>
      <c r="AMF349" s="670"/>
      <c r="AMG349" s="670"/>
      <c r="AMH349" s="670"/>
      <c r="AMI349" s="670"/>
      <c r="AMJ349" s="670"/>
      <c r="AMK349" s="670"/>
      <c r="AML349" s="670"/>
      <c r="AMM349" s="670"/>
      <c r="AMN349" s="670"/>
      <c r="AMO349" s="670"/>
      <c r="AMP349" s="670"/>
      <c r="AMQ349" s="670"/>
      <c r="AMR349" s="670"/>
      <c r="AMS349" s="670"/>
      <c r="AMT349" s="670"/>
      <c r="AMU349" s="670"/>
      <c r="AMV349" s="670"/>
      <c r="AMW349" s="670"/>
      <c r="AMX349" s="670"/>
      <c r="AMY349" s="670"/>
      <c r="AMZ349" s="670"/>
      <c r="ANA349" s="670"/>
      <c r="ANB349" s="670"/>
      <c r="ANC349" s="670"/>
      <c r="AND349" s="670"/>
      <c r="ANE349" s="670"/>
      <c r="ANF349" s="670"/>
      <c r="ANG349" s="670"/>
      <c r="ANH349" s="670"/>
      <c r="ANI349" s="670"/>
      <c r="ANJ349" s="670"/>
      <c r="ANK349" s="670"/>
      <c r="ANL349" s="670"/>
      <c r="ANM349" s="670"/>
      <c r="ANN349" s="670"/>
      <c r="ANO349" s="670"/>
      <c r="ANP349" s="670"/>
      <c r="ANQ349" s="670"/>
      <c r="ANR349" s="670"/>
      <c r="ANS349" s="670"/>
      <c r="ANT349" s="670"/>
      <c r="ANU349" s="670"/>
      <c r="ANV349" s="670"/>
      <c r="ANW349" s="670"/>
      <c r="ANX349" s="670"/>
      <c r="ANY349" s="670"/>
      <c r="ANZ349" s="670"/>
      <c r="AOA349" s="670"/>
      <c r="AOB349" s="670"/>
      <c r="AOC349" s="670"/>
      <c r="AOD349" s="670"/>
      <c r="AOE349" s="670"/>
      <c r="AOF349" s="670"/>
      <c r="AOG349" s="670"/>
      <c r="AOH349" s="670"/>
      <c r="AOI349" s="670"/>
      <c r="AOJ349" s="670"/>
      <c r="AOK349" s="670"/>
      <c r="AOL349" s="670"/>
      <c r="AOM349" s="670"/>
      <c r="AON349" s="670"/>
      <c r="AOO349" s="670"/>
      <c r="AOP349" s="670"/>
      <c r="AOQ349" s="670"/>
      <c r="AOR349" s="670"/>
      <c r="AOS349" s="670"/>
      <c r="AOT349" s="670"/>
      <c r="AOU349" s="670"/>
      <c r="AOV349" s="670"/>
      <c r="AOW349" s="670"/>
      <c r="AOX349" s="670"/>
      <c r="AOY349" s="670"/>
      <c r="AOZ349" s="670"/>
      <c r="APA349" s="670"/>
      <c r="APB349" s="670"/>
      <c r="APC349" s="670"/>
      <c r="APD349" s="670"/>
      <c r="APE349" s="670"/>
      <c r="APF349" s="670"/>
      <c r="APG349" s="670"/>
      <c r="APH349" s="670"/>
      <c r="API349" s="670"/>
      <c r="APJ349" s="670"/>
      <c r="APK349" s="670"/>
      <c r="APL349" s="670"/>
      <c r="APM349" s="670"/>
      <c r="APN349" s="670"/>
      <c r="APO349" s="670"/>
      <c r="APP349" s="670"/>
      <c r="APQ349" s="670"/>
      <c r="APR349" s="670"/>
      <c r="APS349" s="670"/>
      <c r="APT349" s="670"/>
      <c r="APU349" s="670"/>
      <c r="APV349" s="670"/>
      <c r="APW349" s="670"/>
      <c r="APX349" s="670"/>
      <c r="APY349" s="670"/>
      <c r="APZ349" s="670"/>
      <c r="AQA349" s="670"/>
      <c r="AQB349" s="670"/>
      <c r="AQC349" s="670"/>
      <c r="AQD349" s="670"/>
      <c r="AQE349" s="670"/>
      <c r="AQF349" s="670"/>
      <c r="AQG349" s="670"/>
      <c r="AQH349" s="670"/>
      <c r="AQI349" s="670"/>
      <c r="AQJ349" s="670"/>
      <c r="AQK349" s="670"/>
      <c r="AQL349" s="670"/>
      <c r="AQM349" s="670"/>
      <c r="AQN349" s="670"/>
      <c r="AQO349" s="670"/>
      <c r="AQP349" s="670"/>
      <c r="AQQ349" s="670"/>
      <c r="AQR349" s="670"/>
      <c r="AQS349" s="670"/>
      <c r="AQT349" s="670"/>
      <c r="AQU349" s="670"/>
      <c r="AQV349" s="670"/>
      <c r="AQW349" s="670"/>
      <c r="AQX349" s="670"/>
      <c r="AQY349" s="670"/>
      <c r="AQZ349" s="670"/>
      <c r="ARA349" s="670"/>
      <c r="ARB349" s="670"/>
      <c r="ARC349" s="670"/>
      <c r="ARD349" s="670"/>
      <c r="ARE349" s="670"/>
      <c r="ARF349" s="670"/>
      <c r="ARG349" s="670"/>
      <c r="ARH349" s="670"/>
      <c r="ARI349" s="670"/>
      <c r="ARJ349" s="670"/>
      <c r="ARK349" s="670"/>
      <c r="ARL349" s="670"/>
      <c r="ARM349" s="670"/>
      <c r="ARN349" s="670"/>
      <c r="ARO349" s="670"/>
      <c r="ARP349" s="670"/>
      <c r="ARQ349" s="670"/>
      <c r="ARR349" s="670"/>
      <c r="ARS349" s="670"/>
      <c r="ART349" s="670"/>
      <c r="ARU349" s="670"/>
      <c r="ARV349" s="670"/>
      <c r="ARW349" s="670"/>
      <c r="ARX349" s="670"/>
      <c r="ARY349" s="670"/>
      <c r="ARZ349" s="670"/>
      <c r="ASA349" s="670"/>
      <c r="ASB349" s="670"/>
      <c r="ASC349" s="670"/>
      <c r="ASD349" s="670"/>
      <c r="ASE349" s="670"/>
      <c r="ASF349" s="670"/>
      <c r="ASG349" s="670"/>
      <c r="ASH349" s="670"/>
      <c r="ASI349" s="670"/>
      <c r="ASJ349" s="670"/>
      <c r="ASK349" s="670"/>
      <c r="ASL349" s="670"/>
      <c r="ASM349" s="670"/>
      <c r="ASN349" s="670"/>
      <c r="ASO349" s="670"/>
      <c r="ASP349" s="670"/>
      <c r="ASQ349" s="670"/>
      <c r="ASR349" s="670"/>
      <c r="ASS349" s="670"/>
      <c r="AST349" s="670"/>
      <c r="ASU349" s="670"/>
      <c r="ASV349" s="670"/>
      <c r="ASW349" s="670"/>
      <c r="ASX349" s="670"/>
      <c r="ASY349" s="670"/>
      <c r="ASZ349" s="670"/>
      <c r="ATA349" s="670"/>
      <c r="ATB349" s="670"/>
      <c r="ATC349" s="670"/>
      <c r="ATD349" s="670"/>
      <c r="ATE349" s="670"/>
      <c r="ATF349" s="670"/>
      <c r="ATG349" s="670"/>
      <c r="ATH349" s="670"/>
      <c r="ATI349" s="670"/>
      <c r="ATJ349" s="670"/>
      <c r="ATK349" s="670"/>
      <c r="ATL349" s="670"/>
      <c r="ATM349" s="670"/>
      <c r="ATN349" s="670"/>
      <c r="ATO349" s="670"/>
      <c r="ATP349" s="670"/>
      <c r="ATQ349" s="670"/>
      <c r="ATR349" s="670"/>
      <c r="ATS349" s="670"/>
      <c r="ATT349" s="670"/>
      <c r="ATU349" s="670"/>
      <c r="ATV349" s="670"/>
      <c r="ATW349" s="670"/>
      <c r="ATX349" s="670"/>
      <c r="ATY349" s="670"/>
      <c r="ATZ349" s="670"/>
      <c r="AUA349" s="670"/>
      <c r="AUB349" s="670"/>
      <c r="AUC349" s="670"/>
      <c r="AUD349" s="670"/>
      <c r="AUE349" s="670"/>
      <c r="AUF349" s="670"/>
      <c r="AUG349" s="670"/>
      <c r="AUH349" s="670"/>
      <c r="AUI349" s="670"/>
      <c r="AUJ349" s="670"/>
      <c r="AUK349" s="670"/>
      <c r="AUL349" s="670"/>
      <c r="AUM349" s="670"/>
      <c r="AUN349" s="670"/>
      <c r="AUO349" s="670"/>
      <c r="AUP349" s="670"/>
      <c r="AUQ349" s="670"/>
      <c r="AUR349" s="670"/>
      <c r="AUS349" s="670"/>
      <c r="AUT349" s="670"/>
      <c r="AUU349" s="670"/>
      <c r="AUV349" s="670"/>
      <c r="AUW349" s="670"/>
      <c r="AUX349" s="670"/>
      <c r="AUY349" s="670"/>
      <c r="AUZ349" s="670"/>
      <c r="AVA349" s="670"/>
      <c r="AVB349" s="670"/>
      <c r="AVC349" s="670"/>
      <c r="AVD349" s="670"/>
      <c r="AVE349" s="670"/>
      <c r="AVF349" s="670"/>
      <c r="AVG349" s="670"/>
      <c r="AVH349" s="670"/>
      <c r="AVI349" s="670"/>
      <c r="AVJ349" s="670"/>
      <c r="AVK349" s="670"/>
      <c r="AVL349" s="670"/>
      <c r="AVM349" s="670"/>
      <c r="AVN349" s="670"/>
      <c r="AVO349" s="670"/>
      <c r="AVP349" s="670"/>
      <c r="AVQ349" s="670"/>
      <c r="AVR349" s="670"/>
      <c r="AVS349" s="670"/>
      <c r="AVT349" s="670"/>
      <c r="AVU349" s="670"/>
      <c r="AVV349" s="670"/>
      <c r="AVW349" s="670"/>
      <c r="AVX349" s="670"/>
      <c r="AVY349" s="670"/>
      <c r="AVZ349" s="670"/>
      <c r="AWA349" s="670"/>
      <c r="AWB349" s="670"/>
      <c r="AWC349" s="670"/>
      <c r="AWD349" s="670"/>
      <c r="AWE349" s="670"/>
      <c r="AWF349" s="670"/>
      <c r="AWG349" s="670"/>
      <c r="AWH349" s="670"/>
      <c r="AWI349" s="670"/>
      <c r="AWJ349" s="670"/>
      <c r="AWK349" s="670"/>
      <c r="AWL349" s="670"/>
      <c r="AWM349" s="670"/>
      <c r="AWN349" s="670"/>
      <c r="AWO349" s="670"/>
      <c r="AWP349" s="670"/>
      <c r="AWQ349" s="670"/>
      <c r="AWR349" s="670"/>
      <c r="AWS349" s="670"/>
      <c r="AWT349" s="670"/>
      <c r="AWU349" s="670"/>
      <c r="AWV349" s="670"/>
      <c r="AWW349" s="670"/>
      <c r="AWX349" s="670"/>
      <c r="AWY349" s="670"/>
      <c r="AWZ349" s="670"/>
      <c r="AXA349" s="670"/>
      <c r="AXB349" s="670"/>
      <c r="AXC349" s="670"/>
      <c r="AXD349" s="670"/>
      <c r="AXE349" s="670"/>
      <c r="AXF349" s="670"/>
      <c r="AXG349" s="670"/>
      <c r="AXH349" s="670"/>
      <c r="AXI349" s="670"/>
      <c r="AXJ349" s="670"/>
      <c r="AXK349" s="670"/>
      <c r="AXL349" s="670"/>
      <c r="AXM349" s="670"/>
      <c r="AXN349" s="670"/>
      <c r="AXO349" s="670"/>
      <c r="AXP349" s="670"/>
      <c r="AXQ349" s="670"/>
      <c r="AXR349" s="670"/>
      <c r="AXS349" s="670"/>
      <c r="AXT349" s="670"/>
      <c r="AXU349" s="670"/>
      <c r="AXV349" s="670"/>
    </row>
    <row r="350" spans="1:1322" s="723" customFormat="1" ht="12.75">
      <c r="A350" s="724"/>
      <c r="C350" s="725"/>
      <c r="D350" s="726"/>
      <c r="E350" s="727"/>
      <c r="F350" s="727"/>
      <c r="I350" s="725"/>
      <c r="K350" s="725"/>
      <c r="L350" s="725"/>
      <c r="M350" s="725"/>
      <c r="N350" s="725"/>
      <c r="O350" s="725"/>
      <c r="P350" s="725"/>
      <c r="Q350" s="725"/>
      <c r="R350" s="725"/>
    </row>
    <row r="351" spans="1:1322" s="725" customFormat="1" ht="12.75">
      <c r="A351" s="728"/>
      <c r="B351" s="723"/>
      <c r="D351" s="726"/>
      <c r="E351" s="727"/>
      <c r="F351" s="727"/>
      <c r="G351" s="723"/>
      <c r="H351" s="723"/>
      <c r="J351" s="723"/>
    </row>
    <row r="352" spans="1:1322" s="723" customFormat="1" ht="12.75">
      <c r="A352" s="725"/>
      <c r="C352" s="725"/>
      <c r="D352" s="726"/>
      <c r="E352" s="727"/>
      <c r="F352" s="727"/>
      <c r="I352" s="725"/>
      <c r="K352" s="725"/>
      <c r="L352" s="725"/>
      <c r="M352" s="725"/>
      <c r="N352" s="725"/>
      <c r="O352" s="725"/>
      <c r="P352" s="725"/>
      <c r="Q352" s="725"/>
      <c r="R352" s="725"/>
    </row>
    <row r="353" spans="1:18" s="723" customFormat="1" ht="12.75">
      <c r="A353" s="725"/>
      <c r="C353" s="725"/>
      <c r="D353" s="726"/>
      <c r="E353" s="727"/>
      <c r="F353" s="727"/>
      <c r="I353" s="725"/>
      <c r="K353" s="725"/>
      <c r="L353" s="725"/>
      <c r="M353" s="725"/>
      <c r="N353" s="725"/>
      <c r="O353" s="725"/>
      <c r="P353" s="725"/>
      <c r="Q353" s="725"/>
      <c r="R353" s="725"/>
    </row>
    <row r="354" spans="1:18" s="725" customFormat="1" ht="12.75">
      <c r="A354" s="728"/>
      <c r="B354" s="723"/>
      <c r="D354" s="726"/>
      <c r="E354" s="727"/>
      <c r="F354" s="727"/>
      <c r="G354" s="723"/>
      <c r="H354" s="723"/>
      <c r="J354" s="723"/>
    </row>
    <row r="356" spans="1:18" s="725" customFormat="1" ht="12.75">
      <c r="B356" s="723" t="s">
        <v>1474</v>
      </c>
      <c r="D356" s="726"/>
      <c r="E356" s="727"/>
      <c r="F356" s="727"/>
      <c r="G356" s="723"/>
      <c r="H356" s="723"/>
      <c r="J356" s="723"/>
    </row>
    <row r="357" spans="1:18" s="725" customFormat="1" ht="12.75">
      <c r="A357" s="724"/>
      <c r="B357" s="723"/>
      <c r="D357" s="726"/>
      <c r="E357" s="727"/>
      <c r="F357" s="727"/>
      <c r="G357" s="723"/>
      <c r="H357" s="723"/>
      <c r="J357" s="723"/>
    </row>
    <row r="358" spans="1:18" s="725" customFormat="1" ht="12.75">
      <c r="A358" s="724"/>
      <c r="B358" s="723"/>
      <c r="D358" s="726"/>
      <c r="E358" s="727"/>
      <c r="F358" s="727"/>
      <c r="G358" s="723"/>
      <c r="H358" s="723"/>
      <c r="J358" s="723"/>
    </row>
    <row r="359" spans="1:18" s="725" customFormat="1" ht="12.75">
      <c r="A359" s="724"/>
      <c r="B359" s="723"/>
      <c r="D359" s="726"/>
      <c r="E359" s="727"/>
      <c r="F359" s="727"/>
      <c r="G359" s="723"/>
      <c r="H359" s="723"/>
      <c r="J359" s="723"/>
    </row>
    <row r="360" spans="1:18" s="725" customFormat="1" ht="12.75">
      <c r="A360" s="724"/>
      <c r="B360" s="723"/>
      <c r="D360" s="726"/>
      <c r="E360" s="727"/>
      <c r="F360" s="727"/>
      <c r="G360" s="723"/>
      <c r="H360" s="723"/>
      <c r="J360" s="723"/>
    </row>
    <row r="361" spans="1:18" s="725" customFormat="1" ht="12.75">
      <c r="A361" s="724"/>
      <c r="B361" s="723"/>
      <c r="D361" s="726"/>
      <c r="E361" s="727"/>
      <c r="F361" s="727"/>
      <c r="G361" s="723"/>
      <c r="H361" s="723"/>
      <c r="J361" s="723"/>
    </row>
    <row r="362" spans="1:18" s="725" customFormat="1" ht="12.75">
      <c r="A362" s="724"/>
      <c r="B362" s="723"/>
      <c r="D362" s="726"/>
      <c r="E362" s="727"/>
      <c r="F362" s="727"/>
      <c r="G362" s="723"/>
      <c r="H362" s="723"/>
      <c r="J362" s="723"/>
    </row>
    <row r="363" spans="1:18" s="725" customFormat="1" ht="12.75">
      <c r="A363" s="724"/>
      <c r="B363" s="723"/>
      <c r="D363" s="726"/>
      <c r="E363" s="727"/>
      <c r="F363" s="727"/>
      <c r="G363" s="723"/>
      <c r="H363" s="723"/>
      <c r="J363" s="723"/>
    </row>
    <row r="364" spans="1:18" s="725" customFormat="1" ht="12.75">
      <c r="A364" s="724"/>
      <c r="B364" s="723"/>
      <c r="D364" s="726"/>
      <c r="E364" s="727"/>
      <c r="F364" s="727"/>
      <c r="G364" s="723"/>
      <c r="H364" s="723"/>
      <c r="J364" s="723"/>
    </row>
    <row r="365" spans="1:18" s="725" customFormat="1" ht="12.75">
      <c r="A365" s="724"/>
      <c r="B365" s="723"/>
      <c r="D365" s="726"/>
      <c r="E365" s="727"/>
      <c r="F365" s="727"/>
      <c r="G365" s="723"/>
      <c r="H365" s="723"/>
      <c r="J365" s="723"/>
    </row>
    <row r="366" spans="1:18" s="725" customFormat="1" ht="12.75">
      <c r="A366" s="724"/>
      <c r="B366" s="723"/>
      <c r="D366" s="726"/>
      <c r="E366" s="727"/>
      <c r="F366" s="727"/>
      <c r="G366" s="723"/>
      <c r="H366" s="723"/>
      <c r="J366" s="723"/>
    </row>
    <row r="367" spans="1:18" s="725" customFormat="1" ht="12.75">
      <c r="A367" s="724"/>
      <c r="B367" s="723"/>
      <c r="D367" s="726"/>
      <c r="E367" s="727"/>
      <c r="F367" s="727"/>
      <c r="G367" s="723"/>
      <c r="H367" s="723"/>
      <c r="J367" s="723"/>
    </row>
    <row r="368" spans="1:18" s="725" customFormat="1" ht="12.75">
      <c r="A368" s="724"/>
      <c r="B368" s="723"/>
      <c r="D368" s="726"/>
      <c r="E368" s="727"/>
      <c r="F368" s="727"/>
      <c r="G368" s="723"/>
      <c r="H368" s="723"/>
      <c r="J368" s="723"/>
    </row>
    <row r="369" spans="1:1760" s="725" customFormat="1" ht="12.75">
      <c r="A369" s="724"/>
      <c r="B369" s="723"/>
      <c r="D369" s="726"/>
      <c r="E369" s="727"/>
      <c r="F369" s="727"/>
      <c r="G369" s="723"/>
      <c r="H369" s="723"/>
      <c r="J369" s="723"/>
    </row>
    <row r="370" spans="1:1760" s="725" customFormat="1" ht="12.75">
      <c r="A370" s="724"/>
      <c r="B370" s="723"/>
      <c r="D370" s="726"/>
      <c r="E370" s="727"/>
      <c r="F370" s="727"/>
      <c r="G370" s="723"/>
      <c r="H370" s="723"/>
      <c r="J370" s="723"/>
    </row>
    <row r="371" spans="1:1760" s="723" customFormat="1" ht="12.75">
      <c r="A371" s="724"/>
      <c r="C371" s="725"/>
      <c r="D371" s="726"/>
      <c r="E371" s="727"/>
      <c r="F371" s="727"/>
      <c r="I371" s="725"/>
      <c r="K371" s="725"/>
      <c r="L371" s="725"/>
      <c r="M371" s="725"/>
      <c r="N371" s="725"/>
      <c r="O371" s="725"/>
      <c r="P371" s="725"/>
      <c r="Q371" s="725"/>
      <c r="R371" s="725"/>
    </row>
    <row r="372" spans="1:1760" s="723" customFormat="1" ht="12.75">
      <c r="A372" s="729"/>
      <c r="C372" s="725"/>
      <c r="D372" s="726"/>
      <c r="E372" s="727"/>
      <c r="F372" s="727"/>
      <c r="I372" s="725"/>
      <c r="K372" s="725"/>
      <c r="L372" s="725"/>
      <c r="M372" s="725"/>
      <c r="N372" s="725"/>
      <c r="O372" s="725"/>
      <c r="P372" s="725"/>
      <c r="Q372" s="725"/>
      <c r="R372" s="725"/>
    </row>
    <row r="373" spans="1:1760" s="723" customFormat="1" ht="12.75">
      <c r="A373" s="724"/>
      <c r="C373" s="725"/>
      <c r="D373" s="726"/>
      <c r="E373" s="727"/>
      <c r="F373" s="727"/>
      <c r="I373" s="725"/>
      <c r="K373" s="725"/>
      <c r="L373" s="725"/>
      <c r="M373" s="725"/>
      <c r="N373" s="725"/>
      <c r="O373" s="725"/>
      <c r="P373" s="725"/>
      <c r="Q373" s="725"/>
      <c r="R373" s="725"/>
    </row>
    <row r="374" spans="1:1760" s="723" customFormat="1" ht="12.75">
      <c r="A374" s="724"/>
      <c r="C374" s="725"/>
      <c r="D374" s="726"/>
      <c r="E374" s="727"/>
      <c r="F374" s="727"/>
      <c r="I374" s="725"/>
      <c r="K374" s="725"/>
      <c r="L374" s="725"/>
      <c r="M374" s="725"/>
      <c r="N374" s="725"/>
      <c r="O374" s="725"/>
      <c r="P374" s="725"/>
      <c r="Q374" s="725"/>
      <c r="R374" s="725"/>
    </row>
    <row r="375" spans="1:1760" s="723" customFormat="1" ht="12.75">
      <c r="A375" s="729"/>
      <c r="C375" s="725"/>
      <c r="D375" s="726"/>
      <c r="E375" s="727"/>
      <c r="F375" s="727"/>
      <c r="I375" s="725"/>
      <c r="K375" s="725"/>
      <c r="L375" s="725"/>
      <c r="M375" s="725"/>
      <c r="N375" s="725"/>
      <c r="O375" s="725"/>
      <c r="P375" s="725"/>
      <c r="Q375" s="725"/>
      <c r="R375" s="725"/>
    </row>
    <row r="376" spans="1:1760" s="723" customFormat="1" ht="12.75">
      <c r="A376" s="729"/>
      <c r="C376" s="725"/>
      <c r="D376" s="726"/>
      <c r="E376" s="727"/>
      <c r="F376" s="727"/>
      <c r="I376" s="725"/>
      <c r="K376" s="725"/>
      <c r="L376" s="725"/>
      <c r="M376" s="725"/>
      <c r="N376" s="725"/>
      <c r="O376" s="725"/>
      <c r="P376" s="725"/>
      <c r="Q376" s="725"/>
      <c r="R376" s="725"/>
    </row>
    <row r="377" spans="1:1760" s="723" customFormat="1" ht="12.75">
      <c r="A377" s="724"/>
      <c r="C377" s="725"/>
      <c r="D377" s="726"/>
      <c r="E377" s="727"/>
      <c r="F377" s="727"/>
      <c r="I377" s="725"/>
      <c r="K377" s="725"/>
      <c r="L377" s="725"/>
      <c r="M377" s="725"/>
      <c r="N377" s="725"/>
      <c r="O377" s="725"/>
      <c r="P377" s="725"/>
      <c r="Q377" s="725"/>
      <c r="R377" s="725"/>
    </row>
    <row r="378" spans="1:1760" s="723" customFormat="1" ht="12.75">
      <c r="A378" s="724"/>
      <c r="C378" s="725"/>
      <c r="D378" s="726"/>
      <c r="E378" s="727"/>
      <c r="F378" s="727"/>
      <c r="I378" s="725"/>
      <c r="K378" s="725"/>
      <c r="L378" s="725"/>
      <c r="M378" s="725"/>
      <c r="N378" s="725"/>
      <c r="O378" s="725"/>
      <c r="P378" s="725"/>
      <c r="Q378" s="725"/>
      <c r="R378" s="725"/>
    </row>
    <row r="379" spans="1:1760" s="723" customFormat="1" ht="12.75">
      <c r="A379" s="724"/>
      <c r="C379" s="725"/>
      <c r="D379" s="726"/>
      <c r="E379" s="727"/>
      <c r="F379" s="727"/>
      <c r="I379" s="725"/>
      <c r="K379" s="725"/>
      <c r="L379" s="725"/>
      <c r="M379" s="725"/>
      <c r="N379" s="725"/>
      <c r="O379" s="725"/>
      <c r="P379" s="725"/>
      <c r="Q379" s="725"/>
      <c r="R379" s="725"/>
    </row>
    <row r="380" spans="1:1760" s="723" customFormat="1" ht="12.75">
      <c r="A380" s="724"/>
      <c r="C380" s="725"/>
      <c r="D380" s="726"/>
      <c r="E380" s="727"/>
      <c r="F380" s="727"/>
      <c r="I380" s="725"/>
      <c r="K380" s="725"/>
      <c r="L380" s="725"/>
      <c r="M380" s="725"/>
      <c r="N380" s="725"/>
      <c r="O380" s="725"/>
      <c r="P380" s="725"/>
      <c r="Q380" s="725"/>
      <c r="R380" s="725"/>
    </row>
    <row r="381" spans="1:1760" s="723" customFormat="1" ht="12.75">
      <c r="A381" s="730"/>
      <c r="C381" s="725"/>
      <c r="D381" s="726"/>
      <c r="E381" s="727"/>
      <c r="F381" s="727"/>
      <c r="I381" s="725"/>
      <c r="K381" s="725"/>
      <c r="L381" s="725"/>
      <c r="M381" s="725"/>
      <c r="N381" s="725"/>
      <c r="O381" s="725"/>
      <c r="P381" s="725"/>
      <c r="Q381" s="725"/>
      <c r="R381" s="725"/>
    </row>
    <row r="382" spans="1:1760" s="723" customFormat="1" ht="12.75">
      <c r="A382" s="724"/>
      <c r="C382" s="725"/>
      <c r="D382" s="726"/>
      <c r="E382" s="727"/>
      <c r="F382" s="727"/>
      <c r="I382" s="725"/>
      <c r="K382" s="725"/>
      <c r="L382" s="725"/>
      <c r="M382" s="725"/>
      <c r="N382" s="725"/>
      <c r="O382" s="725"/>
      <c r="P382" s="725"/>
      <c r="Q382" s="725"/>
      <c r="R382" s="725"/>
    </row>
    <row r="383" spans="1:1760" s="723" customFormat="1" ht="12.75">
      <c r="A383" s="731"/>
      <c r="C383" s="725"/>
      <c r="D383" s="726"/>
      <c r="E383" s="727"/>
      <c r="F383" s="727"/>
      <c r="I383" s="725"/>
      <c r="K383" s="725"/>
      <c r="L383" s="725"/>
      <c r="M383" s="725"/>
      <c r="N383" s="725"/>
      <c r="O383" s="725"/>
      <c r="P383" s="725"/>
      <c r="Q383" s="725"/>
      <c r="R383" s="725"/>
    </row>
    <row r="384" spans="1:1760" s="717" customFormat="1" ht="12.75">
      <c r="A384" s="731"/>
      <c r="B384" s="723"/>
      <c r="C384" s="725"/>
      <c r="D384" s="726"/>
      <c r="E384" s="727"/>
      <c r="F384" s="727"/>
      <c r="G384" s="723"/>
      <c r="H384" s="723"/>
      <c r="I384" s="725"/>
      <c r="J384" s="723"/>
      <c r="K384" s="725"/>
      <c r="L384" s="725"/>
      <c r="M384" s="725"/>
      <c r="N384" s="725"/>
      <c r="O384" s="725"/>
      <c r="P384" s="725"/>
      <c r="Q384" s="725"/>
      <c r="R384" s="725"/>
      <c r="S384" s="723"/>
      <c r="T384" s="723"/>
      <c r="U384" s="723"/>
      <c r="V384" s="723"/>
      <c r="W384" s="723"/>
      <c r="X384" s="723"/>
      <c r="Y384" s="723"/>
      <c r="Z384" s="723"/>
      <c r="AA384" s="723"/>
      <c r="AB384" s="723"/>
      <c r="AC384" s="723"/>
      <c r="AD384" s="723"/>
      <c r="AE384" s="723"/>
      <c r="AF384" s="723"/>
      <c r="AG384" s="723"/>
      <c r="AH384" s="723"/>
      <c r="AI384" s="723"/>
      <c r="AJ384" s="723"/>
      <c r="AK384" s="723"/>
      <c r="AL384" s="723"/>
      <c r="AM384" s="723"/>
      <c r="AN384" s="723"/>
      <c r="AO384" s="723"/>
      <c r="AP384" s="723"/>
      <c r="AQ384" s="723"/>
      <c r="AR384" s="723"/>
      <c r="AS384" s="723"/>
      <c r="AT384" s="723"/>
      <c r="AU384" s="723"/>
      <c r="AV384" s="723"/>
      <c r="AW384" s="723"/>
      <c r="AX384" s="723"/>
      <c r="AY384" s="723"/>
      <c r="AZ384" s="723"/>
      <c r="BA384" s="723"/>
      <c r="BB384" s="723"/>
      <c r="BC384" s="723"/>
      <c r="BD384" s="723"/>
      <c r="BE384" s="723"/>
      <c r="BF384" s="723"/>
      <c r="BG384" s="723"/>
      <c r="BH384" s="723"/>
      <c r="BI384" s="723"/>
      <c r="BJ384" s="723"/>
      <c r="BK384" s="723"/>
      <c r="BL384" s="723"/>
      <c r="BM384" s="723"/>
      <c r="BN384" s="723"/>
      <c r="BO384" s="723"/>
      <c r="BP384" s="723"/>
      <c r="BQ384" s="723"/>
      <c r="BR384" s="723"/>
      <c r="BS384" s="723"/>
      <c r="BT384" s="723"/>
      <c r="BU384" s="723"/>
      <c r="BV384" s="723"/>
      <c r="BW384" s="723"/>
      <c r="BX384" s="723"/>
      <c r="BY384" s="723"/>
      <c r="BZ384" s="723"/>
      <c r="CA384" s="723"/>
      <c r="CB384" s="723"/>
      <c r="CC384" s="723"/>
      <c r="CD384" s="723"/>
      <c r="CE384" s="723"/>
      <c r="CF384" s="723"/>
      <c r="CG384" s="723"/>
      <c r="CH384" s="723"/>
      <c r="CI384" s="723"/>
      <c r="CJ384" s="723"/>
      <c r="CK384" s="723"/>
      <c r="CL384" s="723"/>
      <c r="CM384" s="723"/>
      <c r="CN384" s="723"/>
      <c r="CO384" s="723"/>
      <c r="CP384" s="723"/>
      <c r="CQ384" s="723"/>
      <c r="CR384" s="723"/>
      <c r="CS384" s="723"/>
      <c r="CT384" s="723"/>
      <c r="CU384" s="723"/>
      <c r="CV384" s="723"/>
      <c r="CW384" s="723"/>
      <c r="CX384" s="723"/>
      <c r="CY384" s="723"/>
      <c r="CZ384" s="723"/>
      <c r="DA384" s="723"/>
      <c r="DB384" s="723"/>
      <c r="DC384" s="723"/>
      <c r="DD384" s="723"/>
      <c r="DE384" s="723"/>
      <c r="DF384" s="723"/>
      <c r="DG384" s="723"/>
      <c r="DH384" s="723"/>
      <c r="DI384" s="723"/>
      <c r="DJ384" s="723"/>
      <c r="DK384" s="723"/>
      <c r="DL384" s="723"/>
      <c r="DM384" s="723"/>
      <c r="DN384" s="723"/>
      <c r="DO384" s="723"/>
      <c r="DP384" s="723"/>
      <c r="DQ384" s="723"/>
      <c r="DR384" s="723"/>
      <c r="DS384" s="723"/>
      <c r="DT384" s="723"/>
      <c r="DU384" s="723"/>
      <c r="DV384" s="723"/>
      <c r="DW384" s="723"/>
      <c r="DX384" s="723"/>
      <c r="DY384" s="723"/>
      <c r="DZ384" s="723"/>
      <c r="EA384" s="723"/>
      <c r="EB384" s="723"/>
      <c r="EC384" s="723"/>
      <c r="ED384" s="723"/>
      <c r="EE384" s="723"/>
      <c r="EF384" s="723"/>
      <c r="EG384" s="723"/>
      <c r="EH384" s="723"/>
      <c r="EI384" s="723"/>
      <c r="EJ384" s="723"/>
      <c r="EK384" s="723"/>
      <c r="EL384" s="723"/>
      <c r="EM384" s="723"/>
      <c r="EN384" s="723"/>
      <c r="EO384" s="723"/>
      <c r="EP384" s="723"/>
      <c r="EQ384" s="723"/>
      <c r="ER384" s="723"/>
      <c r="ES384" s="723"/>
      <c r="ET384" s="723"/>
      <c r="EU384" s="723"/>
      <c r="EV384" s="723"/>
      <c r="EW384" s="723"/>
      <c r="EX384" s="723"/>
      <c r="EY384" s="723"/>
      <c r="EZ384" s="723"/>
      <c r="FA384" s="723"/>
      <c r="FB384" s="723"/>
      <c r="FC384" s="723"/>
      <c r="FD384" s="723"/>
      <c r="FE384" s="723"/>
      <c r="FF384" s="723"/>
      <c r="FG384" s="723"/>
      <c r="FH384" s="723"/>
      <c r="FI384" s="723"/>
      <c r="FJ384" s="723"/>
      <c r="FK384" s="723"/>
      <c r="FL384" s="723"/>
      <c r="FM384" s="723"/>
      <c r="FN384" s="723"/>
      <c r="FO384" s="723"/>
      <c r="FP384" s="723"/>
      <c r="FQ384" s="723"/>
      <c r="FR384" s="723"/>
      <c r="FS384" s="723"/>
      <c r="FT384" s="723"/>
      <c r="FU384" s="723"/>
      <c r="FV384" s="723"/>
      <c r="FW384" s="723"/>
      <c r="FX384" s="723"/>
      <c r="FY384" s="723"/>
      <c r="FZ384" s="723"/>
      <c r="GA384" s="723"/>
      <c r="GB384" s="723"/>
      <c r="GC384" s="723"/>
      <c r="GD384" s="723"/>
      <c r="GE384" s="723"/>
      <c r="GF384" s="723"/>
      <c r="GG384" s="723"/>
      <c r="GH384" s="723"/>
      <c r="GI384" s="723"/>
      <c r="GJ384" s="723"/>
      <c r="GK384" s="723"/>
      <c r="GL384" s="723"/>
      <c r="GM384" s="723"/>
      <c r="GN384" s="723"/>
      <c r="GO384" s="723"/>
      <c r="GP384" s="723"/>
      <c r="GQ384" s="723"/>
      <c r="GR384" s="723"/>
      <c r="GS384" s="723"/>
      <c r="GT384" s="723"/>
      <c r="GU384" s="723"/>
      <c r="GV384" s="723"/>
      <c r="GW384" s="723"/>
      <c r="GX384" s="723"/>
      <c r="GY384" s="723"/>
      <c r="GZ384" s="723"/>
      <c r="HA384" s="723"/>
      <c r="HB384" s="723"/>
      <c r="HC384" s="723"/>
      <c r="HD384" s="723"/>
      <c r="HE384" s="723"/>
      <c r="HF384" s="723"/>
      <c r="HG384" s="723"/>
      <c r="HH384" s="723"/>
      <c r="HI384" s="723"/>
      <c r="HJ384" s="723"/>
      <c r="HK384" s="723"/>
      <c r="HL384" s="723"/>
      <c r="HM384" s="723"/>
      <c r="HN384" s="723"/>
      <c r="HO384" s="723"/>
      <c r="HP384" s="723"/>
      <c r="HQ384" s="723"/>
      <c r="HR384" s="723"/>
      <c r="HS384" s="723"/>
      <c r="HT384" s="723"/>
      <c r="HU384" s="723"/>
      <c r="HV384" s="723"/>
      <c r="HW384" s="723"/>
      <c r="HX384" s="723"/>
      <c r="HY384" s="723"/>
      <c r="HZ384" s="723"/>
      <c r="IA384" s="723"/>
      <c r="IB384" s="723"/>
      <c r="IC384" s="723"/>
      <c r="ID384" s="723"/>
      <c r="IE384" s="723"/>
      <c r="IF384" s="723"/>
      <c r="IG384" s="723"/>
      <c r="IH384" s="723"/>
      <c r="II384" s="723"/>
      <c r="IJ384" s="723"/>
      <c r="IK384" s="723"/>
      <c r="IL384" s="723"/>
      <c r="IM384" s="723"/>
      <c r="IN384" s="723"/>
      <c r="IO384" s="723"/>
      <c r="IP384" s="723"/>
      <c r="IQ384" s="723"/>
      <c r="IR384" s="723"/>
      <c r="IS384" s="723"/>
      <c r="IT384" s="723"/>
      <c r="IU384" s="723"/>
      <c r="IV384" s="723"/>
      <c r="IW384" s="723"/>
      <c r="IX384" s="723"/>
      <c r="IY384" s="723"/>
      <c r="IZ384" s="723"/>
      <c r="JA384" s="723"/>
      <c r="JB384" s="723"/>
      <c r="JC384" s="723"/>
      <c r="JD384" s="723"/>
      <c r="JE384" s="723"/>
      <c r="JF384" s="723"/>
      <c r="JG384" s="723"/>
      <c r="JH384" s="723"/>
      <c r="JI384" s="723"/>
      <c r="JJ384" s="723"/>
      <c r="JK384" s="723"/>
      <c r="JL384" s="723"/>
      <c r="JM384" s="723"/>
      <c r="JN384" s="723"/>
      <c r="JO384" s="723"/>
      <c r="JP384" s="723"/>
      <c r="JQ384" s="723"/>
      <c r="JR384" s="723"/>
      <c r="JS384" s="723"/>
      <c r="JT384" s="723"/>
      <c r="JU384" s="723"/>
      <c r="JV384" s="723"/>
      <c r="JW384" s="723"/>
      <c r="JX384" s="723"/>
      <c r="JY384" s="723"/>
      <c r="JZ384" s="723"/>
      <c r="KA384" s="723"/>
      <c r="KB384" s="723"/>
      <c r="KC384" s="723"/>
      <c r="KD384" s="723"/>
      <c r="KE384" s="723"/>
      <c r="KF384" s="723"/>
      <c r="KG384" s="723"/>
      <c r="KH384" s="723"/>
      <c r="KI384" s="723"/>
      <c r="KJ384" s="723"/>
      <c r="KK384" s="723"/>
      <c r="KL384" s="723"/>
      <c r="KM384" s="723"/>
      <c r="KN384" s="723"/>
      <c r="KO384" s="723"/>
      <c r="KP384" s="723"/>
      <c r="KQ384" s="723"/>
      <c r="KR384" s="723"/>
      <c r="KS384" s="723"/>
      <c r="KT384" s="723"/>
      <c r="KU384" s="723"/>
      <c r="KV384" s="723"/>
      <c r="KW384" s="723"/>
      <c r="KX384" s="723"/>
      <c r="KY384" s="723"/>
      <c r="KZ384" s="723"/>
      <c r="LA384" s="723"/>
      <c r="LB384" s="723"/>
      <c r="LC384" s="723"/>
      <c r="LD384" s="723"/>
      <c r="LE384" s="723"/>
      <c r="LF384" s="723"/>
      <c r="LG384" s="723"/>
      <c r="LH384" s="723"/>
      <c r="LI384" s="723"/>
      <c r="LJ384" s="723"/>
      <c r="LK384" s="723"/>
      <c r="LL384" s="723"/>
      <c r="LM384" s="723"/>
      <c r="LN384" s="723"/>
      <c r="LO384" s="723"/>
      <c r="LP384" s="723"/>
      <c r="LQ384" s="723"/>
      <c r="LR384" s="723"/>
      <c r="LS384" s="723"/>
      <c r="LT384" s="723"/>
      <c r="LU384" s="723"/>
      <c r="LV384" s="723"/>
      <c r="LW384" s="723"/>
      <c r="LX384" s="723"/>
      <c r="LY384" s="723"/>
      <c r="LZ384" s="723"/>
      <c r="MA384" s="723"/>
      <c r="MB384" s="723"/>
      <c r="MC384" s="723"/>
      <c r="MD384" s="723"/>
      <c r="ME384" s="723"/>
      <c r="MF384" s="723"/>
      <c r="MG384" s="723"/>
      <c r="MH384" s="723"/>
      <c r="MI384" s="723"/>
      <c r="MJ384" s="723"/>
      <c r="MK384" s="723"/>
      <c r="ML384" s="723"/>
      <c r="MM384" s="723"/>
      <c r="MN384" s="723"/>
      <c r="MO384" s="723"/>
      <c r="MP384" s="723"/>
      <c r="MQ384" s="723"/>
      <c r="MR384" s="723"/>
      <c r="MS384" s="723"/>
      <c r="MT384" s="723"/>
      <c r="MU384" s="723"/>
      <c r="MV384" s="723"/>
      <c r="MW384" s="723"/>
      <c r="MX384" s="723"/>
      <c r="MY384" s="723"/>
      <c r="MZ384" s="723"/>
      <c r="NA384" s="723"/>
      <c r="NB384" s="723"/>
      <c r="NC384" s="723"/>
      <c r="ND384" s="723"/>
      <c r="NE384" s="723"/>
      <c r="NF384" s="723"/>
      <c r="NG384" s="723"/>
      <c r="NH384" s="723"/>
      <c r="NI384" s="723"/>
      <c r="NJ384" s="723"/>
      <c r="NK384" s="723"/>
      <c r="NL384" s="723"/>
      <c r="NM384" s="723"/>
      <c r="NN384" s="723"/>
      <c r="NO384" s="723"/>
      <c r="NP384" s="723"/>
      <c r="NQ384" s="723"/>
      <c r="NR384" s="723"/>
      <c r="NS384" s="723"/>
      <c r="NT384" s="723"/>
      <c r="NU384" s="723"/>
      <c r="NV384" s="723"/>
      <c r="NW384" s="723"/>
      <c r="NX384" s="723"/>
      <c r="NY384" s="723"/>
      <c r="NZ384" s="723"/>
      <c r="OA384" s="723"/>
      <c r="OB384" s="723"/>
      <c r="OC384" s="723"/>
      <c r="OD384" s="723"/>
      <c r="OE384" s="723"/>
      <c r="OF384" s="723"/>
      <c r="OG384" s="723"/>
      <c r="OH384" s="723"/>
      <c r="OI384" s="723"/>
      <c r="OJ384" s="723"/>
      <c r="OK384" s="723"/>
      <c r="OL384" s="723"/>
      <c r="OM384" s="723"/>
      <c r="ON384" s="723"/>
      <c r="OO384" s="723"/>
      <c r="OP384" s="723"/>
      <c r="OQ384" s="723"/>
      <c r="OR384" s="723"/>
      <c r="OS384" s="723"/>
      <c r="OT384" s="723"/>
      <c r="OU384" s="723"/>
      <c r="OV384" s="723"/>
      <c r="OW384" s="723"/>
      <c r="OX384" s="723"/>
      <c r="OY384" s="723"/>
      <c r="OZ384" s="723"/>
      <c r="PA384" s="723"/>
      <c r="PB384" s="723"/>
      <c r="PC384" s="723"/>
      <c r="PD384" s="723"/>
      <c r="PE384" s="723"/>
      <c r="PF384" s="723"/>
      <c r="PG384" s="723"/>
      <c r="PH384" s="723"/>
      <c r="PI384" s="723"/>
      <c r="PJ384" s="723"/>
      <c r="PK384" s="723"/>
      <c r="PL384" s="723"/>
      <c r="PM384" s="723"/>
      <c r="PN384" s="723"/>
      <c r="PO384" s="723"/>
      <c r="PP384" s="723"/>
      <c r="PQ384" s="723"/>
      <c r="PR384" s="723"/>
      <c r="PS384" s="723"/>
      <c r="PT384" s="723"/>
      <c r="PU384" s="723"/>
      <c r="PV384" s="723"/>
      <c r="PW384" s="723"/>
      <c r="PX384" s="723"/>
      <c r="PY384" s="723"/>
      <c r="PZ384" s="723"/>
      <c r="QA384" s="723"/>
      <c r="QB384" s="723"/>
      <c r="QC384" s="723"/>
      <c r="QD384" s="723"/>
      <c r="QE384" s="723"/>
      <c r="QF384" s="723"/>
      <c r="QG384" s="723"/>
      <c r="QH384" s="723"/>
      <c r="QI384" s="723"/>
      <c r="QJ384" s="723"/>
      <c r="QK384" s="723"/>
      <c r="QL384" s="723"/>
      <c r="QM384" s="723"/>
      <c r="QN384" s="723"/>
      <c r="QO384" s="723"/>
      <c r="QP384" s="723"/>
      <c r="QQ384" s="723"/>
      <c r="QR384" s="723"/>
      <c r="QS384" s="723"/>
      <c r="QT384" s="723"/>
      <c r="QU384" s="723"/>
      <c r="QV384" s="723"/>
      <c r="QW384" s="723"/>
      <c r="QX384" s="723"/>
      <c r="QY384" s="723"/>
      <c r="QZ384" s="723"/>
      <c r="RA384" s="723"/>
      <c r="RB384" s="723"/>
      <c r="RC384" s="723"/>
      <c r="RD384" s="723"/>
      <c r="RE384" s="723"/>
      <c r="RF384" s="723"/>
      <c r="RG384" s="723"/>
      <c r="RH384" s="723"/>
      <c r="RI384" s="723"/>
      <c r="RJ384" s="723"/>
      <c r="RK384" s="723"/>
      <c r="RL384" s="723"/>
      <c r="RM384" s="723"/>
      <c r="RN384" s="723"/>
      <c r="RO384" s="723"/>
      <c r="RP384" s="723"/>
      <c r="RQ384" s="723"/>
      <c r="RR384" s="723"/>
      <c r="RS384" s="723"/>
      <c r="RT384" s="723"/>
      <c r="RU384" s="723"/>
      <c r="RV384" s="723"/>
      <c r="RW384" s="723"/>
      <c r="RX384" s="723"/>
      <c r="RY384" s="723"/>
      <c r="RZ384" s="723"/>
      <c r="SA384" s="723"/>
      <c r="SB384" s="723"/>
      <c r="SC384" s="723"/>
      <c r="SD384" s="723"/>
      <c r="SE384" s="723"/>
      <c r="SF384" s="723"/>
      <c r="SG384" s="723"/>
      <c r="SH384" s="723"/>
      <c r="SI384" s="723"/>
      <c r="SJ384" s="723"/>
      <c r="SK384" s="723"/>
      <c r="SL384" s="723"/>
      <c r="SM384" s="723"/>
      <c r="SN384" s="723"/>
      <c r="SO384" s="723"/>
      <c r="SP384" s="723"/>
      <c r="SQ384" s="723"/>
      <c r="SR384" s="723"/>
      <c r="SS384" s="723"/>
      <c r="ST384" s="723"/>
      <c r="SU384" s="723"/>
      <c r="SV384" s="723"/>
      <c r="SW384" s="723"/>
      <c r="SX384" s="723"/>
      <c r="SY384" s="723"/>
      <c r="SZ384" s="723"/>
      <c r="TA384" s="723"/>
      <c r="TB384" s="723"/>
      <c r="TC384" s="723"/>
      <c r="TD384" s="723"/>
      <c r="TE384" s="723"/>
      <c r="TF384" s="723"/>
      <c r="TG384" s="723"/>
      <c r="TH384" s="723"/>
      <c r="TI384" s="723"/>
      <c r="TJ384" s="723"/>
      <c r="TK384" s="723"/>
      <c r="TL384" s="723"/>
      <c r="TM384" s="723"/>
      <c r="TN384" s="723"/>
      <c r="TO384" s="723"/>
      <c r="TP384" s="723"/>
      <c r="TQ384" s="723"/>
      <c r="TR384" s="723"/>
      <c r="TS384" s="723"/>
      <c r="TT384" s="723"/>
      <c r="TU384" s="723"/>
      <c r="TV384" s="723"/>
      <c r="TW384" s="723"/>
      <c r="TX384" s="723"/>
      <c r="TY384" s="723"/>
      <c r="TZ384" s="723"/>
      <c r="UA384" s="723"/>
      <c r="UB384" s="723"/>
      <c r="UC384" s="723"/>
      <c r="UD384" s="723"/>
      <c r="UE384" s="723"/>
      <c r="UF384" s="723"/>
      <c r="UG384" s="723"/>
      <c r="UH384" s="723"/>
      <c r="UI384" s="723"/>
      <c r="UJ384" s="723"/>
      <c r="UK384" s="723"/>
      <c r="UL384" s="723"/>
      <c r="UM384" s="723"/>
      <c r="UN384" s="723"/>
      <c r="UO384" s="723"/>
      <c r="UP384" s="723"/>
      <c r="UQ384" s="723"/>
      <c r="UR384" s="723"/>
      <c r="US384" s="723"/>
      <c r="UT384" s="723"/>
      <c r="UU384" s="723"/>
      <c r="UV384" s="723"/>
      <c r="UW384" s="723"/>
      <c r="UX384" s="723"/>
      <c r="UY384" s="723"/>
      <c r="UZ384" s="723"/>
      <c r="VA384" s="723"/>
      <c r="VB384" s="723"/>
      <c r="VC384" s="723"/>
      <c r="VD384" s="723"/>
      <c r="VE384" s="723"/>
      <c r="VF384" s="723"/>
      <c r="VG384" s="723"/>
      <c r="VH384" s="723"/>
      <c r="VI384" s="723"/>
      <c r="VJ384" s="723"/>
      <c r="VK384" s="723"/>
      <c r="VL384" s="723"/>
      <c r="VM384" s="723"/>
      <c r="VN384" s="723"/>
      <c r="VO384" s="723"/>
      <c r="VP384" s="723"/>
      <c r="VQ384" s="723"/>
      <c r="VR384" s="723"/>
      <c r="VS384" s="723"/>
      <c r="VT384" s="723"/>
      <c r="VU384" s="723"/>
      <c r="VV384" s="723"/>
      <c r="VW384" s="723"/>
      <c r="VX384" s="723"/>
      <c r="VY384" s="723"/>
      <c r="VZ384" s="723"/>
      <c r="WA384" s="723"/>
      <c r="WB384" s="723"/>
      <c r="WC384" s="723"/>
      <c r="WD384" s="723"/>
      <c r="WE384" s="723"/>
      <c r="WF384" s="723"/>
      <c r="WG384" s="723"/>
      <c r="WH384" s="723"/>
      <c r="WI384" s="723"/>
      <c r="WJ384" s="723"/>
      <c r="WK384" s="723"/>
      <c r="WL384" s="723"/>
      <c r="WM384" s="723"/>
      <c r="WN384" s="723"/>
      <c r="WO384" s="723"/>
      <c r="WP384" s="723"/>
      <c r="WQ384" s="723"/>
      <c r="WR384" s="723"/>
      <c r="WS384" s="723"/>
      <c r="WT384" s="723"/>
      <c r="WU384" s="723"/>
      <c r="WV384" s="723"/>
      <c r="WW384" s="723"/>
      <c r="WX384" s="723"/>
      <c r="WY384" s="723"/>
      <c r="WZ384" s="723"/>
      <c r="XA384" s="723"/>
      <c r="XB384" s="723"/>
      <c r="XC384" s="723"/>
      <c r="XD384" s="723"/>
      <c r="XE384" s="723"/>
      <c r="XF384" s="723"/>
      <c r="XG384" s="723"/>
      <c r="XH384" s="723"/>
      <c r="XI384" s="723"/>
      <c r="XJ384" s="723"/>
      <c r="XK384" s="723"/>
      <c r="XL384" s="723"/>
      <c r="XM384" s="723"/>
      <c r="XN384" s="723"/>
      <c r="XO384" s="723"/>
      <c r="XP384" s="723"/>
      <c r="XQ384" s="723"/>
      <c r="XR384" s="723"/>
      <c r="XS384" s="723"/>
      <c r="XT384" s="723"/>
      <c r="XU384" s="723"/>
      <c r="XV384" s="723"/>
      <c r="XW384" s="723"/>
      <c r="XX384" s="723"/>
      <c r="XY384" s="723"/>
      <c r="XZ384" s="723"/>
      <c r="YA384" s="723"/>
      <c r="YB384" s="723"/>
      <c r="YC384" s="723"/>
      <c r="YD384" s="723"/>
      <c r="YE384" s="723"/>
      <c r="YF384" s="723"/>
      <c r="YG384" s="723"/>
      <c r="YH384" s="723"/>
      <c r="YI384" s="723"/>
      <c r="YJ384" s="723"/>
      <c r="YK384" s="723"/>
      <c r="YL384" s="723"/>
      <c r="YM384" s="723"/>
      <c r="YN384" s="723"/>
      <c r="YO384" s="723"/>
      <c r="YP384" s="723"/>
      <c r="YQ384" s="723"/>
      <c r="YR384" s="723"/>
      <c r="YS384" s="723"/>
      <c r="YT384" s="723"/>
      <c r="YU384" s="723"/>
      <c r="YV384" s="723"/>
      <c r="YW384" s="723"/>
      <c r="YX384" s="723"/>
      <c r="YY384" s="723"/>
      <c r="YZ384" s="723"/>
      <c r="ZA384" s="723"/>
      <c r="ZB384" s="723"/>
      <c r="ZC384" s="723"/>
      <c r="ZD384" s="723"/>
      <c r="ZE384" s="723"/>
      <c r="ZF384" s="723"/>
      <c r="ZG384" s="723"/>
      <c r="ZH384" s="723"/>
      <c r="ZI384" s="723"/>
      <c r="ZJ384" s="723"/>
      <c r="ZK384" s="723"/>
      <c r="ZL384" s="723"/>
      <c r="ZM384" s="723"/>
      <c r="ZN384" s="723"/>
      <c r="ZO384" s="723"/>
      <c r="ZP384" s="723"/>
      <c r="ZQ384" s="723"/>
      <c r="ZR384" s="723"/>
      <c r="ZS384" s="723"/>
      <c r="ZT384" s="723"/>
      <c r="ZU384" s="723"/>
      <c r="ZV384" s="723"/>
      <c r="ZW384" s="723"/>
      <c r="ZX384" s="723"/>
      <c r="ZY384" s="723"/>
      <c r="ZZ384" s="723"/>
      <c r="AAA384" s="723"/>
      <c r="AAB384" s="723"/>
      <c r="AAC384" s="723"/>
      <c r="AAD384" s="723"/>
      <c r="AAE384" s="723"/>
      <c r="AAF384" s="723"/>
      <c r="AAG384" s="723"/>
      <c r="AAH384" s="723"/>
      <c r="AAI384" s="723"/>
      <c r="AAJ384" s="723"/>
      <c r="AAK384" s="723"/>
      <c r="AAL384" s="723"/>
      <c r="AAM384" s="723"/>
      <c r="AAN384" s="723"/>
      <c r="AAO384" s="723"/>
      <c r="AAP384" s="723"/>
      <c r="AAQ384" s="723"/>
      <c r="AAR384" s="723"/>
      <c r="AAS384" s="723"/>
      <c r="AAT384" s="723"/>
      <c r="AAU384" s="723"/>
      <c r="AAV384" s="723"/>
      <c r="AAW384" s="723"/>
      <c r="AAX384" s="723"/>
      <c r="AAY384" s="723"/>
      <c r="AAZ384" s="723"/>
      <c r="ABA384" s="723"/>
      <c r="ABB384" s="723"/>
      <c r="ABC384" s="723"/>
      <c r="ABD384" s="723"/>
      <c r="ABE384" s="723"/>
      <c r="ABF384" s="723"/>
      <c r="ABG384" s="723"/>
      <c r="ABH384" s="723"/>
      <c r="ABI384" s="723"/>
      <c r="ABJ384" s="723"/>
      <c r="ABK384" s="723"/>
      <c r="ABL384" s="723"/>
      <c r="ABM384" s="723"/>
      <c r="ABN384" s="723"/>
      <c r="ABO384" s="723"/>
      <c r="ABP384" s="723"/>
      <c r="ABQ384" s="723"/>
      <c r="ABR384" s="723"/>
      <c r="ABS384" s="723"/>
      <c r="ABT384" s="723"/>
      <c r="ABU384" s="723"/>
      <c r="ABV384" s="723"/>
      <c r="ABW384" s="723"/>
      <c r="ABX384" s="723"/>
      <c r="ABY384" s="723"/>
      <c r="ABZ384" s="723"/>
      <c r="ACA384" s="723"/>
      <c r="ACB384" s="723"/>
      <c r="ACC384" s="723"/>
      <c r="ACD384" s="723"/>
      <c r="ACE384" s="723"/>
      <c r="ACF384" s="723"/>
      <c r="ACG384" s="723"/>
      <c r="ACH384" s="723"/>
      <c r="ACI384" s="723"/>
      <c r="ACJ384" s="723"/>
      <c r="ACK384" s="723"/>
      <c r="ACL384" s="723"/>
      <c r="ACM384" s="723"/>
      <c r="ACN384" s="723"/>
      <c r="ACO384" s="723"/>
      <c r="ACP384" s="723"/>
      <c r="ACQ384" s="723"/>
      <c r="ACR384" s="723"/>
      <c r="ACS384" s="723"/>
      <c r="ACT384" s="723"/>
      <c r="ACU384" s="723"/>
      <c r="ACV384" s="723"/>
      <c r="ACW384" s="723"/>
      <c r="ACX384" s="723"/>
      <c r="ACY384" s="723"/>
      <c r="ACZ384" s="723"/>
      <c r="ADA384" s="723"/>
      <c r="ADB384" s="723"/>
      <c r="ADC384" s="723"/>
      <c r="ADD384" s="723"/>
      <c r="ADE384" s="723"/>
      <c r="ADF384" s="723"/>
      <c r="ADG384" s="723"/>
      <c r="ADH384" s="723"/>
      <c r="ADI384" s="723"/>
      <c r="ADJ384" s="723"/>
      <c r="ADK384" s="723"/>
      <c r="ADL384" s="723"/>
      <c r="ADM384" s="723"/>
      <c r="ADN384" s="723"/>
      <c r="ADO384" s="723"/>
      <c r="ADP384" s="723"/>
      <c r="ADQ384" s="723"/>
      <c r="ADR384" s="723"/>
      <c r="ADS384" s="723"/>
      <c r="ADT384" s="723"/>
      <c r="ADU384" s="723"/>
      <c r="ADV384" s="723"/>
      <c r="ADW384" s="723"/>
      <c r="ADX384" s="723"/>
      <c r="ADY384" s="723"/>
      <c r="ADZ384" s="723"/>
      <c r="AEA384" s="723"/>
      <c r="AEB384" s="723"/>
      <c r="AEC384" s="723"/>
      <c r="AED384" s="723"/>
      <c r="AEE384" s="723"/>
      <c r="AEF384" s="723"/>
      <c r="AEG384" s="723"/>
      <c r="AEH384" s="723"/>
      <c r="AEI384" s="723"/>
      <c r="AEJ384" s="723"/>
      <c r="AEK384" s="723"/>
      <c r="AEL384" s="723"/>
      <c r="AEM384" s="723"/>
      <c r="AEN384" s="723"/>
      <c r="AEO384" s="723"/>
      <c r="AEP384" s="723"/>
      <c r="AEQ384" s="723"/>
      <c r="AER384" s="723"/>
      <c r="AES384" s="723"/>
      <c r="AET384" s="723"/>
      <c r="AEU384" s="723"/>
      <c r="AEV384" s="723"/>
      <c r="AEW384" s="723"/>
      <c r="AEX384" s="723"/>
      <c r="AEY384" s="723"/>
      <c r="AEZ384" s="723"/>
      <c r="AFA384" s="723"/>
      <c r="AFB384" s="723"/>
      <c r="AFC384" s="723"/>
      <c r="AFD384" s="723"/>
      <c r="AFE384" s="723"/>
      <c r="AFF384" s="723"/>
      <c r="AFG384" s="723"/>
      <c r="AFH384" s="723"/>
      <c r="AFI384" s="723"/>
      <c r="AFJ384" s="723"/>
      <c r="AFK384" s="723"/>
      <c r="AFL384" s="723"/>
      <c r="AFM384" s="723"/>
      <c r="AFN384" s="723"/>
      <c r="AFO384" s="723"/>
      <c r="AFP384" s="723"/>
      <c r="AFQ384" s="723"/>
      <c r="AFR384" s="723"/>
      <c r="AFS384" s="723"/>
      <c r="AFT384" s="723"/>
      <c r="AFU384" s="723"/>
      <c r="AFV384" s="723"/>
      <c r="AFW384" s="723"/>
      <c r="AFX384" s="723"/>
      <c r="AFY384" s="723"/>
      <c r="AFZ384" s="723"/>
      <c r="AGA384" s="723"/>
      <c r="AGB384" s="723"/>
      <c r="AGC384" s="723"/>
      <c r="AGD384" s="723"/>
      <c r="AGE384" s="723"/>
      <c r="AGF384" s="723"/>
      <c r="AGG384" s="723"/>
      <c r="AGH384" s="723"/>
      <c r="AGI384" s="723"/>
      <c r="AGJ384" s="723"/>
      <c r="AGK384" s="723"/>
      <c r="AGL384" s="723"/>
      <c r="AGM384" s="723"/>
      <c r="AGN384" s="723"/>
      <c r="AGO384" s="723"/>
      <c r="AGP384" s="723"/>
      <c r="AGQ384" s="723"/>
      <c r="AGR384" s="723"/>
      <c r="AGS384" s="723"/>
      <c r="AGT384" s="723"/>
      <c r="AGU384" s="723"/>
      <c r="AGV384" s="723"/>
      <c r="AGW384" s="723"/>
      <c r="AGX384" s="723"/>
      <c r="AGY384" s="723"/>
      <c r="AGZ384" s="723"/>
      <c r="AHA384" s="723"/>
      <c r="AHB384" s="723"/>
      <c r="AHC384" s="723"/>
      <c r="AHD384" s="723"/>
      <c r="AHE384" s="723"/>
      <c r="AHF384" s="723"/>
      <c r="AHG384" s="723"/>
      <c r="AHH384" s="723"/>
      <c r="AHI384" s="723"/>
      <c r="AHJ384" s="723"/>
      <c r="AHK384" s="723"/>
      <c r="AHL384" s="723"/>
      <c r="AHM384" s="723"/>
      <c r="AHN384" s="723"/>
      <c r="AHO384" s="723"/>
      <c r="AHP384" s="723"/>
      <c r="AHQ384" s="723"/>
      <c r="AHR384" s="723"/>
      <c r="AHS384" s="723"/>
      <c r="AHT384" s="723"/>
      <c r="AHU384" s="723"/>
      <c r="AHV384" s="723"/>
      <c r="AHW384" s="723"/>
      <c r="AHX384" s="723"/>
      <c r="AHY384" s="723"/>
      <c r="AHZ384" s="723"/>
      <c r="AIA384" s="723"/>
      <c r="AIB384" s="723"/>
      <c r="AIC384" s="723"/>
      <c r="AID384" s="723"/>
      <c r="AIE384" s="723"/>
      <c r="AIF384" s="723"/>
      <c r="AIG384" s="723"/>
      <c r="AIH384" s="723"/>
      <c r="AII384" s="723"/>
      <c r="AIJ384" s="723"/>
      <c r="AIK384" s="723"/>
      <c r="AIL384" s="723"/>
      <c r="AIM384" s="723"/>
      <c r="AIN384" s="723"/>
      <c r="AIO384" s="723"/>
      <c r="AIP384" s="723"/>
      <c r="AIQ384" s="723"/>
      <c r="AIR384" s="723"/>
      <c r="AIS384" s="723"/>
      <c r="AIT384" s="723"/>
      <c r="AIU384" s="723"/>
      <c r="AIV384" s="723"/>
      <c r="AIW384" s="723"/>
      <c r="AIX384" s="723"/>
      <c r="AIY384" s="723"/>
      <c r="AIZ384" s="723"/>
      <c r="AJA384" s="723"/>
      <c r="AJB384" s="723"/>
      <c r="AJC384" s="723"/>
      <c r="AJD384" s="723"/>
      <c r="AJE384" s="723"/>
      <c r="AJF384" s="723"/>
      <c r="AJG384" s="723"/>
      <c r="AJH384" s="723"/>
      <c r="AJI384" s="723"/>
      <c r="AJJ384" s="723"/>
      <c r="AJK384" s="723"/>
      <c r="AJL384" s="723"/>
      <c r="AJM384" s="723"/>
      <c r="AJN384" s="723"/>
      <c r="AJO384" s="723"/>
      <c r="AJP384" s="723"/>
      <c r="AJQ384" s="723"/>
      <c r="AJR384" s="723"/>
      <c r="AJS384" s="723"/>
      <c r="AJT384" s="723"/>
      <c r="AJU384" s="723"/>
      <c r="AJV384" s="723"/>
      <c r="AJW384" s="723"/>
      <c r="AJX384" s="723"/>
      <c r="AJY384" s="723"/>
      <c r="AJZ384" s="723"/>
      <c r="AKA384" s="723"/>
      <c r="AKB384" s="723"/>
      <c r="AKC384" s="723"/>
      <c r="AKD384" s="723"/>
      <c r="AKE384" s="723"/>
      <c r="AKF384" s="723"/>
      <c r="AKG384" s="723"/>
      <c r="AKH384" s="723"/>
      <c r="AKI384" s="723"/>
      <c r="AKJ384" s="723"/>
      <c r="AKK384" s="723"/>
      <c r="AKL384" s="723"/>
      <c r="AKM384" s="723"/>
      <c r="AKN384" s="723"/>
      <c r="AKO384" s="723"/>
      <c r="AKP384" s="723"/>
      <c r="AKQ384" s="723"/>
      <c r="AKR384" s="723"/>
      <c r="AKS384" s="723"/>
      <c r="AKT384" s="723"/>
      <c r="AKU384" s="723"/>
      <c r="AKV384" s="723"/>
      <c r="AKW384" s="723"/>
      <c r="AKX384" s="723"/>
      <c r="AKY384" s="723"/>
      <c r="AKZ384" s="723"/>
      <c r="ALA384" s="723"/>
      <c r="ALB384" s="723"/>
      <c r="ALC384" s="723"/>
      <c r="ALD384" s="723"/>
      <c r="ALE384" s="723"/>
      <c r="ALF384" s="723"/>
      <c r="ALG384" s="723"/>
      <c r="ALH384" s="723"/>
      <c r="ALI384" s="723"/>
      <c r="ALJ384" s="723"/>
      <c r="ALK384" s="723"/>
      <c r="ALL384" s="723"/>
      <c r="ALM384" s="723"/>
      <c r="ALN384" s="723"/>
      <c r="ALO384" s="723"/>
      <c r="ALP384" s="723"/>
      <c r="ALQ384" s="723"/>
      <c r="ALR384" s="723"/>
      <c r="ALS384" s="723"/>
      <c r="ALT384" s="723"/>
      <c r="ALU384" s="723"/>
      <c r="ALV384" s="723"/>
      <c r="ALW384" s="723"/>
      <c r="ALX384" s="723"/>
      <c r="ALY384" s="723"/>
      <c r="ALZ384" s="723"/>
      <c r="AMA384" s="723"/>
      <c r="AMB384" s="723"/>
      <c r="AMC384" s="723"/>
      <c r="AMD384" s="723"/>
      <c r="AME384" s="723"/>
      <c r="AMF384" s="723"/>
      <c r="AMG384" s="723"/>
      <c r="AMH384" s="723"/>
      <c r="AMI384" s="723"/>
      <c r="AMJ384" s="723"/>
      <c r="AMK384" s="723"/>
      <c r="AML384" s="723"/>
      <c r="AMM384" s="723"/>
      <c r="AMN384" s="723"/>
      <c r="AMO384" s="723"/>
      <c r="AMP384" s="723"/>
      <c r="AMQ384" s="723"/>
      <c r="AMR384" s="723"/>
      <c r="AMS384" s="723"/>
      <c r="AMT384" s="723"/>
      <c r="AMU384" s="723"/>
      <c r="AMV384" s="723"/>
      <c r="AMW384" s="723"/>
      <c r="AMX384" s="723"/>
      <c r="AMY384" s="723"/>
      <c r="AMZ384" s="723"/>
      <c r="ANA384" s="723"/>
      <c r="ANB384" s="723"/>
      <c r="ANC384" s="723"/>
      <c r="AND384" s="723"/>
      <c r="ANE384" s="723"/>
      <c r="ANF384" s="723"/>
      <c r="ANG384" s="723"/>
      <c r="ANH384" s="723"/>
      <c r="ANI384" s="723"/>
      <c r="ANJ384" s="723"/>
      <c r="ANK384" s="723"/>
      <c r="ANL384" s="723"/>
      <c r="ANM384" s="723"/>
      <c r="ANN384" s="723"/>
      <c r="ANO384" s="723"/>
      <c r="ANP384" s="723"/>
      <c r="ANQ384" s="723"/>
      <c r="ANR384" s="723"/>
      <c r="ANS384" s="723"/>
      <c r="ANT384" s="723"/>
      <c r="ANU384" s="723"/>
      <c r="ANV384" s="723"/>
      <c r="ANW384" s="723"/>
      <c r="ANX384" s="723"/>
      <c r="ANY384" s="723"/>
      <c r="ANZ384" s="723"/>
      <c r="AOA384" s="723"/>
      <c r="AOB384" s="723"/>
      <c r="AOC384" s="723"/>
      <c r="AOD384" s="723"/>
      <c r="AOE384" s="723"/>
      <c r="AOF384" s="723"/>
      <c r="AOG384" s="723"/>
      <c r="AOH384" s="723"/>
      <c r="AOI384" s="723"/>
      <c r="AOJ384" s="723"/>
      <c r="AOK384" s="723"/>
      <c r="AOL384" s="723"/>
      <c r="AOM384" s="723"/>
      <c r="AON384" s="723"/>
      <c r="AOO384" s="723"/>
      <c r="AOP384" s="723"/>
      <c r="AOQ384" s="723"/>
      <c r="AOR384" s="723"/>
      <c r="AOS384" s="723"/>
      <c r="AOT384" s="723"/>
      <c r="AOU384" s="723"/>
      <c r="AOV384" s="723"/>
      <c r="AOW384" s="723"/>
      <c r="AOX384" s="723"/>
      <c r="AOY384" s="723"/>
      <c r="AOZ384" s="723"/>
      <c r="APA384" s="723"/>
      <c r="APB384" s="723"/>
      <c r="APC384" s="723"/>
      <c r="APD384" s="723"/>
      <c r="APE384" s="723"/>
      <c r="APF384" s="723"/>
      <c r="APG384" s="723"/>
      <c r="APH384" s="723"/>
      <c r="API384" s="723"/>
      <c r="APJ384" s="723"/>
      <c r="APK384" s="723"/>
      <c r="APL384" s="723"/>
      <c r="APM384" s="723"/>
      <c r="APN384" s="723"/>
      <c r="APO384" s="723"/>
      <c r="APP384" s="723"/>
      <c r="APQ384" s="723"/>
      <c r="APR384" s="723"/>
      <c r="APS384" s="723"/>
      <c r="APT384" s="723"/>
      <c r="APU384" s="723"/>
      <c r="APV384" s="723"/>
      <c r="APW384" s="723"/>
      <c r="APX384" s="723"/>
      <c r="APY384" s="723"/>
      <c r="APZ384" s="723"/>
      <c r="AQA384" s="723"/>
      <c r="AQB384" s="723"/>
      <c r="AQC384" s="723"/>
      <c r="AQD384" s="723"/>
      <c r="AQE384" s="723"/>
      <c r="AQF384" s="723"/>
      <c r="AQG384" s="723"/>
      <c r="AQH384" s="723"/>
      <c r="AQI384" s="723"/>
      <c r="AQJ384" s="723"/>
      <c r="AQK384" s="723"/>
      <c r="AQL384" s="723"/>
      <c r="AQM384" s="723"/>
      <c r="AQN384" s="723"/>
      <c r="AQO384" s="723"/>
      <c r="AQP384" s="723"/>
      <c r="AQQ384" s="723"/>
      <c r="AQR384" s="723"/>
      <c r="AQS384" s="723"/>
      <c r="AQT384" s="723"/>
      <c r="AQU384" s="723"/>
      <c r="AQV384" s="723"/>
      <c r="AQW384" s="723"/>
      <c r="AQX384" s="723"/>
      <c r="AQY384" s="723"/>
      <c r="AQZ384" s="723"/>
      <c r="ARA384" s="723"/>
      <c r="ARB384" s="723"/>
      <c r="ARC384" s="723"/>
      <c r="ARD384" s="723"/>
      <c r="ARE384" s="723"/>
      <c r="ARF384" s="723"/>
      <c r="ARG384" s="723"/>
      <c r="ARH384" s="723"/>
      <c r="ARI384" s="723"/>
      <c r="ARJ384" s="723"/>
      <c r="ARK384" s="723"/>
      <c r="ARL384" s="723"/>
      <c r="ARM384" s="723"/>
      <c r="ARN384" s="723"/>
      <c r="ARO384" s="723"/>
      <c r="ARP384" s="723"/>
      <c r="ARQ384" s="723"/>
      <c r="ARR384" s="723"/>
      <c r="ARS384" s="723"/>
      <c r="ART384" s="723"/>
      <c r="ARU384" s="723"/>
      <c r="ARV384" s="723"/>
      <c r="ARW384" s="723"/>
      <c r="ARX384" s="723"/>
      <c r="ARY384" s="723"/>
      <c r="ARZ384" s="723"/>
      <c r="ASA384" s="723"/>
      <c r="ASB384" s="723"/>
      <c r="ASC384" s="723"/>
      <c r="ASD384" s="723"/>
      <c r="ASE384" s="723"/>
      <c r="ASF384" s="723"/>
      <c r="ASG384" s="723"/>
      <c r="ASH384" s="723"/>
      <c r="ASI384" s="723"/>
      <c r="ASJ384" s="723"/>
      <c r="ASK384" s="723"/>
      <c r="ASL384" s="723"/>
      <c r="ASM384" s="723"/>
      <c r="ASN384" s="723"/>
      <c r="ASO384" s="723"/>
      <c r="ASP384" s="723"/>
      <c r="ASQ384" s="723"/>
      <c r="ASR384" s="723"/>
      <c r="ASS384" s="723"/>
      <c r="AST384" s="723"/>
      <c r="ASU384" s="723"/>
      <c r="ASV384" s="723"/>
      <c r="ASW384" s="723"/>
      <c r="ASX384" s="723"/>
      <c r="ASY384" s="723"/>
      <c r="ASZ384" s="723"/>
      <c r="ATA384" s="723"/>
      <c r="ATB384" s="723"/>
      <c r="ATC384" s="723"/>
      <c r="ATD384" s="723"/>
      <c r="ATE384" s="723"/>
      <c r="ATF384" s="723"/>
      <c r="ATG384" s="723"/>
      <c r="ATH384" s="723"/>
      <c r="ATI384" s="723"/>
      <c r="ATJ384" s="723"/>
      <c r="ATK384" s="723"/>
      <c r="ATL384" s="723"/>
      <c r="ATM384" s="723"/>
      <c r="ATN384" s="723"/>
      <c r="ATO384" s="723"/>
      <c r="ATP384" s="723"/>
      <c r="ATQ384" s="723"/>
      <c r="ATR384" s="723"/>
      <c r="ATS384" s="723"/>
      <c r="ATT384" s="723"/>
      <c r="ATU384" s="723"/>
      <c r="ATV384" s="723"/>
      <c r="ATW384" s="723"/>
      <c r="ATX384" s="723"/>
      <c r="ATY384" s="723"/>
      <c r="ATZ384" s="723"/>
      <c r="AUA384" s="723"/>
      <c r="AUB384" s="723"/>
      <c r="AUC384" s="723"/>
      <c r="AUD384" s="723"/>
      <c r="AUE384" s="723"/>
      <c r="AUF384" s="723"/>
      <c r="AUG384" s="723"/>
      <c r="AUH384" s="723"/>
      <c r="AUI384" s="723"/>
      <c r="AUJ384" s="723"/>
      <c r="AUK384" s="723"/>
      <c r="AUL384" s="723"/>
      <c r="AUM384" s="723"/>
      <c r="AUN384" s="723"/>
      <c r="AUO384" s="723"/>
      <c r="AUP384" s="723"/>
      <c r="AUQ384" s="723"/>
      <c r="AUR384" s="723"/>
      <c r="AUS384" s="723"/>
      <c r="AUT384" s="723"/>
      <c r="AUU384" s="723"/>
      <c r="AUV384" s="723"/>
      <c r="AUW384" s="723"/>
      <c r="AUX384" s="723"/>
      <c r="AUY384" s="723"/>
      <c r="AUZ384" s="723"/>
      <c r="AVA384" s="723"/>
      <c r="AVB384" s="723"/>
      <c r="AVC384" s="723"/>
      <c r="AVD384" s="723"/>
      <c r="AVE384" s="723"/>
      <c r="AVF384" s="723"/>
      <c r="AVG384" s="723"/>
      <c r="AVH384" s="723"/>
      <c r="AVI384" s="723"/>
      <c r="AVJ384" s="723"/>
      <c r="AVK384" s="723"/>
      <c r="AVL384" s="723"/>
      <c r="AVM384" s="723"/>
      <c r="AVN384" s="723"/>
      <c r="AVO384" s="723"/>
      <c r="AVP384" s="723"/>
      <c r="AVQ384" s="723"/>
      <c r="AVR384" s="723"/>
      <c r="AVS384" s="723"/>
      <c r="AVT384" s="723"/>
      <c r="AVU384" s="723"/>
      <c r="AVV384" s="723"/>
      <c r="AVW384" s="723"/>
      <c r="AVX384" s="723"/>
      <c r="AVY384" s="723"/>
      <c r="AVZ384" s="723"/>
      <c r="AWA384" s="723"/>
      <c r="AWB384" s="723"/>
      <c r="AWC384" s="723"/>
      <c r="AWD384" s="723"/>
      <c r="AWE384" s="723"/>
      <c r="AWF384" s="723"/>
      <c r="AWG384" s="723"/>
      <c r="AWH384" s="723"/>
      <c r="AWI384" s="723"/>
      <c r="AWJ384" s="723"/>
      <c r="AWK384" s="723"/>
      <c r="AWL384" s="723"/>
      <c r="AWM384" s="723"/>
      <c r="AWN384" s="723"/>
      <c r="AWO384" s="723"/>
      <c r="AWP384" s="723"/>
      <c r="AWQ384" s="723"/>
      <c r="AWR384" s="723"/>
      <c r="AWS384" s="723"/>
      <c r="AWT384" s="723"/>
      <c r="AWU384" s="723"/>
      <c r="AWV384" s="723"/>
      <c r="AWW384" s="723"/>
      <c r="AWX384" s="723"/>
      <c r="AWY384" s="723"/>
      <c r="AWZ384" s="723"/>
      <c r="AXA384" s="723"/>
      <c r="AXB384" s="723"/>
      <c r="AXC384" s="723"/>
      <c r="AXD384" s="723"/>
      <c r="AXE384" s="723"/>
      <c r="AXF384" s="723"/>
      <c r="AXG384" s="723"/>
      <c r="AXH384" s="723"/>
      <c r="AXI384" s="723"/>
      <c r="AXJ384" s="723"/>
      <c r="AXK384" s="723"/>
      <c r="AXL384" s="723"/>
      <c r="AXM384" s="723"/>
      <c r="AXN384" s="723"/>
      <c r="AXO384" s="723"/>
      <c r="AXP384" s="723"/>
      <c r="AXQ384" s="723"/>
      <c r="AXR384" s="723"/>
      <c r="AXS384" s="723"/>
      <c r="AXT384" s="723"/>
      <c r="AXU384" s="723"/>
      <c r="AXV384" s="723"/>
      <c r="AXW384" s="723"/>
      <c r="AXX384" s="723"/>
      <c r="AXY384" s="723"/>
      <c r="AXZ384" s="723"/>
      <c r="AYA384" s="723"/>
      <c r="AYB384" s="723"/>
      <c r="AYC384" s="723"/>
      <c r="AYD384" s="723"/>
      <c r="AYE384" s="723"/>
      <c r="AYF384" s="723"/>
      <c r="AYG384" s="723"/>
      <c r="AYH384" s="723"/>
      <c r="AYI384" s="723"/>
      <c r="AYJ384" s="723"/>
      <c r="AYK384" s="723"/>
      <c r="AYL384" s="723"/>
      <c r="AYM384" s="723"/>
      <c r="AYN384" s="723"/>
      <c r="AYO384" s="723"/>
      <c r="AYP384" s="723"/>
      <c r="AYQ384" s="723"/>
      <c r="AYR384" s="723"/>
      <c r="AYS384" s="723"/>
      <c r="AYT384" s="723"/>
      <c r="AYU384" s="723"/>
      <c r="AYV384" s="723"/>
      <c r="AYW384" s="723"/>
      <c r="AYX384" s="723"/>
      <c r="AYY384" s="723"/>
      <c r="AYZ384" s="723"/>
      <c r="AZA384" s="723"/>
      <c r="AZB384" s="723"/>
      <c r="AZC384" s="723"/>
      <c r="AZD384" s="723"/>
      <c r="AZE384" s="723"/>
      <c r="AZF384" s="723"/>
      <c r="AZG384" s="723"/>
      <c r="AZH384" s="723"/>
      <c r="AZI384" s="723"/>
      <c r="AZJ384" s="723"/>
      <c r="AZK384" s="723"/>
      <c r="AZL384" s="723"/>
      <c r="AZM384" s="723"/>
      <c r="AZN384" s="723"/>
      <c r="AZO384" s="723"/>
      <c r="AZP384" s="723"/>
      <c r="AZQ384" s="723"/>
      <c r="AZR384" s="723"/>
      <c r="AZS384" s="723"/>
      <c r="AZT384" s="723"/>
      <c r="AZU384" s="723"/>
      <c r="AZV384" s="723"/>
      <c r="AZW384" s="723"/>
      <c r="AZX384" s="723"/>
      <c r="AZY384" s="723"/>
      <c r="AZZ384" s="723"/>
      <c r="BAA384" s="723"/>
      <c r="BAB384" s="723"/>
      <c r="BAC384" s="723"/>
      <c r="BAD384" s="723"/>
      <c r="BAE384" s="723"/>
      <c r="BAF384" s="723"/>
      <c r="BAG384" s="723"/>
      <c r="BAH384" s="723"/>
      <c r="BAI384" s="723"/>
      <c r="BAJ384" s="723"/>
      <c r="BAK384" s="723"/>
      <c r="BAL384" s="723"/>
      <c r="BAM384" s="723"/>
      <c r="BAN384" s="723"/>
      <c r="BAO384" s="723"/>
      <c r="BAP384" s="723"/>
      <c r="BAQ384" s="723"/>
      <c r="BAR384" s="723"/>
      <c r="BAS384" s="723"/>
      <c r="BAT384" s="723"/>
      <c r="BAU384" s="723"/>
      <c r="BAV384" s="723"/>
      <c r="BAW384" s="723"/>
      <c r="BAX384" s="723"/>
      <c r="BAY384" s="723"/>
      <c r="BAZ384" s="723"/>
      <c r="BBA384" s="723"/>
      <c r="BBB384" s="723"/>
      <c r="BBC384" s="723"/>
      <c r="BBD384" s="723"/>
      <c r="BBE384" s="723"/>
      <c r="BBF384" s="723"/>
      <c r="BBG384" s="723"/>
      <c r="BBH384" s="723"/>
      <c r="BBI384" s="723"/>
      <c r="BBJ384" s="723"/>
      <c r="BBK384" s="723"/>
      <c r="BBL384" s="723"/>
      <c r="BBM384" s="723"/>
      <c r="BBN384" s="723"/>
      <c r="BBO384" s="723"/>
      <c r="BBP384" s="723"/>
      <c r="BBQ384" s="723"/>
      <c r="BBR384" s="723"/>
      <c r="BBS384" s="723"/>
      <c r="BBT384" s="723"/>
      <c r="BBU384" s="723"/>
      <c r="BBV384" s="723"/>
      <c r="BBW384" s="723"/>
      <c r="BBX384" s="723"/>
      <c r="BBY384" s="723"/>
      <c r="BBZ384" s="723"/>
      <c r="BCA384" s="723"/>
      <c r="BCB384" s="723"/>
      <c r="BCC384" s="723"/>
      <c r="BCD384" s="723"/>
      <c r="BCE384" s="723"/>
      <c r="BCF384" s="723"/>
      <c r="BCG384" s="723"/>
      <c r="BCH384" s="723"/>
      <c r="BCI384" s="723"/>
      <c r="BCJ384" s="723"/>
      <c r="BCK384" s="723"/>
      <c r="BCL384" s="723"/>
      <c r="BCM384" s="723"/>
      <c r="BCN384" s="723"/>
      <c r="BCO384" s="723"/>
      <c r="BCP384" s="723"/>
      <c r="BCQ384" s="723"/>
      <c r="BCR384" s="723"/>
      <c r="BCS384" s="723"/>
      <c r="BCT384" s="723"/>
      <c r="BCU384" s="723"/>
      <c r="BCV384" s="723"/>
      <c r="BCW384" s="723"/>
      <c r="BCX384" s="723"/>
      <c r="BCY384" s="723"/>
      <c r="BCZ384" s="723"/>
      <c r="BDA384" s="723"/>
      <c r="BDB384" s="723"/>
      <c r="BDC384" s="723"/>
      <c r="BDD384" s="723"/>
      <c r="BDE384" s="723"/>
      <c r="BDF384" s="723"/>
      <c r="BDG384" s="723"/>
      <c r="BDH384" s="723"/>
      <c r="BDI384" s="723"/>
      <c r="BDJ384" s="723"/>
      <c r="BDK384" s="723"/>
      <c r="BDL384" s="723"/>
      <c r="BDM384" s="723"/>
      <c r="BDN384" s="723"/>
      <c r="BDO384" s="723"/>
      <c r="BDP384" s="723"/>
      <c r="BDQ384" s="723"/>
      <c r="BDR384" s="723"/>
      <c r="BDS384" s="723"/>
      <c r="BDT384" s="723"/>
      <c r="BDU384" s="723"/>
      <c r="BDV384" s="723"/>
      <c r="BDW384" s="723"/>
      <c r="BDX384" s="723"/>
      <c r="BDY384" s="723"/>
      <c r="BDZ384" s="723"/>
      <c r="BEA384" s="723"/>
      <c r="BEB384" s="723"/>
      <c r="BEC384" s="723"/>
      <c r="BED384" s="723"/>
      <c r="BEE384" s="723"/>
      <c r="BEF384" s="723"/>
      <c r="BEG384" s="723"/>
      <c r="BEH384" s="723"/>
      <c r="BEI384" s="723"/>
      <c r="BEJ384" s="723"/>
      <c r="BEK384" s="723"/>
      <c r="BEL384" s="723"/>
      <c r="BEM384" s="723"/>
      <c r="BEN384" s="723"/>
      <c r="BEO384" s="723"/>
      <c r="BEP384" s="723"/>
      <c r="BEQ384" s="723"/>
      <c r="BER384" s="723"/>
      <c r="BES384" s="723"/>
      <c r="BET384" s="723"/>
      <c r="BEU384" s="723"/>
      <c r="BEV384" s="723"/>
      <c r="BEW384" s="723"/>
      <c r="BEX384" s="723"/>
      <c r="BEY384" s="723"/>
      <c r="BEZ384" s="723"/>
      <c r="BFA384" s="723"/>
      <c r="BFB384" s="723"/>
      <c r="BFC384" s="723"/>
      <c r="BFD384" s="723"/>
      <c r="BFE384" s="723"/>
      <c r="BFF384" s="723"/>
      <c r="BFG384" s="723"/>
      <c r="BFH384" s="723"/>
      <c r="BFI384" s="723"/>
      <c r="BFJ384" s="723"/>
      <c r="BFK384" s="723"/>
      <c r="BFL384" s="723"/>
      <c r="BFM384" s="723"/>
      <c r="BFN384" s="723"/>
      <c r="BFO384" s="723"/>
      <c r="BFP384" s="723"/>
      <c r="BFQ384" s="723"/>
      <c r="BFR384" s="723"/>
      <c r="BFS384" s="723"/>
      <c r="BFT384" s="723"/>
      <c r="BFU384" s="723"/>
      <c r="BFV384" s="723"/>
      <c r="BFW384" s="723"/>
      <c r="BFX384" s="723"/>
      <c r="BFY384" s="723"/>
      <c r="BFZ384" s="723"/>
      <c r="BGA384" s="723"/>
      <c r="BGB384" s="723"/>
      <c r="BGC384" s="723"/>
      <c r="BGD384" s="723"/>
      <c r="BGE384" s="723"/>
      <c r="BGF384" s="723"/>
      <c r="BGG384" s="723"/>
      <c r="BGH384" s="723"/>
      <c r="BGI384" s="723"/>
      <c r="BGJ384" s="723"/>
      <c r="BGK384" s="723"/>
      <c r="BGL384" s="723"/>
      <c r="BGM384" s="723"/>
      <c r="BGN384" s="723"/>
      <c r="BGO384" s="723"/>
      <c r="BGP384" s="723"/>
      <c r="BGQ384" s="723"/>
      <c r="BGR384" s="723"/>
      <c r="BGS384" s="723"/>
      <c r="BGT384" s="723"/>
      <c r="BGU384" s="723"/>
      <c r="BGV384" s="723"/>
      <c r="BGW384" s="723"/>
      <c r="BGX384" s="723"/>
      <c r="BGY384" s="723"/>
      <c r="BGZ384" s="723"/>
      <c r="BHA384" s="723"/>
      <c r="BHB384" s="723"/>
      <c r="BHC384" s="723"/>
      <c r="BHD384" s="723"/>
      <c r="BHE384" s="723"/>
      <c r="BHF384" s="723"/>
      <c r="BHG384" s="723"/>
      <c r="BHH384" s="723"/>
      <c r="BHI384" s="723"/>
      <c r="BHJ384" s="723"/>
      <c r="BHK384" s="723"/>
      <c r="BHL384" s="723"/>
      <c r="BHM384" s="723"/>
      <c r="BHN384" s="723"/>
      <c r="BHO384" s="723"/>
      <c r="BHP384" s="723"/>
      <c r="BHQ384" s="723"/>
      <c r="BHR384" s="723"/>
      <c r="BHS384" s="723"/>
      <c r="BHT384" s="723"/>
      <c r="BHU384" s="723"/>
      <c r="BHV384" s="723"/>
      <c r="BHW384" s="723"/>
      <c r="BHX384" s="723"/>
      <c r="BHY384" s="723"/>
      <c r="BHZ384" s="723"/>
      <c r="BIA384" s="723"/>
      <c r="BIB384" s="723"/>
      <c r="BIC384" s="723"/>
      <c r="BID384" s="723"/>
      <c r="BIE384" s="723"/>
      <c r="BIF384" s="723"/>
      <c r="BIG384" s="723"/>
      <c r="BIH384" s="723"/>
      <c r="BII384" s="723"/>
      <c r="BIJ384" s="723"/>
      <c r="BIK384" s="723"/>
      <c r="BIL384" s="723"/>
      <c r="BIM384" s="723"/>
      <c r="BIN384" s="723"/>
      <c r="BIO384" s="723"/>
      <c r="BIP384" s="723"/>
      <c r="BIQ384" s="723"/>
      <c r="BIR384" s="723"/>
      <c r="BIS384" s="723"/>
      <c r="BIT384" s="723"/>
      <c r="BIU384" s="723"/>
      <c r="BIV384" s="723"/>
      <c r="BIW384" s="723"/>
      <c r="BIX384" s="723"/>
      <c r="BIY384" s="723"/>
      <c r="BIZ384" s="723"/>
      <c r="BJA384" s="723"/>
      <c r="BJB384" s="723"/>
      <c r="BJC384" s="723"/>
      <c r="BJD384" s="723"/>
      <c r="BJE384" s="723"/>
      <c r="BJF384" s="723"/>
      <c r="BJG384" s="723"/>
      <c r="BJH384" s="723"/>
      <c r="BJI384" s="723"/>
      <c r="BJJ384" s="723"/>
      <c r="BJK384" s="723"/>
      <c r="BJL384" s="723"/>
      <c r="BJM384" s="723"/>
      <c r="BJN384" s="723"/>
      <c r="BJO384" s="723"/>
      <c r="BJP384" s="723"/>
      <c r="BJQ384" s="723"/>
      <c r="BJR384" s="723"/>
      <c r="BJS384" s="723"/>
      <c r="BJT384" s="723"/>
      <c r="BJU384" s="723"/>
      <c r="BJV384" s="723"/>
      <c r="BJW384" s="723"/>
      <c r="BJX384" s="723"/>
      <c r="BJY384" s="723"/>
      <c r="BJZ384" s="723"/>
      <c r="BKA384" s="723"/>
      <c r="BKB384" s="723"/>
      <c r="BKC384" s="723"/>
      <c r="BKD384" s="723"/>
      <c r="BKE384" s="723"/>
      <c r="BKF384" s="723"/>
      <c r="BKG384" s="723"/>
      <c r="BKH384" s="723"/>
      <c r="BKI384" s="723"/>
      <c r="BKJ384" s="723"/>
      <c r="BKK384" s="723"/>
      <c r="BKL384" s="723"/>
      <c r="BKM384" s="723"/>
      <c r="BKN384" s="723"/>
      <c r="BKO384" s="723"/>
      <c r="BKP384" s="723"/>
      <c r="BKQ384" s="723"/>
      <c r="BKR384" s="723"/>
      <c r="BKS384" s="723"/>
      <c r="BKT384" s="723"/>
      <c r="BKU384" s="723"/>
      <c r="BKV384" s="723"/>
      <c r="BKW384" s="723"/>
      <c r="BKX384" s="723"/>
      <c r="BKY384" s="723"/>
      <c r="BKZ384" s="723"/>
      <c r="BLA384" s="723"/>
      <c r="BLB384" s="723"/>
      <c r="BLC384" s="723"/>
      <c r="BLD384" s="723"/>
      <c r="BLE384" s="723"/>
      <c r="BLF384" s="723"/>
      <c r="BLG384" s="723"/>
      <c r="BLH384" s="723"/>
      <c r="BLI384" s="723"/>
      <c r="BLJ384" s="723"/>
      <c r="BLK384" s="723"/>
      <c r="BLL384" s="723"/>
      <c r="BLM384" s="723"/>
      <c r="BLN384" s="723"/>
      <c r="BLO384" s="723"/>
      <c r="BLP384" s="723"/>
      <c r="BLQ384" s="723"/>
      <c r="BLR384" s="723"/>
      <c r="BLS384" s="723"/>
      <c r="BLT384" s="723"/>
      <c r="BLU384" s="723"/>
      <c r="BLV384" s="723"/>
      <c r="BLW384" s="723"/>
      <c r="BLX384" s="723"/>
      <c r="BLY384" s="723"/>
      <c r="BLZ384" s="723"/>
      <c r="BMA384" s="723"/>
      <c r="BMB384" s="723"/>
      <c r="BMC384" s="723"/>
      <c r="BMD384" s="723"/>
      <c r="BME384" s="723"/>
      <c r="BMF384" s="723"/>
      <c r="BMG384" s="723"/>
      <c r="BMH384" s="723"/>
      <c r="BMI384" s="723"/>
      <c r="BMJ384" s="723"/>
      <c r="BMK384" s="723"/>
      <c r="BML384" s="723"/>
      <c r="BMM384" s="723"/>
      <c r="BMN384" s="723"/>
      <c r="BMO384" s="723"/>
      <c r="BMP384" s="723"/>
      <c r="BMQ384" s="723"/>
      <c r="BMR384" s="723"/>
      <c r="BMS384" s="723"/>
      <c r="BMT384" s="723"/>
      <c r="BMU384" s="723"/>
      <c r="BMV384" s="723"/>
      <c r="BMW384" s="723"/>
      <c r="BMX384" s="723"/>
      <c r="BMY384" s="723"/>
      <c r="BMZ384" s="723"/>
      <c r="BNA384" s="723"/>
      <c r="BNB384" s="723"/>
      <c r="BNC384" s="723"/>
      <c r="BND384" s="723"/>
      <c r="BNE384" s="723"/>
      <c r="BNF384" s="723"/>
      <c r="BNG384" s="723"/>
      <c r="BNH384" s="723"/>
      <c r="BNI384" s="723"/>
      <c r="BNJ384" s="723"/>
      <c r="BNK384" s="723"/>
      <c r="BNL384" s="723"/>
      <c r="BNM384" s="723"/>
      <c r="BNN384" s="723"/>
      <c r="BNO384" s="723"/>
      <c r="BNP384" s="723"/>
      <c r="BNQ384" s="723"/>
      <c r="BNR384" s="723"/>
      <c r="BNS384" s="723"/>
      <c r="BNT384" s="723"/>
      <c r="BNU384" s="723"/>
      <c r="BNV384" s="723"/>
      <c r="BNW384" s="723"/>
      <c r="BNX384" s="723"/>
      <c r="BNY384" s="723"/>
      <c r="BNZ384" s="723"/>
      <c r="BOA384" s="723"/>
      <c r="BOB384" s="723"/>
      <c r="BOC384" s="723"/>
      <c r="BOD384" s="723"/>
      <c r="BOE384" s="723"/>
      <c r="BOF384" s="723"/>
      <c r="BOG384" s="723"/>
      <c r="BOH384" s="723"/>
      <c r="BOI384" s="723"/>
      <c r="BOJ384" s="723"/>
      <c r="BOK384" s="723"/>
      <c r="BOL384" s="723"/>
      <c r="BOM384" s="723"/>
      <c r="BON384" s="723"/>
      <c r="BOO384" s="723"/>
      <c r="BOP384" s="723"/>
      <c r="BOQ384" s="723"/>
      <c r="BOR384" s="723"/>
    </row>
    <row r="385" spans="1:18" s="717" customFormat="1" ht="11.25">
      <c r="A385" s="732"/>
      <c r="C385" s="716"/>
      <c r="D385" s="718"/>
      <c r="E385" s="719"/>
      <c r="F385" s="719"/>
      <c r="I385" s="716"/>
      <c r="K385" s="716"/>
      <c r="L385" s="716"/>
      <c r="M385" s="716"/>
      <c r="N385" s="716"/>
      <c r="O385" s="716"/>
      <c r="P385" s="716"/>
      <c r="Q385" s="716"/>
      <c r="R385" s="716"/>
    </row>
    <row r="386" spans="1:18" s="717" customFormat="1" ht="11.25">
      <c r="A386" s="733"/>
      <c r="C386" s="716"/>
      <c r="D386" s="718"/>
      <c r="E386" s="719"/>
      <c r="F386" s="719"/>
      <c r="I386" s="716"/>
      <c r="K386" s="716"/>
      <c r="L386" s="716"/>
      <c r="M386" s="716"/>
      <c r="N386" s="716"/>
      <c r="O386" s="716"/>
      <c r="P386" s="716"/>
      <c r="Q386" s="716"/>
      <c r="R386" s="716"/>
    </row>
    <row r="387" spans="1:18" s="717" customFormat="1" ht="11.25">
      <c r="A387" s="734"/>
      <c r="C387" s="716"/>
      <c r="D387" s="718"/>
      <c r="E387" s="719"/>
      <c r="F387" s="719"/>
      <c r="I387" s="716"/>
      <c r="K387" s="716"/>
      <c r="L387" s="716"/>
      <c r="M387" s="716"/>
      <c r="N387" s="716"/>
      <c r="O387" s="716"/>
      <c r="P387" s="716"/>
      <c r="Q387" s="716"/>
      <c r="R387" s="716"/>
    </row>
    <row r="388" spans="1:18" s="717" customFormat="1" ht="11.25">
      <c r="A388" s="735"/>
      <c r="C388" s="716"/>
      <c r="D388" s="718"/>
      <c r="E388" s="719"/>
      <c r="F388" s="719"/>
      <c r="I388" s="716"/>
      <c r="K388" s="716"/>
      <c r="L388" s="716"/>
      <c r="M388" s="716"/>
      <c r="N388" s="716"/>
      <c r="O388" s="716"/>
      <c r="P388" s="716"/>
      <c r="Q388" s="716"/>
      <c r="R388" s="716"/>
    </row>
    <row r="389" spans="1:18" s="717" customFormat="1" ht="11.25">
      <c r="A389" s="732"/>
      <c r="C389" s="716"/>
      <c r="D389" s="718"/>
      <c r="E389" s="719"/>
      <c r="F389" s="719"/>
      <c r="I389" s="716"/>
      <c r="K389" s="716"/>
      <c r="L389" s="716"/>
      <c r="M389" s="716"/>
      <c r="N389" s="716"/>
      <c r="O389" s="716"/>
      <c r="P389" s="716"/>
      <c r="Q389" s="716"/>
      <c r="R389" s="716"/>
    </row>
    <row r="390" spans="1:18" s="717" customFormat="1" ht="11.25">
      <c r="A390" s="732"/>
      <c r="C390" s="716"/>
      <c r="D390" s="718"/>
      <c r="E390" s="719"/>
      <c r="F390" s="719"/>
      <c r="I390" s="716"/>
      <c r="K390" s="716"/>
      <c r="L390" s="716"/>
      <c r="M390" s="716"/>
      <c r="N390" s="716"/>
      <c r="O390" s="716"/>
      <c r="P390" s="716"/>
      <c r="Q390" s="716"/>
      <c r="R390" s="716"/>
    </row>
    <row r="391" spans="1:18" s="717" customFormat="1" ht="11.25">
      <c r="A391" s="732"/>
      <c r="C391" s="716"/>
      <c r="D391" s="718"/>
      <c r="E391" s="719"/>
      <c r="F391" s="719"/>
      <c r="I391" s="716"/>
      <c r="K391" s="716"/>
      <c r="L391" s="716"/>
      <c r="M391" s="716"/>
      <c r="N391" s="716"/>
      <c r="O391" s="716"/>
      <c r="P391" s="716"/>
      <c r="Q391" s="716"/>
      <c r="R391" s="716"/>
    </row>
    <row r="392" spans="1:18" s="717" customFormat="1" ht="11.25">
      <c r="A392" s="732"/>
      <c r="C392" s="716"/>
      <c r="D392" s="718"/>
      <c r="E392" s="719"/>
      <c r="F392" s="719"/>
      <c r="I392" s="716"/>
      <c r="K392" s="716"/>
      <c r="L392" s="716"/>
      <c r="M392" s="716"/>
      <c r="N392" s="716"/>
      <c r="O392" s="716"/>
      <c r="P392" s="716"/>
      <c r="Q392" s="716"/>
      <c r="R392" s="716"/>
    </row>
    <row r="393" spans="1:18" s="717" customFormat="1" ht="11.25">
      <c r="A393" s="732"/>
      <c r="C393" s="716"/>
      <c r="D393" s="718"/>
      <c r="E393" s="719"/>
      <c r="F393" s="719"/>
      <c r="I393" s="716"/>
      <c r="K393" s="716"/>
      <c r="L393" s="716"/>
      <c r="M393" s="716"/>
      <c r="N393" s="716"/>
      <c r="O393" s="716"/>
      <c r="P393" s="716"/>
      <c r="Q393" s="716"/>
      <c r="R393" s="716"/>
    </row>
    <row r="394" spans="1:18" s="717" customFormat="1" ht="11.25">
      <c r="A394" s="732"/>
      <c r="C394" s="716"/>
      <c r="D394" s="718"/>
      <c r="E394" s="719"/>
      <c r="F394" s="719"/>
      <c r="I394" s="716"/>
      <c r="K394" s="716"/>
      <c r="L394" s="716"/>
      <c r="M394" s="716"/>
      <c r="N394" s="716"/>
      <c r="O394" s="716"/>
      <c r="P394" s="716"/>
      <c r="Q394" s="716"/>
      <c r="R394" s="716"/>
    </row>
    <row r="395" spans="1:18" s="717" customFormat="1" ht="11.25">
      <c r="A395" s="732"/>
      <c r="C395" s="716"/>
      <c r="D395" s="718"/>
      <c r="E395" s="719"/>
      <c r="F395" s="719"/>
      <c r="I395" s="716"/>
      <c r="K395" s="716"/>
      <c r="L395" s="716"/>
      <c r="M395" s="716"/>
      <c r="N395" s="716"/>
      <c r="O395" s="716"/>
      <c r="P395" s="716"/>
      <c r="Q395" s="716"/>
      <c r="R395" s="716"/>
    </row>
    <row r="396" spans="1:18" s="717" customFormat="1" ht="11.25">
      <c r="A396" s="732"/>
      <c r="C396" s="716"/>
      <c r="D396" s="718"/>
      <c r="E396" s="719"/>
      <c r="F396" s="719"/>
      <c r="I396" s="716"/>
      <c r="K396" s="716"/>
      <c r="L396" s="716"/>
      <c r="M396" s="716"/>
      <c r="N396" s="716"/>
      <c r="O396" s="716"/>
      <c r="P396" s="716"/>
      <c r="Q396" s="716"/>
      <c r="R396" s="716"/>
    </row>
    <row r="397" spans="1:18" s="717" customFormat="1" ht="11.25">
      <c r="A397" s="732"/>
      <c r="C397" s="716"/>
      <c r="D397" s="718"/>
      <c r="E397" s="719"/>
      <c r="F397" s="719"/>
      <c r="I397" s="716"/>
      <c r="K397" s="716"/>
      <c r="L397" s="716"/>
      <c r="M397" s="716"/>
      <c r="N397" s="716"/>
      <c r="O397" s="716"/>
      <c r="P397" s="716"/>
      <c r="Q397" s="716"/>
      <c r="R397" s="716"/>
    </row>
    <row r="398" spans="1:18" s="717" customFormat="1" ht="11.25">
      <c r="A398" s="732"/>
      <c r="C398" s="716"/>
      <c r="D398" s="718"/>
      <c r="E398" s="719"/>
      <c r="F398" s="719"/>
      <c r="I398" s="716"/>
      <c r="K398" s="716"/>
      <c r="L398" s="716"/>
      <c r="M398" s="716"/>
      <c r="N398" s="716"/>
      <c r="O398" s="716"/>
      <c r="P398" s="716"/>
      <c r="Q398" s="716"/>
      <c r="R398" s="716"/>
    </row>
    <row r="399" spans="1:18" s="717" customFormat="1" ht="11.25">
      <c r="A399" s="732"/>
      <c r="C399" s="716"/>
      <c r="D399" s="718"/>
      <c r="E399" s="719"/>
      <c r="F399" s="719"/>
      <c r="I399" s="716"/>
      <c r="K399" s="716"/>
      <c r="L399" s="716"/>
      <c r="M399" s="716"/>
      <c r="N399" s="716"/>
      <c r="O399" s="716"/>
      <c r="P399" s="716"/>
      <c r="Q399" s="716"/>
      <c r="R399" s="716"/>
    </row>
    <row r="400" spans="1:18" s="717" customFormat="1" ht="11.25">
      <c r="A400" s="732"/>
      <c r="C400" s="716"/>
      <c r="D400" s="718"/>
      <c r="E400" s="719"/>
      <c r="F400" s="719"/>
      <c r="I400" s="716"/>
      <c r="K400" s="716"/>
      <c r="L400" s="716"/>
      <c r="M400" s="716"/>
      <c r="N400" s="716"/>
      <c r="O400" s="716"/>
      <c r="P400" s="716"/>
      <c r="Q400" s="716"/>
      <c r="R400" s="716"/>
    </row>
    <row r="401" spans="1:18" s="717" customFormat="1" ht="11.25">
      <c r="A401" s="732"/>
      <c r="C401" s="716"/>
      <c r="D401" s="718"/>
      <c r="E401" s="719"/>
      <c r="F401" s="719"/>
      <c r="I401" s="716"/>
      <c r="K401" s="716"/>
      <c r="L401" s="716"/>
      <c r="M401" s="716"/>
      <c r="N401" s="716"/>
      <c r="O401" s="716"/>
      <c r="P401" s="716"/>
      <c r="Q401" s="716"/>
      <c r="R401" s="716"/>
    </row>
    <row r="402" spans="1:18" s="717" customFormat="1" ht="11.25">
      <c r="A402" s="732"/>
      <c r="C402" s="716"/>
      <c r="D402" s="718"/>
      <c r="E402" s="719"/>
      <c r="F402" s="719"/>
      <c r="I402" s="716"/>
      <c r="K402" s="716"/>
      <c r="L402" s="716"/>
      <c r="M402" s="716"/>
      <c r="N402" s="716"/>
      <c r="O402" s="716"/>
      <c r="P402" s="716"/>
      <c r="Q402" s="716"/>
      <c r="R402" s="716"/>
    </row>
    <row r="403" spans="1:18" s="717" customFormat="1" ht="11.25">
      <c r="A403" s="732"/>
      <c r="C403" s="716"/>
      <c r="D403" s="718"/>
      <c r="E403" s="719"/>
      <c r="F403" s="719"/>
      <c r="I403" s="716"/>
      <c r="K403" s="716"/>
      <c r="L403" s="716"/>
      <c r="M403" s="716"/>
      <c r="N403" s="716"/>
      <c r="O403" s="716"/>
      <c r="P403" s="716"/>
      <c r="Q403" s="716"/>
      <c r="R403" s="716"/>
    </row>
    <row r="404" spans="1:18" s="717" customFormat="1" ht="11.25">
      <c r="A404" s="732"/>
      <c r="C404" s="716"/>
      <c r="D404" s="718"/>
      <c r="E404" s="719"/>
      <c r="F404" s="719"/>
      <c r="I404" s="716"/>
      <c r="K404" s="716"/>
      <c r="L404" s="716"/>
      <c r="M404" s="716"/>
      <c r="N404" s="716"/>
      <c r="O404" s="716"/>
      <c r="P404" s="716"/>
      <c r="Q404" s="716"/>
      <c r="R404" s="716"/>
    </row>
    <row r="405" spans="1:18" s="717" customFormat="1" ht="11.25">
      <c r="A405" s="732"/>
      <c r="C405" s="716"/>
      <c r="D405" s="718"/>
      <c r="E405" s="719"/>
      <c r="F405" s="719"/>
      <c r="I405" s="716"/>
      <c r="K405" s="716"/>
      <c r="L405" s="716"/>
      <c r="M405" s="716"/>
      <c r="N405" s="716"/>
      <c r="O405" s="716"/>
      <c r="P405" s="716"/>
      <c r="Q405" s="716"/>
      <c r="R405" s="716"/>
    </row>
    <row r="406" spans="1:18" s="717" customFormat="1" ht="11.25">
      <c r="A406" s="732"/>
      <c r="C406" s="716"/>
      <c r="D406" s="718"/>
      <c r="E406" s="719"/>
      <c r="F406" s="719"/>
      <c r="I406" s="716"/>
      <c r="K406" s="716"/>
      <c r="L406" s="716"/>
      <c r="M406" s="716"/>
      <c r="N406" s="716"/>
      <c r="O406" s="716"/>
      <c r="P406" s="716"/>
      <c r="Q406" s="716"/>
      <c r="R406" s="716"/>
    </row>
    <row r="407" spans="1:18" s="717" customFormat="1" ht="11.25">
      <c r="A407" s="732"/>
      <c r="C407" s="716"/>
      <c r="D407" s="718"/>
      <c r="E407" s="719"/>
      <c r="F407" s="719"/>
      <c r="I407" s="716"/>
      <c r="K407" s="716"/>
      <c r="L407" s="716"/>
      <c r="M407" s="716"/>
      <c r="N407" s="716"/>
      <c r="O407" s="716"/>
      <c r="P407" s="716"/>
      <c r="Q407" s="716"/>
      <c r="R407" s="716"/>
    </row>
    <row r="408" spans="1:18" s="717" customFormat="1" ht="11.25">
      <c r="A408" s="732"/>
      <c r="C408" s="716"/>
      <c r="D408" s="718"/>
      <c r="E408" s="719"/>
      <c r="F408" s="719"/>
      <c r="I408" s="716"/>
      <c r="K408" s="716"/>
      <c r="L408" s="716"/>
      <c r="M408" s="716"/>
      <c r="N408" s="716"/>
      <c r="O408" s="716"/>
      <c r="P408" s="716"/>
      <c r="Q408" s="716"/>
      <c r="R408" s="716"/>
    </row>
    <row r="409" spans="1:18" s="717" customFormat="1" ht="11.25">
      <c r="A409" s="732"/>
      <c r="C409" s="716"/>
      <c r="D409" s="718"/>
      <c r="E409" s="719"/>
      <c r="F409" s="719"/>
      <c r="I409" s="716"/>
      <c r="K409" s="716"/>
      <c r="L409" s="716"/>
      <c r="M409" s="716"/>
      <c r="N409" s="716"/>
      <c r="O409" s="716"/>
      <c r="P409" s="716"/>
      <c r="Q409" s="716"/>
      <c r="R409" s="716"/>
    </row>
    <row r="410" spans="1:18" s="717" customFormat="1" ht="11.25">
      <c r="A410" s="732"/>
      <c r="C410" s="716"/>
      <c r="D410" s="718"/>
      <c r="E410" s="719"/>
      <c r="F410" s="719"/>
      <c r="I410" s="716"/>
      <c r="K410" s="716"/>
      <c r="L410" s="716"/>
      <c r="M410" s="716"/>
      <c r="N410" s="716"/>
      <c r="O410" s="716"/>
      <c r="P410" s="716"/>
      <c r="Q410" s="716"/>
      <c r="R410" s="716"/>
    </row>
    <row r="411" spans="1:18" s="717" customFormat="1" ht="11.25">
      <c r="A411" s="732"/>
      <c r="C411" s="716"/>
      <c r="D411" s="718"/>
      <c r="E411" s="719"/>
      <c r="F411" s="719"/>
      <c r="I411" s="716"/>
      <c r="K411" s="716"/>
      <c r="L411" s="716"/>
      <c r="M411" s="716"/>
      <c r="N411" s="716"/>
      <c r="O411" s="716"/>
      <c r="P411" s="716"/>
      <c r="Q411" s="716"/>
      <c r="R411" s="716"/>
    </row>
    <row r="412" spans="1:18" s="717" customFormat="1" ht="11.25">
      <c r="A412" s="732"/>
      <c r="C412" s="716"/>
      <c r="D412" s="718"/>
      <c r="E412" s="719"/>
      <c r="F412" s="719"/>
      <c r="I412" s="716"/>
      <c r="K412" s="716"/>
      <c r="L412" s="716"/>
      <c r="M412" s="716"/>
      <c r="N412" s="716"/>
      <c r="O412" s="716"/>
      <c r="P412" s="716"/>
      <c r="Q412" s="716"/>
      <c r="R412" s="716"/>
    </row>
    <row r="413" spans="1:18" s="717" customFormat="1" ht="11.25">
      <c r="A413" s="732"/>
      <c r="C413" s="716"/>
      <c r="D413" s="718"/>
      <c r="E413" s="719"/>
      <c r="F413" s="719"/>
      <c r="I413" s="716"/>
      <c r="K413" s="716"/>
      <c r="L413" s="716"/>
      <c r="M413" s="716"/>
      <c r="N413" s="716"/>
      <c r="O413" s="716"/>
      <c r="P413" s="716"/>
      <c r="Q413" s="716"/>
      <c r="R413" s="716"/>
    </row>
    <row r="414" spans="1:18" s="717" customFormat="1" ht="11.25">
      <c r="A414" s="732"/>
      <c r="C414" s="716"/>
      <c r="D414" s="718"/>
      <c r="E414" s="719"/>
      <c r="F414" s="719"/>
      <c r="I414" s="716"/>
      <c r="K414" s="716"/>
      <c r="L414" s="716"/>
      <c r="M414" s="716"/>
      <c r="N414" s="716"/>
      <c r="O414" s="716"/>
      <c r="P414" s="716"/>
      <c r="Q414" s="716"/>
      <c r="R414" s="716"/>
    </row>
    <row r="415" spans="1:18" s="717" customFormat="1" ht="11.25">
      <c r="A415" s="732"/>
      <c r="C415" s="716"/>
      <c r="D415" s="718"/>
      <c r="E415" s="719"/>
      <c r="F415" s="719"/>
      <c r="I415" s="716"/>
      <c r="K415" s="716"/>
      <c r="L415" s="716"/>
      <c r="M415" s="716"/>
      <c r="N415" s="716"/>
      <c r="O415" s="716"/>
      <c r="P415" s="716"/>
      <c r="Q415" s="716"/>
      <c r="R415" s="716"/>
    </row>
    <row r="416" spans="1:18" s="717" customFormat="1" ht="11.25">
      <c r="A416" s="732"/>
      <c r="C416" s="716"/>
      <c r="D416" s="718"/>
      <c r="E416" s="719"/>
      <c r="F416" s="719"/>
      <c r="I416" s="716"/>
      <c r="K416" s="716"/>
      <c r="L416" s="716"/>
      <c r="M416" s="716"/>
      <c r="N416" s="716"/>
      <c r="O416" s="716"/>
      <c r="P416" s="716"/>
      <c r="Q416" s="716"/>
      <c r="R416" s="716"/>
    </row>
    <row r="417" spans="1:18" s="717" customFormat="1" ht="11.25">
      <c r="A417" s="732"/>
      <c r="C417" s="716"/>
      <c r="D417" s="718"/>
      <c r="E417" s="719"/>
      <c r="F417" s="719"/>
      <c r="I417" s="716"/>
      <c r="K417" s="716"/>
      <c r="L417" s="716"/>
      <c r="M417" s="716"/>
      <c r="N417" s="716"/>
      <c r="O417" s="716"/>
      <c r="P417" s="716"/>
      <c r="Q417" s="716"/>
      <c r="R417" s="716"/>
    </row>
    <row r="418" spans="1:18" s="717" customFormat="1" ht="11.25">
      <c r="A418" s="732"/>
      <c r="C418" s="716"/>
      <c r="D418" s="718"/>
      <c r="E418" s="719"/>
      <c r="F418" s="719"/>
      <c r="I418" s="716"/>
      <c r="K418" s="716"/>
      <c r="L418" s="716"/>
      <c r="M418" s="716"/>
      <c r="N418" s="716"/>
      <c r="O418" s="716"/>
      <c r="P418" s="716"/>
      <c r="Q418" s="716"/>
      <c r="R418" s="716"/>
    </row>
    <row r="419" spans="1:18" s="717" customFormat="1" ht="11.25">
      <c r="A419" s="732"/>
      <c r="C419" s="716"/>
      <c r="D419" s="718"/>
      <c r="E419" s="719"/>
      <c r="F419" s="719"/>
      <c r="I419" s="716"/>
      <c r="K419" s="716"/>
      <c r="L419" s="716"/>
      <c r="M419" s="716"/>
      <c r="N419" s="716"/>
      <c r="O419" s="716"/>
      <c r="P419" s="716"/>
      <c r="Q419" s="716"/>
      <c r="R419" s="716"/>
    </row>
    <row r="420" spans="1:18" s="717" customFormat="1" ht="11.25">
      <c r="A420" s="732"/>
      <c r="C420" s="716"/>
      <c r="D420" s="718"/>
      <c r="E420" s="719"/>
      <c r="F420" s="719"/>
      <c r="I420" s="716"/>
      <c r="K420" s="716"/>
      <c r="L420" s="716"/>
      <c r="M420" s="716"/>
      <c r="N420" s="716"/>
      <c r="O420" s="716"/>
      <c r="P420" s="716"/>
      <c r="Q420" s="716"/>
      <c r="R420" s="716"/>
    </row>
    <row r="421" spans="1:18" s="717" customFormat="1" ht="11.25">
      <c r="A421" s="732"/>
      <c r="C421" s="716"/>
      <c r="D421" s="718"/>
      <c r="E421" s="719"/>
      <c r="F421" s="719"/>
      <c r="I421" s="716"/>
      <c r="K421" s="716"/>
      <c r="L421" s="716"/>
      <c r="M421" s="716"/>
      <c r="N421" s="716"/>
      <c r="O421" s="716"/>
      <c r="P421" s="716"/>
      <c r="Q421" s="716"/>
      <c r="R421" s="716"/>
    </row>
    <row r="422" spans="1:18" s="717" customFormat="1" ht="11.25">
      <c r="A422" s="732"/>
      <c r="C422" s="716"/>
      <c r="D422" s="718"/>
      <c r="E422" s="719"/>
      <c r="F422" s="719"/>
      <c r="I422" s="716"/>
      <c r="K422" s="716"/>
      <c r="L422" s="716"/>
      <c r="M422" s="716"/>
      <c r="N422" s="716"/>
      <c r="O422" s="716"/>
      <c r="P422" s="716"/>
      <c r="Q422" s="716"/>
      <c r="R422" s="716"/>
    </row>
    <row r="423" spans="1:18" s="717" customFormat="1" ht="11.25">
      <c r="A423" s="732"/>
      <c r="C423" s="716"/>
      <c r="D423" s="718"/>
      <c r="E423" s="719"/>
      <c r="F423" s="719"/>
      <c r="I423" s="716"/>
      <c r="K423" s="716"/>
      <c r="L423" s="716"/>
      <c r="M423" s="716"/>
      <c r="N423" s="716"/>
      <c r="O423" s="716"/>
      <c r="P423" s="716"/>
      <c r="Q423" s="716"/>
      <c r="R423" s="716"/>
    </row>
    <row r="424" spans="1:18" s="717" customFormat="1" ht="11.25">
      <c r="A424" s="732"/>
      <c r="C424" s="716"/>
      <c r="D424" s="718"/>
      <c r="E424" s="719"/>
      <c r="F424" s="719"/>
      <c r="I424" s="716"/>
      <c r="K424" s="716"/>
      <c r="L424" s="716"/>
      <c r="M424" s="716"/>
      <c r="N424" s="716"/>
      <c r="O424" s="716"/>
      <c r="P424" s="716"/>
      <c r="Q424" s="716"/>
      <c r="R424" s="716"/>
    </row>
    <row r="425" spans="1:18" s="717" customFormat="1" ht="11.25">
      <c r="A425" s="732"/>
      <c r="C425" s="716"/>
      <c r="D425" s="718"/>
      <c r="E425" s="719"/>
      <c r="F425" s="719"/>
      <c r="I425" s="716"/>
      <c r="K425" s="716"/>
      <c r="L425" s="716"/>
      <c r="M425" s="716"/>
      <c r="N425" s="716"/>
      <c r="O425" s="716"/>
      <c r="P425" s="716"/>
      <c r="Q425" s="716"/>
      <c r="R425" s="716"/>
    </row>
    <row r="426" spans="1:18" s="717" customFormat="1" ht="11.25">
      <c r="A426" s="732"/>
      <c r="C426" s="716"/>
      <c r="D426" s="718"/>
      <c r="E426" s="719"/>
      <c r="F426" s="719"/>
      <c r="I426" s="716"/>
      <c r="K426" s="716"/>
      <c r="L426" s="716"/>
      <c r="M426" s="716"/>
      <c r="N426" s="716"/>
      <c r="O426" s="716"/>
      <c r="P426" s="716"/>
      <c r="Q426" s="716"/>
      <c r="R426" s="716"/>
    </row>
    <row r="427" spans="1:18" s="717" customFormat="1" ht="11.25">
      <c r="A427" s="732"/>
      <c r="C427" s="716"/>
      <c r="D427" s="718"/>
      <c r="E427" s="719"/>
      <c r="F427" s="719"/>
      <c r="I427" s="716"/>
      <c r="K427" s="716"/>
      <c r="L427" s="716"/>
      <c r="M427" s="716"/>
      <c r="N427" s="716"/>
      <c r="O427" s="716"/>
      <c r="P427" s="716"/>
      <c r="Q427" s="716"/>
      <c r="R427" s="716"/>
    </row>
    <row r="428" spans="1:18" s="717" customFormat="1" ht="11.25">
      <c r="A428" s="732"/>
      <c r="C428" s="716"/>
      <c r="D428" s="718"/>
      <c r="E428" s="719"/>
      <c r="F428" s="719"/>
      <c r="I428" s="716"/>
      <c r="K428" s="716"/>
      <c r="L428" s="716"/>
      <c r="M428" s="716"/>
      <c r="N428" s="716"/>
      <c r="O428" s="716"/>
      <c r="P428" s="716"/>
      <c r="Q428" s="716"/>
      <c r="R428" s="716"/>
    </row>
    <row r="429" spans="1:18" s="717" customFormat="1" ht="11.25">
      <c r="A429" s="732"/>
      <c r="C429" s="716"/>
      <c r="D429" s="718"/>
      <c r="E429" s="719"/>
      <c r="F429" s="719"/>
      <c r="I429" s="716"/>
      <c r="K429" s="716"/>
      <c r="L429" s="716"/>
      <c r="M429" s="716"/>
      <c r="N429" s="716"/>
      <c r="O429" s="716"/>
      <c r="P429" s="716"/>
      <c r="Q429" s="716"/>
      <c r="R429" s="716"/>
    </row>
    <row r="430" spans="1:18" s="717" customFormat="1" ht="11.25">
      <c r="A430" s="732"/>
      <c r="C430" s="716"/>
      <c r="D430" s="718"/>
      <c r="E430" s="719"/>
      <c r="F430" s="719"/>
      <c r="I430" s="716"/>
      <c r="K430" s="716"/>
      <c r="L430" s="716"/>
      <c r="M430" s="716"/>
      <c r="N430" s="716"/>
      <c r="O430" s="716"/>
      <c r="P430" s="716"/>
      <c r="Q430" s="716"/>
      <c r="R430" s="716"/>
    </row>
    <row r="431" spans="1:18" s="717" customFormat="1" ht="11.25">
      <c r="A431" s="732"/>
      <c r="C431" s="716"/>
      <c r="D431" s="718"/>
      <c r="E431" s="719"/>
      <c r="F431" s="719"/>
      <c r="I431" s="716"/>
      <c r="K431" s="716"/>
      <c r="L431" s="716"/>
      <c r="M431" s="716"/>
      <c r="N431" s="716"/>
      <c r="O431" s="716"/>
      <c r="P431" s="716"/>
      <c r="Q431" s="716"/>
      <c r="R431" s="716"/>
    </row>
    <row r="432" spans="1:18" s="717" customFormat="1" ht="11.25">
      <c r="A432" s="732"/>
      <c r="C432" s="716"/>
      <c r="D432" s="718"/>
      <c r="E432" s="719"/>
      <c r="F432" s="719"/>
      <c r="I432" s="716"/>
      <c r="K432" s="716"/>
      <c r="L432" s="716"/>
      <c r="M432" s="716"/>
      <c r="N432" s="716"/>
      <c r="O432" s="716"/>
      <c r="P432" s="716"/>
      <c r="Q432" s="716"/>
      <c r="R432" s="716"/>
    </row>
    <row r="433" spans="1:18" s="717" customFormat="1" ht="11.25">
      <c r="A433" s="732"/>
      <c r="C433" s="716"/>
      <c r="D433" s="718"/>
      <c r="E433" s="719"/>
      <c r="F433" s="719"/>
      <c r="I433" s="716"/>
      <c r="K433" s="716"/>
      <c r="L433" s="716"/>
      <c r="M433" s="716"/>
      <c r="N433" s="716"/>
      <c r="O433" s="716"/>
      <c r="P433" s="716"/>
      <c r="Q433" s="716"/>
      <c r="R433" s="716"/>
    </row>
    <row r="434" spans="1:18" s="717" customFormat="1" ht="11.25">
      <c r="A434" s="732"/>
      <c r="C434" s="716"/>
      <c r="D434" s="718"/>
      <c r="E434" s="719"/>
      <c r="F434" s="719"/>
      <c r="I434" s="716"/>
      <c r="K434" s="716"/>
      <c r="L434" s="716"/>
      <c r="M434" s="716"/>
      <c r="N434" s="716"/>
      <c r="O434" s="716"/>
      <c r="P434" s="716"/>
      <c r="Q434" s="716"/>
      <c r="R434" s="716"/>
    </row>
    <row r="435" spans="1:18" s="717" customFormat="1" ht="11.25">
      <c r="A435" s="732"/>
      <c r="C435" s="716"/>
      <c r="D435" s="718"/>
      <c r="E435" s="719"/>
      <c r="F435" s="719"/>
      <c r="I435" s="716"/>
      <c r="K435" s="716"/>
      <c r="L435" s="716"/>
      <c r="M435" s="716"/>
      <c r="N435" s="716"/>
      <c r="O435" s="716"/>
      <c r="P435" s="716"/>
      <c r="Q435" s="716"/>
      <c r="R435" s="716"/>
    </row>
    <row r="436" spans="1:18" s="717" customFormat="1" ht="11.25">
      <c r="A436" s="732"/>
      <c r="C436" s="716"/>
      <c r="D436" s="718"/>
      <c r="E436" s="719"/>
      <c r="F436" s="719"/>
      <c r="I436" s="716"/>
      <c r="K436" s="716"/>
      <c r="L436" s="716"/>
      <c r="M436" s="716"/>
      <c r="N436" s="716"/>
      <c r="O436" s="716"/>
      <c r="P436" s="716"/>
      <c r="Q436" s="716"/>
      <c r="R436" s="716"/>
    </row>
    <row r="437" spans="1:18" s="717" customFormat="1" ht="11.25">
      <c r="A437" s="732"/>
      <c r="C437" s="716"/>
      <c r="D437" s="718"/>
      <c r="E437" s="719"/>
      <c r="F437" s="719"/>
      <c r="I437" s="716"/>
      <c r="K437" s="716"/>
      <c r="L437" s="716"/>
      <c r="M437" s="716"/>
      <c r="N437" s="716"/>
      <c r="O437" s="716"/>
      <c r="P437" s="716"/>
      <c r="Q437" s="716"/>
      <c r="R437" s="716"/>
    </row>
    <row r="438" spans="1:18" s="717" customFormat="1" ht="11.25">
      <c r="A438" s="732"/>
      <c r="C438" s="716"/>
      <c r="D438" s="718"/>
      <c r="E438" s="719"/>
      <c r="F438" s="719"/>
      <c r="I438" s="716"/>
      <c r="K438" s="716"/>
      <c r="L438" s="716"/>
      <c r="M438" s="716"/>
      <c r="N438" s="716"/>
      <c r="O438" s="716"/>
      <c r="P438" s="716"/>
      <c r="Q438" s="716"/>
      <c r="R438" s="716"/>
    </row>
    <row r="439" spans="1:18" s="717" customFormat="1" ht="11.25">
      <c r="A439" s="732"/>
      <c r="C439" s="716"/>
      <c r="D439" s="718"/>
      <c r="E439" s="719"/>
      <c r="F439" s="719"/>
      <c r="I439" s="716"/>
      <c r="K439" s="716"/>
      <c r="L439" s="716"/>
      <c r="M439" s="716"/>
      <c r="N439" s="716"/>
      <c r="O439" s="716"/>
      <c r="P439" s="716"/>
      <c r="Q439" s="716"/>
      <c r="R439" s="716"/>
    </row>
    <row r="440" spans="1:18" s="717" customFormat="1" ht="11.25">
      <c r="A440" s="732"/>
      <c r="C440" s="716"/>
      <c r="D440" s="718"/>
      <c r="E440" s="719"/>
      <c r="F440" s="719"/>
      <c r="I440" s="716"/>
      <c r="K440" s="716"/>
      <c r="L440" s="716"/>
      <c r="M440" s="716"/>
      <c r="N440" s="716"/>
      <c r="O440" s="716"/>
      <c r="P440" s="716"/>
      <c r="Q440" s="716"/>
      <c r="R440" s="716"/>
    </row>
    <row r="441" spans="1:18" s="717" customFormat="1" ht="11.25">
      <c r="A441" s="732"/>
      <c r="C441" s="716"/>
      <c r="D441" s="718"/>
      <c r="E441" s="719"/>
      <c r="F441" s="719"/>
      <c r="I441" s="716"/>
      <c r="K441" s="716"/>
      <c r="L441" s="716"/>
      <c r="M441" s="716"/>
      <c r="N441" s="716"/>
      <c r="O441" s="716"/>
      <c r="P441" s="716"/>
      <c r="Q441" s="716"/>
      <c r="R441" s="716"/>
    </row>
    <row r="442" spans="1:18" s="717" customFormat="1" ht="11.25">
      <c r="A442" s="732"/>
      <c r="C442" s="716"/>
      <c r="D442" s="718"/>
      <c r="E442" s="719"/>
      <c r="F442" s="719"/>
      <c r="I442" s="716"/>
      <c r="K442" s="716"/>
      <c r="L442" s="716"/>
      <c r="M442" s="716"/>
      <c r="N442" s="716"/>
      <c r="O442" s="716"/>
      <c r="P442" s="716"/>
      <c r="Q442" s="716"/>
      <c r="R442" s="716"/>
    </row>
    <row r="443" spans="1:18" s="717" customFormat="1" ht="11.25">
      <c r="A443" s="732"/>
      <c r="C443" s="716"/>
      <c r="D443" s="718"/>
      <c r="E443" s="719"/>
      <c r="F443" s="719"/>
      <c r="I443" s="716"/>
      <c r="K443" s="716"/>
      <c r="L443" s="716"/>
      <c r="M443" s="716"/>
      <c r="N443" s="716"/>
      <c r="O443" s="716"/>
      <c r="P443" s="716"/>
      <c r="Q443" s="716"/>
      <c r="R443" s="716"/>
    </row>
    <row r="444" spans="1:18" s="717" customFormat="1" ht="11.25">
      <c r="A444" s="732"/>
      <c r="C444" s="716"/>
      <c r="D444" s="718"/>
      <c r="E444" s="719"/>
      <c r="F444" s="719"/>
      <c r="I444" s="716"/>
      <c r="K444" s="716"/>
      <c r="L444" s="716"/>
      <c r="M444" s="716"/>
      <c r="N444" s="716"/>
      <c r="O444" s="716"/>
      <c r="P444" s="716"/>
      <c r="Q444" s="716"/>
      <c r="R444" s="716"/>
    </row>
    <row r="445" spans="1:18" s="717" customFormat="1" ht="11.25">
      <c r="A445" s="732"/>
      <c r="C445" s="716"/>
      <c r="D445" s="718"/>
      <c r="E445" s="719"/>
      <c r="F445" s="719"/>
      <c r="I445" s="716"/>
      <c r="K445" s="716"/>
      <c r="L445" s="716"/>
      <c r="M445" s="716"/>
      <c r="N445" s="716"/>
      <c r="O445" s="716"/>
      <c r="P445" s="716"/>
      <c r="Q445" s="716"/>
      <c r="R445" s="716"/>
    </row>
    <row r="446" spans="1:18" s="717" customFormat="1" ht="11.25">
      <c r="A446" s="732"/>
      <c r="C446" s="716"/>
      <c r="D446" s="718"/>
      <c r="E446" s="719"/>
      <c r="F446" s="719"/>
      <c r="I446" s="716"/>
      <c r="K446" s="716"/>
      <c r="L446" s="716"/>
      <c r="M446" s="716"/>
      <c r="N446" s="716"/>
      <c r="O446" s="716"/>
      <c r="P446" s="716"/>
      <c r="Q446" s="716"/>
      <c r="R446" s="716"/>
    </row>
    <row r="447" spans="1:18" s="717" customFormat="1" ht="11.25">
      <c r="A447" s="732"/>
      <c r="C447" s="716"/>
      <c r="D447" s="718"/>
      <c r="E447" s="719"/>
      <c r="F447" s="719"/>
      <c r="I447" s="716"/>
      <c r="K447" s="716"/>
      <c r="L447" s="716"/>
      <c r="M447" s="716"/>
      <c r="N447" s="716"/>
      <c r="O447" s="716"/>
      <c r="P447" s="716"/>
      <c r="Q447" s="716"/>
      <c r="R447" s="716"/>
    </row>
    <row r="448" spans="1:18" s="717" customFormat="1" ht="11.25">
      <c r="A448" s="732"/>
      <c r="C448" s="716"/>
      <c r="D448" s="718"/>
      <c r="E448" s="719"/>
      <c r="F448" s="719"/>
      <c r="I448" s="716"/>
      <c r="K448" s="716"/>
      <c r="L448" s="716"/>
      <c r="M448" s="716"/>
      <c r="N448" s="716"/>
      <c r="O448" s="716"/>
      <c r="P448" s="716"/>
      <c r="Q448" s="716"/>
      <c r="R448" s="716"/>
    </row>
    <row r="449" spans="1:18" s="717" customFormat="1" ht="11.25">
      <c r="A449" s="732"/>
      <c r="C449" s="716"/>
      <c r="D449" s="718"/>
      <c r="E449" s="719"/>
      <c r="F449" s="719"/>
      <c r="I449" s="716"/>
      <c r="K449" s="716"/>
      <c r="L449" s="716"/>
      <c r="M449" s="716"/>
      <c r="N449" s="716"/>
      <c r="O449" s="716"/>
      <c r="P449" s="716"/>
      <c r="Q449" s="716"/>
      <c r="R449" s="716"/>
    </row>
    <row r="450" spans="1:18" s="717" customFormat="1" ht="11.25">
      <c r="A450" s="732"/>
      <c r="C450" s="716"/>
      <c r="D450" s="718"/>
      <c r="E450" s="719"/>
      <c r="F450" s="719"/>
      <c r="I450" s="716"/>
      <c r="K450" s="716"/>
      <c r="L450" s="716"/>
      <c r="M450" s="716"/>
      <c r="N450" s="716"/>
      <c r="O450" s="716"/>
      <c r="P450" s="716"/>
      <c r="Q450" s="716"/>
      <c r="R450" s="716"/>
    </row>
    <row r="451" spans="1:18" s="717" customFormat="1" ht="11.25">
      <c r="A451" s="735"/>
      <c r="C451" s="716"/>
      <c r="D451" s="718"/>
      <c r="E451" s="719"/>
      <c r="F451" s="719"/>
      <c r="I451" s="716"/>
      <c r="K451" s="716"/>
      <c r="L451" s="716"/>
      <c r="M451" s="716"/>
      <c r="N451" s="716"/>
      <c r="O451" s="716"/>
      <c r="P451" s="716"/>
      <c r="Q451" s="716"/>
      <c r="R451" s="716"/>
    </row>
    <row r="452" spans="1:18" s="717" customFormat="1" ht="11.25">
      <c r="A452" s="732"/>
      <c r="C452" s="716"/>
      <c r="D452" s="718"/>
      <c r="E452" s="719"/>
      <c r="F452" s="719"/>
      <c r="I452" s="716"/>
      <c r="K452" s="716"/>
      <c r="L452" s="716"/>
      <c r="M452" s="716"/>
      <c r="N452" s="716"/>
      <c r="O452" s="716"/>
      <c r="P452" s="716"/>
      <c r="Q452" s="716"/>
      <c r="R452" s="716"/>
    </row>
    <row r="453" spans="1:18" s="717" customFormat="1" ht="11.25">
      <c r="A453" s="732"/>
      <c r="C453" s="716"/>
      <c r="D453" s="718"/>
      <c r="E453" s="719"/>
      <c r="F453" s="719"/>
      <c r="I453" s="716"/>
      <c r="K453" s="716"/>
      <c r="L453" s="716"/>
      <c r="M453" s="716"/>
      <c r="N453" s="716"/>
      <c r="O453" s="716"/>
      <c r="P453" s="716"/>
      <c r="Q453" s="716"/>
      <c r="R453" s="716"/>
    </row>
    <row r="454" spans="1:18" s="717" customFormat="1" ht="11.25">
      <c r="A454" s="735"/>
      <c r="C454" s="716"/>
      <c r="D454" s="718"/>
      <c r="E454" s="719"/>
      <c r="F454" s="719"/>
      <c r="I454" s="716"/>
      <c r="K454" s="716"/>
      <c r="L454" s="716"/>
      <c r="M454" s="716"/>
      <c r="N454" s="716"/>
      <c r="O454" s="716"/>
      <c r="P454" s="716"/>
      <c r="Q454" s="716"/>
      <c r="R454" s="716"/>
    </row>
    <row r="455" spans="1:18" s="717" customFormat="1" ht="11.25">
      <c r="A455" s="735"/>
      <c r="C455" s="716"/>
      <c r="D455" s="718"/>
      <c r="E455" s="719"/>
      <c r="F455" s="719"/>
      <c r="I455" s="716"/>
      <c r="K455" s="716"/>
      <c r="L455" s="716"/>
      <c r="M455" s="716"/>
      <c r="N455" s="716"/>
      <c r="O455" s="716"/>
      <c r="P455" s="716"/>
      <c r="Q455" s="716"/>
      <c r="R455" s="716"/>
    </row>
    <row r="456" spans="1:18" s="717" customFormat="1" ht="11.25">
      <c r="A456" s="732"/>
      <c r="C456" s="716"/>
      <c r="D456" s="718"/>
      <c r="E456" s="719"/>
      <c r="F456" s="719"/>
      <c r="I456" s="716"/>
      <c r="K456" s="716"/>
      <c r="L456" s="716"/>
      <c r="M456" s="716"/>
      <c r="N456" s="716"/>
      <c r="O456" s="716"/>
      <c r="P456" s="716"/>
      <c r="Q456" s="716"/>
      <c r="R456" s="716"/>
    </row>
    <row r="457" spans="1:18" s="717" customFormat="1" ht="11.25">
      <c r="A457" s="732"/>
      <c r="C457" s="716"/>
      <c r="D457" s="718"/>
      <c r="E457" s="719"/>
      <c r="F457" s="719"/>
      <c r="I457" s="716"/>
      <c r="K457" s="716"/>
      <c r="L457" s="716"/>
      <c r="M457" s="716"/>
      <c r="N457" s="716"/>
      <c r="O457" s="716"/>
      <c r="P457" s="716"/>
      <c r="Q457" s="716"/>
      <c r="R457" s="716"/>
    </row>
    <row r="458" spans="1:18" s="717" customFormat="1" ht="11.25">
      <c r="A458" s="732"/>
      <c r="C458" s="716"/>
      <c r="D458" s="718"/>
      <c r="E458" s="719"/>
      <c r="F458" s="719"/>
      <c r="I458" s="716"/>
      <c r="K458" s="716"/>
      <c r="L458" s="716"/>
      <c r="M458" s="716"/>
      <c r="N458" s="716"/>
      <c r="O458" s="716"/>
      <c r="P458" s="716"/>
      <c r="Q458" s="716"/>
      <c r="R458" s="716"/>
    </row>
    <row r="459" spans="1:18" s="717" customFormat="1" ht="11.25">
      <c r="A459" s="732"/>
      <c r="C459" s="716"/>
      <c r="D459" s="718"/>
      <c r="E459" s="719"/>
      <c r="F459" s="719"/>
      <c r="I459" s="716"/>
      <c r="K459" s="716"/>
      <c r="L459" s="716"/>
      <c r="M459" s="716"/>
      <c r="N459" s="716"/>
      <c r="O459" s="716"/>
      <c r="P459" s="716"/>
      <c r="Q459" s="716"/>
      <c r="R459" s="716"/>
    </row>
    <row r="460" spans="1:18" s="717" customFormat="1" ht="11.25">
      <c r="A460" s="736"/>
      <c r="C460" s="716"/>
      <c r="D460" s="718"/>
      <c r="E460" s="719"/>
      <c r="F460" s="719"/>
      <c r="I460" s="716"/>
      <c r="K460" s="716"/>
      <c r="L460" s="716"/>
      <c r="M460" s="716"/>
      <c r="N460" s="716"/>
      <c r="O460" s="716"/>
      <c r="P460" s="716"/>
      <c r="Q460" s="716"/>
      <c r="R460" s="716"/>
    </row>
    <row r="461" spans="1:18" s="717" customFormat="1" ht="11.25">
      <c r="A461" s="732"/>
      <c r="C461" s="716"/>
      <c r="D461" s="718"/>
      <c r="E461" s="719"/>
      <c r="F461" s="719"/>
      <c r="I461" s="716"/>
      <c r="K461" s="716"/>
      <c r="L461" s="716"/>
      <c r="M461" s="716"/>
      <c r="N461" s="716"/>
      <c r="O461" s="716"/>
      <c r="P461" s="716"/>
      <c r="Q461" s="716"/>
      <c r="R461" s="716"/>
    </row>
    <row r="462" spans="1:18" s="717" customFormat="1" ht="11.25">
      <c r="A462" s="733"/>
      <c r="C462" s="716"/>
      <c r="D462" s="718"/>
      <c r="E462" s="719"/>
      <c r="F462" s="719"/>
      <c r="I462" s="716"/>
      <c r="K462" s="716"/>
      <c r="L462" s="716"/>
      <c r="M462" s="716"/>
      <c r="N462" s="716"/>
      <c r="O462" s="716"/>
      <c r="P462" s="716"/>
      <c r="Q462" s="716"/>
      <c r="R462" s="716"/>
    </row>
    <row r="463" spans="1:18" s="717" customFormat="1" ht="11.25">
      <c r="A463" s="733"/>
      <c r="C463" s="716"/>
      <c r="D463" s="718"/>
      <c r="E463" s="719"/>
      <c r="F463" s="719"/>
      <c r="I463" s="716"/>
      <c r="K463" s="716"/>
      <c r="L463" s="716"/>
      <c r="M463" s="716"/>
      <c r="N463" s="716"/>
      <c r="O463" s="716"/>
      <c r="P463" s="716"/>
      <c r="Q463" s="716"/>
      <c r="R463" s="716"/>
    </row>
    <row r="464" spans="1:18" s="717" customFormat="1" ht="11.25">
      <c r="A464" s="732"/>
      <c r="C464" s="716"/>
      <c r="D464" s="718"/>
      <c r="E464" s="719"/>
      <c r="F464" s="719"/>
      <c r="I464" s="716"/>
      <c r="K464" s="716"/>
      <c r="L464" s="716"/>
      <c r="M464" s="716"/>
      <c r="N464" s="716"/>
      <c r="O464" s="716"/>
      <c r="P464" s="716"/>
      <c r="Q464" s="716"/>
      <c r="R464" s="716"/>
    </row>
    <row r="465" spans="1:18" s="717" customFormat="1" ht="11.25">
      <c r="A465" s="733"/>
      <c r="C465" s="716"/>
      <c r="D465" s="718"/>
      <c r="E465" s="719"/>
      <c r="F465" s="719"/>
      <c r="I465" s="716"/>
      <c r="K465" s="716"/>
      <c r="L465" s="716"/>
      <c r="M465" s="716"/>
      <c r="N465" s="716"/>
      <c r="O465" s="716"/>
      <c r="P465" s="716"/>
      <c r="Q465" s="716"/>
      <c r="R465" s="716"/>
    </row>
    <row r="466" spans="1:18" s="717" customFormat="1" ht="11.25">
      <c r="A466" s="734"/>
      <c r="C466" s="716"/>
      <c r="D466" s="718"/>
      <c r="E466" s="719"/>
      <c r="F466" s="719"/>
      <c r="I466" s="716"/>
      <c r="K466" s="716"/>
      <c r="L466" s="716"/>
      <c r="M466" s="716"/>
      <c r="N466" s="716"/>
      <c r="O466" s="716"/>
      <c r="P466" s="716"/>
      <c r="Q466" s="716"/>
      <c r="R466" s="716"/>
    </row>
    <row r="467" spans="1:18" s="717" customFormat="1" ht="11.25">
      <c r="A467" s="734"/>
      <c r="C467" s="716"/>
      <c r="D467" s="718"/>
      <c r="E467" s="719"/>
      <c r="F467" s="719"/>
      <c r="I467" s="716"/>
      <c r="K467" s="716"/>
      <c r="L467" s="716"/>
      <c r="M467" s="716"/>
      <c r="N467" s="716"/>
      <c r="O467" s="716"/>
      <c r="P467" s="716"/>
      <c r="Q467" s="716"/>
      <c r="R467" s="716"/>
    </row>
    <row r="468" spans="1:18" s="717" customFormat="1" ht="11.25">
      <c r="A468" s="732"/>
      <c r="C468" s="716"/>
      <c r="D468" s="718"/>
      <c r="E468" s="719"/>
      <c r="F468" s="719"/>
      <c r="I468" s="716"/>
      <c r="K468" s="716"/>
      <c r="L468" s="716"/>
      <c r="M468" s="716"/>
      <c r="N468" s="716"/>
      <c r="O468" s="716"/>
      <c r="P468" s="716"/>
      <c r="Q468" s="716"/>
      <c r="R468" s="716"/>
    </row>
    <row r="469" spans="1:18" s="717" customFormat="1" ht="11.25">
      <c r="A469" s="737"/>
      <c r="C469" s="716"/>
      <c r="D469" s="718"/>
      <c r="E469" s="719"/>
      <c r="F469" s="719"/>
      <c r="I469" s="716"/>
      <c r="K469" s="716"/>
      <c r="L469" s="716"/>
      <c r="M469" s="716"/>
      <c r="N469" s="716"/>
      <c r="O469" s="716"/>
      <c r="P469" s="716"/>
      <c r="Q469" s="716"/>
      <c r="R469" s="716"/>
    </row>
    <row r="470" spans="1:18" s="717" customFormat="1" ht="11.25">
      <c r="A470" s="737"/>
      <c r="C470" s="716"/>
      <c r="D470" s="718"/>
      <c r="E470" s="719"/>
      <c r="F470" s="719"/>
      <c r="I470" s="716"/>
      <c r="K470" s="716"/>
      <c r="L470" s="716"/>
      <c r="M470" s="716"/>
      <c r="N470" s="716"/>
      <c r="O470" s="716"/>
      <c r="P470" s="716"/>
      <c r="Q470" s="716"/>
      <c r="R470" s="716"/>
    </row>
    <row r="471" spans="1:18" s="717" customFormat="1" ht="11.25">
      <c r="A471" s="735"/>
      <c r="C471" s="716"/>
      <c r="D471" s="718"/>
      <c r="E471" s="719"/>
      <c r="F471" s="719"/>
      <c r="I471" s="716"/>
      <c r="K471" s="716"/>
      <c r="L471" s="716"/>
      <c r="M471" s="716"/>
      <c r="N471" s="716"/>
      <c r="O471" s="716"/>
      <c r="P471" s="716"/>
      <c r="Q471" s="716"/>
      <c r="R471" s="716"/>
    </row>
    <row r="472" spans="1:18" s="717" customFormat="1" ht="11.25">
      <c r="A472" s="736"/>
      <c r="C472" s="716"/>
      <c r="D472" s="718"/>
      <c r="E472" s="719"/>
      <c r="F472" s="719"/>
      <c r="I472" s="716"/>
      <c r="K472" s="716"/>
      <c r="L472" s="716"/>
      <c r="M472" s="716"/>
      <c r="N472" s="716"/>
      <c r="O472" s="716"/>
      <c r="P472" s="716"/>
      <c r="Q472" s="716"/>
      <c r="R472" s="716"/>
    </row>
    <row r="473" spans="1:18" s="717" customFormat="1" ht="11.25">
      <c r="A473" s="732"/>
      <c r="C473" s="716"/>
      <c r="D473" s="718"/>
      <c r="E473" s="719"/>
      <c r="F473" s="719"/>
      <c r="I473" s="716"/>
      <c r="K473" s="716"/>
      <c r="L473" s="716"/>
      <c r="M473" s="716"/>
      <c r="N473" s="716"/>
      <c r="O473" s="716"/>
      <c r="P473" s="716"/>
      <c r="Q473" s="716"/>
      <c r="R473" s="716"/>
    </row>
    <row r="474" spans="1:18" s="717" customFormat="1" ht="11.25">
      <c r="A474" s="733"/>
      <c r="C474" s="716"/>
      <c r="D474" s="718"/>
      <c r="E474" s="719"/>
      <c r="F474" s="719"/>
      <c r="I474" s="716"/>
      <c r="K474" s="716"/>
      <c r="L474" s="716"/>
      <c r="M474" s="716"/>
      <c r="N474" s="716"/>
      <c r="O474" s="716"/>
      <c r="P474" s="716"/>
      <c r="Q474" s="716"/>
      <c r="R474" s="716"/>
    </row>
    <row r="475" spans="1:18" s="717" customFormat="1" ht="11.25">
      <c r="A475" s="733"/>
      <c r="C475" s="716"/>
      <c r="D475" s="718"/>
      <c r="E475" s="719"/>
      <c r="F475" s="719"/>
      <c r="I475" s="716"/>
      <c r="K475" s="716"/>
      <c r="L475" s="716"/>
      <c r="M475" s="716"/>
      <c r="N475" s="716"/>
      <c r="O475" s="716"/>
      <c r="P475" s="716"/>
      <c r="Q475" s="716"/>
      <c r="R475" s="716"/>
    </row>
    <row r="476" spans="1:18" s="717" customFormat="1" ht="11.25">
      <c r="A476" s="732"/>
      <c r="C476" s="716"/>
      <c r="D476" s="718"/>
      <c r="E476" s="719"/>
      <c r="F476" s="719"/>
      <c r="I476" s="716"/>
      <c r="K476" s="716"/>
      <c r="L476" s="716"/>
      <c r="M476" s="716"/>
      <c r="N476" s="716"/>
      <c r="O476" s="716"/>
      <c r="P476" s="716"/>
      <c r="Q476" s="716"/>
      <c r="R476" s="716"/>
    </row>
    <row r="477" spans="1:18" s="717" customFormat="1" ht="11.25">
      <c r="A477" s="732"/>
      <c r="C477" s="716"/>
      <c r="D477" s="718"/>
      <c r="E477" s="719"/>
      <c r="F477" s="719"/>
      <c r="I477" s="716"/>
      <c r="K477" s="716"/>
      <c r="L477" s="716"/>
      <c r="M477" s="716"/>
      <c r="N477" s="716"/>
      <c r="O477" s="716"/>
      <c r="P477" s="716"/>
      <c r="Q477" s="716"/>
      <c r="R477" s="716"/>
    </row>
    <row r="478" spans="1:18" s="717" customFormat="1" ht="11.25">
      <c r="A478" s="732"/>
      <c r="C478" s="716"/>
      <c r="D478" s="718"/>
      <c r="E478" s="719"/>
      <c r="F478" s="719"/>
      <c r="I478" s="716"/>
      <c r="K478" s="716"/>
      <c r="L478" s="716"/>
      <c r="M478" s="716"/>
      <c r="N478" s="716"/>
      <c r="O478" s="716"/>
      <c r="P478" s="716"/>
      <c r="Q478" s="716"/>
      <c r="R478" s="716"/>
    </row>
    <row r="479" spans="1:18" s="717" customFormat="1" ht="11.25">
      <c r="A479" s="737"/>
      <c r="C479" s="716"/>
      <c r="D479" s="718"/>
      <c r="E479" s="719"/>
      <c r="F479" s="719"/>
      <c r="I479" s="716"/>
      <c r="K479" s="716"/>
      <c r="L479" s="716"/>
      <c r="M479" s="716"/>
      <c r="N479" s="716"/>
      <c r="O479" s="716"/>
      <c r="P479" s="716"/>
      <c r="Q479" s="716"/>
      <c r="R479" s="716"/>
    </row>
    <row r="480" spans="1:18" s="717" customFormat="1" ht="11.25">
      <c r="A480" s="738"/>
      <c r="C480" s="716"/>
      <c r="D480" s="718"/>
      <c r="E480" s="719"/>
      <c r="F480" s="719"/>
      <c r="I480" s="716"/>
      <c r="K480" s="716"/>
      <c r="L480" s="716"/>
      <c r="M480" s="716"/>
      <c r="N480" s="716"/>
      <c r="O480" s="716"/>
      <c r="P480" s="716"/>
      <c r="Q480" s="716"/>
      <c r="R480" s="716"/>
    </row>
    <row r="481" spans="1:18" s="717" customFormat="1" ht="11.25">
      <c r="A481" s="738"/>
      <c r="C481" s="716"/>
      <c r="D481" s="718"/>
      <c r="E481" s="719"/>
      <c r="F481" s="719"/>
      <c r="I481" s="716"/>
      <c r="K481" s="716"/>
      <c r="L481" s="716"/>
      <c r="M481" s="716"/>
      <c r="N481" s="716"/>
      <c r="O481" s="716"/>
      <c r="P481" s="716"/>
      <c r="Q481" s="716"/>
      <c r="R481" s="716"/>
    </row>
    <row r="482" spans="1:18" s="717" customFormat="1" ht="11.25">
      <c r="A482" s="737"/>
      <c r="C482" s="716"/>
      <c r="D482" s="718"/>
      <c r="E482" s="719"/>
      <c r="F482" s="719"/>
      <c r="I482" s="716"/>
      <c r="K482" s="716"/>
      <c r="L482" s="716"/>
      <c r="M482" s="716"/>
      <c r="N482" s="716"/>
      <c r="O482" s="716"/>
      <c r="P482" s="716"/>
      <c r="Q482" s="716"/>
      <c r="R482" s="716"/>
    </row>
    <row r="483" spans="1:18" ht="11.25">
      <c r="A483" s="738"/>
    </row>
    <row r="484" spans="1:18" ht="11.25">
      <c r="A484" s="738"/>
    </row>
  </sheetData>
  <pageMargins left="0.75" right="0.75" top="1" bottom="1" header="0.5" footer="0.5"/>
  <pageSetup scale="98" fitToHeight="4" orientation="portrait" r:id="rId1"/>
  <headerFooter alignWithMargins="0"/>
  <rowBreaks count="5" manualBreakCount="5">
    <brk id="50" max="6" man="1"/>
    <brk id="100" max="6" man="1"/>
    <brk id="194" max="6" man="1"/>
    <brk id="244" max="6" man="1"/>
    <brk id="29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8"/>
  <sheetViews>
    <sheetView showGridLines="0" view="pageBreakPreview" zoomScale="85" zoomScaleNormal="80" zoomScaleSheetLayoutView="85" workbookViewId="0">
      <selection activeCell="G20" sqref="G20"/>
    </sheetView>
  </sheetViews>
  <sheetFormatPr defaultRowHeight="15"/>
  <cols>
    <col min="1" max="1" width="22.5703125" style="787" customWidth="1"/>
    <col min="2" max="2" width="12.28515625" style="787" bestFit="1" customWidth="1"/>
    <col min="3" max="3" width="6.28515625" style="787" customWidth="1"/>
    <col min="4" max="4" width="11.28515625" style="787" customWidth="1"/>
    <col min="5" max="5" width="19.85546875" style="787" customWidth="1"/>
    <col min="6" max="6" width="14.85546875" style="787" bestFit="1" customWidth="1"/>
    <col min="7" max="9" width="11.28515625" style="787" customWidth="1"/>
    <col min="10" max="10" width="12.5703125" style="787" customWidth="1"/>
    <col min="11" max="11" width="11.28515625" style="787" customWidth="1"/>
    <col min="12" max="12" width="18" style="787" customWidth="1"/>
    <col min="13" max="13" width="15.42578125" style="787" bestFit="1" customWidth="1"/>
    <col min="14" max="14" width="12.140625" style="787" bestFit="1" customWidth="1"/>
    <col min="15" max="16" width="17" style="787" bestFit="1" customWidth="1"/>
    <col min="17" max="17" width="15.140625" style="787" bestFit="1" customWidth="1"/>
    <col min="18" max="18" width="13" style="787" bestFit="1" customWidth="1"/>
    <col min="19" max="19" width="11.28515625" style="787" bestFit="1" customWidth="1"/>
    <col min="20" max="20" width="13" style="787" bestFit="1" customWidth="1"/>
    <col min="21" max="16384" width="9.140625" style="787"/>
  </cols>
  <sheetData>
    <row r="1" spans="1:21">
      <c r="A1" s="754" t="s">
        <v>2113</v>
      </c>
      <c r="D1" s="838" t="s">
        <v>2134</v>
      </c>
    </row>
    <row r="2" spans="1:21">
      <c r="A2" s="754" t="s">
        <v>2114</v>
      </c>
    </row>
    <row r="3" spans="1:21">
      <c r="A3" s="754"/>
    </row>
    <row r="5" spans="1:21" ht="64.5" customHeight="1">
      <c r="B5" s="819" t="s">
        <v>2115</v>
      </c>
      <c r="C5" s="820"/>
      <c r="D5" s="819" t="s">
        <v>2116</v>
      </c>
      <c r="E5" s="819" t="s">
        <v>2117</v>
      </c>
      <c r="F5" s="819" t="s">
        <v>2118</v>
      </c>
      <c r="G5" s="819" t="s">
        <v>2119</v>
      </c>
      <c r="H5" s="819" t="s">
        <v>2120</v>
      </c>
      <c r="I5" s="819" t="s">
        <v>2121</v>
      </c>
      <c r="J5" s="819" t="s">
        <v>30</v>
      </c>
      <c r="K5" s="819" t="s">
        <v>2122</v>
      </c>
      <c r="L5" s="819" t="s">
        <v>2123</v>
      </c>
      <c r="M5" s="821" t="s">
        <v>2124</v>
      </c>
      <c r="N5" s="819" t="s">
        <v>8</v>
      </c>
      <c r="O5" s="822"/>
      <c r="P5" s="822"/>
      <c r="Q5" s="822"/>
      <c r="R5" s="822"/>
      <c r="S5" s="822"/>
      <c r="T5" s="822"/>
      <c r="U5" s="822"/>
    </row>
    <row r="6" spans="1:21">
      <c r="A6" s="823" t="s">
        <v>2125</v>
      </c>
      <c r="B6" s="824">
        <v>1612539.2500000002</v>
      </c>
      <c r="C6" s="825"/>
      <c r="D6" s="824">
        <v>538572.73999999987</v>
      </c>
      <c r="E6" s="824">
        <v>117708.09000000003</v>
      </c>
      <c r="F6" s="824">
        <v>51273.85</v>
      </c>
      <c r="G6" s="824">
        <v>444162.98</v>
      </c>
      <c r="H6" s="824">
        <v>45030.93</v>
      </c>
      <c r="I6" s="824">
        <v>81228.320000000007</v>
      </c>
      <c r="J6" s="824">
        <v>0</v>
      </c>
      <c r="K6" s="824"/>
      <c r="L6" s="824">
        <v>213259.47000000003</v>
      </c>
      <c r="M6" s="826">
        <f>SUM(D6:L6)</f>
        <v>1491236.3799999997</v>
      </c>
      <c r="N6" s="824">
        <f t="shared" ref="N6:N17" si="0">M6+B6</f>
        <v>3103775.63</v>
      </c>
      <c r="O6" s="822"/>
      <c r="P6" s="822"/>
      <c r="Q6" s="822"/>
      <c r="R6" s="822"/>
      <c r="S6" s="822"/>
      <c r="T6" s="822"/>
      <c r="U6" s="822"/>
    </row>
    <row r="7" spans="1:21">
      <c r="A7" s="823" t="s">
        <v>2126</v>
      </c>
      <c r="B7" s="824">
        <v>305048.69</v>
      </c>
      <c r="C7" s="825"/>
      <c r="D7" s="824">
        <v>0</v>
      </c>
      <c r="E7" s="824">
        <v>0</v>
      </c>
      <c r="F7" s="824">
        <v>0</v>
      </c>
      <c r="G7" s="824">
        <v>0</v>
      </c>
      <c r="H7" s="824">
        <v>0</v>
      </c>
      <c r="I7" s="824">
        <v>0</v>
      </c>
      <c r="J7" s="824"/>
      <c r="K7" s="824"/>
      <c r="L7" s="824"/>
      <c r="M7" s="826">
        <f t="shared" ref="M7:M17" si="1">SUM(D7:L7)</f>
        <v>0</v>
      </c>
      <c r="N7" s="824">
        <f t="shared" si="0"/>
        <v>305048.69</v>
      </c>
      <c r="O7" s="822"/>
      <c r="P7" s="822"/>
      <c r="Q7" s="822"/>
      <c r="R7" s="822"/>
      <c r="S7" s="822"/>
      <c r="T7" s="822"/>
      <c r="U7" s="822"/>
    </row>
    <row r="8" spans="1:21">
      <c r="A8" s="823" t="s">
        <v>1511</v>
      </c>
      <c r="B8" s="824">
        <v>71649.56</v>
      </c>
      <c r="C8" s="825"/>
      <c r="D8" s="824">
        <v>0</v>
      </c>
      <c r="E8" s="824">
        <v>26264.37</v>
      </c>
      <c r="F8" s="824">
        <v>0</v>
      </c>
      <c r="G8" s="824">
        <v>0</v>
      </c>
      <c r="H8" s="824">
        <v>6217.42</v>
      </c>
      <c r="I8" s="824">
        <v>0</v>
      </c>
      <c r="J8" s="824"/>
      <c r="K8" s="824"/>
      <c r="L8" s="824"/>
      <c r="M8" s="826">
        <f t="shared" si="1"/>
        <v>32481.79</v>
      </c>
      <c r="N8" s="824">
        <f t="shared" si="0"/>
        <v>104131.35</v>
      </c>
      <c r="O8" s="827"/>
      <c r="P8" s="828"/>
      <c r="Q8" s="822"/>
      <c r="R8" s="827"/>
      <c r="S8" s="829"/>
      <c r="T8" s="827"/>
      <c r="U8" s="822"/>
    </row>
    <row r="9" spans="1:21">
      <c r="A9" s="823" t="s">
        <v>2127</v>
      </c>
      <c r="B9" s="824">
        <v>4971775.3100000005</v>
      </c>
      <c r="C9" s="825"/>
      <c r="D9" s="824">
        <v>749387.28999999969</v>
      </c>
      <c r="E9" s="824">
        <v>85146.359999999986</v>
      </c>
      <c r="F9" s="824">
        <v>27919.040000000001</v>
      </c>
      <c r="G9" s="824">
        <v>651676.11</v>
      </c>
      <c r="H9" s="824">
        <v>46401.860000000015</v>
      </c>
      <c r="I9" s="824">
        <v>65352.679999999993</v>
      </c>
      <c r="J9" s="824"/>
      <c r="K9" s="824">
        <v>0</v>
      </c>
      <c r="L9" s="824">
        <v>-213259.47000000003</v>
      </c>
      <c r="M9" s="826">
        <f t="shared" si="1"/>
        <v>1412623.8699999999</v>
      </c>
      <c r="N9" s="824">
        <f t="shared" si="0"/>
        <v>6384399.1800000006</v>
      </c>
      <c r="O9" s="827"/>
      <c r="P9" s="828"/>
      <c r="Q9" s="828"/>
      <c r="R9" s="827"/>
      <c r="S9" s="829"/>
      <c r="T9" s="827"/>
      <c r="U9" s="822"/>
    </row>
    <row r="10" spans="1:21">
      <c r="A10" s="823" t="s">
        <v>2128</v>
      </c>
      <c r="B10" s="824"/>
      <c r="C10" s="825"/>
      <c r="D10" s="824"/>
      <c r="E10" s="824"/>
      <c r="F10" s="824"/>
      <c r="G10" s="824"/>
      <c r="H10" s="824"/>
      <c r="I10" s="824"/>
      <c r="J10" s="824"/>
      <c r="K10" s="824"/>
      <c r="L10" s="824"/>
      <c r="M10" s="826">
        <f t="shared" si="1"/>
        <v>0</v>
      </c>
      <c r="N10" s="824">
        <f t="shared" si="0"/>
        <v>0</v>
      </c>
      <c r="O10" s="827"/>
      <c r="P10" s="828"/>
      <c r="Q10" s="828"/>
      <c r="R10" s="827"/>
      <c r="S10" s="829"/>
      <c r="T10" s="827"/>
      <c r="U10" s="822"/>
    </row>
    <row r="11" spans="1:21">
      <c r="A11" s="823" t="s">
        <v>2129</v>
      </c>
      <c r="B11" s="824"/>
      <c r="C11" s="825"/>
      <c r="D11" s="824"/>
      <c r="E11" s="824"/>
      <c r="F11" s="824"/>
      <c r="G11" s="824"/>
      <c r="H11" s="824"/>
      <c r="I11" s="824"/>
      <c r="J11" s="824"/>
      <c r="K11" s="824"/>
      <c r="L11" s="824"/>
      <c r="M11" s="826">
        <f t="shared" si="1"/>
        <v>0</v>
      </c>
      <c r="N11" s="824">
        <f t="shared" si="0"/>
        <v>0</v>
      </c>
      <c r="O11" s="827"/>
      <c r="P11" s="828"/>
      <c r="Q11" s="828"/>
      <c r="R11" s="827"/>
      <c r="S11" s="829"/>
      <c r="T11" s="827"/>
      <c r="U11" s="822"/>
    </row>
    <row r="12" spans="1:21">
      <c r="A12" s="823" t="s">
        <v>30</v>
      </c>
      <c r="B12" s="824"/>
      <c r="C12" s="825"/>
      <c r="D12" s="824"/>
      <c r="E12" s="824">
        <v>0</v>
      </c>
      <c r="F12" s="824"/>
      <c r="G12" s="824"/>
      <c r="H12" s="824"/>
      <c r="I12" s="824"/>
      <c r="J12" s="824">
        <v>559188.51000000013</v>
      </c>
      <c r="K12" s="824">
        <v>0</v>
      </c>
      <c r="L12" s="824"/>
      <c r="M12" s="826">
        <f t="shared" si="1"/>
        <v>559188.51000000013</v>
      </c>
      <c r="N12" s="824">
        <f t="shared" si="0"/>
        <v>559188.51000000013</v>
      </c>
      <c r="O12" s="827"/>
      <c r="P12" s="828"/>
      <c r="Q12" s="828"/>
      <c r="R12" s="827"/>
      <c r="S12" s="822"/>
      <c r="T12" s="822"/>
      <c r="U12" s="822"/>
    </row>
    <row r="13" spans="1:21">
      <c r="A13" s="823" t="s">
        <v>2130</v>
      </c>
      <c r="B13" s="824">
        <v>1896879.29</v>
      </c>
      <c r="C13" s="825"/>
      <c r="D13" s="824">
        <v>605949.50999999989</v>
      </c>
      <c r="E13" s="824">
        <v>12497.360000000002</v>
      </c>
      <c r="F13" s="824">
        <v>0</v>
      </c>
      <c r="G13" s="824">
        <v>207078.94</v>
      </c>
      <c r="H13" s="824">
        <v>10845.37</v>
      </c>
      <c r="I13" s="824">
        <v>4610.49</v>
      </c>
      <c r="K13" s="824">
        <v>0</v>
      </c>
      <c r="M13" s="826">
        <f t="shared" si="1"/>
        <v>840981.66999999981</v>
      </c>
      <c r="N13" s="824">
        <f t="shared" si="0"/>
        <v>2737860.96</v>
      </c>
      <c r="O13" s="822"/>
      <c r="P13" s="822"/>
      <c r="Q13" s="822"/>
      <c r="R13" s="822"/>
      <c r="S13" s="822"/>
      <c r="T13" s="822"/>
      <c r="U13" s="822"/>
    </row>
    <row r="14" spans="1:21">
      <c r="A14" s="823" t="s">
        <v>2131</v>
      </c>
      <c r="B14" s="824"/>
      <c r="C14" s="825"/>
      <c r="D14" s="824"/>
      <c r="E14" s="824"/>
      <c r="F14" s="824"/>
      <c r="G14" s="824"/>
      <c r="H14" s="824"/>
      <c r="I14" s="824"/>
      <c r="J14" s="824">
        <v>57606.770000000011</v>
      </c>
      <c r="K14" s="824"/>
      <c r="L14" s="824"/>
      <c r="M14" s="826">
        <f t="shared" si="1"/>
        <v>57606.770000000011</v>
      </c>
      <c r="N14" s="824">
        <f t="shared" si="0"/>
        <v>57606.770000000011</v>
      </c>
      <c r="O14" s="822"/>
      <c r="P14" s="822"/>
      <c r="Q14" s="822"/>
      <c r="R14" s="822"/>
      <c r="S14" s="822"/>
      <c r="T14" s="822"/>
      <c r="U14" s="822"/>
    </row>
    <row r="15" spans="1:21">
      <c r="A15" s="823" t="s">
        <v>2132</v>
      </c>
      <c r="B15" s="825">
        <v>1383866.5</v>
      </c>
      <c r="C15" s="825"/>
      <c r="D15" s="825">
        <v>307698.02</v>
      </c>
      <c r="E15" s="825">
        <v>21301.450000000004</v>
      </c>
      <c r="F15" s="825">
        <v>1016.11</v>
      </c>
      <c r="G15" s="825">
        <v>147130.94</v>
      </c>
      <c r="H15" s="825">
        <v>4435.62</v>
      </c>
      <c r="I15" s="825">
        <v>4524.71</v>
      </c>
      <c r="J15" s="825">
        <v>257.64999999999998</v>
      </c>
      <c r="K15" s="824">
        <v>0</v>
      </c>
      <c r="L15" s="825"/>
      <c r="M15" s="826">
        <f t="shared" si="1"/>
        <v>486364.50000000006</v>
      </c>
      <c r="N15" s="824">
        <f t="shared" si="0"/>
        <v>1870231</v>
      </c>
    </row>
    <row r="16" spans="1:21">
      <c r="A16" s="823" t="s">
        <v>2122</v>
      </c>
      <c r="B16" s="825">
        <v>0</v>
      </c>
      <c r="C16" s="825"/>
      <c r="D16" s="825"/>
      <c r="E16" s="825"/>
      <c r="F16" s="825"/>
      <c r="G16" s="825"/>
      <c r="H16" s="825"/>
      <c r="I16" s="825"/>
      <c r="J16" s="825"/>
      <c r="K16" s="824">
        <v>10771.12</v>
      </c>
      <c r="L16" s="825"/>
      <c r="M16" s="826">
        <f t="shared" si="1"/>
        <v>10771.12</v>
      </c>
      <c r="N16" s="824">
        <f t="shared" si="0"/>
        <v>10771.12</v>
      </c>
    </row>
    <row r="17" spans="1:14">
      <c r="A17" s="823" t="s">
        <v>2045</v>
      </c>
      <c r="B17" s="830">
        <v>27927.900000000005</v>
      </c>
      <c r="C17" s="825"/>
      <c r="D17" s="830">
        <v>7580.6500000000005</v>
      </c>
      <c r="E17" s="830">
        <v>0</v>
      </c>
      <c r="F17" s="830">
        <v>0</v>
      </c>
      <c r="G17" s="830">
        <v>674.36</v>
      </c>
      <c r="H17" s="830">
        <v>10</v>
      </c>
      <c r="I17" s="830">
        <v>0</v>
      </c>
      <c r="J17" s="830">
        <v>3865.39</v>
      </c>
      <c r="K17" s="830"/>
      <c r="L17" s="830"/>
      <c r="M17" s="831">
        <f t="shared" si="1"/>
        <v>12130.4</v>
      </c>
      <c r="N17" s="830">
        <f t="shared" si="0"/>
        <v>40058.300000000003</v>
      </c>
    </row>
    <row r="18" spans="1:14">
      <c r="B18" s="824">
        <f>SUM(B6:B17)</f>
        <v>10269686.500000002</v>
      </c>
      <c r="C18" s="824"/>
      <c r="D18" s="824">
        <f t="shared" ref="D18:N18" si="2">SUM(D6:D17)</f>
        <v>2209188.2099999995</v>
      </c>
      <c r="E18" s="824">
        <f t="shared" si="2"/>
        <v>262917.63</v>
      </c>
      <c r="F18" s="824">
        <f t="shared" si="2"/>
        <v>80209</v>
      </c>
      <c r="G18" s="824">
        <f t="shared" si="2"/>
        <v>1450723.3299999998</v>
      </c>
      <c r="H18" s="824">
        <f t="shared" si="2"/>
        <v>112941.20000000001</v>
      </c>
      <c r="I18" s="824">
        <f t="shared" si="2"/>
        <v>155716.19999999998</v>
      </c>
      <c r="J18" s="824">
        <f t="shared" si="2"/>
        <v>620918.32000000018</v>
      </c>
      <c r="K18" s="824">
        <f>SUM(K6:K17)</f>
        <v>10771.12</v>
      </c>
      <c r="L18" s="824"/>
      <c r="M18" s="826">
        <f t="shared" si="2"/>
        <v>4903385.01</v>
      </c>
      <c r="N18" s="824">
        <f t="shared" si="2"/>
        <v>15173071.51</v>
      </c>
    </row>
    <row r="19" spans="1:14">
      <c r="B19" s="832"/>
      <c r="D19" s="832"/>
      <c r="E19" s="832"/>
      <c r="F19" s="832"/>
      <c r="G19" s="832"/>
      <c r="H19" s="832"/>
      <c r="I19" s="832"/>
      <c r="J19" s="832"/>
    </row>
    <row r="21" spans="1:14">
      <c r="E21" s="250" t="s">
        <v>2133</v>
      </c>
      <c r="F21" s="833">
        <f>SUM(E18:I18)-G13-G15</f>
        <v>1708297.48</v>
      </c>
    </row>
    <row r="22" spans="1:14">
      <c r="B22" s="834"/>
      <c r="C22" s="835"/>
      <c r="D22" s="834"/>
      <c r="K22" s="832"/>
    </row>
    <row r="23" spans="1:14">
      <c r="B23" s="824"/>
      <c r="C23" s="824"/>
      <c r="D23" s="824"/>
      <c r="E23" s="832"/>
      <c r="K23" s="832"/>
    </row>
    <row r="24" spans="1:14">
      <c r="E24" s="824"/>
      <c r="K24" s="832"/>
    </row>
    <row r="25" spans="1:14">
      <c r="E25" s="824"/>
    </row>
    <row r="27" spans="1:14">
      <c r="A27" s="836"/>
    </row>
    <row r="28" spans="1:14">
      <c r="A28" s="837"/>
    </row>
  </sheetData>
  <pageMargins left="0.7" right="0.7" top="0.75" bottom="0.75" header="0.3" footer="0.3"/>
  <pageSetup scale="6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2"/>
  <sheetViews>
    <sheetView showGridLines="0" view="pageBreakPreview" topLeftCell="A37" zoomScale="85" zoomScaleNormal="100" zoomScaleSheetLayoutView="85" workbookViewId="0">
      <selection activeCell="G20" sqref="G20"/>
    </sheetView>
  </sheetViews>
  <sheetFormatPr defaultColWidth="11.42578125" defaultRowHeight="12"/>
  <cols>
    <col min="1" max="1" width="28" style="570" customWidth="1"/>
    <col min="2" max="2" width="14" style="570" customWidth="1"/>
    <col min="3" max="3" width="12.7109375" style="570" customWidth="1"/>
    <col min="4" max="4" width="14" style="570" bestFit="1" customWidth="1"/>
    <col min="5" max="5" width="14.5703125" style="570" bestFit="1" customWidth="1"/>
    <col min="6" max="6" width="12.42578125" style="570" customWidth="1"/>
    <col min="7" max="7" width="14.42578125" style="570" bestFit="1" customWidth="1"/>
    <col min="8" max="8" width="13.7109375" style="570" bestFit="1" customWidth="1"/>
    <col min="9" max="9" width="1.7109375" style="570" customWidth="1"/>
    <col min="10" max="10" width="15.85546875" style="571" customWidth="1"/>
    <col min="11" max="12" width="11.5703125" style="570" bestFit="1" customWidth="1"/>
    <col min="13" max="17" width="11.42578125" style="570" customWidth="1"/>
    <col min="18" max="18" width="19.42578125" style="570" customWidth="1"/>
    <col min="19" max="19" width="11.5703125" style="571" customWidth="1"/>
    <col min="20" max="27" width="11.42578125" style="571" customWidth="1"/>
    <col min="28" max="256" width="11.42578125" style="570"/>
    <col min="257" max="257" width="28" style="570" customWidth="1"/>
    <col min="258" max="258" width="14" style="570" customWidth="1"/>
    <col min="259" max="259" width="12.7109375" style="570" customWidth="1"/>
    <col min="260" max="260" width="14" style="570" bestFit="1" customWidth="1"/>
    <col min="261" max="261" width="14.5703125" style="570" bestFit="1" customWidth="1"/>
    <col min="262" max="262" width="12.42578125" style="570" customWidth="1"/>
    <col min="263" max="263" width="11" style="570" customWidth="1"/>
    <col min="264" max="264" width="10" style="570" bestFit="1" customWidth="1"/>
    <col min="265" max="265" width="1.7109375" style="570" customWidth="1"/>
    <col min="266" max="266" width="15.85546875" style="570" customWidth="1"/>
    <col min="267" max="268" width="11.5703125" style="570" bestFit="1" customWidth="1"/>
    <col min="269" max="273" width="11.42578125" style="570" customWidth="1"/>
    <col min="274" max="274" width="19.42578125" style="570" customWidth="1"/>
    <col min="275" max="275" width="11.5703125" style="570" customWidth="1"/>
    <col min="276" max="283" width="11.42578125" style="570" customWidth="1"/>
    <col min="284" max="512" width="11.42578125" style="570"/>
    <col min="513" max="513" width="28" style="570" customWidth="1"/>
    <col min="514" max="514" width="14" style="570" customWidth="1"/>
    <col min="515" max="515" width="12.7109375" style="570" customWidth="1"/>
    <col min="516" max="516" width="14" style="570" bestFit="1" customWidth="1"/>
    <col min="517" max="517" width="14.5703125" style="570" bestFit="1" customWidth="1"/>
    <col min="518" max="518" width="12.42578125" style="570" customWidth="1"/>
    <col min="519" max="519" width="11" style="570" customWidth="1"/>
    <col min="520" max="520" width="10" style="570" bestFit="1" customWidth="1"/>
    <col min="521" max="521" width="1.7109375" style="570" customWidth="1"/>
    <col min="522" max="522" width="15.85546875" style="570" customWidth="1"/>
    <col min="523" max="524" width="11.5703125" style="570" bestFit="1" customWidth="1"/>
    <col min="525" max="529" width="11.42578125" style="570" customWidth="1"/>
    <col min="530" max="530" width="19.42578125" style="570" customWidth="1"/>
    <col min="531" max="531" width="11.5703125" style="570" customWidth="1"/>
    <col min="532" max="539" width="11.42578125" style="570" customWidth="1"/>
    <col min="540" max="768" width="11.42578125" style="570"/>
    <col min="769" max="769" width="28" style="570" customWidth="1"/>
    <col min="770" max="770" width="14" style="570" customWidth="1"/>
    <col min="771" max="771" width="12.7109375" style="570" customWidth="1"/>
    <col min="772" max="772" width="14" style="570" bestFit="1" customWidth="1"/>
    <col min="773" max="773" width="14.5703125" style="570" bestFit="1" customWidth="1"/>
    <col min="774" max="774" width="12.42578125" style="570" customWidth="1"/>
    <col min="775" max="775" width="11" style="570" customWidth="1"/>
    <col min="776" max="776" width="10" style="570" bestFit="1" customWidth="1"/>
    <col min="777" max="777" width="1.7109375" style="570" customWidth="1"/>
    <col min="778" max="778" width="15.85546875" style="570" customWidth="1"/>
    <col min="779" max="780" width="11.5703125" style="570" bestFit="1" customWidth="1"/>
    <col min="781" max="785" width="11.42578125" style="570" customWidth="1"/>
    <col min="786" max="786" width="19.42578125" style="570" customWidth="1"/>
    <col min="787" max="787" width="11.5703125" style="570" customWidth="1"/>
    <col min="788" max="795" width="11.42578125" style="570" customWidth="1"/>
    <col min="796" max="1024" width="11.42578125" style="570"/>
    <col min="1025" max="1025" width="28" style="570" customWidth="1"/>
    <col min="1026" max="1026" width="14" style="570" customWidth="1"/>
    <col min="1027" max="1027" width="12.7109375" style="570" customWidth="1"/>
    <col min="1028" max="1028" width="14" style="570" bestFit="1" customWidth="1"/>
    <col min="1029" max="1029" width="14.5703125" style="570" bestFit="1" customWidth="1"/>
    <col min="1030" max="1030" width="12.42578125" style="570" customWidth="1"/>
    <col min="1031" max="1031" width="11" style="570" customWidth="1"/>
    <col min="1032" max="1032" width="10" style="570" bestFit="1" customWidth="1"/>
    <col min="1033" max="1033" width="1.7109375" style="570" customWidth="1"/>
    <col min="1034" max="1034" width="15.85546875" style="570" customWidth="1"/>
    <col min="1035" max="1036" width="11.5703125" style="570" bestFit="1" customWidth="1"/>
    <col min="1037" max="1041" width="11.42578125" style="570" customWidth="1"/>
    <col min="1042" max="1042" width="19.42578125" style="570" customWidth="1"/>
    <col min="1043" max="1043" width="11.5703125" style="570" customWidth="1"/>
    <col min="1044" max="1051" width="11.42578125" style="570" customWidth="1"/>
    <col min="1052" max="1280" width="11.42578125" style="570"/>
    <col min="1281" max="1281" width="28" style="570" customWidth="1"/>
    <col min="1282" max="1282" width="14" style="570" customWidth="1"/>
    <col min="1283" max="1283" width="12.7109375" style="570" customWidth="1"/>
    <col min="1284" max="1284" width="14" style="570" bestFit="1" customWidth="1"/>
    <col min="1285" max="1285" width="14.5703125" style="570" bestFit="1" customWidth="1"/>
    <col min="1286" max="1286" width="12.42578125" style="570" customWidth="1"/>
    <col min="1287" max="1287" width="11" style="570" customWidth="1"/>
    <col min="1288" max="1288" width="10" style="570" bestFit="1" customWidth="1"/>
    <col min="1289" max="1289" width="1.7109375" style="570" customWidth="1"/>
    <col min="1290" max="1290" width="15.85546875" style="570" customWidth="1"/>
    <col min="1291" max="1292" width="11.5703125" style="570" bestFit="1" customWidth="1"/>
    <col min="1293" max="1297" width="11.42578125" style="570" customWidth="1"/>
    <col min="1298" max="1298" width="19.42578125" style="570" customWidth="1"/>
    <col min="1299" max="1299" width="11.5703125" style="570" customWidth="1"/>
    <col min="1300" max="1307" width="11.42578125" style="570" customWidth="1"/>
    <col min="1308" max="1536" width="11.42578125" style="570"/>
    <col min="1537" max="1537" width="28" style="570" customWidth="1"/>
    <col min="1538" max="1538" width="14" style="570" customWidth="1"/>
    <col min="1539" max="1539" width="12.7109375" style="570" customWidth="1"/>
    <col min="1540" max="1540" width="14" style="570" bestFit="1" customWidth="1"/>
    <col min="1541" max="1541" width="14.5703125" style="570" bestFit="1" customWidth="1"/>
    <col min="1542" max="1542" width="12.42578125" style="570" customWidth="1"/>
    <col min="1543" max="1543" width="11" style="570" customWidth="1"/>
    <col min="1544" max="1544" width="10" style="570" bestFit="1" customWidth="1"/>
    <col min="1545" max="1545" width="1.7109375" style="570" customWidth="1"/>
    <col min="1546" max="1546" width="15.85546875" style="570" customWidth="1"/>
    <col min="1547" max="1548" width="11.5703125" style="570" bestFit="1" customWidth="1"/>
    <col min="1549" max="1553" width="11.42578125" style="570" customWidth="1"/>
    <col min="1554" max="1554" width="19.42578125" style="570" customWidth="1"/>
    <col min="1555" max="1555" width="11.5703125" style="570" customWidth="1"/>
    <col min="1556" max="1563" width="11.42578125" style="570" customWidth="1"/>
    <col min="1564" max="1792" width="11.42578125" style="570"/>
    <col min="1793" max="1793" width="28" style="570" customWidth="1"/>
    <col min="1794" max="1794" width="14" style="570" customWidth="1"/>
    <col min="1795" max="1795" width="12.7109375" style="570" customWidth="1"/>
    <col min="1796" max="1796" width="14" style="570" bestFit="1" customWidth="1"/>
    <col min="1797" max="1797" width="14.5703125" style="570" bestFit="1" customWidth="1"/>
    <col min="1798" max="1798" width="12.42578125" style="570" customWidth="1"/>
    <col min="1799" max="1799" width="11" style="570" customWidth="1"/>
    <col min="1800" max="1800" width="10" style="570" bestFit="1" customWidth="1"/>
    <col min="1801" max="1801" width="1.7109375" style="570" customWidth="1"/>
    <col min="1802" max="1802" width="15.85546875" style="570" customWidth="1"/>
    <col min="1803" max="1804" width="11.5703125" style="570" bestFit="1" customWidth="1"/>
    <col min="1805" max="1809" width="11.42578125" style="570" customWidth="1"/>
    <col min="1810" max="1810" width="19.42578125" style="570" customWidth="1"/>
    <col min="1811" max="1811" width="11.5703125" style="570" customWidth="1"/>
    <col min="1812" max="1819" width="11.42578125" style="570" customWidth="1"/>
    <col min="1820" max="2048" width="11.42578125" style="570"/>
    <col min="2049" max="2049" width="28" style="570" customWidth="1"/>
    <col min="2050" max="2050" width="14" style="570" customWidth="1"/>
    <col min="2051" max="2051" width="12.7109375" style="570" customWidth="1"/>
    <col min="2052" max="2052" width="14" style="570" bestFit="1" customWidth="1"/>
    <col min="2053" max="2053" width="14.5703125" style="570" bestFit="1" customWidth="1"/>
    <col min="2054" max="2054" width="12.42578125" style="570" customWidth="1"/>
    <col min="2055" max="2055" width="11" style="570" customWidth="1"/>
    <col min="2056" max="2056" width="10" style="570" bestFit="1" customWidth="1"/>
    <col min="2057" max="2057" width="1.7109375" style="570" customWidth="1"/>
    <col min="2058" max="2058" width="15.85546875" style="570" customWidth="1"/>
    <col min="2059" max="2060" width="11.5703125" style="570" bestFit="1" customWidth="1"/>
    <col min="2061" max="2065" width="11.42578125" style="570" customWidth="1"/>
    <col min="2066" max="2066" width="19.42578125" style="570" customWidth="1"/>
    <col min="2067" max="2067" width="11.5703125" style="570" customWidth="1"/>
    <col min="2068" max="2075" width="11.42578125" style="570" customWidth="1"/>
    <col min="2076" max="2304" width="11.42578125" style="570"/>
    <col min="2305" max="2305" width="28" style="570" customWidth="1"/>
    <col min="2306" max="2306" width="14" style="570" customWidth="1"/>
    <col min="2307" max="2307" width="12.7109375" style="570" customWidth="1"/>
    <col min="2308" max="2308" width="14" style="570" bestFit="1" customWidth="1"/>
    <col min="2309" max="2309" width="14.5703125" style="570" bestFit="1" customWidth="1"/>
    <col min="2310" max="2310" width="12.42578125" style="570" customWidth="1"/>
    <col min="2311" max="2311" width="11" style="570" customWidth="1"/>
    <col min="2312" max="2312" width="10" style="570" bestFit="1" customWidth="1"/>
    <col min="2313" max="2313" width="1.7109375" style="570" customWidth="1"/>
    <col min="2314" max="2314" width="15.85546875" style="570" customWidth="1"/>
    <col min="2315" max="2316" width="11.5703125" style="570" bestFit="1" customWidth="1"/>
    <col min="2317" max="2321" width="11.42578125" style="570" customWidth="1"/>
    <col min="2322" max="2322" width="19.42578125" style="570" customWidth="1"/>
    <col min="2323" max="2323" width="11.5703125" style="570" customWidth="1"/>
    <col min="2324" max="2331" width="11.42578125" style="570" customWidth="1"/>
    <col min="2332" max="2560" width="11.42578125" style="570"/>
    <col min="2561" max="2561" width="28" style="570" customWidth="1"/>
    <col min="2562" max="2562" width="14" style="570" customWidth="1"/>
    <col min="2563" max="2563" width="12.7109375" style="570" customWidth="1"/>
    <col min="2564" max="2564" width="14" style="570" bestFit="1" customWidth="1"/>
    <col min="2565" max="2565" width="14.5703125" style="570" bestFit="1" customWidth="1"/>
    <col min="2566" max="2566" width="12.42578125" style="570" customWidth="1"/>
    <col min="2567" max="2567" width="11" style="570" customWidth="1"/>
    <col min="2568" max="2568" width="10" style="570" bestFit="1" customWidth="1"/>
    <col min="2569" max="2569" width="1.7109375" style="570" customWidth="1"/>
    <col min="2570" max="2570" width="15.85546875" style="570" customWidth="1"/>
    <col min="2571" max="2572" width="11.5703125" style="570" bestFit="1" customWidth="1"/>
    <col min="2573" max="2577" width="11.42578125" style="570" customWidth="1"/>
    <col min="2578" max="2578" width="19.42578125" style="570" customWidth="1"/>
    <col min="2579" max="2579" width="11.5703125" style="570" customWidth="1"/>
    <col min="2580" max="2587" width="11.42578125" style="570" customWidth="1"/>
    <col min="2588" max="2816" width="11.42578125" style="570"/>
    <col min="2817" max="2817" width="28" style="570" customWidth="1"/>
    <col min="2818" max="2818" width="14" style="570" customWidth="1"/>
    <col min="2819" max="2819" width="12.7109375" style="570" customWidth="1"/>
    <col min="2820" max="2820" width="14" style="570" bestFit="1" customWidth="1"/>
    <col min="2821" max="2821" width="14.5703125" style="570" bestFit="1" customWidth="1"/>
    <col min="2822" max="2822" width="12.42578125" style="570" customWidth="1"/>
    <col min="2823" max="2823" width="11" style="570" customWidth="1"/>
    <col min="2824" max="2824" width="10" style="570" bestFit="1" customWidth="1"/>
    <col min="2825" max="2825" width="1.7109375" style="570" customWidth="1"/>
    <col min="2826" max="2826" width="15.85546875" style="570" customWidth="1"/>
    <col min="2827" max="2828" width="11.5703125" style="570" bestFit="1" customWidth="1"/>
    <col min="2829" max="2833" width="11.42578125" style="570" customWidth="1"/>
    <col min="2834" max="2834" width="19.42578125" style="570" customWidth="1"/>
    <col min="2835" max="2835" width="11.5703125" style="570" customWidth="1"/>
    <col min="2836" max="2843" width="11.42578125" style="570" customWidth="1"/>
    <col min="2844" max="3072" width="11.42578125" style="570"/>
    <col min="3073" max="3073" width="28" style="570" customWidth="1"/>
    <col min="3074" max="3074" width="14" style="570" customWidth="1"/>
    <col min="3075" max="3075" width="12.7109375" style="570" customWidth="1"/>
    <col min="3076" max="3076" width="14" style="570" bestFit="1" customWidth="1"/>
    <col min="3077" max="3077" width="14.5703125" style="570" bestFit="1" customWidth="1"/>
    <col min="3078" max="3078" width="12.42578125" style="570" customWidth="1"/>
    <col min="3079" max="3079" width="11" style="570" customWidth="1"/>
    <col min="3080" max="3080" width="10" style="570" bestFit="1" customWidth="1"/>
    <col min="3081" max="3081" width="1.7109375" style="570" customWidth="1"/>
    <col min="3082" max="3082" width="15.85546875" style="570" customWidth="1"/>
    <col min="3083" max="3084" width="11.5703125" style="570" bestFit="1" customWidth="1"/>
    <col min="3085" max="3089" width="11.42578125" style="570" customWidth="1"/>
    <col min="3090" max="3090" width="19.42578125" style="570" customWidth="1"/>
    <col min="3091" max="3091" width="11.5703125" style="570" customWidth="1"/>
    <col min="3092" max="3099" width="11.42578125" style="570" customWidth="1"/>
    <col min="3100" max="3328" width="11.42578125" style="570"/>
    <col min="3329" max="3329" width="28" style="570" customWidth="1"/>
    <col min="3330" max="3330" width="14" style="570" customWidth="1"/>
    <col min="3331" max="3331" width="12.7109375" style="570" customWidth="1"/>
    <col min="3332" max="3332" width="14" style="570" bestFit="1" customWidth="1"/>
    <col min="3333" max="3333" width="14.5703125" style="570" bestFit="1" customWidth="1"/>
    <col min="3334" max="3334" width="12.42578125" style="570" customWidth="1"/>
    <col min="3335" max="3335" width="11" style="570" customWidth="1"/>
    <col min="3336" max="3336" width="10" style="570" bestFit="1" customWidth="1"/>
    <col min="3337" max="3337" width="1.7109375" style="570" customWidth="1"/>
    <col min="3338" max="3338" width="15.85546875" style="570" customWidth="1"/>
    <col min="3339" max="3340" width="11.5703125" style="570" bestFit="1" customWidth="1"/>
    <col min="3341" max="3345" width="11.42578125" style="570" customWidth="1"/>
    <col min="3346" max="3346" width="19.42578125" style="570" customWidth="1"/>
    <col min="3347" max="3347" width="11.5703125" style="570" customWidth="1"/>
    <col min="3348" max="3355" width="11.42578125" style="570" customWidth="1"/>
    <col min="3356" max="3584" width="11.42578125" style="570"/>
    <col min="3585" max="3585" width="28" style="570" customWidth="1"/>
    <col min="3586" max="3586" width="14" style="570" customWidth="1"/>
    <col min="3587" max="3587" width="12.7109375" style="570" customWidth="1"/>
    <col min="3588" max="3588" width="14" style="570" bestFit="1" customWidth="1"/>
    <col min="3589" max="3589" width="14.5703125" style="570" bestFit="1" customWidth="1"/>
    <col min="3590" max="3590" width="12.42578125" style="570" customWidth="1"/>
    <col min="3591" max="3591" width="11" style="570" customWidth="1"/>
    <col min="3592" max="3592" width="10" style="570" bestFit="1" customWidth="1"/>
    <col min="3593" max="3593" width="1.7109375" style="570" customWidth="1"/>
    <col min="3594" max="3594" width="15.85546875" style="570" customWidth="1"/>
    <col min="3595" max="3596" width="11.5703125" style="570" bestFit="1" customWidth="1"/>
    <col min="3597" max="3601" width="11.42578125" style="570" customWidth="1"/>
    <col min="3602" max="3602" width="19.42578125" style="570" customWidth="1"/>
    <col min="3603" max="3603" width="11.5703125" style="570" customWidth="1"/>
    <col min="3604" max="3611" width="11.42578125" style="570" customWidth="1"/>
    <col min="3612" max="3840" width="11.42578125" style="570"/>
    <col min="3841" max="3841" width="28" style="570" customWidth="1"/>
    <col min="3842" max="3842" width="14" style="570" customWidth="1"/>
    <col min="3843" max="3843" width="12.7109375" style="570" customWidth="1"/>
    <col min="3844" max="3844" width="14" style="570" bestFit="1" customWidth="1"/>
    <col min="3845" max="3845" width="14.5703125" style="570" bestFit="1" customWidth="1"/>
    <col min="3846" max="3846" width="12.42578125" style="570" customWidth="1"/>
    <col min="3847" max="3847" width="11" style="570" customWidth="1"/>
    <col min="3848" max="3848" width="10" style="570" bestFit="1" customWidth="1"/>
    <col min="3849" max="3849" width="1.7109375" style="570" customWidth="1"/>
    <col min="3850" max="3850" width="15.85546875" style="570" customWidth="1"/>
    <col min="3851" max="3852" width="11.5703125" style="570" bestFit="1" customWidth="1"/>
    <col min="3853" max="3857" width="11.42578125" style="570" customWidth="1"/>
    <col min="3858" max="3858" width="19.42578125" style="570" customWidth="1"/>
    <col min="3859" max="3859" width="11.5703125" style="570" customWidth="1"/>
    <col min="3860" max="3867" width="11.42578125" style="570" customWidth="1"/>
    <col min="3868" max="4096" width="11.42578125" style="570"/>
    <col min="4097" max="4097" width="28" style="570" customWidth="1"/>
    <col min="4098" max="4098" width="14" style="570" customWidth="1"/>
    <col min="4099" max="4099" width="12.7109375" style="570" customWidth="1"/>
    <col min="4100" max="4100" width="14" style="570" bestFit="1" customWidth="1"/>
    <col min="4101" max="4101" width="14.5703125" style="570" bestFit="1" customWidth="1"/>
    <col min="4102" max="4102" width="12.42578125" style="570" customWidth="1"/>
    <col min="4103" max="4103" width="11" style="570" customWidth="1"/>
    <col min="4104" max="4104" width="10" style="570" bestFit="1" customWidth="1"/>
    <col min="4105" max="4105" width="1.7109375" style="570" customWidth="1"/>
    <col min="4106" max="4106" width="15.85546875" style="570" customWidth="1"/>
    <col min="4107" max="4108" width="11.5703125" style="570" bestFit="1" customWidth="1"/>
    <col min="4109" max="4113" width="11.42578125" style="570" customWidth="1"/>
    <col min="4114" max="4114" width="19.42578125" style="570" customWidth="1"/>
    <col min="4115" max="4115" width="11.5703125" style="570" customWidth="1"/>
    <col min="4116" max="4123" width="11.42578125" style="570" customWidth="1"/>
    <col min="4124" max="4352" width="11.42578125" style="570"/>
    <col min="4353" max="4353" width="28" style="570" customWidth="1"/>
    <col min="4354" max="4354" width="14" style="570" customWidth="1"/>
    <col min="4355" max="4355" width="12.7109375" style="570" customWidth="1"/>
    <col min="4356" max="4356" width="14" style="570" bestFit="1" customWidth="1"/>
    <col min="4357" max="4357" width="14.5703125" style="570" bestFit="1" customWidth="1"/>
    <col min="4358" max="4358" width="12.42578125" style="570" customWidth="1"/>
    <col min="4359" max="4359" width="11" style="570" customWidth="1"/>
    <col min="4360" max="4360" width="10" style="570" bestFit="1" customWidth="1"/>
    <col min="4361" max="4361" width="1.7109375" style="570" customWidth="1"/>
    <col min="4362" max="4362" width="15.85546875" style="570" customWidth="1"/>
    <col min="4363" max="4364" width="11.5703125" style="570" bestFit="1" customWidth="1"/>
    <col min="4365" max="4369" width="11.42578125" style="570" customWidth="1"/>
    <col min="4370" max="4370" width="19.42578125" style="570" customWidth="1"/>
    <col min="4371" max="4371" width="11.5703125" style="570" customWidth="1"/>
    <col min="4372" max="4379" width="11.42578125" style="570" customWidth="1"/>
    <col min="4380" max="4608" width="11.42578125" style="570"/>
    <col min="4609" max="4609" width="28" style="570" customWidth="1"/>
    <col min="4610" max="4610" width="14" style="570" customWidth="1"/>
    <col min="4611" max="4611" width="12.7109375" style="570" customWidth="1"/>
    <col min="4612" max="4612" width="14" style="570" bestFit="1" customWidth="1"/>
    <col min="4613" max="4613" width="14.5703125" style="570" bestFit="1" customWidth="1"/>
    <col min="4614" max="4614" width="12.42578125" style="570" customWidth="1"/>
    <col min="4615" max="4615" width="11" style="570" customWidth="1"/>
    <col min="4616" max="4616" width="10" style="570" bestFit="1" customWidth="1"/>
    <col min="4617" max="4617" width="1.7109375" style="570" customWidth="1"/>
    <col min="4618" max="4618" width="15.85546875" style="570" customWidth="1"/>
    <col min="4619" max="4620" width="11.5703125" style="570" bestFit="1" customWidth="1"/>
    <col min="4621" max="4625" width="11.42578125" style="570" customWidth="1"/>
    <col min="4626" max="4626" width="19.42578125" style="570" customWidth="1"/>
    <col min="4627" max="4627" width="11.5703125" style="570" customWidth="1"/>
    <col min="4628" max="4635" width="11.42578125" style="570" customWidth="1"/>
    <col min="4636" max="4864" width="11.42578125" style="570"/>
    <col min="4865" max="4865" width="28" style="570" customWidth="1"/>
    <col min="4866" max="4866" width="14" style="570" customWidth="1"/>
    <col min="4867" max="4867" width="12.7109375" style="570" customWidth="1"/>
    <col min="4868" max="4868" width="14" style="570" bestFit="1" customWidth="1"/>
    <col min="4869" max="4869" width="14.5703125" style="570" bestFit="1" customWidth="1"/>
    <col min="4870" max="4870" width="12.42578125" style="570" customWidth="1"/>
    <col min="4871" max="4871" width="11" style="570" customWidth="1"/>
    <col min="4872" max="4872" width="10" style="570" bestFit="1" customWidth="1"/>
    <col min="4873" max="4873" width="1.7109375" style="570" customWidth="1"/>
    <col min="4874" max="4874" width="15.85546875" style="570" customWidth="1"/>
    <col min="4875" max="4876" width="11.5703125" style="570" bestFit="1" customWidth="1"/>
    <col min="4877" max="4881" width="11.42578125" style="570" customWidth="1"/>
    <col min="4882" max="4882" width="19.42578125" style="570" customWidth="1"/>
    <col min="4883" max="4883" width="11.5703125" style="570" customWidth="1"/>
    <col min="4884" max="4891" width="11.42578125" style="570" customWidth="1"/>
    <col min="4892" max="5120" width="11.42578125" style="570"/>
    <col min="5121" max="5121" width="28" style="570" customWidth="1"/>
    <col min="5122" max="5122" width="14" style="570" customWidth="1"/>
    <col min="5123" max="5123" width="12.7109375" style="570" customWidth="1"/>
    <col min="5124" max="5124" width="14" style="570" bestFit="1" customWidth="1"/>
    <col min="5125" max="5125" width="14.5703125" style="570" bestFit="1" customWidth="1"/>
    <col min="5126" max="5126" width="12.42578125" style="570" customWidth="1"/>
    <col min="5127" max="5127" width="11" style="570" customWidth="1"/>
    <col min="5128" max="5128" width="10" style="570" bestFit="1" customWidth="1"/>
    <col min="5129" max="5129" width="1.7109375" style="570" customWidth="1"/>
    <col min="5130" max="5130" width="15.85546875" style="570" customWidth="1"/>
    <col min="5131" max="5132" width="11.5703125" style="570" bestFit="1" customWidth="1"/>
    <col min="5133" max="5137" width="11.42578125" style="570" customWidth="1"/>
    <col min="5138" max="5138" width="19.42578125" style="570" customWidth="1"/>
    <col min="5139" max="5139" width="11.5703125" style="570" customWidth="1"/>
    <col min="5140" max="5147" width="11.42578125" style="570" customWidth="1"/>
    <col min="5148" max="5376" width="11.42578125" style="570"/>
    <col min="5377" max="5377" width="28" style="570" customWidth="1"/>
    <col min="5378" max="5378" width="14" style="570" customWidth="1"/>
    <col min="5379" max="5379" width="12.7109375" style="570" customWidth="1"/>
    <col min="5380" max="5380" width="14" style="570" bestFit="1" customWidth="1"/>
    <col min="5381" max="5381" width="14.5703125" style="570" bestFit="1" customWidth="1"/>
    <col min="5382" max="5382" width="12.42578125" style="570" customWidth="1"/>
    <col min="5383" max="5383" width="11" style="570" customWidth="1"/>
    <col min="5384" max="5384" width="10" style="570" bestFit="1" customWidth="1"/>
    <col min="5385" max="5385" width="1.7109375" style="570" customWidth="1"/>
    <col min="5386" max="5386" width="15.85546875" style="570" customWidth="1"/>
    <col min="5387" max="5388" width="11.5703125" style="570" bestFit="1" customWidth="1"/>
    <col min="5389" max="5393" width="11.42578125" style="570" customWidth="1"/>
    <col min="5394" max="5394" width="19.42578125" style="570" customWidth="1"/>
    <col min="5395" max="5395" width="11.5703125" style="570" customWidth="1"/>
    <col min="5396" max="5403" width="11.42578125" style="570" customWidth="1"/>
    <col min="5404" max="5632" width="11.42578125" style="570"/>
    <col min="5633" max="5633" width="28" style="570" customWidth="1"/>
    <col min="5634" max="5634" width="14" style="570" customWidth="1"/>
    <col min="5635" max="5635" width="12.7109375" style="570" customWidth="1"/>
    <col min="5636" max="5636" width="14" style="570" bestFit="1" customWidth="1"/>
    <col min="5637" max="5637" width="14.5703125" style="570" bestFit="1" customWidth="1"/>
    <col min="5638" max="5638" width="12.42578125" style="570" customWidth="1"/>
    <col min="5639" max="5639" width="11" style="570" customWidth="1"/>
    <col min="5640" max="5640" width="10" style="570" bestFit="1" customWidth="1"/>
    <col min="5641" max="5641" width="1.7109375" style="570" customWidth="1"/>
    <col min="5642" max="5642" width="15.85546875" style="570" customWidth="1"/>
    <col min="5643" max="5644" width="11.5703125" style="570" bestFit="1" customWidth="1"/>
    <col min="5645" max="5649" width="11.42578125" style="570" customWidth="1"/>
    <col min="5650" max="5650" width="19.42578125" style="570" customWidth="1"/>
    <col min="5651" max="5651" width="11.5703125" style="570" customWidth="1"/>
    <col min="5652" max="5659" width="11.42578125" style="570" customWidth="1"/>
    <col min="5660" max="5888" width="11.42578125" style="570"/>
    <col min="5889" max="5889" width="28" style="570" customWidth="1"/>
    <col min="5890" max="5890" width="14" style="570" customWidth="1"/>
    <col min="5891" max="5891" width="12.7109375" style="570" customWidth="1"/>
    <col min="5892" max="5892" width="14" style="570" bestFit="1" customWidth="1"/>
    <col min="5893" max="5893" width="14.5703125" style="570" bestFit="1" customWidth="1"/>
    <col min="5894" max="5894" width="12.42578125" style="570" customWidth="1"/>
    <col min="5895" max="5895" width="11" style="570" customWidth="1"/>
    <col min="5896" max="5896" width="10" style="570" bestFit="1" customWidth="1"/>
    <col min="5897" max="5897" width="1.7109375" style="570" customWidth="1"/>
    <col min="5898" max="5898" width="15.85546875" style="570" customWidth="1"/>
    <col min="5899" max="5900" width="11.5703125" style="570" bestFit="1" customWidth="1"/>
    <col min="5901" max="5905" width="11.42578125" style="570" customWidth="1"/>
    <col min="5906" max="5906" width="19.42578125" style="570" customWidth="1"/>
    <col min="5907" max="5907" width="11.5703125" style="570" customWidth="1"/>
    <col min="5908" max="5915" width="11.42578125" style="570" customWidth="1"/>
    <col min="5916" max="6144" width="11.42578125" style="570"/>
    <col min="6145" max="6145" width="28" style="570" customWidth="1"/>
    <col min="6146" max="6146" width="14" style="570" customWidth="1"/>
    <col min="6147" max="6147" width="12.7109375" style="570" customWidth="1"/>
    <col min="6148" max="6148" width="14" style="570" bestFit="1" customWidth="1"/>
    <col min="6149" max="6149" width="14.5703125" style="570" bestFit="1" customWidth="1"/>
    <col min="6150" max="6150" width="12.42578125" style="570" customWidth="1"/>
    <col min="6151" max="6151" width="11" style="570" customWidth="1"/>
    <col min="6152" max="6152" width="10" style="570" bestFit="1" customWidth="1"/>
    <col min="6153" max="6153" width="1.7109375" style="570" customWidth="1"/>
    <col min="6154" max="6154" width="15.85546875" style="570" customWidth="1"/>
    <col min="6155" max="6156" width="11.5703125" style="570" bestFit="1" customWidth="1"/>
    <col min="6157" max="6161" width="11.42578125" style="570" customWidth="1"/>
    <col min="6162" max="6162" width="19.42578125" style="570" customWidth="1"/>
    <col min="6163" max="6163" width="11.5703125" style="570" customWidth="1"/>
    <col min="6164" max="6171" width="11.42578125" style="570" customWidth="1"/>
    <col min="6172" max="6400" width="11.42578125" style="570"/>
    <col min="6401" max="6401" width="28" style="570" customWidth="1"/>
    <col min="6402" max="6402" width="14" style="570" customWidth="1"/>
    <col min="6403" max="6403" width="12.7109375" style="570" customWidth="1"/>
    <col min="6404" max="6404" width="14" style="570" bestFit="1" customWidth="1"/>
    <col min="6405" max="6405" width="14.5703125" style="570" bestFit="1" customWidth="1"/>
    <col min="6406" max="6406" width="12.42578125" style="570" customWidth="1"/>
    <col min="6407" max="6407" width="11" style="570" customWidth="1"/>
    <col min="6408" max="6408" width="10" style="570" bestFit="1" customWidth="1"/>
    <col min="6409" max="6409" width="1.7109375" style="570" customWidth="1"/>
    <col min="6410" max="6410" width="15.85546875" style="570" customWidth="1"/>
    <col min="6411" max="6412" width="11.5703125" style="570" bestFit="1" customWidth="1"/>
    <col min="6413" max="6417" width="11.42578125" style="570" customWidth="1"/>
    <col min="6418" max="6418" width="19.42578125" style="570" customWidth="1"/>
    <col min="6419" max="6419" width="11.5703125" style="570" customWidth="1"/>
    <col min="6420" max="6427" width="11.42578125" style="570" customWidth="1"/>
    <col min="6428" max="6656" width="11.42578125" style="570"/>
    <col min="6657" max="6657" width="28" style="570" customWidth="1"/>
    <col min="6658" max="6658" width="14" style="570" customWidth="1"/>
    <col min="6659" max="6659" width="12.7109375" style="570" customWidth="1"/>
    <col min="6660" max="6660" width="14" style="570" bestFit="1" customWidth="1"/>
    <col min="6661" max="6661" width="14.5703125" style="570" bestFit="1" customWidth="1"/>
    <col min="6662" max="6662" width="12.42578125" style="570" customWidth="1"/>
    <col min="6663" max="6663" width="11" style="570" customWidth="1"/>
    <col min="6664" max="6664" width="10" style="570" bestFit="1" customWidth="1"/>
    <col min="6665" max="6665" width="1.7109375" style="570" customWidth="1"/>
    <col min="6666" max="6666" width="15.85546875" style="570" customWidth="1"/>
    <col min="6667" max="6668" width="11.5703125" style="570" bestFit="1" customWidth="1"/>
    <col min="6669" max="6673" width="11.42578125" style="570" customWidth="1"/>
    <col min="6674" max="6674" width="19.42578125" style="570" customWidth="1"/>
    <col min="6675" max="6675" width="11.5703125" style="570" customWidth="1"/>
    <col min="6676" max="6683" width="11.42578125" style="570" customWidth="1"/>
    <col min="6684" max="6912" width="11.42578125" style="570"/>
    <col min="6913" max="6913" width="28" style="570" customWidth="1"/>
    <col min="6914" max="6914" width="14" style="570" customWidth="1"/>
    <col min="6915" max="6915" width="12.7109375" style="570" customWidth="1"/>
    <col min="6916" max="6916" width="14" style="570" bestFit="1" customWidth="1"/>
    <col min="6917" max="6917" width="14.5703125" style="570" bestFit="1" customWidth="1"/>
    <col min="6918" max="6918" width="12.42578125" style="570" customWidth="1"/>
    <col min="6919" max="6919" width="11" style="570" customWidth="1"/>
    <col min="6920" max="6920" width="10" style="570" bestFit="1" customWidth="1"/>
    <col min="6921" max="6921" width="1.7109375" style="570" customWidth="1"/>
    <col min="6922" max="6922" width="15.85546875" style="570" customWidth="1"/>
    <col min="6923" max="6924" width="11.5703125" style="570" bestFit="1" customWidth="1"/>
    <col min="6925" max="6929" width="11.42578125" style="570" customWidth="1"/>
    <col min="6930" max="6930" width="19.42578125" style="570" customWidth="1"/>
    <col min="6931" max="6931" width="11.5703125" style="570" customWidth="1"/>
    <col min="6932" max="6939" width="11.42578125" style="570" customWidth="1"/>
    <col min="6940" max="7168" width="11.42578125" style="570"/>
    <col min="7169" max="7169" width="28" style="570" customWidth="1"/>
    <col min="7170" max="7170" width="14" style="570" customWidth="1"/>
    <col min="7171" max="7171" width="12.7109375" style="570" customWidth="1"/>
    <col min="7172" max="7172" width="14" style="570" bestFit="1" customWidth="1"/>
    <col min="7173" max="7173" width="14.5703125" style="570" bestFit="1" customWidth="1"/>
    <col min="7174" max="7174" width="12.42578125" style="570" customWidth="1"/>
    <col min="7175" max="7175" width="11" style="570" customWidth="1"/>
    <col min="7176" max="7176" width="10" style="570" bestFit="1" customWidth="1"/>
    <col min="7177" max="7177" width="1.7109375" style="570" customWidth="1"/>
    <col min="7178" max="7178" width="15.85546875" style="570" customWidth="1"/>
    <col min="7179" max="7180" width="11.5703125" style="570" bestFit="1" customWidth="1"/>
    <col min="7181" max="7185" width="11.42578125" style="570" customWidth="1"/>
    <col min="7186" max="7186" width="19.42578125" style="570" customWidth="1"/>
    <col min="7187" max="7187" width="11.5703125" style="570" customWidth="1"/>
    <col min="7188" max="7195" width="11.42578125" style="570" customWidth="1"/>
    <col min="7196" max="7424" width="11.42578125" style="570"/>
    <col min="7425" max="7425" width="28" style="570" customWidth="1"/>
    <col min="7426" max="7426" width="14" style="570" customWidth="1"/>
    <col min="7427" max="7427" width="12.7109375" style="570" customWidth="1"/>
    <col min="7428" max="7428" width="14" style="570" bestFit="1" customWidth="1"/>
    <col min="7429" max="7429" width="14.5703125" style="570" bestFit="1" customWidth="1"/>
    <col min="7430" max="7430" width="12.42578125" style="570" customWidth="1"/>
    <col min="7431" max="7431" width="11" style="570" customWidth="1"/>
    <col min="7432" max="7432" width="10" style="570" bestFit="1" customWidth="1"/>
    <col min="7433" max="7433" width="1.7109375" style="570" customWidth="1"/>
    <col min="7434" max="7434" width="15.85546875" style="570" customWidth="1"/>
    <col min="7435" max="7436" width="11.5703125" style="570" bestFit="1" customWidth="1"/>
    <col min="7437" max="7441" width="11.42578125" style="570" customWidth="1"/>
    <col min="7442" max="7442" width="19.42578125" style="570" customWidth="1"/>
    <col min="7443" max="7443" width="11.5703125" style="570" customWidth="1"/>
    <col min="7444" max="7451" width="11.42578125" style="570" customWidth="1"/>
    <col min="7452" max="7680" width="11.42578125" style="570"/>
    <col min="7681" max="7681" width="28" style="570" customWidth="1"/>
    <col min="7682" max="7682" width="14" style="570" customWidth="1"/>
    <col min="7683" max="7683" width="12.7109375" style="570" customWidth="1"/>
    <col min="7684" max="7684" width="14" style="570" bestFit="1" customWidth="1"/>
    <col min="7685" max="7685" width="14.5703125" style="570" bestFit="1" customWidth="1"/>
    <col min="7686" max="7686" width="12.42578125" style="570" customWidth="1"/>
    <col min="7687" max="7687" width="11" style="570" customWidth="1"/>
    <col min="7688" max="7688" width="10" style="570" bestFit="1" customWidth="1"/>
    <col min="7689" max="7689" width="1.7109375" style="570" customWidth="1"/>
    <col min="7690" max="7690" width="15.85546875" style="570" customWidth="1"/>
    <col min="7691" max="7692" width="11.5703125" style="570" bestFit="1" customWidth="1"/>
    <col min="7693" max="7697" width="11.42578125" style="570" customWidth="1"/>
    <col min="7698" max="7698" width="19.42578125" style="570" customWidth="1"/>
    <col min="7699" max="7699" width="11.5703125" style="570" customWidth="1"/>
    <col min="7700" max="7707" width="11.42578125" style="570" customWidth="1"/>
    <col min="7708" max="7936" width="11.42578125" style="570"/>
    <col min="7937" max="7937" width="28" style="570" customWidth="1"/>
    <col min="7938" max="7938" width="14" style="570" customWidth="1"/>
    <col min="7939" max="7939" width="12.7109375" style="570" customWidth="1"/>
    <col min="7940" max="7940" width="14" style="570" bestFit="1" customWidth="1"/>
    <col min="7941" max="7941" width="14.5703125" style="570" bestFit="1" customWidth="1"/>
    <col min="7942" max="7942" width="12.42578125" style="570" customWidth="1"/>
    <col min="7943" max="7943" width="11" style="570" customWidth="1"/>
    <col min="7944" max="7944" width="10" style="570" bestFit="1" customWidth="1"/>
    <col min="7945" max="7945" width="1.7109375" style="570" customWidth="1"/>
    <col min="7946" max="7946" width="15.85546875" style="570" customWidth="1"/>
    <col min="7947" max="7948" width="11.5703125" style="570" bestFit="1" customWidth="1"/>
    <col min="7949" max="7953" width="11.42578125" style="570" customWidth="1"/>
    <col min="7954" max="7954" width="19.42578125" style="570" customWidth="1"/>
    <col min="7955" max="7955" width="11.5703125" style="570" customWidth="1"/>
    <col min="7956" max="7963" width="11.42578125" style="570" customWidth="1"/>
    <col min="7964" max="8192" width="11.42578125" style="570"/>
    <col min="8193" max="8193" width="28" style="570" customWidth="1"/>
    <col min="8194" max="8194" width="14" style="570" customWidth="1"/>
    <col min="8195" max="8195" width="12.7109375" style="570" customWidth="1"/>
    <col min="8196" max="8196" width="14" style="570" bestFit="1" customWidth="1"/>
    <col min="8197" max="8197" width="14.5703125" style="570" bestFit="1" customWidth="1"/>
    <col min="8198" max="8198" width="12.42578125" style="570" customWidth="1"/>
    <col min="8199" max="8199" width="11" style="570" customWidth="1"/>
    <col min="8200" max="8200" width="10" style="570" bestFit="1" customWidth="1"/>
    <col min="8201" max="8201" width="1.7109375" style="570" customWidth="1"/>
    <col min="8202" max="8202" width="15.85546875" style="570" customWidth="1"/>
    <col min="8203" max="8204" width="11.5703125" style="570" bestFit="1" customWidth="1"/>
    <col min="8205" max="8209" width="11.42578125" style="570" customWidth="1"/>
    <col min="8210" max="8210" width="19.42578125" style="570" customWidth="1"/>
    <col min="8211" max="8211" width="11.5703125" style="570" customWidth="1"/>
    <col min="8212" max="8219" width="11.42578125" style="570" customWidth="1"/>
    <col min="8220" max="8448" width="11.42578125" style="570"/>
    <col min="8449" max="8449" width="28" style="570" customWidth="1"/>
    <col min="8450" max="8450" width="14" style="570" customWidth="1"/>
    <col min="8451" max="8451" width="12.7109375" style="570" customWidth="1"/>
    <col min="8452" max="8452" width="14" style="570" bestFit="1" customWidth="1"/>
    <col min="8453" max="8453" width="14.5703125" style="570" bestFit="1" customWidth="1"/>
    <col min="8454" max="8454" width="12.42578125" style="570" customWidth="1"/>
    <col min="8455" max="8455" width="11" style="570" customWidth="1"/>
    <col min="8456" max="8456" width="10" style="570" bestFit="1" customWidth="1"/>
    <col min="8457" max="8457" width="1.7109375" style="570" customWidth="1"/>
    <col min="8458" max="8458" width="15.85546875" style="570" customWidth="1"/>
    <col min="8459" max="8460" width="11.5703125" style="570" bestFit="1" customWidth="1"/>
    <col min="8461" max="8465" width="11.42578125" style="570" customWidth="1"/>
    <col min="8466" max="8466" width="19.42578125" style="570" customWidth="1"/>
    <col min="8467" max="8467" width="11.5703125" style="570" customWidth="1"/>
    <col min="8468" max="8475" width="11.42578125" style="570" customWidth="1"/>
    <col min="8476" max="8704" width="11.42578125" style="570"/>
    <col min="8705" max="8705" width="28" style="570" customWidth="1"/>
    <col min="8706" max="8706" width="14" style="570" customWidth="1"/>
    <col min="8707" max="8707" width="12.7109375" style="570" customWidth="1"/>
    <col min="8708" max="8708" width="14" style="570" bestFit="1" customWidth="1"/>
    <col min="8709" max="8709" width="14.5703125" style="570" bestFit="1" customWidth="1"/>
    <col min="8710" max="8710" width="12.42578125" style="570" customWidth="1"/>
    <col min="8711" max="8711" width="11" style="570" customWidth="1"/>
    <col min="8712" max="8712" width="10" style="570" bestFit="1" customWidth="1"/>
    <col min="8713" max="8713" width="1.7109375" style="570" customWidth="1"/>
    <col min="8714" max="8714" width="15.85546875" style="570" customWidth="1"/>
    <col min="8715" max="8716" width="11.5703125" style="570" bestFit="1" customWidth="1"/>
    <col min="8717" max="8721" width="11.42578125" style="570" customWidth="1"/>
    <col min="8722" max="8722" width="19.42578125" style="570" customWidth="1"/>
    <col min="8723" max="8723" width="11.5703125" style="570" customWidth="1"/>
    <col min="8724" max="8731" width="11.42578125" style="570" customWidth="1"/>
    <col min="8732" max="8960" width="11.42578125" style="570"/>
    <col min="8961" max="8961" width="28" style="570" customWidth="1"/>
    <col min="8962" max="8962" width="14" style="570" customWidth="1"/>
    <col min="8963" max="8963" width="12.7109375" style="570" customWidth="1"/>
    <col min="8964" max="8964" width="14" style="570" bestFit="1" customWidth="1"/>
    <col min="8965" max="8965" width="14.5703125" style="570" bestFit="1" customWidth="1"/>
    <col min="8966" max="8966" width="12.42578125" style="570" customWidth="1"/>
    <col min="8967" max="8967" width="11" style="570" customWidth="1"/>
    <col min="8968" max="8968" width="10" style="570" bestFit="1" customWidth="1"/>
    <col min="8969" max="8969" width="1.7109375" style="570" customWidth="1"/>
    <col min="8970" max="8970" width="15.85546875" style="570" customWidth="1"/>
    <col min="8971" max="8972" width="11.5703125" style="570" bestFit="1" customWidth="1"/>
    <col min="8973" max="8977" width="11.42578125" style="570" customWidth="1"/>
    <col min="8978" max="8978" width="19.42578125" style="570" customWidth="1"/>
    <col min="8979" max="8979" width="11.5703125" style="570" customWidth="1"/>
    <col min="8980" max="8987" width="11.42578125" style="570" customWidth="1"/>
    <col min="8988" max="9216" width="11.42578125" style="570"/>
    <col min="9217" max="9217" width="28" style="570" customWidth="1"/>
    <col min="9218" max="9218" width="14" style="570" customWidth="1"/>
    <col min="9219" max="9219" width="12.7109375" style="570" customWidth="1"/>
    <col min="9220" max="9220" width="14" style="570" bestFit="1" customWidth="1"/>
    <col min="9221" max="9221" width="14.5703125" style="570" bestFit="1" customWidth="1"/>
    <col min="9222" max="9222" width="12.42578125" style="570" customWidth="1"/>
    <col min="9223" max="9223" width="11" style="570" customWidth="1"/>
    <col min="9224" max="9224" width="10" style="570" bestFit="1" customWidth="1"/>
    <col min="9225" max="9225" width="1.7109375" style="570" customWidth="1"/>
    <col min="9226" max="9226" width="15.85546875" style="570" customWidth="1"/>
    <col min="9227" max="9228" width="11.5703125" style="570" bestFit="1" customWidth="1"/>
    <col min="9229" max="9233" width="11.42578125" style="570" customWidth="1"/>
    <col min="9234" max="9234" width="19.42578125" style="570" customWidth="1"/>
    <col min="9235" max="9235" width="11.5703125" style="570" customWidth="1"/>
    <col min="9236" max="9243" width="11.42578125" style="570" customWidth="1"/>
    <col min="9244" max="9472" width="11.42578125" style="570"/>
    <col min="9473" max="9473" width="28" style="570" customWidth="1"/>
    <col min="9474" max="9474" width="14" style="570" customWidth="1"/>
    <col min="9475" max="9475" width="12.7109375" style="570" customWidth="1"/>
    <col min="9476" max="9476" width="14" style="570" bestFit="1" customWidth="1"/>
    <col min="9477" max="9477" width="14.5703125" style="570" bestFit="1" customWidth="1"/>
    <col min="9478" max="9478" width="12.42578125" style="570" customWidth="1"/>
    <col min="9479" max="9479" width="11" style="570" customWidth="1"/>
    <col min="9480" max="9480" width="10" style="570" bestFit="1" customWidth="1"/>
    <col min="9481" max="9481" width="1.7109375" style="570" customWidth="1"/>
    <col min="9482" max="9482" width="15.85546875" style="570" customWidth="1"/>
    <col min="9483" max="9484" width="11.5703125" style="570" bestFit="1" customWidth="1"/>
    <col min="9485" max="9489" width="11.42578125" style="570" customWidth="1"/>
    <col min="9490" max="9490" width="19.42578125" style="570" customWidth="1"/>
    <col min="9491" max="9491" width="11.5703125" style="570" customWidth="1"/>
    <col min="9492" max="9499" width="11.42578125" style="570" customWidth="1"/>
    <col min="9500" max="9728" width="11.42578125" style="570"/>
    <col min="9729" max="9729" width="28" style="570" customWidth="1"/>
    <col min="9730" max="9730" width="14" style="570" customWidth="1"/>
    <col min="9731" max="9731" width="12.7109375" style="570" customWidth="1"/>
    <col min="9732" max="9732" width="14" style="570" bestFit="1" customWidth="1"/>
    <col min="9733" max="9733" width="14.5703125" style="570" bestFit="1" customWidth="1"/>
    <col min="9734" max="9734" width="12.42578125" style="570" customWidth="1"/>
    <col min="9735" max="9735" width="11" style="570" customWidth="1"/>
    <col min="9736" max="9736" width="10" style="570" bestFit="1" customWidth="1"/>
    <col min="9737" max="9737" width="1.7109375" style="570" customWidth="1"/>
    <col min="9738" max="9738" width="15.85546875" style="570" customWidth="1"/>
    <col min="9739" max="9740" width="11.5703125" style="570" bestFit="1" customWidth="1"/>
    <col min="9741" max="9745" width="11.42578125" style="570" customWidth="1"/>
    <col min="9746" max="9746" width="19.42578125" style="570" customWidth="1"/>
    <col min="9747" max="9747" width="11.5703125" style="570" customWidth="1"/>
    <col min="9748" max="9755" width="11.42578125" style="570" customWidth="1"/>
    <col min="9756" max="9984" width="11.42578125" style="570"/>
    <col min="9985" max="9985" width="28" style="570" customWidth="1"/>
    <col min="9986" max="9986" width="14" style="570" customWidth="1"/>
    <col min="9987" max="9987" width="12.7109375" style="570" customWidth="1"/>
    <col min="9988" max="9988" width="14" style="570" bestFit="1" customWidth="1"/>
    <col min="9989" max="9989" width="14.5703125" style="570" bestFit="1" customWidth="1"/>
    <col min="9990" max="9990" width="12.42578125" style="570" customWidth="1"/>
    <col min="9991" max="9991" width="11" style="570" customWidth="1"/>
    <col min="9992" max="9992" width="10" style="570" bestFit="1" customWidth="1"/>
    <col min="9993" max="9993" width="1.7109375" style="570" customWidth="1"/>
    <col min="9994" max="9994" width="15.85546875" style="570" customWidth="1"/>
    <col min="9995" max="9996" width="11.5703125" style="570" bestFit="1" customWidth="1"/>
    <col min="9997" max="10001" width="11.42578125" style="570" customWidth="1"/>
    <col min="10002" max="10002" width="19.42578125" style="570" customWidth="1"/>
    <col min="10003" max="10003" width="11.5703125" style="570" customWidth="1"/>
    <col min="10004" max="10011" width="11.42578125" style="570" customWidth="1"/>
    <col min="10012" max="10240" width="11.42578125" style="570"/>
    <col min="10241" max="10241" width="28" style="570" customWidth="1"/>
    <col min="10242" max="10242" width="14" style="570" customWidth="1"/>
    <col min="10243" max="10243" width="12.7109375" style="570" customWidth="1"/>
    <col min="10244" max="10244" width="14" style="570" bestFit="1" customWidth="1"/>
    <col min="10245" max="10245" width="14.5703125" style="570" bestFit="1" customWidth="1"/>
    <col min="10246" max="10246" width="12.42578125" style="570" customWidth="1"/>
    <col min="10247" max="10247" width="11" style="570" customWidth="1"/>
    <col min="10248" max="10248" width="10" style="570" bestFit="1" customWidth="1"/>
    <col min="10249" max="10249" width="1.7109375" style="570" customWidth="1"/>
    <col min="10250" max="10250" width="15.85546875" style="570" customWidth="1"/>
    <col min="10251" max="10252" width="11.5703125" style="570" bestFit="1" customWidth="1"/>
    <col min="10253" max="10257" width="11.42578125" style="570" customWidth="1"/>
    <col min="10258" max="10258" width="19.42578125" style="570" customWidth="1"/>
    <col min="10259" max="10259" width="11.5703125" style="570" customWidth="1"/>
    <col min="10260" max="10267" width="11.42578125" style="570" customWidth="1"/>
    <col min="10268" max="10496" width="11.42578125" style="570"/>
    <col min="10497" max="10497" width="28" style="570" customWidth="1"/>
    <col min="10498" max="10498" width="14" style="570" customWidth="1"/>
    <col min="10499" max="10499" width="12.7109375" style="570" customWidth="1"/>
    <col min="10500" max="10500" width="14" style="570" bestFit="1" customWidth="1"/>
    <col min="10501" max="10501" width="14.5703125" style="570" bestFit="1" customWidth="1"/>
    <col min="10502" max="10502" width="12.42578125" style="570" customWidth="1"/>
    <col min="10503" max="10503" width="11" style="570" customWidth="1"/>
    <col min="10504" max="10504" width="10" style="570" bestFit="1" customWidth="1"/>
    <col min="10505" max="10505" width="1.7109375" style="570" customWidth="1"/>
    <col min="10506" max="10506" width="15.85546875" style="570" customWidth="1"/>
    <col min="10507" max="10508" width="11.5703125" style="570" bestFit="1" customWidth="1"/>
    <col min="10509" max="10513" width="11.42578125" style="570" customWidth="1"/>
    <col min="10514" max="10514" width="19.42578125" style="570" customWidth="1"/>
    <col min="10515" max="10515" width="11.5703125" style="570" customWidth="1"/>
    <col min="10516" max="10523" width="11.42578125" style="570" customWidth="1"/>
    <col min="10524" max="10752" width="11.42578125" style="570"/>
    <col min="10753" max="10753" width="28" style="570" customWidth="1"/>
    <col min="10754" max="10754" width="14" style="570" customWidth="1"/>
    <col min="10755" max="10755" width="12.7109375" style="570" customWidth="1"/>
    <col min="10756" max="10756" width="14" style="570" bestFit="1" customWidth="1"/>
    <col min="10757" max="10757" width="14.5703125" style="570" bestFit="1" customWidth="1"/>
    <col min="10758" max="10758" width="12.42578125" style="570" customWidth="1"/>
    <col min="10759" max="10759" width="11" style="570" customWidth="1"/>
    <col min="10760" max="10760" width="10" style="570" bestFit="1" customWidth="1"/>
    <col min="10761" max="10761" width="1.7109375" style="570" customWidth="1"/>
    <col min="10762" max="10762" width="15.85546875" style="570" customWidth="1"/>
    <col min="10763" max="10764" width="11.5703125" style="570" bestFit="1" customWidth="1"/>
    <col min="10765" max="10769" width="11.42578125" style="570" customWidth="1"/>
    <col min="10770" max="10770" width="19.42578125" style="570" customWidth="1"/>
    <col min="10771" max="10771" width="11.5703125" style="570" customWidth="1"/>
    <col min="10772" max="10779" width="11.42578125" style="570" customWidth="1"/>
    <col min="10780" max="11008" width="11.42578125" style="570"/>
    <col min="11009" max="11009" width="28" style="570" customWidth="1"/>
    <col min="11010" max="11010" width="14" style="570" customWidth="1"/>
    <col min="11011" max="11011" width="12.7109375" style="570" customWidth="1"/>
    <col min="11012" max="11012" width="14" style="570" bestFit="1" customWidth="1"/>
    <col min="11013" max="11013" width="14.5703125" style="570" bestFit="1" customWidth="1"/>
    <col min="11014" max="11014" width="12.42578125" style="570" customWidth="1"/>
    <col min="11015" max="11015" width="11" style="570" customWidth="1"/>
    <col min="11016" max="11016" width="10" style="570" bestFit="1" customWidth="1"/>
    <col min="11017" max="11017" width="1.7109375" style="570" customWidth="1"/>
    <col min="11018" max="11018" width="15.85546875" style="570" customWidth="1"/>
    <col min="11019" max="11020" width="11.5703125" style="570" bestFit="1" customWidth="1"/>
    <col min="11021" max="11025" width="11.42578125" style="570" customWidth="1"/>
    <col min="11026" max="11026" width="19.42578125" style="570" customWidth="1"/>
    <col min="11027" max="11027" width="11.5703125" style="570" customWidth="1"/>
    <col min="11028" max="11035" width="11.42578125" style="570" customWidth="1"/>
    <col min="11036" max="11264" width="11.42578125" style="570"/>
    <col min="11265" max="11265" width="28" style="570" customWidth="1"/>
    <col min="11266" max="11266" width="14" style="570" customWidth="1"/>
    <col min="11267" max="11267" width="12.7109375" style="570" customWidth="1"/>
    <col min="11268" max="11268" width="14" style="570" bestFit="1" customWidth="1"/>
    <col min="11269" max="11269" width="14.5703125" style="570" bestFit="1" customWidth="1"/>
    <col min="11270" max="11270" width="12.42578125" style="570" customWidth="1"/>
    <col min="11271" max="11271" width="11" style="570" customWidth="1"/>
    <col min="11272" max="11272" width="10" style="570" bestFit="1" customWidth="1"/>
    <col min="11273" max="11273" width="1.7109375" style="570" customWidth="1"/>
    <col min="11274" max="11274" width="15.85546875" style="570" customWidth="1"/>
    <col min="11275" max="11276" width="11.5703125" style="570" bestFit="1" customWidth="1"/>
    <col min="11277" max="11281" width="11.42578125" style="570" customWidth="1"/>
    <col min="11282" max="11282" width="19.42578125" style="570" customWidth="1"/>
    <col min="11283" max="11283" width="11.5703125" style="570" customWidth="1"/>
    <col min="11284" max="11291" width="11.42578125" style="570" customWidth="1"/>
    <col min="11292" max="11520" width="11.42578125" style="570"/>
    <col min="11521" max="11521" width="28" style="570" customWidth="1"/>
    <col min="11522" max="11522" width="14" style="570" customWidth="1"/>
    <col min="11523" max="11523" width="12.7109375" style="570" customWidth="1"/>
    <col min="11524" max="11524" width="14" style="570" bestFit="1" customWidth="1"/>
    <col min="11525" max="11525" width="14.5703125" style="570" bestFit="1" customWidth="1"/>
    <col min="11526" max="11526" width="12.42578125" style="570" customWidth="1"/>
    <col min="11527" max="11527" width="11" style="570" customWidth="1"/>
    <col min="11528" max="11528" width="10" style="570" bestFit="1" customWidth="1"/>
    <col min="11529" max="11529" width="1.7109375" style="570" customWidth="1"/>
    <col min="11530" max="11530" width="15.85546875" style="570" customWidth="1"/>
    <col min="11531" max="11532" width="11.5703125" style="570" bestFit="1" customWidth="1"/>
    <col min="11533" max="11537" width="11.42578125" style="570" customWidth="1"/>
    <col min="11538" max="11538" width="19.42578125" style="570" customWidth="1"/>
    <col min="11539" max="11539" width="11.5703125" style="570" customWidth="1"/>
    <col min="11540" max="11547" width="11.42578125" style="570" customWidth="1"/>
    <col min="11548" max="11776" width="11.42578125" style="570"/>
    <col min="11777" max="11777" width="28" style="570" customWidth="1"/>
    <col min="11778" max="11778" width="14" style="570" customWidth="1"/>
    <col min="11779" max="11779" width="12.7109375" style="570" customWidth="1"/>
    <col min="11780" max="11780" width="14" style="570" bestFit="1" customWidth="1"/>
    <col min="11781" max="11781" width="14.5703125" style="570" bestFit="1" customWidth="1"/>
    <col min="11782" max="11782" width="12.42578125" style="570" customWidth="1"/>
    <col min="11783" max="11783" width="11" style="570" customWidth="1"/>
    <col min="11784" max="11784" width="10" style="570" bestFit="1" customWidth="1"/>
    <col min="11785" max="11785" width="1.7109375" style="570" customWidth="1"/>
    <col min="11786" max="11786" width="15.85546875" style="570" customWidth="1"/>
    <col min="11787" max="11788" width="11.5703125" style="570" bestFit="1" customWidth="1"/>
    <col min="11789" max="11793" width="11.42578125" style="570" customWidth="1"/>
    <col min="11794" max="11794" width="19.42578125" style="570" customWidth="1"/>
    <col min="11795" max="11795" width="11.5703125" style="570" customWidth="1"/>
    <col min="11796" max="11803" width="11.42578125" style="570" customWidth="1"/>
    <col min="11804" max="12032" width="11.42578125" style="570"/>
    <col min="12033" max="12033" width="28" style="570" customWidth="1"/>
    <col min="12034" max="12034" width="14" style="570" customWidth="1"/>
    <col min="12035" max="12035" width="12.7109375" style="570" customWidth="1"/>
    <col min="12036" max="12036" width="14" style="570" bestFit="1" customWidth="1"/>
    <col min="12037" max="12037" width="14.5703125" style="570" bestFit="1" customWidth="1"/>
    <col min="12038" max="12038" width="12.42578125" style="570" customWidth="1"/>
    <col min="12039" max="12039" width="11" style="570" customWidth="1"/>
    <col min="12040" max="12040" width="10" style="570" bestFit="1" customWidth="1"/>
    <col min="12041" max="12041" width="1.7109375" style="570" customWidth="1"/>
    <col min="12042" max="12042" width="15.85546875" style="570" customWidth="1"/>
    <col min="12043" max="12044" width="11.5703125" style="570" bestFit="1" customWidth="1"/>
    <col min="12045" max="12049" width="11.42578125" style="570" customWidth="1"/>
    <col min="12050" max="12050" width="19.42578125" style="570" customWidth="1"/>
    <col min="12051" max="12051" width="11.5703125" style="570" customWidth="1"/>
    <col min="12052" max="12059" width="11.42578125" style="570" customWidth="1"/>
    <col min="12060" max="12288" width="11.42578125" style="570"/>
    <col min="12289" max="12289" width="28" style="570" customWidth="1"/>
    <col min="12290" max="12290" width="14" style="570" customWidth="1"/>
    <col min="12291" max="12291" width="12.7109375" style="570" customWidth="1"/>
    <col min="12292" max="12292" width="14" style="570" bestFit="1" customWidth="1"/>
    <col min="12293" max="12293" width="14.5703125" style="570" bestFit="1" customWidth="1"/>
    <col min="12294" max="12294" width="12.42578125" style="570" customWidth="1"/>
    <col min="12295" max="12295" width="11" style="570" customWidth="1"/>
    <col min="12296" max="12296" width="10" style="570" bestFit="1" customWidth="1"/>
    <col min="12297" max="12297" width="1.7109375" style="570" customWidth="1"/>
    <col min="12298" max="12298" width="15.85546875" style="570" customWidth="1"/>
    <col min="12299" max="12300" width="11.5703125" style="570" bestFit="1" customWidth="1"/>
    <col min="12301" max="12305" width="11.42578125" style="570" customWidth="1"/>
    <col min="12306" max="12306" width="19.42578125" style="570" customWidth="1"/>
    <col min="12307" max="12307" width="11.5703125" style="570" customWidth="1"/>
    <col min="12308" max="12315" width="11.42578125" style="570" customWidth="1"/>
    <col min="12316" max="12544" width="11.42578125" style="570"/>
    <col min="12545" max="12545" width="28" style="570" customWidth="1"/>
    <col min="12546" max="12546" width="14" style="570" customWidth="1"/>
    <col min="12547" max="12547" width="12.7109375" style="570" customWidth="1"/>
    <col min="12548" max="12548" width="14" style="570" bestFit="1" customWidth="1"/>
    <col min="12549" max="12549" width="14.5703125" style="570" bestFit="1" customWidth="1"/>
    <col min="12550" max="12550" width="12.42578125" style="570" customWidth="1"/>
    <col min="12551" max="12551" width="11" style="570" customWidth="1"/>
    <col min="12552" max="12552" width="10" style="570" bestFit="1" customWidth="1"/>
    <col min="12553" max="12553" width="1.7109375" style="570" customWidth="1"/>
    <col min="12554" max="12554" width="15.85546875" style="570" customWidth="1"/>
    <col min="12555" max="12556" width="11.5703125" style="570" bestFit="1" customWidth="1"/>
    <col min="12557" max="12561" width="11.42578125" style="570" customWidth="1"/>
    <col min="12562" max="12562" width="19.42578125" style="570" customWidth="1"/>
    <col min="12563" max="12563" width="11.5703125" style="570" customWidth="1"/>
    <col min="12564" max="12571" width="11.42578125" style="570" customWidth="1"/>
    <col min="12572" max="12800" width="11.42578125" style="570"/>
    <col min="12801" max="12801" width="28" style="570" customWidth="1"/>
    <col min="12802" max="12802" width="14" style="570" customWidth="1"/>
    <col min="12803" max="12803" width="12.7109375" style="570" customWidth="1"/>
    <col min="12804" max="12804" width="14" style="570" bestFit="1" customWidth="1"/>
    <col min="12805" max="12805" width="14.5703125" style="570" bestFit="1" customWidth="1"/>
    <col min="12806" max="12806" width="12.42578125" style="570" customWidth="1"/>
    <col min="12807" max="12807" width="11" style="570" customWidth="1"/>
    <col min="12808" max="12808" width="10" style="570" bestFit="1" customWidth="1"/>
    <col min="12809" max="12809" width="1.7109375" style="570" customWidth="1"/>
    <col min="12810" max="12810" width="15.85546875" style="570" customWidth="1"/>
    <col min="12811" max="12812" width="11.5703125" style="570" bestFit="1" customWidth="1"/>
    <col min="12813" max="12817" width="11.42578125" style="570" customWidth="1"/>
    <col min="12818" max="12818" width="19.42578125" style="570" customWidth="1"/>
    <col min="12819" max="12819" width="11.5703125" style="570" customWidth="1"/>
    <col min="12820" max="12827" width="11.42578125" style="570" customWidth="1"/>
    <col min="12828" max="13056" width="11.42578125" style="570"/>
    <col min="13057" max="13057" width="28" style="570" customWidth="1"/>
    <col min="13058" max="13058" width="14" style="570" customWidth="1"/>
    <col min="13059" max="13059" width="12.7109375" style="570" customWidth="1"/>
    <col min="13060" max="13060" width="14" style="570" bestFit="1" customWidth="1"/>
    <col min="13061" max="13061" width="14.5703125" style="570" bestFit="1" customWidth="1"/>
    <col min="13062" max="13062" width="12.42578125" style="570" customWidth="1"/>
    <col min="13063" max="13063" width="11" style="570" customWidth="1"/>
    <col min="13064" max="13064" width="10" style="570" bestFit="1" customWidth="1"/>
    <col min="13065" max="13065" width="1.7109375" style="570" customWidth="1"/>
    <col min="13066" max="13066" width="15.85546875" style="570" customWidth="1"/>
    <col min="13067" max="13068" width="11.5703125" style="570" bestFit="1" customWidth="1"/>
    <col min="13069" max="13073" width="11.42578125" style="570" customWidth="1"/>
    <col min="13074" max="13074" width="19.42578125" style="570" customWidth="1"/>
    <col min="13075" max="13075" width="11.5703125" style="570" customWidth="1"/>
    <col min="13076" max="13083" width="11.42578125" style="570" customWidth="1"/>
    <col min="13084" max="13312" width="11.42578125" style="570"/>
    <col min="13313" max="13313" width="28" style="570" customWidth="1"/>
    <col min="13314" max="13314" width="14" style="570" customWidth="1"/>
    <col min="13315" max="13315" width="12.7109375" style="570" customWidth="1"/>
    <col min="13316" max="13316" width="14" style="570" bestFit="1" customWidth="1"/>
    <col min="13317" max="13317" width="14.5703125" style="570" bestFit="1" customWidth="1"/>
    <col min="13318" max="13318" width="12.42578125" style="570" customWidth="1"/>
    <col min="13319" max="13319" width="11" style="570" customWidth="1"/>
    <col min="13320" max="13320" width="10" style="570" bestFit="1" customWidth="1"/>
    <col min="13321" max="13321" width="1.7109375" style="570" customWidth="1"/>
    <col min="13322" max="13322" width="15.85546875" style="570" customWidth="1"/>
    <col min="13323" max="13324" width="11.5703125" style="570" bestFit="1" customWidth="1"/>
    <col min="13325" max="13329" width="11.42578125" style="570" customWidth="1"/>
    <col min="13330" max="13330" width="19.42578125" style="570" customWidth="1"/>
    <col min="13331" max="13331" width="11.5703125" style="570" customWidth="1"/>
    <col min="13332" max="13339" width="11.42578125" style="570" customWidth="1"/>
    <col min="13340" max="13568" width="11.42578125" style="570"/>
    <col min="13569" max="13569" width="28" style="570" customWidth="1"/>
    <col min="13570" max="13570" width="14" style="570" customWidth="1"/>
    <col min="13571" max="13571" width="12.7109375" style="570" customWidth="1"/>
    <col min="13572" max="13572" width="14" style="570" bestFit="1" customWidth="1"/>
    <col min="13573" max="13573" width="14.5703125" style="570" bestFit="1" customWidth="1"/>
    <col min="13574" max="13574" width="12.42578125" style="570" customWidth="1"/>
    <col min="13575" max="13575" width="11" style="570" customWidth="1"/>
    <col min="13576" max="13576" width="10" style="570" bestFit="1" customWidth="1"/>
    <col min="13577" max="13577" width="1.7109375" style="570" customWidth="1"/>
    <col min="13578" max="13578" width="15.85546875" style="570" customWidth="1"/>
    <col min="13579" max="13580" width="11.5703125" style="570" bestFit="1" customWidth="1"/>
    <col min="13581" max="13585" width="11.42578125" style="570" customWidth="1"/>
    <col min="13586" max="13586" width="19.42578125" style="570" customWidth="1"/>
    <col min="13587" max="13587" width="11.5703125" style="570" customWidth="1"/>
    <col min="13588" max="13595" width="11.42578125" style="570" customWidth="1"/>
    <col min="13596" max="13824" width="11.42578125" style="570"/>
    <col min="13825" max="13825" width="28" style="570" customWidth="1"/>
    <col min="13826" max="13826" width="14" style="570" customWidth="1"/>
    <col min="13827" max="13827" width="12.7109375" style="570" customWidth="1"/>
    <col min="13828" max="13828" width="14" style="570" bestFit="1" customWidth="1"/>
    <col min="13829" max="13829" width="14.5703125" style="570" bestFit="1" customWidth="1"/>
    <col min="13830" max="13830" width="12.42578125" style="570" customWidth="1"/>
    <col min="13831" max="13831" width="11" style="570" customWidth="1"/>
    <col min="13832" max="13832" width="10" style="570" bestFit="1" customWidth="1"/>
    <col min="13833" max="13833" width="1.7109375" style="570" customWidth="1"/>
    <col min="13834" max="13834" width="15.85546875" style="570" customWidth="1"/>
    <col min="13835" max="13836" width="11.5703125" style="570" bestFit="1" customWidth="1"/>
    <col min="13837" max="13841" width="11.42578125" style="570" customWidth="1"/>
    <col min="13842" max="13842" width="19.42578125" style="570" customWidth="1"/>
    <col min="13843" max="13843" width="11.5703125" style="570" customWidth="1"/>
    <col min="13844" max="13851" width="11.42578125" style="570" customWidth="1"/>
    <col min="13852" max="14080" width="11.42578125" style="570"/>
    <col min="14081" max="14081" width="28" style="570" customWidth="1"/>
    <col min="14082" max="14082" width="14" style="570" customWidth="1"/>
    <col min="14083" max="14083" width="12.7109375" style="570" customWidth="1"/>
    <col min="14084" max="14084" width="14" style="570" bestFit="1" customWidth="1"/>
    <col min="14085" max="14085" width="14.5703125" style="570" bestFit="1" customWidth="1"/>
    <col min="14086" max="14086" width="12.42578125" style="570" customWidth="1"/>
    <col min="14087" max="14087" width="11" style="570" customWidth="1"/>
    <col min="14088" max="14088" width="10" style="570" bestFit="1" customWidth="1"/>
    <col min="14089" max="14089" width="1.7109375" style="570" customWidth="1"/>
    <col min="14090" max="14090" width="15.85546875" style="570" customWidth="1"/>
    <col min="14091" max="14092" width="11.5703125" style="570" bestFit="1" customWidth="1"/>
    <col min="14093" max="14097" width="11.42578125" style="570" customWidth="1"/>
    <col min="14098" max="14098" width="19.42578125" style="570" customWidth="1"/>
    <col min="14099" max="14099" width="11.5703125" style="570" customWidth="1"/>
    <col min="14100" max="14107" width="11.42578125" style="570" customWidth="1"/>
    <col min="14108" max="14336" width="11.42578125" style="570"/>
    <col min="14337" max="14337" width="28" style="570" customWidth="1"/>
    <col min="14338" max="14338" width="14" style="570" customWidth="1"/>
    <col min="14339" max="14339" width="12.7109375" style="570" customWidth="1"/>
    <col min="14340" max="14340" width="14" style="570" bestFit="1" customWidth="1"/>
    <col min="14341" max="14341" width="14.5703125" style="570" bestFit="1" customWidth="1"/>
    <col min="14342" max="14342" width="12.42578125" style="570" customWidth="1"/>
    <col min="14343" max="14343" width="11" style="570" customWidth="1"/>
    <col min="14344" max="14344" width="10" style="570" bestFit="1" customWidth="1"/>
    <col min="14345" max="14345" width="1.7109375" style="570" customWidth="1"/>
    <col min="14346" max="14346" width="15.85546875" style="570" customWidth="1"/>
    <col min="14347" max="14348" width="11.5703125" style="570" bestFit="1" customWidth="1"/>
    <col min="14349" max="14353" width="11.42578125" style="570" customWidth="1"/>
    <col min="14354" max="14354" width="19.42578125" style="570" customWidth="1"/>
    <col min="14355" max="14355" width="11.5703125" style="570" customWidth="1"/>
    <col min="14356" max="14363" width="11.42578125" style="570" customWidth="1"/>
    <col min="14364" max="14592" width="11.42578125" style="570"/>
    <col min="14593" max="14593" width="28" style="570" customWidth="1"/>
    <col min="14594" max="14594" width="14" style="570" customWidth="1"/>
    <col min="14595" max="14595" width="12.7109375" style="570" customWidth="1"/>
    <col min="14596" max="14596" width="14" style="570" bestFit="1" customWidth="1"/>
    <col min="14597" max="14597" width="14.5703125" style="570" bestFit="1" customWidth="1"/>
    <col min="14598" max="14598" width="12.42578125" style="570" customWidth="1"/>
    <col min="14599" max="14599" width="11" style="570" customWidth="1"/>
    <col min="14600" max="14600" width="10" style="570" bestFit="1" customWidth="1"/>
    <col min="14601" max="14601" width="1.7109375" style="570" customWidth="1"/>
    <col min="14602" max="14602" width="15.85546875" style="570" customWidth="1"/>
    <col min="14603" max="14604" width="11.5703125" style="570" bestFit="1" customWidth="1"/>
    <col min="14605" max="14609" width="11.42578125" style="570" customWidth="1"/>
    <col min="14610" max="14610" width="19.42578125" style="570" customWidth="1"/>
    <col min="14611" max="14611" width="11.5703125" style="570" customWidth="1"/>
    <col min="14612" max="14619" width="11.42578125" style="570" customWidth="1"/>
    <col min="14620" max="14848" width="11.42578125" style="570"/>
    <col min="14849" max="14849" width="28" style="570" customWidth="1"/>
    <col min="14850" max="14850" width="14" style="570" customWidth="1"/>
    <col min="14851" max="14851" width="12.7109375" style="570" customWidth="1"/>
    <col min="14852" max="14852" width="14" style="570" bestFit="1" customWidth="1"/>
    <col min="14853" max="14853" width="14.5703125" style="570" bestFit="1" customWidth="1"/>
    <col min="14854" max="14854" width="12.42578125" style="570" customWidth="1"/>
    <col min="14855" max="14855" width="11" style="570" customWidth="1"/>
    <col min="14856" max="14856" width="10" style="570" bestFit="1" customWidth="1"/>
    <col min="14857" max="14857" width="1.7109375" style="570" customWidth="1"/>
    <col min="14858" max="14858" width="15.85546875" style="570" customWidth="1"/>
    <col min="14859" max="14860" width="11.5703125" style="570" bestFit="1" customWidth="1"/>
    <col min="14861" max="14865" width="11.42578125" style="570" customWidth="1"/>
    <col min="14866" max="14866" width="19.42578125" style="570" customWidth="1"/>
    <col min="14867" max="14867" width="11.5703125" style="570" customWidth="1"/>
    <col min="14868" max="14875" width="11.42578125" style="570" customWidth="1"/>
    <col min="14876" max="15104" width="11.42578125" style="570"/>
    <col min="15105" max="15105" width="28" style="570" customWidth="1"/>
    <col min="15106" max="15106" width="14" style="570" customWidth="1"/>
    <col min="15107" max="15107" width="12.7109375" style="570" customWidth="1"/>
    <col min="15108" max="15108" width="14" style="570" bestFit="1" customWidth="1"/>
    <col min="15109" max="15109" width="14.5703125" style="570" bestFit="1" customWidth="1"/>
    <col min="15110" max="15110" width="12.42578125" style="570" customWidth="1"/>
    <col min="15111" max="15111" width="11" style="570" customWidth="1"/>
    <col min="15112" max="15112" width="10" style="570" bestFit="1" customWidth="1"/>
    <col min="15113" max="15113" width="1.7109375" style="570" customWidth="1"/>
    <col min="15114" max="15114" width="15.85546875" style="570" customWidth="1"/>
    <col min="15115" max="15116" width="11.5703125" style="570" bestFit="1" customWidth="1"/>
    <col min="15117" max="15121" width="11.42578125" style="570" customWidth="1"/>
    <col min="15122" max="15122" width="19.42578125" style="570" customWidth="1"/>
    <col min="15123" max="15123" width="11.5703125" style="570" customWidth="1"/>
    <col min="15124" max="15131" width="11.42578125" style="570" customWidth="1"/>
    <col min="15132" max="15360" width="11.42578125" style="570"/>
    <col min="15361" max="15361" width="28" style="570" customWidth="1"/>
    <col min="15362" max="15362" width="14" style="570" customWidth="1"/>
    <col min="15363" max="15363" width="12.7109375" style="570" customWidth="1"/>
    <col min="15364" max="15364" width="14" style="570" bestFit="1" customWidth="1"/>
    <col min="15365" max="15365" width="14.5703125" style="570" bestFit="1" customWidth="1"/>
    <col min="15366" max="15366" width="12.42578125" style="570" customWidth="1"/>
    <col min="15367" max="15367" width="11" style="570" customWidth="1"/>
    <col min="15368" max="15368" width="10" style="570" bestFit="1" customWidth="1"/>
    <col min="15369" max="15369" width="1.7109375" style="570" customWidth="1"/>
    <col min="15370" max="15370" width="15.85546875" style="570" customWidth="1"/>
    <col min="15371" max="15372" width="11.5703125" style="570" bestFit="1" customWidth="1"/>
    <col min="15373" max="15377" width="11.42578125" style="570" customWidth="1"/>
    <col min="15378" max="15378" width="19.42578125" style="570" customWidth="1"/>
    <col min="15379" max="15379" width="11.5703125" style="570" customWidth="1"/>
    <col min="15380" max="15387" width="11.42578125" style="570" customWidth="1"/>
    <col min="15388" max="15616" width="11.42578125" style="570"/>
    <col min="15617" max="15617" width="28" style="570" customWidth="1"/>
    <col min="15618" max="15618" width="14" style="570" customWidth="1"/>
    <col min="15619" max="15619" width="12.7109375" style="570" customWidth="1"/>
    <col min="15620" max="15620" width="14" style="570" bestFit="1" customWidth="1"/>
    <col min="15621" max="15621" width="14.5703125" style="570" bestFit="1" customWidth="1"/>
    <col min="15622" max="15622" width="12.42578125" style="570" customWidth="1"/>
    <col min="15623" max="15623" width="11" style="570" customWidth="1"/>
    <col min="15624" max="15624" width="10" style="570" bestFit="1" customWidth="1"/>
    <col min="15625" max="15625" width="1.7109375" style="570" customWidth="1"/>
    <col min="15626" max="15626" width="15.85546875" style="570" customWidth="1"/>
    <col min="15627" max="15628" width="11.5703125" style="570" bestFit="1" customWidth="1"/>
    <col min="15629" max="15633" width="11.42578125" style="570" customWidth="1"/>
    <col min="15634" max="15634" width="19.42578125" style="570" customWidth="1"/>
    <col min="15635" max="15635" width="11.5703125" style="570" customWidth="1"/>
    <col min="15636" max="15643" width="11.42578125" style="570" customWidth="1"/>
    <col min="15644" max="15872" width="11.42578125" style="570"/>
    <col min="15873" max="15873" width="28" style="570" customWidth="1"/>
    <col min="15874" max="15874" width="14" style="570" customWidth="1"/>
    <col min="15875" max="15875" width="12.7109375" style="570" customWidth="1"/>
    <col min="15876" max="15876" width="14" style="570" bestFit="1" customWidth="1"/>
    <col min="15877" max="15877" width="14.5703125" style="570" bestFit="1" customWidth="1"/>
    <col min="15878" max="15878" width="12.42578125" style="570" customWidth="1"/>
    <col min="15879" max="15879" width="11" style="570" customWidth="1"/>
    <col min="15880" max="15880" width="10" style="570" bestFit="1" customWidth="1"/>
    <col min="15881" max="15881" width="1.7109375" style="570" customWidth="1"/>
    <col min="15882" max="15882" width="15.85546875" style="570" customWidth="1"/>
    <col min="15883" max="15884" width="11.5703125" style="570" bestFit="1" customWidth="1"/>
    <col min="15885" max="15889" width="11.42578125" style="570" customWidth="1"/>
    <col min="15890" max="15890" width="19.42578125" style="570" customWidth="1"/>
    <col min="15891" max="15891" width="11.5703125" style="570" customWidth="1"/>
    <col min="15892" max="15899" width="11.42578125" style="570" customWidth="1"/>
    <col min="15900" max="16128" width="11.42578125" style="570"/>
    <col min="16129" max="16129" width="28" style="570" customWidth="1"/>
    <col min="16130" max="16130" width="14" style="570" customWidth="1"/>
    <col min="16131" max="16131" width="12.7109375" style="570" customWidth="1"/>
    <col min="16132" max="16132" width="14" style="570" bestFit="1" customWidth="1"/>
    <col min="16133" max="16133" width="14.5703125" style="570" bestFit="1" customWidth="1"/>
    <col min="16134" max="16134" width="12.42578125" style="570" customWidth="1"/>
    <col min="16135" max="16135" width="11" style="570" customWidth="1"/>
    <col min="16136" max="16136" width="10" style="570" bestFit="1" customWidth="1"/>
    <col min="16137" max="16137" width="1.7109375" style="570" customWidth="1"/>
    <col min="16138" max="16138" width="15.85546875" style="570" customWidth="1"/>
    <col min="16139" max="16140" width="11.5703125" style="570" bestFit="1" customWidth="1"/>
    <col min="16141" max="16145" width="11.42578125" style="570" customWidth="1"/>
    <col min="16146" max="16146" width="19.42578125" style="570" customWidth="1"/>
    <col min="16147" max="16147" width="11.5703125" style="570" customWidth="1"/>
    <col min="16148" max="16155" width="11.42578125" style="570" customWidth="1"/>
    <col min="16156" max="16384" width="11.42578125" style="570"/>
  </cols>
  <sheetData>
    <row r="1" spans="1:27" ht="15" customHeight="1">
      <c r="A1" s="1434" t="s">
        <v>1520</v>
      </c>
      <c r="B1" s="1435"/>
      <c r="C1" s="1435"/>
      <c r="D1" s="1435"/>
      <c r="E1" s="1435"/>
      <c r="F1" s="1435"/>
      <c r="G1" s="1435"/>
      <c r="H1" s="1436"/>
    </row>
    <row r="2" spans="1:27">
      <c r="A2" s="1437" t="s">
        <v>1521</v>
      </c>
      <c r="B2" s="1438"/>
      <c r="C2" s="1438"/>
      <c r="D2" s="1438"/>
      <c r="E2" s="1438"/>
      <c r="F2" s="1438"/>
      <c r="G2" s="1438"/>
      <c r="H2" s="1439"/>
    </row>
    <row r="3" spans="1:27">
      <c r="A3" s="1440">
        <v>42916</v>
      </c>
      <c r="B3" s="1441"/>
      <c r="C3" s="1441"/>
      <c r="D3" s="1441"/>
      <c r="E3" s="1441"/>
      <c r="F3" s="1441"/>
      <c r="G3" s="1441"/>
      <c r="H3" s="1442"/>
      <c r="J3" s="572" t="s">
        <v>333</v>
      </c>
    </row>
    <row r="4" spans="1:27">
      <c r="A4" s="573"/>
      <c r="B4" s="574"/>
      <c r="C4" s="574"/>
      <c r="D4" s="574"/>
      <c r="E4" s="574"/>
      <c r="F4" s="574"/>
      <c r="G4" s="574"/>
      <c r="H4" s="575"/>
      <c r="J4" s="572"/>
    </row>
    <row r="5" spans="1:27">
      <c r="A5" s="576"/>
      <c r="B5" s="577"/>
      <c r="C5" s="577"/>
      <c r="D5" s="577"/>
      <c r="E5" s="577"/>
      <c r="F5" s="578" t="s">
        <v>1522</v>
      </c>
      <c r="G5" s="578" t="s">
        <v>1523</v>
      </c>
      <c r="H5" s="579" t="s">
        <v>1524</v>
      </c>
      <c r="J5" s="580"/>
      <c r="K5" s="581"/>
    </row>
    <row r="6" spans="1:27">
      <c r="A6" s="576"/>
      <c r="B6" s="578" t="s">
        <v>1525</v>
      </c>
      <c r="C6" s="578" t="s">
        <v>1526</v>
      </c>
      <c r="D6" s="578" t="s">
        <v>186</v>
      </c>
      <c r="E6" s="578" t="s">
        <v>1527</v>
      </c>
      <c r="F6" s="578" t="s">
        <v>1528</v>
      </c>
      <c r="G6" s="578" t="s">
        <v>1528</v>
      </c>
      <c r="H6" s="579" t="s">
        <v>1529</v>
      </c>
      <c r="J6" s="580"/>
      <c r="K6" s="571"/>
      <c r="L6" s="581"/>
      <c r="M6" s="581"/>
      <c r="N6" s="581"/>
      <c r="O6" s="581"/>
      <c r="P6" s="581"/>
      <c r="R6" s="577"/>
      <c r="S6" s="582"/>
      <c r="T6" s="583"/>
      <c r="U6" s="583"/>
      <c r="V6" s="583"/>
      <c r="W6" s="583"/>
      <c r="X6" s="583"/>
      <c r="Y6" s="583"/>
    </row>
    <row r="7" spans="1:27" ht="11.25" customHeight="1">
      <c r="A7" s="576"/>
      <c r="B7" s="584"/>
      <c r="C7" s="584"/>
      <c r="D7" s="584" t="s">
        <v>1525</v>
      </c>
      <c r="E7" s="584" t="s">
        <v>186</v>
      </c>
      <c r="F7" s="585">
        <v>42522</v>
      </c>
      <c r="G7" s="586">
        <f>A3</f>
        <v>42916</v>
      </c>
      <c r="H7" s="587">
        <f>G7</f>
        <v>42916</v>
      </c>
      <c r="J7" s="580"/>
      <c r="K7" s="581"/>
      <c r="L7" s="581"/>
      <c r="M7" s="581"/>
      <c r="N7" s="581"/>
      <c r="O7" s="581"/>
      <c r="P7" s="581"/>
      <c r="S7" s="588"/>
      <c r="T7" s="583"/>
      <c r="U7" s="583"/>
      <c r="V7" s="583"/>
      <c r="W7" s="583"/>
      <c r="X7" s="583"/>
      <c r="Y7" s="583"/>
    </row>
    <row r="8" spans="1:27">
      <c r="A8" s="623" t="s">
        <v>1512</v>
      </c>
      <c r="H8" s="589"/>
      <c r="J8" s="580"/>
      <c r="K8" s="581"/>
      <c r="L8" s="581"/>
      <c r="M8" s="581"/>
      <c r="N8" s="581"/>
      <c r="O8" s="581"/>
      <c r="P8" s="581"/>
      <c r="R8" s="577"/>
      <c r="S8" s="588"/>
      <c r="T8" s="583"/>
      <c r="U8" s="583"/>
      <c r="V8" s="583"/>
      <c r="W8" s="583"/>
      <c r="X8" s="583"/>
      <c r="Y8" s="583"/>
    </row>
    <row r="9" spans="1:27">
      <c r="A9" s="576" t="s">
        <v>1530</v>
      </c>
      <c r="B9" s="590">
        <v>6590573.4150213683</v>
      </c>
      <c r="C9" s="590">
        <f>B9-D9</f>
        <v>0</v>
      </c>
      <c r="D9" s="590">
        <v>6590573.4150213683</v>
      </c>
      <c r="E9" s="590">
        <v>761180.36238123581</v>
      </c>
      <c r="F9" s="590">
        <v>2890700.6186651858</v>
      </c>
      <c r="G9" s="590">
        <v>3651880.9810464247</v>
      </c>
      <c r="H9" s="591">
        <v>2758351.0277488972</v>
      </c>
      <c r="J9" s="580"/>
      <c r="K9" s="571"/>
      <c r="L9" s="571"/>
      <c r="M9" s="571"/>
      <c r="N9" s="571"/>
      <c r="O9" s="571"/>
      <c r="P9" s="571"/>
    </row>
    <row r="10" spans="1:27">
      <c r="A10" s="576"/>
      <c r="B10" s="590"/>
      <c r="C10" s="590"/>
      <c r="D10" s="590"/>
      <c r="E10" s="590"/>
      <c r="F10" s="590"/>
      <c r="G10" s="590"/>
      <c r="H10" s="591"/>
      <c r="J10" s="580"/>
      <c r="K10" s="571"/>
      <c r="L10" s="571"/>
      <c r="M10" s="571"/>
      <c r="N10" s="571"/>
      <c r="O10" s="571"/>
      <c r="P10" s="571"/>
    </row>
    <row r="11" spans="1:27">
      <c r="A11" s="576" t="s">
        <v>1480</v>
      </c>
      <c r="B11" s="590">
        <v>2469695.9515384617</v>
      </c>
      <c r="C11" s="590">
        <f>B11-D11</f>
        <v>0</v>
      </c>
      <c r="D11" s="590">
        <v>2469695.9515384617</v>
      </c>
      <c r="E11" s="590">
        <v>292095.51353711222</v>
      </c>
      <c r="F11" s="590">
        <v>911088.34847343818</v>
      </c>
      <c r="G11" s="590">
        <v>1203183.8620105505</v>
      </c>
      <c r="H11" s="591">
        <v>1074548.6522964672</v>
      </c>
      <c r="J11" s="580"/>
      <c r="K11" s="571"/>
      <c r="L11" s="571"/>
      <c r="M11" s="571"/>
      <c r="N11" s="571"/>
      <c r="O11" s="571"/>
      <c r="P11" s="571"/>
    </row>
    <row r="12" spans="1:27">
      <c r="A12" s="576"/>
      <c r="B12" s="590"/>
      <c r="C12" s="590"/>
      <c r="D12" s="590"/>
      <c r="E12" s="590"/>
      <c r="F12" s="590"/>
      <c r="G12" s="590"/>
      <c r="H12" s="591"/>
      <c r="J12" s="580"/>
      <c r="K12" s="571"/>
      <c r="L12" s="571"/>
      <c r="M12" s="571"/>
      <c r="N12" s="571"/>
      <c r="O12" s="571"/>
      <c r="P12" s="571"/>
    </row>
    <row r="13" spans="1:27">
      <c r="A13" s="576" t="s">
        <v>1531</v>
      </c>
      <c r="B13" s="590">
        <v>482583.19038461539</v>
      </c>
      <c r="C13" s="590">
        <f>B13-D13</f>
        <v>0</v>
      </c>
      <c r="D13" s="590">
        <v>482583.19038461539</v>
      </c>
      <c r="E13" s="590">
        <v>35578.057852564169</v>
      </c>
      <c r="F13" s="590">
        <v>378767.64364316262</v>
      </c>
      <c r="G13" s="590">
        <v>414345.70149572677</v>
      </c>
      <c r="H13" s="591">
        <v>7424.517815170715</v>
      </c>
      <c r="J13" s="580"/>
      <c r="K13" s="571"/>
      <c r="L13" s="571"/>
      <c r="M13" s="571"/>
      <c r="N13" s="571"/>
      <c r="O13" s="571"/>
      <c r="P13" s="571"/>
    </row>
    <row r="14" spans="1:27">
      <c r="A14" s="576"/>
      <c r="B14" s="590"/>
      <c r="C14" s="590"/>
      <c r="D14" s="590"/>
      <c r="E14" s="590"/>
      <c r="F14" s="590"/>
      <c r="G14" s="590"/>
      <c r="H14" s="591"/>
      <c r="J14" s="580"/>
      <c r="K14" s="571"/>
      <c r="L14" s="571"/>
      <c r="M14" s="571"/>
      <c r="N14" s="571"/>
      <c r="O14" s="571"/>
      <c r="P14" s="571"/>
    </row>
    <row r="15" spans="1:27" s="577" customFormat="1">
      <c r="A15" s="592" t="s">
        <v>1532</v>
      </c>
      <c r="B15" s="593">
        <f t="shared" ref="B15:H15" si="0">SUM(B9:B14)</f>
        <v>9542852.5569444448</v>
      </c>
      <c r="C15" s="593">
        <f t="shared" si="0"/>
        <v>0</v>
      </c>
      <c r="D15" s="593">
        <f t="shared" si="0"/>
        <v>9542852.5569444448</v>
      </c>
      <c r="E15" s="593">
        <f t="shared" si="0"/>
        <v>1088853.9337709122</v>
      </c>
      <c r="F15" s="593">
        <f t="shared" si="0"/>
        <v>4180556.6107817865</v>
      </c>
      <c r="G15" s="593">
        <f t="shared" si="0"/>
        <v>5269410.5445527015</v>
      </c>
      <c r="H15" s="594">
        <f t="shared" si="0"/>
        <v>3840324.1978605352</v>
      </c>
      <c r="J15" s="580">
        <v>0</v>
      </c>
      <c r="K15" s="595"/>
      <c r="L15" s="582"/>
      <c r="M15" s="582"/>
      <c r="N15" s="582"/>
      <c r="O15" s="582"/>
      <c r="P15" s="582"/>
      <c r="S15" s="582"/>
      <c r="T15" s="582"/>
      <c r="U15" s="582"/>
      <c r="V15" s="582"/>
      <c r="W15" s="582"/>
      <c r="X15" s="582"/>
      <c r="Y15" s="582"/>
      <c r="Z15" s="582"/>
      <c r="AA15" s="582"/>
    </row>
    <row r="16" spans="1:27">
      <c r="A16" s="576"/>
      <c r="B16" s="590"/>
      <c r="C16" s="590"/>
      <c r="D16" s="590"/>
      <c r="E16" s="590"/>
      <c r="F16" s="590"/>
      <c r="G16" s="590"/>
      <c r="H16" s="591"/>
      <c r="J16" s="580"/>
      <c r="K16" s="571"/>
      <c r="L16" s="571"/>
      <c r="M16" s="571"/>
      <c r="N16" s="571"/>
      <c r="O16" s="571"/>
      <c r="P16" s="571"/>
    </row>
    <row r="17" spans="1:27">
      <c r="A17" s="576" t="s">
        <v>1533</v>
      </c>
      <c r="B17" s="590"/>
      <c r="C17" s="590"/>
      <c r="D17" s="590"/>
      <c r="E17" s="590"/>
      <c r="F17" s="590"/>
      <c r="G17" s="590"/>
      <c r="H17" s="591"/>
      <c r="J17" s="580"/>
      <c r="K17" s="571"/>
      <c r="L17" s="571"/>
      <c r="M17" s="571"/>
      <c r="N17" s="571"/>
      <c r="O17" s="571"/>
      <c r="P17" s="571"/>
      <c r="R17" s="577"/>
      <c r="S17" s="582"/>
    </row>
    <row r="18" spans="1:27">
      <c r="A18" s="576" t="s">
        <v>1530</v>
      </c>
      <c r="B18" s="590">
        <v>2995019.3575497828</v>
      </c>
      <c r="C18" s="590">
        <v>0</v>
      </c>
      <c r="D18" s="590">
        <v>2995019.3575497828</v>
      </c>
      <c r="E18" s="590">
        <v>66189.738750000193</v>
      </c>
      <c r="F18" s="590">
        <v>2694162.3897720049</v>
      </c>
      <c r="G18" s="590">
        <v>2760352.1285220054</v>
      </c>
      <c r="H18" s="591">
        <v>215930.25840277781</v>
      </c>
      <c r="J18" s="580"/>
      <c r="K18" s="571"/>
      <c r="L18" s="571"/>
      <c r="M18" s="571"/>
      <c r="N18" s="571"/>
      <c r="O18" s="571"/>
      <c r="P18" s="571"/>
    </row>
    <row r="19" spans="1:27">
      <c r="A19" s="576"/>
      <c r="B19" s="590"/>
      <c r="C19" s="590"/>
      <c r="D19" s="590"/>
      <c r="E19" s="590"/>
      <c r="F19" s="590"/>
      <c r="G19" s="590"/>
      <c r="H19" s="591"/>
      <c r="J19" s="580"/>
      <c r="K19" s="571"/>
      <c r="L19" s="571"/>
      <c r="M19" s="571"/>
      <c r="N19" s="571"/>
      <c r="O19" s="571"/>
      <c r="P19" s="571"/>
    </row>
    <row r="20" spans="1:27">
      <c r="A20" s="576" t="s">
        <v>1534</v>
      </c>
      <c r="B20" s="590">
        <v>2087394.31</v>
      </c>
      <c r="C20" s="590">
        <v>0</v>
      </c>
      <c r="D20" s="590">
        <v>2087394.31</v>
      </c>
      <c r="E20" s="590">
        <v>61382.196750000563</v>
      </c>
      <c r="F20" s="590">
        <v>1505418.7882500002</v>
      </c>
      <c r="G20" s="590">
        <v>1566800.9850000008</v>
      </c>
      <c r="H20" s="591">
        <v>447344.33837499912</v>
      </c>
      <c r="J20" s="580"/>
      <c r="K20" s="571"/>
      <c r="L20" s="571"/>
      <c r="M20" s="571"/>
      <c r="N20" s="571"/>
      <c r="O20" s="571"/>
      <c r="P20" s="571"/>
    </row>
    <row r="21" spans="1:27">
      <c r="A21" s="576"/>
      <c r="B21" s="590"/>
      <c r="C21" s="590"/>
      <c r="D21" s="590"/>
      <c r="E21" s="590"/>
      <c r="F21" s="590"/>
      <c r="G21" s="590"/>
      <c r="H21" s="591"/>
      <c r="J21" s="580"/>
      <c r="K21" s="571"/>
      <c r="L21" s="571"/>
      <c r="M21" s="571"/>
      <c r="N21" s="571"/>
      <c r="O21" s="571"/>
      <c r="P21" s="571"/>
    </row>
    <row r="22" spans="1:27">
      <c r="A22" s="576" t="s">
        <v>1535</v>
      </c>
      <c r="B22" s="590">
        <v>740509.7141786</v>
      </c>
      <c r="C22" s="590"/>
      <c r="D22" s="590">
        <v>740509.7141786</v>
      </c>
      <c r="E22" s="590">
        <v>77564.445132145731</v>
      </c>
      <c r="F22" s="590">
        <v>311656.33288500464</v>
      </c>
      <c r="G22" s="590">
        <v>386038.34444572154</v>
      </c>
      <c r="H22" s="591">
        <v>378536.71194180835</v>
      </c>
      <c r="J22" s="580"/>
      <c r="K22" s="571"/>
      <c r="L22" s="571"/>
      <c r="M22" s="571"/>
      <c r="N22" s="571"/>
      <c r="O22" s="571"/>
      <c r="P22" s="571"/>
    </row>
    <row r="23" spans="1:27">
      <c r="A23" s="576"/>
      <c r="B23" s="590"/>
      <c r="C23" s="590"/>
      <c r="D23" s="590"/>
      <c r="E23" s="590"/>
      <c r="F23" s="590"/>
      <c r="G23" s="590"/>
      <c r="H23" s="591"/>
      <c r="J23" s="580"/>
      <c r="K23" s="571"/>
      <c r="L23" s="571"/>
      <c r="M23" s="571"/>
      <c r="N23" s="571"/>
      <c r="O23" s="571"/>
      <c r="P23" s="571"/>
    </row>
    <row r="24" spans="1:27">
      <c r="A24" s="576" t="s">
        <v>1557</v>
      </c>
      <c r="B24" s="590">
        <v>40899.279999999999</v>
      </c>
      <c r="C24" s="590">
        <v>0</v>
      </c>
      <c r="D24" s="590">
        <v>40899.279999999999</v>
      </c>
      <c r="E24" s="590">
        <v>4675.2810714285715</v>
      </c>
      <c r="F24" s="590">
        <v>473.14464285696118</v>
      </c>
      <c r="G24" s="590">
        <v>3928.0503571426752</v>
      </c>
      <c r="H24" s="591">
        <v>30082.597142857325</v>
      </c>
      <c r="J24" s="580"/>
      <c r="K24" s="571"/>
      <c r="L24" s="571"/>
      <c r="M24" s="571"/>
      <c r="N24" s="571"/>
      <c r="O24" s="571"/>
      <c r="P24" s="571"/>
    </row>
    <row r="25" spans="1:27">
      <c r="A25" s="576"/>
      <c r="B25" s="590"/>
      <c r="C25" s="590"/>
      <c r="D25" s="590"/>
      <c r="E25" s="590"/>
      <c r="F25" s="590"/>
      <c r="G25" s="590"/>
      <c r="H25" s="591"/>
      <c r="J25" s="580"/>
      <c r="K25" s="571"/>
      <c r="L25" s="571"/>
      <c r="M25" s="571"/>
      <c r="N25" s="571"/>
      <c r="O25" s="571"/>
      <c r="P25" s="571"/>
    </row>
    <row r="26" spans="1:27">
      <c r="A26" s="576" t="s">
        <v>1536</v>
      </c>
      <c r="B26" s="590">
        <v>170102.6187356</v>
      </c>
      <c r="C26" s="590">
        <v>0</v>
      </c>
      <c r="D26" s="590">
        <v>170102.6187356</v>
      </c>
      <c r="E26" s="590">
        <v>17010.261873559997</v>
      </c>
      <c r="F26" s="590">
        <v>129567.6119948225</v>
      </c>
      <c r="G26" s="590">
        <v>146577.87386838254</v>
      </c>
      <c r="H26" s="591">
        <v>32029.875803997489</v>
      </c>
      <c r="J26" s="580"/>
      <c r="K26" s="571"/>
      <c r="L26" s="571"/>
      <c r="M26" s="571"/>
      <c r="N26" s="571"/>
      <c r="O26" s="571"/>
      <c r="P26" s="571"/>
    </row>
    <row r="27" spans="1:27">
      <c r="A27" s="576"/>
      <c r="B27" s="590"/>
      <c r="C27" s="590"/>
      <c r="D27" s="590"/>
      <c r="E27" s="590"/>
      <c r="F27" s="590"/>
      <c r="G27" s="590"/>
      <c r="H27" s="591"/>
      <c r="J27" s="580"/>
      <c r="K27" s="571"/>
      <c r="L27" s="571"/>
      <c r="M27" s="571"/>
      <c r="N27" s="571"/>
      <c r="O27" s="571"/>
      <c r="P27" s="571"/>
    </row>
    <row r="28" spans="1:27">
      <c r="A28" s="576" t="s">
        <v>1537</v>
      </c>
      <c r="B28" s="590">
        <v>71630.944499999998</v>
      </c>
      <c r="C28" s="590">
        <v>0</v>
      </c>
      <c r="D28" s="590">
        <v>71630.944499999998</v>
      </c>
      <c r="E28" s="590">
        <v>971.09445000000005</v>
      </c>
      <c r="F28" s="590">
        <v>69626.001866666673</v>
      </c>
      <c r="G28" s="590">
        <v>70597.096316666677</v>
      </c>
      <c r="H28" s="591">
        <v>1519.3954083333256</v>
      </c>
      <c r="J28" s="580"/>
      <c r="K28" s="571"/>
      <c r="L28" s="571"/>
      <c r="M28" s="571"/>
      <c r="N28" s="571"/>
      <c r="O28" s="571"/>
      <c r="P28" s="571"/>
    </row>
    <row r="29" spans="1:27">
      <c r="A29" s="576"/>
      <c r="B29" s="590"/>
      <c r="C29" s="590"/>
      <c r="D29" s="590"/>
      <c r="E29" s="590"/>
      <c r="F29" s="590"/>
      <c r="G29" s="590"/>
      <c r="H29" s="591"/>
      <c r="J29" s="580"/>
      <c r="K29" s="571"/>
      <c r="L29" s="571"/>
      <c r="M29" s="571"/>
      <c r="N29" s="571"/>
      <c r="O29" s="571"/>
      <c r="P29" s="571"/>
    </row>
    <row r="30" spans="1:27" s="577" customFormat="1">
      <c r="A30" s="592" t="s">
        <v>1538</v>
      </c>
      <c r="B30" s="593">
        <f>SUM(B18:B29)</f>
        <v>6105556.2249639845</v>
      </c>
      <c r="C30" s="593">
        <f>SUM(C18:C29)</f>
        <v>0</v>
      </c>
      <c r="D30" s="593">
        <f>SUM(D18:D29)</f>
        <v>6105556.2249639845</v>
      </c>
      <c r="E30" s="593">
        <f>SUM(E18:E28)</f>
        <v>227793.01802713505</v>
      </c>
      <c r="F30" s="593">
        <f>SUM(F18:F29)</f>
        <v>4710904.2694113553</v>
      </c>
      <c r="G30" s="593">
        <f>SUM(G18:G29)</f>
        <v>4934294.4785099188</v>
      </c>
      <c r="H30" s="594">
        <f>SUM(H18:H29)</f>
        <v>1105443.1770747735</v>
      </c>
      <c r="J30" s="580">
        <v>0</v>
      </c>
      <c r="K30" s="595"/>
      <c r="L30" s="582"/>
      <c r="M30" s="582"/>
      <c r="N30" s="582"/>
      <c r="O30" s="582"/>
      <c r="P30" s="582"/>
      <c r="S30" s="582"/>
      <c r="T30" s="582"/>
      <c r="U30" s="582"/>
      <c r="V30" s="582"/>
      <c r="W30" s="582"/>
      <c r="X30" s="582"/>
      <c r="Y30" s="582"/>
      <c r="Z30" s="582"/>
      <c r="AA30" s="582"/>
    </row>
    <row r="31" spans="1:27">
      <c r="A31" s="576"/>
      <c r="B31" s="590"/>
      <c r="C31" s="590"/>
      <c r="D31" s="590"/>
      <c r="E31" s="590"/>
      <c r="F31" s="590"/>
      <c r="G31" s="590"/>
      <c r="H31" s="591"/>
      <c r="J31" s="580"/>
      <c r="K31" s="571"/>
      <c r="L31" s="571"/>
      <c r="M31" s="571"/>
      <c r="N31" s="571"/>
      <c r="O31" s="571"/>
      <c r="P31" s="571"/>
    </row>
    <row r="32" spans="1:27">
      <c r="A32" s="576" t="s">
        <v>1539</v>
      </c>
      <c r="B32" s="590">
        <v>21665.14</v>
      </c>
      <c r="C32" s="590">
        <f>B32-D32</f>
        <v>0</v>
      </c>
      <c r="D32" s="590">
        <v>21665.14</v>
      </c>
      <c r="E32" s="590">
        <v>2287.9133333333493</v>
      </c>
      <c r="F32" s="590">
        <v>14977.226666666651</v>
      </c>
      <c r="G32" s="590">
        <v>17265.14</v>
      </c>
      <c r="H32" s="591">
        <v>43.956666666674664</v>
      </c>
      <c r="J32" s="580"/>
      <c r="K32" s="571"/>
      <c r="L32" s="571"/>
      <c r="M32" s="571"/>
      <c r="N32" s="571"/>
      <c r="O32" s="571"/>
      <c r="P32" s="571"/>
    </row>
    <row r="33" spans="1:26">
      <c r="A33" s="576"/>
      <c r="B33" s="590"/>
      <c r="C33" s="590"/>
      <c r="D33" s="590"/>
      <c r="E33" s="590"/>
      <c r="F33" s="590"/>
      <c r="G33" s="590"/>
      <c r="H33" s="591"/>
      <c r="J33" s="580"/>
      <c r="K33" s="571"/>
      <c r="L33" s="571"/>
      <c r="M33" s="571"/>
      <c r="N33" s="571"/>
      <c r="O33" s="571"/>
      <c r="P33" s="571"/>
    </row>
    <row r="34" spans="1:26">
      <c r="A34" s="576" t="s">
        <v>1540</v>
      </c>
      <c r="B34" s="590">
        <v>440943.40833333321</v>
      </c>
      <c r="C34" s="590">
        <v>0</v>
      </c>
      <c r="D34" s="590">
        <v>440943.40833333321</v>
      </c>
      <c r="E34" s="590">
        <v>41342.585619475096</v>
      </c>
      <c r="F34" s="590">
        <v>259815.68975912573</v>
      </c>
      <c r="G34" s="590">
        <v>301158.27537860069</v>
      </c>
      <c r="H34" s="591">
        <v>134557.87238947002</v>
      </c>
      <c r="J34" s="580"/>
      <c r="K34" s="571"/>
      <c r="L34" s="571"/>
      <c r="M34" s="571"/>
      <c r="N34" s="571"/>
      <c r="O34" s="571"/>
      <c r="P34" s="571"/>
    </row>
    <row r="35" spans="1:26">
      <c r="A35" s="576"/>
      <c r="B35" s="590"/>
      <c r="C35" s="590"/>
      <c r="D35" s="590"/>
      <c r="E35" s="590"/>
      <c r="F35" s="590"/>
      <c r="G35" s="590"/>
      <c r="H35" s="591"/>
      <c r="J35" s="580"/>
      <c r="K35" s="571"/>
      <c r="L35" s="571"/>
      <c r="M35" s="571"/>
      <c r="N35" s="571"/>
      <c r="O35" s="571"/>
      <c r="P35" s="571"/>
    </row>
    <row r="36" spans="1:26">
      <c r="A36" s="576" t="s">
        <v>1541</v>
      </c>
      <c r="B36" s="590">
        <v>70611.530000000013</v>
      </c>
      <c r="C36" s="590">
        <v>0</v>
      </c>
      <c r="D36" s="590">
        <v>70611.530000000013</v>
      </c>
      <c r="E36" s="590">
        <v>4330.1659047618978</v>
      </c>
      <c r="F36" s="590">
        <v>61162.326150793589</v>
      </c>
      <c r="G36" s="590">
        <v>65492.492055555478</v>
      </c>
      <c r="H36" s="591">
        <v>6692.925896825469</v>
      </c>
      <c r="J36" s="580"/>
      <c r="K36" s="571"/>
      <c r="L36" s="571"/>
      <c r="M36" s="571"/>
      <c r="N36" s="571"/>
      <c r="O36" s="571"/>
      <c r="P36" s="571"/>
    </row>
    <row r="37" spans="1:26">
      <c r="A37" s="576"/>
      <c r="B37" s="590"/>
      <c r="C37" s="590"/>
      <c r="D37" s="590"/>
      <c r="E37" s="590"/>
      <c r="F37" s="590"/>
      <c r="G37" s="590"/>
      <c r="H37" s="591"/>
      <c r="J37" s="580"/>
      <c r="K37" s="571"/>
      <c r="L37" s="571"/>
      <c r="M37" s="571"/>
      <c r="N37" s="571"/>
      <c r="O37" s="571"/>
      <c r="P37" s="571"/>
    </row>
    <row r="38" spans="1:26">
      <c r="A38" s="576" t="s">
        <v>1542</v>
      </c>
      <c r="B38" s="590">
        <v>419931</v>
      </c>
      <c r="C38" s="590">
        <v>0</v>
      </c>
      <c r="D38" s="590">
        <v>419931</v>
      </c>
      <c r="E38" s="590">
        <v>20996.550000000003</v>
      </c>
      <c r="F38" s="590">
        <v>160973.55000000159</v>
      </c>
      <c r="G38" s="590">
        <v>181970.10000000161</v>
      </c>
      <c r="H38" s="591">
        <v>248459.17499999842</v>
      </c>
      <c r="J38" s="580"/>
      <c r="K38" s="571"/>
      <c r="L38" s="571"/>
      <c r="M38" s="571"/>
      <c r="N38" s="571"/>
      <c r="O38" s="571"/>
      <c r="P38" s="571"/>
    </row>
    <row r="39" spans="1:26">
      <c r="A39" s="576"/>
      <c r="B39" s="596"/>
      <c r="C39" s="590"/>
      <c r="D39" s="590"/>
      <c r="E39" s="590"/>
      <c r="F39" s="590"/>
      <c r="G39" s="590"/>
      <c r="H39" s="591"/>
      <c r="J39" s="580"/>
      <c r="K39" s="571"/>
      <c r="L39" s="571"/>
      <c r="M39" s="571"/>
      <c r="N39" s="571"/>
      <c r="O39" s="571"/>
      <c r="P39" s="571"/>
    </row>
    <row r="40" spans="1:26">
      <c r="A40" s="576" t="s">
        <v>1497</v>
      </c>
      <c r="B40" s="590">
        <v>414469</v>
      </c>
      <c r="C40" s="590">
        <v>0</v>
      </c>
      <c r="D40" s="590">
        <v>414469</v>
      </c>
      <c r="E40" s="590">
        <v>20723.45</v>
      </c>
      <c r="F40" s="590">
        <v>158879.7833333349</v>
      </c>
      <c r="G40" s="590">
        <v>179603.23333333491</v>
      </c>
      <c r="H40" s="591">
        <v>245227.4916666651</v>
      </c>
      <c r="J40" s="580"/>
      <c r="K40" s="571"/>
      <c r="L40" s="571"/>
      <c r="M40" s="571"/>
      <c r="N40" s="571"/>
      <c r="O40" s="571"/>
      <c r="P40" s="571"/>
      <c r="Z40" s="570"/>
    </row>
    <row r="41" spans="1:26">
      <c r="A41" s="576"/>
      <c r="B41" s="590"/>
      <c r="C41" s="590"/>
      <c r="D41" s="590"/>
      <c r="E41" s="590"/>
      <c r="F41" s="590"/>
      <c r="G41" s="590"/>
      <c r="H41" s="591"/>
      <c r="J41" s="580"/>
      <c r="K41" s="571"/>
      <c r="L41" s="571"/>
      <c r="M41" s="571"/>
      <c r="N41" s="571"/>
      <c r="O41" s="571"/>
      <c r="P41" s="571"/>
      <c r="Z41" s="570"/>
    </row>
    <row r="42" spans="1:26">
      <c r="A42" s="576" t="s">
        <v>1558</v>
      </c>
      <c r="B42" s="590">
        <v>335514.34999999998</v>
      </c>
      <c r="C42" s="590">
        <v>0</v>
      </c>
      <c r="D42" s="590">
        <v>335514.34999999998</v>
      </c>
      <c r="E42" s="590">
        <v>36297.440333333332</v>
      </c>
      <c r="F42" s="590">
        <v>80892.478000000425</v>
      </c>
      <c r="G42" s="590">
        <v>117189.91833333377</v>
      </c>
      <c r="H42" s="591">
        <v>236473.1518333329</v>
      </c>
      <c r="J42" s="580"/>
      <c r="K42" s="571"/>
      <c r="L42" s="571"/>
      <c r="M42" s="571"/>
      <c r="N42" s="571"/>
      <c r="O42" s="571"/>
      <c r="P42" s="571"/>
      <c r="Z42" s="570"/>
    </row>
    <row r="43" spans="1:26">
      <c r="A43" s="576"/>
      <c r="B43" s="590"/>
      <c r="C43" s="590"/>
      <c r="D43" s="590"/>
      <c r="E43" s="590"/>
      <c r="F43" s="590"/>
      <c r="G43" s="590"/>
      <c r="H43" s="591"/>
      <c r="J43" s="580"/>
      <c r="K43" s="571"/>
      <c r="L43" s="571"/>
      <c r="M43" s="571"/>
      <c r="N43" s="571"/>
      <c r="O43" s="571"/>
      <c r="P43" s="571"/>
      <c r="Z43" s="570"/>
    </row>
    <row r="44" spans="1:26">
      <c r="A44" s="576" t="s">
        <v>1543</v>
      </c>
      <c r="B44" s="590">
        <v>343062.99528461613</v>
      </c>
      <c r="C44" s="590"/>
      <c r="D44" s="590"/>
      <c r="E44" s="590"/>
      <c r="F44" s="590"/>
      <c r="G44" s="590"/>
      <c r="H44" s="591">
        <f>B44</f>
        <v>343062.99528461613</v>
      </c>
      <c r="J44" s="580"/>
      <c r="K44" s="571"/>
      <c r="L44" s="571"/>
      <c r="M44" s="571"/>
      <c r="N44" s="571"/>
      <c r="O44" s="571"/>
      <c r="P44" s="571"/>
    </row>
    <row r="45" spans="1:26">
      <c r="A45" s="576"/>
      <c r="B45" s="590"/>
      <c r="C45" s="590"/>
      <c r="D45" s="590"/>
      <c r="E45" s="590"/>
      <c r="F45" s="590"/>
      <c r="G45" s="590"/>
      <c r="H45" s="591"/>
      <c r="J45" s="580"/>
      <c r="K45" s="571"/>
      <c r="L45" s="571"/>
      <c r="M45" s="571"/>
      <c r="N45" s="571"/>
      <c r="O45" s="571"/>
      <c r="P45" s="571"/>
    </row>
    <row r="46" spans="1:26">
      <c r="A46" s="576" t="s">
        <v>2100</v>
      </c>
      <c r="B46" s="590">
        <v>51033.204715383887</v>
      </c>
      <c r="C46" s="590"/>
      <c r="D46" s="590"/>
      <c r="E46" s="590"/>
      <c r="F46" s="590"/>
      <c r="G46" s="590"/>
      <c r="H46" s="591">
        <f>B46</f>
        <v>51033.204715383887</v>
      </c>
      <c r="J46" s="580">
        <v>0</v>
      </c>
      <c r="K46" s="571"/>
      <c r="L46" s="571"/>
      <c r="M46" s="571"/>
      <c r="N46" s="571"/>
      <c r="O46" s="571"/>
      <c r="P46" s="571"/>
    </row>
    <row r="47" spans="1:26">
      <c r="A47" s="576"/>
      <c r="B47" s="590"/>
      <c r="C47" s="590"/>
      <c r="D47" s="590"/>
      <c r="E47" s="590"/>
      <c r="F47" s="590"/>
      <c r="G47" s="590"/>
      <c r="H47" s="591"/>
      <c r="J47" s="580"/>
      <c r="K47" s="571"/>
      <c r="L47" s="571"/>
      <c r="M47" s="571"/>
      <c r="N47" s="571"/>
      <c r="O47" s="571"/>
      <c r="P47" s="571"/>
    </row>
    <row r="48" spans="1:26">
      <c r="A48" s="592" t="s">
        <v>1544</v>
      </c>
      <c r="B48" s="593">
        <f>SUM(B32:B46)</f>
        <v>2097230.6283333329</v>
      </c>
      <c r="C48" s="593">
        <f t="shared" ref="C48:H48" si="1">SUM(C32:C46)</f>
        <v>0</v>
      </c>
      <c r="D48" s="593">
        <f t="shared" si="1"/>
        <v>1703134.4283333332</v>
      </c>
      <c r="E48" s="593">
        <f t="shared" si="1"/>
        <v>125978.10519090368</v>
      </c>
      <c r="F48" s="593">
        <f t="shared" si="1"/>
        <v>736701.05390992283</v>
      </c>
      <c r="G48" s="593">
        <f t="shared" si="1"/>
        <v>862679.15910082648</v>
      </c>
      <c r="H48" s="594">
        <f t="shared" si="1"/>
        <v>1265550.7734529588</v>
      </c>
      <c r="J48" s="580"/>
      <c r="K48" s="571"/>
      <c r="L48" s="571"/>
      <c r="M48" s="571"/>
      <c r="N48" s="571"/>
      <c r="O48" s="571"/>
      <c r="P48" s="571"/>
    </row>
    <row r="49" spans="1:25">
      <c r="A49" s="576"/>
      <c r="B49" s="590"/>
      <c r="C49" s="590"/>
      <c r="D49" s="590"/>
      <c r="E49" s="590"/>
      <c r="F49" s="590"/>
      <c r="G49" s="590"/>
      <c r="H49" s="591"/>
      <c r="J49" s="580"/>
      <c r="K49" s="571"/>
      <c r="L49" s="571"/>
      <c r="M49" s="571"/>
      <c r="N49" s="571"/>
      <c r="O49" s="571"/>
      <c r="P49" s="571"/>
    </row>
    <row r="50" spans="1:25" ht="12.75" thickBot="1">
      <c r="A50" s="624" t="s">
        <v>1545</v>
      </c>
      <c r="B50" s="625">
        <f t="shared" ref="B50:H50" si="2">B15+B30+B48</f>
        <v>17745639.410241764</v>
      </c>
      <c r="C50" s="625">
        <f t="shared" si="2"/>
        <v>0</v>
      </c>
      <c r="D50" s="625">
        <f t="shared" si="2"/>
        <v>17351543.210241765</v>
      </c>
      <c r="E50" s="625">
        <f t="shared" si="2"/>
        <v>1442625.0569889511</v>
      </c>
      <c r="F50" s="625">
        <f t="shared" si="2"/>
        <v>9628161.9341030642</v>
      </c>
      <c r="G50" s="625">
        <f t="shared" si="2"/>
        <v>11066384.182163447</v>
      </c>
      <c r="H50" s="626">
        <f t="shared" si="2"/>
        <v>6211318.1483882675</v>
      </c>
      <c r="J50" s="580"/>
      <c r="K50" s="595"/>
      <c r="L50" s="582"/>
      <c r="M50" s="582"/>
      <c r="N50" s="582"/>
      <c r="O50" s="582"/>
      <c r="P50" s="582"/>
      <c r="S50" s="582"/>
      <c r="T50" s="582"/>
      <c r="U50" s="582"/>
      <c r="V50" s="582"/>
      <c r="W50" s="582"/>
      <c r="X50" s="582"/>
      <c r="Y50" s="582"/>
    </row>
    <row r="51" spans="1:25">
      <c r="B51" s="590"/>
      <c r="C51" s="590"/>
      <c r="D51" s="590"/>
      <c r="E51" s="590"/>
      <c r="F51" s="590"/>
      <c r="G51" s="590"/>
      <c r="H51" s="590"/>
      <c r="K51" s="571"/>
      <c r="L51" s="571"/>
      <c r="M51" s="571"/>
      <c r="N51" s="571"/>
      <c r="O51" s="571"/>
      <c r="P51" s="571"/>
    </row>
    <row r="52" spans="1:25">
      <c r="B52" s="590"/>
      <c r="C52" s="590"/>
      <c r="D52" s="590"/>
      <c r="E52" s="590"/>
      <c r="F52" s="590"/>
      <c r="G52" s="590"/>
      <c r="H52" s="590"/>
      <c r="K52" s="571"/>
      <c r="L52" s="571"/>
      <c r="M52" s="571"/>
      <c r="N52" s="571"/>
      <c r="O52" s="571"/>
      <c r="P52" s="571"/>
    </row>
    <row r="53" spans="1:25">
      <c r="B53" s="590"/>
      <c r="C53" s="590"/>
      <c r="D53" s="590"/>
      <c r="E53" s="590"/>
      <c r="F53" s="590"/>
      <c r="G53" s="590"/>
      <c r="H53" s="590"/>
      <c r="K53" s="571"/>
      <c r="L53" s="571"/>
      <c r="M53" s="571"/>
      <c r="N53" s="571"/>
      <c r="O53" s="571"/>
      <c r="P53" s="571"/>
    </row>
    <row r="54" spans="1:25" ht="12.75" thickBot="1">
      <c r="J54" s="582"/>
      <c r="K54" s="582"/>
      <c r="L54" s="582"/>
      <c r="M54" s="582"/>
      <c r="N54" s="582"/>
      <c r="O54" s="582"/>
      <c r="P54" s="582"/>
      <c r="R54" s="577"/>
      <c r="S54" s="582"/>
      <c r="T54" s="582"/>
      <c r="U54" s="582"/>
      <c r="V54" s="582"/>
      <c r="W54" s="582"/>
      <c r="X54" s="582"/>
      <c r="Y54" s="582"/>
    </row>
    <row r="55" spans="1:25">
      <c r="A55" s="597"/>
      <c r="B55" s="598"/>
      <c r="C55" s="598"/>
      <c r="D55" s="598"/>
      <c r="E55" s="599"/>
      <c r="F55" s="598"/>
      <c r="G55" s="598"/>
      <c r="H55" s="600"/>
      <c r="K55" s="571"/>
      <c r="L55" s="571"/>
      <c r="M55" s="571"/>
      <c r="N55" s="571"/>
      <c r="O55" s="571"/>
      <c r="P55" s="571"/>
    </row>
    <row r="56" spans="1:25">
      <c r="A56" s="601"/>
      <c r="B56" s="602" t="s">
        <v>1546</v>
      </c>
      <c r="C56" s="603"/>
      <c r="D56" s="603"/>
      <c r="E56" s="603"/>
      <c r="F56" s="603"/>
      <c r="G56" s="603"/>
      <c r="H56" s="604"/>
      <c r="I56" s="603"/>
      <c r="J56" s="605"/>
      <c r="K56" s="603"/>
      <c r="L56" s="603"/>
      <c r="M56" s="603"/>
      <c r="N56" s="603"/>
      <c r="O56" s="603"/>
      <c r="P56" s="603"/>
    </row>
    <row r="57" spans="1:25">
      <c r="A57" s="601"/>
      <c r="B57" s="603"/>
      <c r="C57" s="603"/>
      <c r="D57" s="603"/>
      <c r="E57" s="603"/>
      <c r="F57" s="603"/>
      <c r="G57" s="603"/>
      <c r="H57" s="604"/>
      <c r="I57" s="603"/>
      <c r="J57" s="605"/>
      <c r="K57" s="603"/>
      <c r="L57" s="603"/>
      <c r="M57" s="603"/>
      <c r="N57" s="603"/>
      <c r="O57" s="603"/>
      <c r="P57" s="603"/>
    </row>
    <row r="58" spans="1:25">
      <c r="A58" s="601"/>
      <c r="B58" s="603"/>
      <c r="C58" s="603"/>
      <c r="D58" s="603"/>
      <c r="E58" s="606" t="s">
        <v>1547</v>
      </c>
      <c r="F58" s="606"/>
      <c r="G58" s="606" t="s">
        <v>1548</v>
      </c>
      <c r="H58" s="607"/>
      <c r="I58" s="581"/>
      <c r="J58" s="605"/>
      <c r="K58" s="603"/>
      <c r="L58" s="603"/>
      <c r="M58" s="603"/>
      <c r="N58" s="603"/>
      <c r="O58" s="603"/>
      <c r="P58" s="603"/>
    </row>
    <row r="59" spans="1:25">
      <c r="A59" s="601">
        <v>1</v>
      </c>
      <c r="B59" s="603" t="s">
        <v>1549</v>
      </c>
      <c r="C59" s="603"/>
      <c r="D59" s="603"/>
      <c r="E59" s="605">
        <f>38300+9600</f>
        <v>47900</v>
      </c>
      <c r="F59" s="603"/>
      <c r="G59" s="608">
        <f>E59/43560</f>
        <v>1.0996326905417815</v>
      </c>
      <c r="H59" s="604"/>
      <c r="I59" s="608"/>
      <c r="J59" s="605"/>
      <c r="K59" s="603"/>
      <c r="L59" s="603"/>
      <c r="M59" s="603"/>
      <c r="N59" s="603"/>
      <c r="O59" s="603"/>
      <c r="P59" s="603"/>
    </row>
    <row r="60" spans="1:25">
      <c r="A60" s="601"/>
      <c r="B60" s="603"/>
      <c r="C60" s="603"/>
      <c r="D60" s="603"/>
      <c r="E60" s="603"/>
      <c r="F60" s="603"/>
      <c r="G60" s="608"/>
      <c r="H60" s="604"/>
      <c r="I60" s="608"/>
      <c r="J60" s="605"/>
      <c r="K60" s="603"/>
      <c r="L60" s="603"/>
      <c r="M60" s="603"/>
      <c r="N60" s="603"/>
      <c r="O60" s="603"/>
      <c r="P60" s="603"/>
      <c r="R60" s="577"/>
      <c r="S60" s="582"/>
      <c r="T60" s="582"/>
      <c r="U60" s="582"/>
      <c r="V60" s="582"/>
      <c r="W60" s="582"/>
      <c r="X60" s="582"/>
      <c r="Y60" s="582"/>
    </row>
    <row r="61" spans="1:25">
      <c r="A61" s="601">
        <v>2</v>
      </c>
      <c r="B61" s="603" t="s">
        <v>1550</v>
      </c>
      <c r="C61" s="603"/>
      <c r="D61" s="603"/>
      <c r="E61" s="605">
        <v>28750</v>
      </c>
      <c r="F61" s="603"/>
      <c r="G61" s="608">
        <f>E61/43560</f>
        <v>0.66000918273645548</v>
      </c>
      <c r="H61" s="604"/>
      <c r="I61" s="608"/>
      <c r="J61" s="605"/>
      <c r="K61" s="603"/>
      <c r="L61" s="603"/>
      <c r="M61" s="609"/>
      <c r="N61" s="603"/>
      <c r="O61" s="608"/>
      <c r="P61" s="603"/>
    </row>
    <row r="62" spans="1:25">
      <c r="A62" s="601"/>
      <c r="B62" s="603"/>
      <c r="C62" s="603"/>
      <c r="D62" s="603"/>
      <c r="E62" s="603"/>
      <c r="F62" s="603"/>
      <c r="G62" s="608"/>
      <c r="H62" s="604"/>
      <c r="I62" s="608"/>
      <c r="J62" s="605"/>
      <c r="K62" s="603"/>
      <c r="L62" s="603"/>
      <c r="M62" s="603"/>
      <c r="N62" s="603"/>
      <c r="O62" s="603"/>
      <c r="P62" s="603"/>
    </row>
    <row r="63" spans="1:25">
      <c r="A63" s="601">
        <v>3</v>
      </c>
      <c r="B63" s="603" t="s">
        <v>1551</v>
      </c>
      <c r="C63" s="603"/>
      <c r="D63" s="603"/>
      <c r="E63" s="605">
        <v>37461.599999999999</v>
      </c>
      <c r="F63" s="603" t="s">
        <v>1547</v>
      </c>
      <c r="G63" s="603">
        <f>E63/43560</f>
        <v>0.86</v>
      </c>
      <c r="H63" s="604"/>
      <c r="I63" s="603"/>
      <c r="J63" s="605"/>
      <c r="K63" s="603"/>
      <c r="L63" s="603"/>
      <c r="M63" s="603"/>
      <c r="N63" s="603"/>
      <c r="O63" s="603"/>
      <c r="P63" s="603"/>
    </row>
    <row r="64" spans="1:25">
      <c r="A64" s="601"/>
      <c r="B64" s="603"/>
      <c r="C64" s="603"/>
      <c r="D64" s="603"/>
      <c r="E64" s="603"/>
      <c r="F64" s="603"/>
      <c r="G64" s="603"/>
      <c r="H64" s="604"/>
      <c r="I64" s="603"/>
      <c r="J64" s="605"/>
      <c r="K64" s="603"/>
      <c r="L64" s="603"/>
      <c r="M64" s="603"/>
      <c r="N64" s="603"/>
      <c r="O64" s="603"/>
      <c r="P64" s="603"/>
    </row>
    <row r="65" spans="1:16">
      <c r="A65" s="601"/>
      <c r="B65" s="603"/>
      <c r="C65" s="603"/>
      <c r="D65" s="603"/>
      <c r="E65" s="605">
        <f>SUM(E59:E63)</f>
        <v>114111.6</v>
      </c>
      <c r="F65" s="603" t="s">
        <v>1547</v>
      </c>
      <c r="G65" s="608">
        <f>SUM(G59:G63)</f>
        <v>2.6196418732782369</v>
      </c>
      <c r="H65" s="604"/>
      <c r="I65" s="608"/>
      <c r="J65" s="605"/>
      <c r="K65" s="603"/>
      <c r="L65" s="603"/>
      <c r="M65" s="603"/>
      <c r="N65" s="603"/>
      <c r="O65" s="603"/>
      <c r="P65" s="603"/>
    </row>
    <row r="66" spans="1:16">
      <c r="A66" s="601"/>
      <c r="B66" s="603"/>
      <c r="C66" s="603"/>
      <c r="D66" s="603"/>
      <c r="E66" s="603"/>
      <c r="F66" s="603"/>
      <c r="G66" s="603"/>
      <c r="H66" s="604"/>
      <c r="I66" s="603"/>
      <c r="J66" s="605"/>
      <c r="K66" s="603"/>
      <c r="L66" s="603"/>
      <c r="M66" s="603"/>
      <c r="N66" s="603"/>
      <c r="O66" s="603"/>
      <c r="P66" s="603"/>
    </row>
    <row r="67" spans="1:16">
      <c r="A67" s="601"/>
      <c r="B67" s="603" t="s">
        <v>1549</v>
      </c>
      <c r="C67" s="603"/>
      <c r="D67" s="603"/>
      <c r="E67" s="605">
        <f>E59</f>
        <v>47900</v>
      </c>
      <c r="F67" s="603"/>
      <c r="G67" s="610"/>
      <c r="H67" s="604"/>
      <c r="I67" s="610"/>
      <c r="J67" s="605"/>
      <c r="K67" s="603"/>
      <c r="L67" s="603"/>
      <c r="M67" s="603"/>
      <c r="N67" s="603"/>
      <c r="O67" s="603"/>
      <c r="P67" s="603"/>
    </row>
    <row r="68" spans="1:16">
      <c r="A68" s="601"/>
      <c r="B68" s="603" t="s">
        <v>1550</v>
      </c>
      <c r="C68" s="603"/>
      <c r="D68" s="603"/>
      <c r="E68" s="605">
        <v>28750</v>
      </c>
      <c r="F68" s="603"/>
      <c r="G68" s="603"/>
      <c r="H68" s="604"/>
      <c r="I68" s="603"/>
      <c r="J68" s="605"/>
      <c r="K68" s="603"/>
      <c r="L68" s="603"/>
      <c r="M68" s="603"/>
      <c r="N68" s="603"/>
      <c r="O68" s="603"/>
      <c r="P68" s="603"/>
    </row>
    <row r="69" spans="1:16">
      <c r="A69" s="601"/>
      <c r="B69" s="611" t="s">
        <v>1552</v>
      </c>
      <c r="C69" s="603"/>
      <c r="D69" s="603"/>
      <c r="E69" s="612">
        <f>SUM(E67:E68)</f>
        <v>76650</v>
      </c>
      <c r="F69" s="603"/>
      <c r="G69" s="613">
        <f>E69/E65</f>
        <v>0.6717108514822332</v>
      </c>
      <c r="H69" s="614"/>
      <c r="I69" s="610"/>
      <c r="J69" s="605"/>
      <c r="K69" s="603"/>
      <c r="L69" s="603"/>
      <c r="M69" s="603"/>
      <c r="N69" s="603"/>
      <c r="O69" s="603"/>
      <c r="P69" s="603"/>
    </row>
    <row r="70" spans="1:16">
      <c r="A70" s="576"/>
      <c r="G70" s="577"/>
      <c r="H70" s="589"/>
      <c r="I70" s="610"/>
      <c r="J70" s="605"/>
      <c r="K70" s="603"/>
      <c r="L70" s="603"/>
      <c r="M70" s="603"/>
      <c r="N70" s="603"/>
      <c r="O70" s="603"/>
      <c r="P70" s="603"/>
    </row>
    <row r="71" spans="1:16">
      <c r="A71" s="601"/>
      <c r="B71" s="603" t="s">
        <v>1551</v>
      </c>
      <c r="C71" s="603"/>
      <c r="D71" s="603"/>
      <c r="E71" s="605">
        <f>E63</f>
        <v>37461.599999999999</v>
      </c>
      <c r="F71" s="603"/>
      <c r="G71" s="615">
        <f>E71/E65</f>
        <v>0.3282891485177668</v>
      </c>
      <c r="H71" s="604"/>
      <c r="I71" s="610"/>
      <c r="J71" s="605"/>
      <c r="K71" s="603"/>
      <c r="L71" s="603"/>
      <c r="M71" s="603"/>
      <c r="N71" s="603"/>
      <c r="O71" s="603"/>
      <c r="P71" s="603"/>
    </row>
    <row r="72" spans="1:16" ht="12.75" thickBot="1">
      <c r="A72" s="616"/>
      <c r="B72" s="617"/>
      <c r="C72" s="617"/>
      <c r="D72" s="617"/>
      <c r="E72" s="617"/>
      <c r="F72" s="617"/>
      <c r="G72" s="618">
        <f>SUM(G67:G71)</f>
        <v>1</v>
      </c>
      <c r="H72" s="619"/>
      <c r="I72" s="603"/>
      <c r="J72" s="605"/>
      <c r="K72" s="603"/>
      <c r="L72" s="603"/>
      <c r="M72" s="603"/>
      <c r="N72" s="603"/>
      <c r="O72" s="603"/>
      <c r="P72" s="603"/>
    </row>
    <row r="73" spans="1:16">
      <c r="A73" s="603"/>
      <c r="B73" s="603"/>
      <c r="C73" s="603"/>
      <c r="D73" s="603"/>
      <c r="E73" s="603"/>
      <c r="F73" s="603"/>
      <c r="G73" s="603"/>
      <c r="H73" s="603"/>
      <c r="I73" s="603"/>
      <c r="J73" s="605"/>
      <c r="K73" s="603"/>
      <c r="L73" s="603"/>
      <c r="M73" s="603"/>
      <c r="N73" s="603"/>
      <c r="O73" s="603"/>
      <c r="P73" s="603"/>
    </row>
    <row r="77" spans="1:16">
      <c r="F77" s="620"/>
    </row>
    <row r="78" spans="1:16">
      <c r="C78" s="620"/>
      <c r="F78" s="620"/>
    </row>
    <row r="79" spans="1:16">
      <c r="D79" s="620"/>
    </row>
    <row r="80" spans="1:16">
      <c r="F80" s="621"/>
    </row>
    <row r="81" spans="4:6">
      <c r="D81" s="620"/>
    </row>
    <row r="83" spans="4:6">
      <c r="F83" s="620"/>
    </row>
    <row r="84" spans="4:6">
      <c r="F84" s="620"/>
    </row>
    <row r="85" spans="4:6">
      <c r="F85" s="620"/>
    </row>
    <row r="86" spans="4:6">
      <c r="F86" s="621"/>
    </row>
    <row r="88" spans="4:6">
      <c r="F88" s="621"/>
    </row>
    <row r="90" spans="4:6">
      <c r="F90" s="620"/>
    </row>
    <row r="92" spans="4:6">
      <c r="F92" s="620"/>
    </row>
  </sheetData>
  <mergeCells count="3">
    <mergeCell ref="A1:H1"/>
    <mergeCell ref="A2:H2"/>
    <mergeCell ref="A3:H3"/>
  </mergeCells>
  <pageMargins left="0.75" right="0.75" top="1" bottom="1" header="0.5" footer="0.5"/>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41"/>
  <sheetViews>
    <sheetView view="pageBreakPreview" zoomScaleNormal="100" zoomScaleSheetLayoutView="100" workbookViewId="0">
      <pane xSplit="4" ySplit="8" topLeftCell="E197" activePane="bottomRight" state="frozen"/>
      <selection activeCell="G20" sqref="G20"/>
      <selection pane="topRight" activeCell="G20" sqref="G20"/>
      <selection pane="bottomLeft" activeCell="G20" sqref="G20"/>
      <selection pane="bottomRight" activeCell="G20" sqref="G20"/>
    </sheetView>
  </sheetViews>
  <sheetFormatPr defaultRowHeight="11.25" outlineLevelCol="1"/>
  <cols>
    <col min="1" max="1" width="7.85546875" style="1045" customWidth="1"/>
    <col min="2" max="2" width="6.5703125" style="1045" customWidth="1"/>
    <col min="3" max="3" width="20.28515625" style="1045" customWidth="1"/>
    <col min="4" max="4" width="18.42578125" style="1047" customWidth="1"/>
    <col min="5" max="5" width="8.140625" style="1047" hidden="1" customWidth="1" outlineLevel="1"/>
    <col min="6" max="6" width="8.85546875" style="1047" hidden="1" customWidth="1" outlineLevel="1"/>
    <col min="7" max="7" width="12.7109375" style="1047" hidden="1" customWidth="1" outlineLevel="1"/>
    <col min="8" max="8" width="7.7109375" style="1047" hidden="1" customWidth="1" outlineLevel="1"/>
    <col min="9" max="9" width="9.140625" style="1047" hidden="1" customWidth="1" outlineLevel="1"/>
    <col min="10" max="10" width="9.5703125" style="1047" hidden="1" customWidth="1" outlineLevel="1"/>
    <col min="11" max="11" width="8.85546875" style="1047" hidden="1" customWidth="1" outlineLevel="1"/>
    <col min="12" max="12" width="13.85546875" style="1047" hidden="1" customWidth="1" outlineLevel="1"/>
    <col min="13" max="13" width="7.5703125" style="1047" hidden="1" customWidth="1" outlineLevel="1"/>
    <col min="14" max="14" width="9.28515625" style="1047" hidden="1" customWidth="1" outlineLevel="1"/>
    <col min="15" max="15" width="9.140625" style="1047" hidden="1" customWidth="1" outlineLevel="1"/>
    <col min="16" max="16" width="14.42578125" style="1048" customWidth="1" collapsed="1"/>
    <col min="17" max="17" width="9" style="1049" bestFit="1" customWidth="1"/>
    <col min="18" max="18" width="7.85546875" style="1049" customWidth="1"/>
    <col min="19" max="19" width="8.7109375" style="1049" bestFit="1" customWidth="1"/>
    <col min="20" max="20" width="3.5703125" style="1050" hidden="1" customWidth="1"/>
    <col min="21" max="21" width="3.42578125" style="1045" hidden="1" customWidth="1"/>
    <col min="22" max="22" width="9.5703125" style="1045" bestFit="1" customWidth="1"/>
    <col min="23" max="23" width="13.7109375" style="1051" bestFit="1" customWidth="1"/>
    <col min="24" max="24" width="7" style="1052" bestFit="1" customWidth="1"/>
    <col min="25" max="25" width="11.140625" style="1053" bestFit="1" customWidth="1"/>
    <col min="26" max="26" width="2" style="1050" customWidth="1"/>
    <col min="27" max="27" width="9.5703125" style="1045" bestFit="1" customWidth="1"/>
    <col min="28" max="28" width="9.140625" style="1054" bestFit="1" customWidth="1"/>
    <col min="29" max="29" width="7" style="1045" bestFit="1" customWidth="1"/>
    <col min="30" max="30" width="8.42578125" style="1045" bestFit="1" customWidth="1"/>
    <col min="31" max="31" width="1.85546875" style="1045" customWidth="1"/>
    <col min="32" max="32" width="11.28515625" style="1045" bestFit="1" customWidth="1"/>
    <col min="33" max="33" width="20" style="1045" customWidth="1"/>
    <col min="34" max="34" width="17.85546875" style="1045" bestFit="1" customWidth="1"/>
    <col min="35" max="35" width="11.140625" style="1045" bestFit="1" customWidth="1"/>
    <col min="36" max="16384" width="9.140625" style="1045"/>
  </cols>
  <sheetData>
    <row r="1" spans="1:40">
      <c r="A1" s="1044" t="s">
        <v>2321</v>
      </c>
      <c r="C1" s="1046"/>
    </row>
    <row r="2" spans="1:40" ht="16.5">
      <c r="A2" s="1044" t="s">
        <v>2322</v>
      </c>
      <c r="C2" s="1046"/>
      <c r="D2" s="1055"/>
      <c r="V2" s="1443" t="s">
        <v>2323</v>
      </c>
      <c r="W2" s="1443"/>
      <c r="X2" s="1443"/>
      <c r="Y2" s="1443"/>
      <c r="Z2" s="1443"/>
      <c r="AA2" s="1443"/>
      <c r="AB2" s="1443"/>
      <c r="AC2" s="1443"/>
      <c r="AD2" s="1443"/>
      <c r="AE2" s="1443"/>
    </row>
    <row r="3" spans="1:40">
      <c r="A3" s="1044" t="s">
        <v>1563</v>
      </c>
      <c r="C3" s="1044"/>
      <c r="W3" s="1056"/>
    </row>
    <row r="4" spans="1:40">
      <c r="B4" s="1057"/>
      <c r="C4" s="1057"/>
      <c r="D4" s="1058"/>
      <c r="E4" s="1058"/>
      <c r="F4" s="1058"/>
      <c r="G4" s="1058"/>
      <c r="H4" s="1058"/>
      <c r="I4" s="1058"/>
      <c r="J4" s="1058"/>
      <c r="K4" s="1058"/>
      <c r="L4" s="1058"/>
      <c r="M4" s="1058"/>
      <c r="N4" s="1058"/>
      <c r="O4" s="1058"/>
      <c r="P4" s="1059"/>
    </row>
    <row r="5" spans="1:40" ht="12" thickBot="1">
      <c r="A5" s="1060" t="s">
        <v>2324</v>
      </c>
      <c r="B5" s="1061"/>
      <c r="C5" s="1061"/>
      <c r="D5" s="1062"/>
      <c r="E5" s="1062"/>
      <c r="F5" s="1062"/>
      <c r="G5" s="1062"/>
      <c r="H5" s="1062"/>
      <c r="I5" s="1062"/>
      <c r="J5" s="1062"/>
      <c r="K5" s="1062"/>
      <c r="L5" s="1062"/>
      <c r="M5" s="1062"/>
      <c r="N5" s="1062"/>
      <c r="O5" s="1062"/>
      <c r="P5" s="1063"/>
      <c r="AG5" s="1064" t="s">
        <v>2325</v>
      </c>
      <c r="AH5" s="1065">
        <v>42552</v>
      </c>
    </row>
    <row r="6" spans="1:40">
      <c r="C6" s="1066"/>
      <c r="E6" s="1067"/>
      <c r="F6" s="1067"/>
      <c r="G6" s="1067"/>
      <c r="H6" s="1067"/>
      <c r="I6" s="1067"/>
      <c r="J6" s="1068"/>
      <c r="K6" s="1069"/>
      <c r="L6" s="1069"/>
      <c r="M6" s="1067"/>
      <c r="N6" s="1067"/>
      <c r="O6" s="1067"/>
      <c r="P6" s="1070"/>
      <c r="AG6" s="1064" t="s">
        <v>2326</v>
      </c>
      <c r="AH6" s="1065">
        <v>42639</v>
      </c>
      <c r="AI6" s="1065">
        <v>42704</v>
      </c>
      <c r="AJ6" s="1065">
        <v>42820</v>
      </c>
      <c r="AK6" s="1065">
        <v>42681</v>
      </c>
      <c r="AL6" s="1065">
        <v>42766</v>
      </c>
      <c r="AM6" s="1065">
        <v>42815</v>
      </c>
      <c r="AN6" s="1065">
        <v>42801</v>
      </c>
    </row>
    <row r="7" spans="1:40">
      <c r="E7" s="1069" t="s">
        <v>2327</v>
      </c>
      <c r="F7" s="1069" t="s">
        <v>2328</v>
      </c>
      <c r="G7" s="1069" t="s">
        <v>2329</v>
      </c>
      <c r="H7" s="1069" t="s">
        <v>2330</v>
      </c>
      <c r="I7" s="1069" t="s">
        <v>2331</v>
      </c>
      <c r="J7" s="1071" t="s">
        <v>2327</v>
      </c>
      <c r="K7" s="1069" t="s">
        <v>2328</v>
      </c>
      <c r="L7" s="1069" t="s">
        <v>2329</v>
      </c>
      <c r="M7" s="1069" t="s">
        <v>2330</v>
      </c>
      <c r="N7" s="1069" t="s">
        <v>2332</v>
      </c>
      <c r="O7" s="1069" t="s">
        <v>2331</v>
      </c>
      <c r="P7" s="1072"/>
      <c r="V7" s="1073">
        <v>2016</v>
      </c>
      <c r="W7" s="1073">
        <v>2016</v>
      </c>
      <c r="X7" s="1073">
        <v>2016</v>
      </c>
      <c r="Y7" s="1073">
        <v>2016</v>
      </c>
      <c r="Z7" s="1073"/>
      <c r="AA7" s="1074">
        <v>2017</v>
      </c>
      <c r="AB7" s="1074">
        <v>2017</v>
      </c>
      <c r="AC7" s="1074">
        <v>2017</v>
      </c>
      <c r="AD7" s="1074">
        <v>2017</v>
      </c>
      <c r="AG7" s="1064" t="s">
        <v>2333</v>
      </c>
      <c r="AH7" s="1075">
        <f>AH6-AH5</f>
        <v>87</v>
      </c>
      <c r="AI7" s="1076">
        <f>AI6-AH5</f>
        <v>152</v>
      </c>
      <c r="AJ7" s="1045">
        <f>AJ6-AH5</f>
        <v>268</v>
      </c>
      <c r="AK7" s="1045">
        <f>AK6-AH5</f>
        <v>129</v>
      </c>
      <c r="AL7" s="1045">
        <f>AL6-AH5</f>
        <v>214</v>
      </c>
      <c r="AM7" s="1045">
        <f>AM6-AH5</f>
        <v>263</v>
      </c>
      <c r="AN7" s="1045">
        <f>AN6-AH5</f>
        <v>249</v>
      </c>
    </row>
    <row r="8" spans="1:40" ht="34.5" thickBot="1">
      <c r="A8" s="1077" t="s">
        <v>2334</v>
      </c>
      <c r="B8" s="1077" t="s">
        <v>2335</v>
      </c>
      <c r="C8" s="1077" t="s">
        <v>2336</v>
      </c>
      <c r="D8" s="1077" t="s">
        <v>2337</v>
      </c>
      <c r="E8" s="1078" t="s">
        <v>2338</v>
      </c>
      <c r="F8" s="1078" t="s">
        <v>2338</v>
      </c>
      <c r="G8" s="1078" t="s">
        <v>2338</v>
      </c>
      <c r="H8" s="1078" t="s">
        <v>2338</v>
      </c>
      <c r="I8" s="1078" t="s">
        <v>2338</v>
      </c>
      <c r="J8" s="1079" t="s">
        <v>341</v>
      </c>
      <c r="K8" s="1079" t="s">
        <v>341</v>
      </c>
      <c r="L8" s="1079" t="s">
        <v>341</v>
      </c>
      <c r="M8" s="1079" t="s">
        <v>341</v>
      </c>
      <c r="N8" s="1079" t="s">
        <v>341</v>
      </c>
      <c r="O8" s="1079" t="s">
        <v>341</v>
      </c>
      <c r="P8" s="1080" t="s">
        <v>2339</v>
      </c>
      <c r="Q8" s="1081" t="s">
        <v>1482</v>
      </c>
      <c r="R8" s="1081" t="s">
        <v>2340</v>
      </c>
      <c r="S8" s="1082" t="s">
        <v>2341</v>
      </c>
      <c r="T8" s="1082"/>
      <c r="V8" s="1074" t="s">
        <v>2342</v>
      </c>
      <c r="W8" s="1083" t="s">
        <v>2343</v>
      </c>
      <c r="X8" s="1084" t="s">
        <v>2344</v>
      </c>
      <c r="Y8" s="1085" t="s">
        <v>2345</v>
      </c>
      <c r="Z8" s="1085"/>
      <c r="AA8" s="1074" t="s">
        <v>2342</v>
      </c>
      <c r="AB8" s="1086" t="s">
        <v>2343</v>
      </c>
      <c r="AC8" s="1074" t="s">
        <v>2344</v>
      </c>
      <c r="AD8" s="1074" t="s">
        <v>2346</v>
      </c>
      <c r="AG8" s="1076"/>
      <c r="AH8" s="1076"/>
      <c r="AI8" s="1076"/>
    </row>
    <row r="9" spans="1:40" ht="12.75" thickTop="1" thickBot="1">
      <c r="A9" s="1087"/>
      <c r="B9" s="1087"/>
      <c r="C9" s="1087"/>
      <c r="D9" s="1087"/>
      <c r="E9" s="1069"/>
      <c r="F9" s="1069"/>
      <c r="G9" s="1069"/>
      <c r="H9" s="1069"/>
      <c r="I9" s="1069"/>
      <c r="J9" s="1071"/>
      <c r="K9" s="1069"/>
      <c r="L9" s="1069"/>
      <c r="M9" s="1069"/>
      <c r="N9" s="1069"/>
      <c r="O9" s="1069"/>
      <c r="P9" s="1088"/>
      <c r="Q9" s="1081"/>
      <c r="R9" s="1081"/>
      <c r="S9" s="1082"/>
      <c r="T9" s="1082"/>
      <c r="V9" s="1074"/>
      <c r="W9" s="1083"/>
      <c r="X9" s="1084"/>
      <c r="Y9" s="1085"/>
      <c r="Z9" s="1085"/>
      <c r="AA9" s="1074"/>
      <c r="AB9" s="1086"/>
      <c r="AC9" s="1074"/>
      <c r="AD9" s="1074"/>
      <c r="AI9" s="1065">
        <v>42653</v>
      </c>
      <c r="AJ9" s="1065">
        <v>42667</v>
      </c>
    </row>
    <row r="10" spans="1:40" ht="12.75" thickTop="1" thickBot="1">
      <c r="A10" s="1089"/>
      <c r="B10" s="1090" t="s">
        <v>2347</v>
      </c>
      <c r="C10" s="1091"/>
      <c r="D10" s="1092"/>
      <c r="E10" s="1069"/>
      <c r="F10" s="1069"/>
      <c r="G10" s="1069"/>
      <c r="H10" s="1069"/>
      <c r="I10" s="1069"/>
      <c r="J10" s="1071"/>
      <c r="K10" s="1069"/>
      <c r="L10" s="1069"/>
      <c r="M10" s="1069"/>
      <c r="N10" s="1069"/>
      <c r="O10" s="1069"/>
      <c r="P10" s="1088"/>
      <c r="Q10" s="1081"/>
      <c r="R10" s="1081"/>
      <c r="S10" s="1082"/>
      <c r="T10" s="1082"/>
      <c r="V10" s="1074"/>
      <c r="W10" s="1083"/>
      <c r="X10" s="1084"/>
      <c r="Y10" s="1085"/>
      <c r="Z10" s="1085"/>
      <c r="AA10" s="1074"/>
      <c r="AB10" s="1086"/>
      <c r="AC10" s="1074"/>
      <c r="AD10" s="1074"/>
      <c r="AI10" s="1045">
        <f>AI9-AH5</f>
        <v>101</v>
      </c>
      <c r="AJ10" s="1045">
        <f>AJ9-AH5</f>
        <v>115</v>
      </c>
    </row>
    <row r="11" spans="1:40" ht="12" thickTop="1">
      <c r="A11" s="1093">
        <v>2195</v>
      </c>
      <c r="B11" s="1094">
        <v>14443</v>
      </c>
      <c r="C11" s="1095" t="s">
        <v>2348</v>
      </c>
      <c r="D11" s="1093" t="s">
        <v>30</v>
      </c>
      <c r="E11" s="1096">
        <v>1841.05</v>
      </c>
      <c r="F11" s="1096">
        <v>144.376666</v>
      </c>
      <c r="G11" s="1096">
        <v>48</v>
      </c>
      <c r="H11" s="1096">
        <v>80</v>
      </c>
      <c r="I11" s="1096">
        <v>0</v>
      </c>
      <c r="J11" s="1097">
        <v>38248.979900000006</v>
      </c>
      <c r="K11" s="1096">
        <v>4511.29</v>
      </c>
      <c r="L11" s="1096">
        <v>4659.68</v>
      </c>
      <c r="M11" s="1096">
        <v>1664.64</v>
      </c>
      <c r="N11" s="1096">
        <v>261.56</v>
      </c>
      <c r="O11" s="1096">
        <v>0</v>
      </c>
      <c r="P11" s="1098">
        <f t="shared" ref="P11:P46" si="0">SUM(J11:O11)</f>
        <v>49346.149900000004</v>
      </c>
      <c r="Q11" s="1049">
        <f t="shared" ref="Q11:Q44" si="1">SUM(E11:I11)</f>
        <v>2113.4266659999998</v>
      </c>
      <c r="R11" s="1049">
        <f t="shared" ref="R11:R46" si="2">G11+H11+I11</f>
        <v>128</v>
      </c>
      <c r="S11" s="1099">
        <f t="shared" ref="S11:S46" si="3">Q11-R11</f>
        <v>1985.4266659999998</v>
      </c>
      <c r="T11" s="1100"/>
      <c r="U11" s="1101"/>
      <c r="V11" s="1102">
        <f t="shared" ref="V11:V17" si="4">SUM(J11,L11:M11)*($AH$7/365)</f>
        <v>10624.320798082194</v>
      </c>
      <c r="W11" s="1103">
        <v>42639</v>
      </c>
      <c r="X11" s="1104">
        <v>0.02</v>
      </c>
      <c r="Y11" s="1102">
        <f t="shared" ref="Y11:Y46" si="5">V11*X11</f>
        <v>212.48641596164387</v>
      </c>
      <c r="Z11" s="1105"/>
      <c r="AA11" s="1049">
        <f t="shared" ref="AA11:AA46" si="6">SUM(J11,L11:M11)+Y11</f>
        <v>44785.786315961646</v>
      </c>
      <c r="AB11" s="1103">
        <v>43003</v>
      </c>
      <c r="AC11" s="1104">
        <v>0.02</v>
      </c>
      <c r="AD11" s="1102">
        <f t="shared" ref="AD11:AD46" si="7">AA11*AC11</f>
        <v>895.715726319233</v>
      </c>
      <c r="AG11" s="1101"/>
    </row>
    <row r="12" spans="1:40">
      <c r="A12" s="1106">
        <v>2195</v>
      </c>
      <c r="B12" s="1107">
        <v>55303</v>
      </c>
      <c r="C12" s="1076" t="s">
        <v>2349</v>
      </c>
      <c r="D12" s="1106" t="s">
        <v>2350</v>
      </c>
      <c r="E12" s="1096">
        <v>1990.35</v>
      </c>
      <c r="F12" s="1096">
        <v>470.81332899999995</v>
      </c>
      <c r="G12" s="1096">
        <v>88</v>
      </c>
      <c r="H12" s="1096">
        <v>72</v>
      </c>
      <c r="I12" s="1096">
        <v>0</v>
      </c>
      <c r="J12" s="1097">
        <v>41365.22</v>
      </c>
      <c r="K12" s="1096">
        <v>14748.5</v>
      </c>
      <c r="L12" s="1096">
        <v>2490.4</v>
      </c>
      <c r="M12" s="1096">
        <v>1497.52</v>
      </c>
      <c r="N12" s="1096">
        <v>673.18</v>
      </c>
      <c r="O12" s="1096">
        <v>0</v>
      </c>
      <c r="P12" s="1098">
        <f t="shared" si="0"/>
        <v>60774.82</v>
      </c>
      <c r="Q12" s="1049">
        <f t="shared" si="1"/>
        <v>2621.163329</v>
      </c>
      <c r="R12" s="1049">
        <f t="shared" si="2"/>
        <v>160</v>
      </c>
      <c r="S12" s="1099">
        <f t="shared" si="3"/>
        <v>2461.163329</v>
      </c>
      <c r="T12" s="1100"/>
      <c r="U12" s="1101"/>
      <c r="V12" s="1102">
        <f t="shared" si="4"/>
        <v>10810.200493150684</v>
      </c>
      <c r="W12" s="1103">
        <v>42639</v>
      </c>
      <c r="X12" s="1104">
        <v>0.02</v>
      </c>
      <c r="Y12" s="1102">
        <f t="shared" si="5"/>
        <v>216.20400986301368</v>
      </c>
      <c r="Z12" s="1105"/>
      <c r="AA12" s="1049">
        <f t="shared" si="6"/>
        <v>45569.344009863016</v>
      </c>
      <c r="AB12" s="1103">
        <v>43003</v>
      </c>
      <c r="AC12" s="1104">
        <v>0.02</v>
      </c>
      <c r="AD12" s="1102">
        <f t="shared" si="7"/>
        <v>911.38688019726033</v>
      </c>
    </row>
    <row r="13" spans="1:40">
      <c r="A13" s="1106">
        <v>2195</v>
      </c>
      <c r="B13" s="1107">
        <v>52734</v>
      </c>
      <c r="C13" s="1076" t="s">
        <v>2351</v>
      </c>
      <c r="D13" s="1106" t="s">
        <v>2350</v>
      </c>
      <c r="E13" s="1096">
        <v>1913.629997</v>
      </c>
      <c r="F13" s="1096">
        <v>18.779999</v>
      </c>
      <c r="G13" s="1096">
        <v>8</v>
      </c>
      <c r="H13" s="1096">
        <v>72</v>
      </c>
      <c r="I13" s="1096">
        <v>0</v>
      </c>
      <c r="J13" s="1097">
        <v>39282.550000000003</v>
      </c>
      <c r="K13" s="1096">
        <v>589.66000000000008</v>
      </c>
      <c r="L13" s="1096">
        <v>1667.9199999999998</v>
      </c>
      <c r="M13" s="1096">
        <v>1477.8400000000001</v>
      </c>
      <c r="N13" s="1096">
        <v>190.44</v>
      </c>
      <c r="O13" s="1096">
        <v>0</v>
      </c>
      <c r="P13" s="1098">
        <f t="shared" si="0"/>
        <v>43208.41</v>
      </c>
      <c r="Q13" s="1049">
        <f t="shared" si="1"/>
        <v>2012.4099960000001</v>
      </c>
      <c r="R13" s="1049">
        <f t="shared" si="2"/>
        <v>80</v>
      </c>
      <c r="S13" s="1099">
        <f t="shared" si="3"/>
        <v>1932.4099960000001</v>
      </c>
      <c r="T13" s="1100"/>
      <c r="U13" s="1101"/>
      <c r="V13" s="1102">
        <f t="shared" si="4"/>
        <v>10113.049232876712</v>
      </c>
      <c r="W13" s="1103">
        <v>42639</v>
      </c>
      <c r="X13" s="1104">
        <v>0.02</v>
      </c>
      <c r="Y13" s="1102">
        <f t="shared" si="5"/>
        <v>202.26098465753424</v>
      </c>
      <c r="Z13" s="1105"/>
      <c r="AA13" s="1049">
        <f t="shared" si="6"/>
        <v>42630.570984657534</v>
      </c>
      <c r="AB13" s="1103">
        <v>43003</v>
      </c>
      <c r="AC13" s="1104">
        <v>0.02</v>
      </c>
      <c r="AD13" s="1102">
        <f t="shared" si="7"/>
        <v>852.61141969315065</v>
      </c>
    </row>
    <row r="14" spans="1:40">
      <c r="A14" s="1106">
        <v>2195</v>
      </c>
      <c r="B14" s="1107">
        <v>57637</v>
      </c>
      <c r="C14" s="1076" t="s">
        <v>2352</v>
      </c>
      <c r="D14" s="1106" t="s">
        <v>2350</v>
      </c>
      <c r="E14" s="1096">
        <v>1991.4666690000001</v>
      </c>
      <c r="F14" s="1096">
        <v>13.613333000000001</v>
      </c>
      <c r="G14" s="1096">
        <v>16</v>
      </c>
      <c r="H14" s="1096">
        <v>64</v>
      </c>
      <c r="I14" s="1096">
        <v>0</v>
      </c>
      <c r="J14" s="1097">
        <v>38193.930200000003</v>
      </c>
      <c r="K14" s="1096">
        <v>393.75000000000006</v>
      </c>
      <c r="L14" s="1096">
        <v>286.72000000000003</v>
      </c>
      <c r="M14" s="1096">
        <v>1210.72</v>
      </c>
      <c r="N14" s="1096">
        <v>0</v>
      </c>
      <c r="O14" s="1096">
        <v>0</v>
      </c>
      <c r="P14" s="1098">
        <f t="shared" si="0"/>
        <v>40085.120200000005</v>
      </c>
      <c r="Q14" s="1049">
        <f t="shared" si="1"/>
        <v>2085.0800020000001</v>
      </c>
      <c r="R14" s="1049">
        <f t="shared" si="2"/>
        <v>80</v>
      </c>
      <c r="S14" s="1099">
        <f t="shared" si="3"/>
        <v>2005.0800020000001</v>
      </c>
      <c r="T14" s="1100"/>
      <c r="U14" s="1101"/>
      <c r="V14" s="1102">
        <f>SUM(J14,L14:M14)*($AL$7/365)</f>
        <v>23271.104720000003</v>
      </c>
      <c r="W14" s="1103">
        <v>42766</v>
      </c>
      <c r="X14" s="1104">
        <v>0.13</v>
      </c>
      <c r="Y14" s="1102">
        <f t="shared" si="5"/>
        <v>3025.2436136000006</v>
      </c>
      <c r="Z14" s="1105"/>
      <c r="AA14" s="1049">
        <f t="shared" si="6"/>
        <v>42716.613813600008</v>
      </c>
      <c r="AB14" s="1103">
        <v>43003</v>
      </c>
      <c r="AC14" s="1104">
        <v>0.02</v>
      </c>
      <c r="AD14" s="1102">
        <f t="shared" si="7"/>
        <v>854.33227627200017</v>
      </c>
    </row>
    <row r="15" spans="1:40">
      <c r="A15" s="1106">
        <v>2195</v>
      </c>
      <c r="B15" s="1107">
        <v>56839</v>
      </c>
      <c r="C15" s="1076" t="s">
        <v>2353</v>
      </c>
      <c r="D15" s="1106" t="s">
        <v>2350</v>
      </c>
      <c r="E15" s="1096">
        <v>1931.89</v>
      </c>
      <c r="F15" s="1096">
        <v>159.66333100000003</v>
      </c>
      <c r="G15" s="1096">
        <v>64</v>
      </c>
      <c r="H15" s="1096">
        <v>80</v>
      </c>
      <c r="I15" s="1096">
        <v>0</v>
      </c>
      <c r="J15" s="1097">
        <v>38874.200299999997</v>
      </c>
      <c r="K15" s="1096">
        <v>4851.2899999999991</v>
      </c>
      <c r="L15" s="1096">
        <v>2651.36</v>
      </c>
      <c r="M15" s="1096">
        <v>1580.96</v>
      </c>
      <c r="N15" s="1096">
        <v>661.76</v>
      </c>
      <c r="O15" s="1096">
        <v>0</v>
      </c>
      <c r="P15" s="1098">
        <f t="shared" si="0"/>
        <v>48619.570299999999</v>
      </c>
      <c r="Q15" s="1049">
        <f t="shared" si="1"/>
        <v>2235.5533310000001</v>
      </c>
      <c r="R15" s="1049">
        <f t="shared" si="2"/>
        <v>144</v>
      </c>
      <c r="S15" s="1099">
        <f t="shared" si="3"/>
        <v>2091.5533310000001</v>
      </c>
      <c r="T15" s="1100"/>
      <c r="U15" s="1101"/>
      <c r="V15" s="1102">
        <f t="shared" si="4"/>
        <v>10274.704838630136</v>
      </c>
      <c r="W15" s="1103">
        <v>42639</v>
      </c>
      <c r="X15" s="1104">
        <v>0.15609999999999999</v>
      </c>
      <c r="Y15" s="1102">
        <f t="shared" si="5"/>
        <v>1603.8814253101641</v>
      </c>
      <c r="Z15" s="1105"/>
      <c r="AA15" s="1049">
        <f t="shared" si="6"/>
        <v>44710.401725310163</v>
      </c>
      <c r="AB15" s="1103">
        <v>43003</v>
      </c>
      <c r="AC15" s="1104">
        <v>0.02</v>
      </c>
      <c r="AD15" s="1102">
        <f t="shared" si="7"/>
        <v>894.20803450620326</v>
      </c>
    </row>
    <row r="16" spans="1:40">
      <c r="A16" s="1106">
        <v>2195</v>
      </c>
      <c r="B16" s="1107">
        <v>57840</v>
      </c>
      <c r="C16" s="1076" t="s">
        <v>2354</v>
      </c>
      <c r="D16" s="1106" t="s">
        <v>2350</v>
      </c>
      <c r="E16" s="1096">
        <v>2030.0299949999999</v>
      </c>
      <c r="F16" s="1096">
        <v>80.370001000000002</v>
      </c>
      <c r="G16" s="1096">
        <v>0</v>
      </c>
      <c r="H16" s="1096">
        <v>64</v>
      </c>
      <c r="I16" s="1096">
        <v>0</v>
      </c>
      <c r="J16" s="1097">
        <v>38017.7399</v>
      </c>
      <c r="K16" s="1096">
        <v>2244.9300000000003</v>
      </c>
      <c r="L16" s="1096">
        <v>0</v>
      </c>
      <c r="M16" s="1096">
        <v>1182.8800000000001</v>
      </c>
      <c r="N16" s="1096">
        <v>499</v>
      </c>
      <c r="O16" s="1096">
        <v>0</v>
      </c>
      <c r="P16" s="1098">
        <f t="shared" si="0"/>
        <v>41944.549899999998</v>
      </c>
      <c r="Q16" s="1049">
        <f t="shared" si="1"/>
        <v>2174.3999960000001</v>
      </c>
      <c r="R16" s="1049">
        <f t="shared" si="2"/>
        <v>64</v>
      </c>
      <c r="S16" s="1099">
        <f t="shared" si="3"/>
        <v>2110.3999960000001</v>
      </c>
      <c r="T16" s="1100"/>
      <c r="U16" s="1101"/>
      <c r="V16" s="1102">
        <f>SUM(J16,L16:M16)*($AM$7/365)</f>
        <v>28245.926119726028</v>
      </c>
      <c r="W16" s="1103">
        <v>42815</v>
      </c>
      <c r="X16" s="1104">
        <v>0.13</v>
      </c>
      <c r="Y16" s="1102">
        <f t="shared" si="5"/>
        <v>3671.9703955643836</v>
      </c>
      <c r="Z16" s="1105"/>
      <c r="AA16" s="1049">
        <f t="shared" si="6"/>
        <v>42872.590295564383</v>
      </c>
      <c r="AB16" s="1103">
        <v>43003</v>
      </c>
      <c r="AC16" s="1104">
        <v>0.02</v>
      </c>
      <c r="AD16" s="1102">
        <f t="shared" si="7"/>
        <v>857.45180591128769</v>
      </c>
    </row>
    <row r="17" spans="1:30">
      <c r="A17" s="1106">
        <v>2195</v>
      </c>
      <c r="B17" s="1107">
        <v>55592</v>
      </c>
      <c r="C17" s="1076" t="s">
        <v>2355</v>
      </c>
      <c r="D17" s="1106" t="s">
        <v>2350</v>
      </c>
      <c r="E17" s="1096">
        <v>1974.6033320000001</v>
      </c>
      <c r="F17" s="1096">
        <v>215.34999699999997</v>
      </c>
      <c r="G17" s="1096">
        <v>24</v>
      </c>
      <c r="H17" s="1096">
        <v>64</v>
      </c>
      <c r="I17" s="1096">
        <v>0</v>
      </c>
      <c r="J17" s="1097">
        <v>41025.69000000001</v>
      </c>
      <c r="K17" s="1096">
        <v>6752.41</v>
      </c>
      <c r="L17" s="1096">
        <v>1998.8799999999999</v>
      </c>
      <c r="M17" s="1096">
        <v>1330.4</v>
      </c>
      <c r="N17" s="1096">
        <v>671.64</v>
      </c>
      <c r="O17" s="1096">
        <v>0</v>
      </c>
      <c r="P17" s="1098">
        <f t="shared" si="0"/>
        <v>51779.020000000004</v>
      </c>
      <c r="Q17" s="1049">
        <f t="shared" si="1"/>
        <v>2277.9533289999999</v>
      </c>
      <c r="R17" s="1049">
        <f t="shared" si="2"/>
        <v>88</v>
      </c>
      <c r="S17" s="1099">
        <f t="shared" si="3"/>
        <v>2189.9533289999999</v>
      </c>
      <c r="T17" s="1100"/>
      <c r="U17" s="1101"/>
      <c r="V17" s="1102">
        <f t="shared" si="4"/>
        <v>10572.280520547947</v>
      </c>
      <c r="W17" s="1103">
        <v>42639</v>
      </c>
      <c r="X17" s="1104">
        <v>0.02</v>
      </c>
      <c r="Y17" s="1102">
        <f t="shared" si="5"/>
        <v>211.44561041095895</v>
      </c>
      <c r="Z17" s="1105"/>
      <c r="AA17" s="1049">
        <f t="shared" si="6"/>
        <v>44566.415610410964</v>
      </c>
      <c r="AB17" s="1103">
        <v>43003</v>
      </c>
      <c r="AC17" s="1104">
        <v>0.02</v>
      </c>
      <c r="AD17" s="1102">
        <f t="shared" si="7"/>
        <v>891.32831220821936</v>
      </c>
    </row>
    <row r="18" spans="1:30">
      <c r="A18" s="1106">
        <v>2195</v>
      </c>
      <c r="B18" s="1107">
        <v>57794</v>
      </c>
      <c r="C18" s="1076" t="s">
        <v>2356</v>
      </c>
      <c r="D18" s="1106" t="s">
        <v>2350</v>
      </c>
      <c r="E18" s="1096">
        <v>2005.2499989999999</v>
      </c>
      <c r="F18" s="1096">
        <v>423.43332899999996</v>
      </c>
      <c r="G18" s="1096">
        <v>40</v>
      </c>
      <c r="H18" s="1096">
        <v>72</v>
      </c>
      <c r="I18" s="1096">
        <v>0</v>
      </c>
      <c r="J18" s="1097">
        <v>37759.279999999999</v>
      </c>
      <c r="K18" s="1096">
        <v>11996.06</v>
      </c>
      <c r="L18" s="1096">
        <v>1879.2</v>
      </c>
      <c r="M18" s="1096">
        <v>1330.3200000000002</v>
      </c>
      <c r="N18" s="1096">
        <v>529.6</v>
      </c>
      <c r="O18" s="1096">
        <v>0</v>
      </c>
      <c r="P18" s="1098">
        <f t="shared" si="0"/>
        <v>53494.459999999992</v>
      </c>
      <c r="Q18" s="1049">
        <f t="shared" si="1"/>
        <v>2540.6833280000001</v>
      </c>
      <c r="R18" s="1049">
        <f t="shared" si="2"/>
        <v>112</v>
      </c>
      <c r="S18" s="1099">
        <f t="shared" si="3"/>
        <v>2428.6833280000001</v>
      </c>
      <c r="T18" s="1100"/>
      <c r="U18" s="1101"/>
      <c r="V18" s="1102">
        <f>SUM(J18,L18:M18)*($AN$7/365)</f>
        <v>27948.578630136981</v>
      </c>
      <c r="W18" s="1103">
        <v>42801</v>
      </c>
      <c r="X18" s="1104">
        <v>0.13</v>
      </c>
      <c r="Y18" s="1102">
        <f t="shared" si="5"/>
        <v>3633.3152219178078</v>
      </c>
      <c r="Z18" s="1105"/>
      <c r="AA18" s="1049">
        <f t="shared" si="6"/>
        <v>44602.115221917804</v>
      </c>
      <c r="AB18" s="1103">
        <v>43003</v>
      </c>
      <c r="AC18" s="1104">
        <v>0.02</v>
      </c>
      <c r="AD18" s="1102">
        <f t="shared" si="7"/>
        <v>892.04230443835604</v>
      </c>
    </row>
    <row r="19" spans="1:30">
      <c r="A19" s="1106">
        <v>2195</v>
      </c>
      <c r="B19" s="1107">
        <v>58187</v>
      </c>
      <c r="C19" s="1076" t="s">
        <v>2357</v>
      </c>
      <c r="D19" s="1106" t="s">
        <v>2350</v>
      </c>
      <c r="E19" s="1096">
        <v>1998.3699980000001</v>
      </c>
      <c r="F19" s="1096">
        <v>239.38999800000002</v>
      </c>
      <c r="G19" s="1096">
        <v>0</v>
      </c>
      <c r="H19" s="1096">
        <v>48</v>
      </c>
      <c r="I19" s="1096">
        <v>0</v>
      </c>
      <c r="J19" s="1097">
        <v>36357.4899</v>
      </c>
      <c r="K19" s="1096">
        <v>6641.6799999999994</v>
      </c>
      <c r="L19" s="1096">
        <v>0</v>
      </c>
      <c r="M19" s="1096">
        <v>880.16000000000008</v>
      </c>
      <c r="N19" s="1096">
        <v>366.37</v>
      </c>
      <c r="O19" s="1096">
        <v>0</v>
      </c>
      <c r="P19" s="1098">
        <f t="shared" si="0"/>
        <v>44245.699900000007</v>
      </c>
      <c r="Q19" s="1049">
        <f t="shared" si="1"/>
        <v>2285.7599960000002</v>
      </c>
      <c r="R19" s="1049">
        <f t="shared" si="2"/>
        <v>48</v>
      </c>
      <c r="S19" s="1099">
        <f t="shared" si="3"/>
        <v>2237.7599960000002</v>
      </c>
      <c r="T19" s="1100"/>
      <c r="U19" s="1101"/>
      <c r="V19" s="1102">
        <f>SUM(J19,L19:M19)*($AI$7/365)</f>
        <v>15507.185711780823</v>
      </c>
      <c r="W19" s="1103">
        <v>42704</v>
      </c>
      <c r="X19" s="1104">
        <v>7.9799999999999996E-2</v>
      </c>
      <c r="Y19" s="1102">
        <f t="shared" si="5"/>
        <v>1237.4734198001097</v>
      </c>
      <c r="Z19" s="1105"/>
      <c r="AA19" s="1049">
        <f t="shared" si="6"/>
        <v>38475.123319800114</v>
      </c>
      <c r="AB19" s="1103">
        <v>43003</v>
      </c>
      <c r="AC19" s="1104">
        <v>0.02</v>
      </c>
      <c r="AD19" s="1102">
        <f t="shared" si="7"/>
        <v>769.50246639600232</v>
      </c>
    </row>
    <row r="20" spans="1:30">
      <c r="A20" s="1106">
        <v>2195</v>
      </c>
      <c r="B20" s="1107">
        <v>51918</v>
      </c>
      <c r="C20" s="1076" t="s">
        <v>2358</v>
      </c>
      <c r="D20" s="1106" t="s">
        <v>2350</v>
      </c>
      <c r="E20" s="1096">
        <v>1936.1366659999999</v>
      </c>
      <c r="F20" s="1096">
        <v>363.21333199999998</v>
      </c>
      <c r="G20" s="1096">
        <v>40</v>
      </c>
      <c r="H20" s="1096">
        <v>72</v>
      </c>
      <c r="I20" s="1096">
        <v>0</v>
      </c>
      <c r="J20" s="1097">
        <v>40232.729999999996</v>
      </c>
      <c r="K20" s="1096">
        <v>11361.16</v>
      </c>
      <c r="L20" s="1096">
        <v>2156.16</v>
      </c>
      <c r="M20" s="1096">
        <v>1497.52</v>
      </c>
      <c r="N20" s="1096">
        <v>673.45</v>
      </c>
      <c r="O20" s="1096">
        <v>0</v>
      </c>
      <c r="P20" s="1098">
        <f t="shared" si="0"/>
        <v>55921.02</v>
      </c>
      <c r="Q20" s="1049">
        <f t="shared" si="1"/>
        <v>2411.3499979999997</v>
      </c>
      <c r="R20" s="1049">
        <f t="shared" si="2"/>
        <v>112</v>
      </c>
      <c r="S20" s="1099">
        <f t="shared" si="3"/>
        <v>2299.3499979999997</v>
      </c>
      <c r="T20" s="1100"/>
      <c r="U20" s="1101"/>
      <c r="V20" s="1102">
        <f t="shared" ref="V20:V42" si="8">SUM(J20,L20:M20)*($AH$7/365)</f>
        <v>10460.596356164382</v>
      </c>
      <c r="W20" s="1103">
        <v>42639</v>
      </c>
      <c r="X20" s="1104">
        <v>0.02</v>
      </c>
      <c r="Y20" s="1102">
        <f t="shared" si="5"/>
        <v>209.21192712328764</v>
      </c>
      <c r="Z20" s="1105"/>
      <c r="AA20" s="1049">
        <f t="shared" si="6"/>
        <v>44095.621927123284</v>
      </c>
      <c r="AB20" s="1103">
        <v>43003</v>
      </c>
      <c r="AC20" s="1104">
        <v>0.02</v>
      </c>
      <c r="AD20" s="1102">
        <f t="shared" si="7"/>
        <v>881.91243854246568</v>
      </c>
    </row>
    <row r="21" spans="1:30">
      <c r="A21" s="1106">
        <v>2195</v>
      </c>
      <c r="B21" s="1107">
        <v>56572</v>
      </c>
      <c r="C21" s="1076" t="s">
        <v>2359</v>
      </c>
      <c r="D21" s="1106" t="s">
        <v>2350</v>
      </c>
      <c r="E21" s="1096">
        <v>1987.7166669999999</v>
      </c>
      <c r="F21" s="1096">
        <v>348.38000299999999</v>
      </c>
      <c r="G21" s="1096">
        <v>40</v>
      </c>
      <c r="H21" s="1096">
        <v>64</v>
      </c>
      <c r="I21" s="1096">
        <v>0</v>
      </c>
      <c r="J21" s="1097">
        <v>41310.21</v>
      </c>
      <c r="K21" s="1096">
        <v>10906.419999999998</v>
      </c>
      <c r="L21" s="1096">
        <v>1989.0400000000002</v>
      </c>
      <c r="M21" s="1096">
        <v>1330.4</v>
      </c>
      <c r="N21" s="1096">
        <v>692.48</v>
      </c>
      <c r="O21" s="1096">
        <v>0</v>
      </c>
      <c r="P21" s="1098">
        <f t="shared" si="0"/>
        <v>56228.55</v>
      </c>
      <c r="Q21" s="1049">
        <f t="shared" si="1"/>
        <v>2440.0966699999999</v>
      </c>
      <c r="R21" s="1049">
        <f t="shared" si="2"/>
        <v>104</v>
      </c>
      <c r="S21" s="1099">
        <f t="shared" si="3"/>
        <v>2336.0966699999999</v>
      </c>
      <c r="T21" s="1100"/>
      <c r="U21" s="1101"/>
      <c r="V21" s="1102">
        <f t="shared" si="8"/>
        <v>10637.752191780823</v>
      </c>
      <c r="W21" s="1103">
        <v>42639</v>
      </c>
      <c r="X21" s="1104">
        <v>0.02</v>
      </c>
      <c r="Y21" s="1102">
        <f t="shared" si="5"/>
        <v>212.75504383561645</v>
      </c>
      <c r="Z21" s="1105"/>
      <c r="AA21" s="1049">
        <f t="shared" si="6"/>
        <v>44842.405043835621</v>
      </c>
      <c r="AB21" s="1103">
        <v>43003</v>
      </c>
      <c r="AC21" s="1104">
        <v>0.02</v>
      </c>
      <c r="AD21" s="1102">
        <f t="shared" si="7"/>
        <v>896.84810087671246</v>
      </c>
    </row>
    <row r="22" spans="1:30">
      <c r="A22" s="1106">
        <v>2195</v>
      </c>
      <c r="B22" s="1107">
        <v>14437</v>
      </c>
      <c r="C22" s="1076" t="s">
        <v>2360</v>
      </c>
      <c r="D22" s="1106" t="s">
        <v>2350</v>
      </c>
      <c r="E22" s="1096">
        <v>2035.149999</v>
      </c>
      <c r="F22" s="1096">
        <v>298.65666599999997</v>
      </c>
      <c r="G22" s="1096">
        <v>16</v>
      </c>
      <c r="H22" s="1096">
        <v>64</v>
      </c>
      <c r="I22" s="1096">
        <v>0</v>
      </c>
      <c r="J22" s="1097">
        <v>42284.69</v>
      </c>
      <c r="K22" s="1096">
        <v>9351.75</v>
      </c>
      <c r="L22" s="1096">
        <v>1336.96</v>
      </c>
      <c r="M22" s="1096">
        <v>1330.4</v>
      </c>
      <c r="N22" s="1096">
        <v>642.33000000000004</v>
      </c>
      <c r="O22" s="1096">
        <v>0</v>
      </c>
      <c r="P22" s="1098">
        <f t="shared" si="0"/>
        <v>54946.130000000005</v>
      </c>
      <c r="Q22" s="1049">
        <f t="shared" si="1"/>
        <v>2413.8066650000001</v>
      </c>
      <c r="R22" s="1049">
        <f t="shared" si="2"/>
        <v>80</v>
      </c>
      <c r="S22" s="1099">
        <f t="shared" si="3"/>
        <v>2333.8066650000001</v>
      </c>
      <c r="T22" s="1100"/>
      <c r="U22" s="1101"/>
      <c r="V22" s="1102">
        <f t="shared" si="8"/>
        <v>10714.598219178082</v>
      </c>
      <c r="W22" s="1103">
        <v>42639</v>
      </c>
      <c r="X22" s="1104">
        <v>0.02</v>
      </c>
      <c r="Y22" s="1102">
        <f t="shared" si="5"/>
        <v>214.29196438356166</v>
      </c>
      <c r="Z22" s="1105"/>
      <c r="AA22" s="1049">
        <f t="shared" si="6"/>
        <v>45166.341964383566</v>
      </c>
      <c r="AB22" s="1103">
        <v>43003</v>
      </c>
      <c r="AC22" s="1104">
        <v>0.02</v>
      </c>
      <c r="AD22" s="1102">
        <f t="shared" si="7"/>
        <v>903.32683928767131</v>
      </c>
    </row>
    <row r="23" spans="1:30">
      <c r="A23" s="1106">
        <v>2195</v>
      </c>
      <c r="B23" s="1107">
        <v>14485</v>
      </c>
      <c r="C23" s="1076" t="s">
        <v>2361</v>
      </c>
      <c r="D23" s="1106" t="s">
        <v>2350</v>
      </c>
      <c r="E23" s="1096">
        <v>1878.8666680000001</v>
      </c>
      <c r="F23" s="1096">
        <v>138.45666</v>
      </c>
      <c r="G23" s="1096">
        <v>120</v>
      </c>
      <c r="H23" s="1096">
        <v>72</v>
      </c>
      <c r="I23" s="1096">
        <v>0</v>
      </c>
      <c r="J23" s="1097">
        <v>41286.670000000013</v>
      </c>
      <c r="K23" s="1096">
        <v>4578.79</v>
      </c>
      <c r="L23" s="1096">
        <v>4911.5200000000004</v>
      </c>
      <c r="M23" s="1096">
        <v>1579.4399999999998</v>
      </c>
      <c r="N23" s="1096">
        <v>1.25</v>
      </c>
      <c r="O23" s="1096">
        <v>0</v>
      </c>
      <c r="P23" s="1098">
        <f t="shared" si="0"/>
        <v>52357.670000000013</v>
      </c>
      <c r="Q23" s="1049">
        <f t="shared" si="1"/>
        <v>2209.3233280000004</v>
      </c>
      <c r="R23" s="1049">
        <f t="shared" si="2"/>
        <v>192</v>
      </c>
      <c r="S23" s="1099">
        <f t="shared" si="3"/>
        <v>2017.3233280000004</v>
      </c>
      <c r="T23" s="1100"/>
      <c r="U23" s="1101"/>
      <c r="V23" s="1102">
        <f t="shared" si="8"/>
        <v>11388.092630136991</v>
      </c>
      <c r="W23" s="1103">
        <v>42639</v>
      </c>
      <c r="X23" s="1104">
        <v>0.02</v>
      </c>
      <c r="Y23" s="1102">
        <f t="shared" si="5"/>
        <v>227.76185260273982</v>
      </c>
      <c r="Z23" s="1105"/>
      <c r="AA23" s="1049">
        <f t="shared" si="6"/>
        <v>48005.391852602756</v>
      </c>
      <c r="AB23" s="1103">
        <v>43003</v>
      </c>
      <c r="AC23" s="1104">
        <v>0.02</v>
      </c>
      <c r="AD23" s="1102">
        <f t="shared" si="7"/>
        <v>960.10783705205517</v>
      </c>
    </row>
    <row r="24" spans="1:30">
      <c r="A24" s="1106">
        <v>2195</v>
      </c>
      <c r="B24" s="1107">
        <v>14481</v>
      </c>
      <c r="C24" s="1076" t="s">
        <v>2362</v>
      </c>
      <c r="D24" s="1106" t="s">
        <v>2350</v>
      </c>
      <c r="E24" s="1096">
        <v>398.43</v>
      </c>
      <c r="F24" s="1096">
        <v>52.21</v>
      </c>
      <c r="G24" s="1096">
        <v>136</v>
      </c>
      <c r="H24" s="1096">
        <v>8</v>
      </c>
      <c r="I24" s="1096">
        <v>0</v>
      </c>
      <c r="J24" s="1097">
        <v>8159.85</v>
      </c>
      <c r="K24" s="1096">
        <v>1603.8899999999999</v>
      </c>
      <c r="L24" s="1096">
        <v>2785.2799999999997</v>
      </c>
      <c r="M24" s="1096">
        <v>163.84</v>
      </c>
      <c r="N24" s="1096">
        <v>0</v>
      </c>
      <c r="O24" s="1096">
        <v>0</v>
      </c>
      <c r="P24" s="1098">
        <f t="shared" si="0"/>
        <v>12712.86</v>
      </c>
      <c r="Q24" s="1049">
        <f t="shared" si="1"/>
        <v>594.64</v>
      </c>
      <c r="R24" s="1049">
        <f t="shared" si="2"/>
        <v>144</v>
      </c>
      <c r="S24" s="1099">
        <f t="shared" si="3"/>
        <v>450.64</v>
      </c>
      <c r="T24" s="1100"/>
      <c r="U24" s="1101"/>
      <c r="V24" s="1102">
        <f t="shared" si="8"/>
        <v>2647.8914794520551</v>
      </c>
      <c r="W24" s="1103"/>
      <c r="X24" s="1104"/>
      <c r="Y24" s="1102">
        <f t="shared" si="5"/>
        <v>0</v>
      </c>
      <c r="Z24" s="1105"/>
      <c r="AA24" s="1049">
        <f t="shared" si="6"/>
        <v>11108.970000000001</v>
      </c>
      <c r="AB24" s="1103"/>
      <c r="AC24" s="1104"/>
      <c r="AD24" s="1102">
        <f t="shared" si="7"/>
        <v>0</v>
      </c>
    </row>
    <row r="25" spans="1:30">
      <c r="A25" s="1106">
        <v>2195</v>
      </c>
      <c r="B25" s="1107">
        <v>14479</v>
      </c>
      <c r="C25" s="1076" t="s">
        <v>2363</v>
      </c>
      <c r="D25" s="1106" t="s">
        <v>2350</v>
      </c>
      <c r="E25" s="1096">
        <v>1760.1199979999999</v>
      </c>
      <c r="F25" s="1096">
        <v>194.57333299999999</v>
      </c>
      <c r="G25" s="1096">
        <v>200</v>
      </c>
      <c r="H25" s="1096">
        <v>72</v>
      </c>
      <c r="I25" s="1096">
        <v>0</v>
      </c>
      <c r="J25" s="1097">
        <v>31718.229999999996</v>
      </c>
      <c r="K25" s="1096">
        <v>5300.67</v>
      </c>
      <c r="L25" s="1096">
        <v>5723.76</v>
      </c>
      <c r="M25" s="1096">
        <v>1287.7600000000002</v>
      </c>
      <c r="N25" s="1096">
        <v>2.08</v>
      </c>
      <c r="O25" s="1096">
        <v>0</v>
      </c>
      <c r="P25" s="1098">
        <f t="shared" si="0"/>
        <v>44032.5</v>
      </c>
      <c r="Q25" s="1049">
        <f t="shared" si="1"/>
        <v>2226.6933309999999</v>
      </c>
      <c r="R25" s="1049">
        <f t="shared" si="2"/>
        <v>272</v>
      </c>
      <c r="S25" s="1099">
        <f t="shared" si="3"/>
        <v>1954.6933309999999</v>
      </c>
      <c r="T25" s="1100"/>
      <c r="U25" s="1101"/>
      <c r="V25" s="1102">
        <f t="shared" si="8"/>
        <v>9231.4746575342469</v>
      </c>
      <c r="W25" s="1103">
        <v>42639</v>
      </c>
      <c r="X25" s="1104">
        <v>0.02</v>
      </c>
      <c r="Y25" s="1102">
        <f t="shared" si="5"/>
        <v>184.62949315068494</v>
      </c>
      <c r="Z25" s="1105"/>
      <c r="AA25" s="1049">
        <f t="shared" si="6"/>
        <v>38914.379493150685</v>
      </c>
      <c r="AB25" s="1103">
        <v>43003</v>
      </c>
      <c r="AC25" s="1104">
        <v>0.02</v>
      </c>
      <c r="AD25" s="1102">
        <f t="shared" si="7"/>
        <v>778.28758986301375</v>
      </c>
    </row>
    <row r="26" spans="1:30">
      <c r="A26" s="1106">
        <v>2195</v>
      </c>
      <c r="B26" s="1107">
        <v>15885</v>
      </c>
      <c r="C26" s="1076" t="s">
        <v>2364</v>
      </c>
      <c r="D26" s="1106" t="s">
        <v>2350</v>
      </c>
      <c r="E26" s="1096">
        <v>1272.9500010000002</v>
      </c>
      <c r="F26" s="1096">
        <v>197.08999899999998</v>
      </c>
      <c r="G26" s="1096">
        <v>56</v>
      </c>
      <c r="H26" s="1096">
        <v>48</v>
      </c>
      <c r="I26" s="1096">
        <v>0</v>
      </c>
      <c r="J26" s="1097">
        <v>26362.75</v>
      </c>
      <c r="K26" s="1096">
        <v>6174.32</v>
      </c>
      <c r="L26" s="1096">
        <v>3276.45</v>
      </c>
      <c r="M26" s="1096">
        <v>996.16000000000008</v>
      </c>
      <c r="N26" s="1096">
        <v>820.22</v>
      </c>
      <c r="O26" s="1096">
        <v>0</v>
      </c>
      <c r="P26" s="1098">
        <f t="shared" si="0"/>
        <v>37629.9</v>
      </c>
      <c r="Q26" s="1049">
        <f t="shared" si="1"/>
        <v>1574.0400000000002</v>
      </c>
      <c r="R26" s="1049">
        <f t="shared" si="2"/>
        <v>104</v>
      </c>
      <c r="S26" s="1099">
        <f t="shared" si="3"/>
        <v>1470.0400000000002</v>
      </c>
      <c r="T26" s="1100"/>
      <c r="U26" s="1101"/>
      <c r="V26" s="1102">
        <f t="shared" si="8"/>
        <v>7302.1269041095893</v>
      </c>
      <c r="W26" s="1103">
        <v>42639</v>
      </c>
      <c r="X26" s="1104">
        <v>0.02</v>
      </c>
      <c r="Y26" s="1102">
        <f t="shared" si="5"/>
        <v>146.04253808219178</v>
      </c>
      <c r="Z26" s="1105"/>
      <c r="AA26" s="1049">
        <f t="shared" si="6"/>
        <v>30781.402538082191</v>
      </c>
      <c r="AB26" s="1103"/>
      <c r="AC26" s="1104"/>
      <c r="AD26" s="1102"/>
    </row>
    <row r="27" spans="1:30">
      <c r="A27" s="1106">
        <v>2195</v>
      </c>
      <c r="B27" s="1107">
        <v>14478</v>
      </c>
      <c r="C27" s="1076" t="s">
        <v>2365</v>
      </c>
      <c r="D27" s="1106" t="s">
        <v>2350</v>
      </c>
      <c r="E27" s="1096">
        <v>2000</v>
      </c>
      <c r="F27" s="1096">
        <v>428.98666600000001</v>
      </c>
      <c r="G27" s="1096">
        <v>40</v>
      </c>
      <c r="H27" s="1096">
        <v>64</v>
      </c>
      <c r="I27" s="1096">
        <v>0</v>
      </c>
      <c r="J27" s="1097">
        <v>43261.930000000015</v>
      </c>
      <c r="K27" s="1096">
        <v>13955.71</v>
      </c>
      <c r="L27" s="1096">
        <v>1879.0400000000002</v>
      </c>
      <c r="M27" s="1096">
        <v>1387.52</v>
      </c>
      <c r="N27" s="1096">
        <v>673.39</v>
      </c>
      <c r="O27" s="1096">
        <v>0</v>
      </c>
      <c r="P27" s="1098">
        <f t="shared" si="0"/>
        <v>61157.590000000011</v>
      </c>
      <c r="Q27" s="1049">
        <f t="shared" si="1"/>
        <v>2532.9866659999998</v>
      </c>
      <c r="R27" s="1049">
        <f t="shared" si="2"/>
        <v>104</v>
      </c>
      <c r="S27" s="1099">
        <f t="shared" si="3"/>
        <v>2428.9866659999998</v>
      </c>
      <c r="T27" s="1100"/>
      <c r="U27" s="1101"/>
      <c r="V27" s="1102">
        <f t="shared" si="8"/>
        <v>11090.352410958907</v>
      </c>
      <c r="W27" s="1103">
        <v>42639</v>
      </c>
      <c r="X27" s="1104">
        <v>0.02</v>
      </c>
      <c r="Y27" s="1102">
        <f t="shared" si="5"/>
        <v>221.80704821917814</v>
      </c>
      <c r="Z27" s="1105"/>
      <c r="AA27" s="1049">
        <f t="shared" si="6"/>
        <v>46750.297048219189</v>
      </c>
      <c r="AB27" s="1103">
        <v>43003</v>
      </c>
      <c r="AC27" s="1104">
        <v>0.02</v>
      </c>
      <c r="AD27" s="1102">
        <f t="shared" si="7"/>
        <v>935.00594096438374</v>
      </c>
    </row>
    <row r="28" spans="1:30">
      <c r="A28" s="1106">
        <v>2195</v>
      </c>
      <c r="B28" s="1107">
        <v>14467</v>
      </c>
      <c r="C28" s="1076" t="s">
        <v>2366</v>
      </c>
      <c r="D28" s="1106" t="s">
        <v>2350</v>
      </c>
      <c r="E28" s="1096">
        <v>1987.9999989999997</v>
      </c>
      <c r="F28" s="1096">
        <v>379.749999</v>
      </c>
      <c r="G28" s="1096">
        <v>128</v>
      </c>
      <c r="H28" s="1096">
        <v>56</v>
      </c>
      <c r="I28" s="1096">
        <v>0</v>
      </c>
      <c r="J28" s="1097">
        <v>43688.650000000009</v>
      </c>
      <c r="K28" s="1096">
        <v>12560.39</v>
      </c>
      <c r="L28" s="1096">
        <v>3145.12</v>
      </c>
      <c r="M28" s="1096">
        <v>1229.5999999999999</v>
      </c>
      <c r="N28" s="1096">
        <v>769.71</v>
      </c>
      <c r="O28" s="1096">
        <v>0</v>
      </c>
      <c r="P28" s="1098">
        <f t="shared" si="0"/>
        <v>61393.470000000008</v>
      </c>
      <c r="Q28" s="1049">
        <f t="shared" si="1"/>
        <v>2551.7499979999998</v>
      </c>
      <c r="R28" s="1049">
        <f t="shared" si="2"/>
        <v>184</v>
      </c>
      <c r="S28" s="1099">
        <f t="shared" si="3"/>
        <v>2367.7499979999998</v>
      </c>
      <c r="T28" s="1100"/>
      <c r="U28" s="1101"/>
      <c r="V28" s="1102">
        <f t="shared" si="8"/>
        <v>11456.200520547947</v>
      </c>
      <c r="W28" s="1103">
        <v>42639</v>
      </c>
      <c r="X28" s="1104">
        <v>0.02</v>
      </c>
      <c r="Y28" s="1102">
        <f t="shared" si="5"/>
        <v>229.12401041095896</v>
      </c>
      <c r="Z28" s="1105"/>
      <c r="AA28" s="1049">
        <f t="shared" si="6"/>
        <v>48292.49401041097</v>
      </c>
      <c r="AB28" s="1103">
        <v>43003</v>
      </c>
      <c r="AC28" s="1104">
        <v>0.02</v>
      </c>
      <c r="AD28" s="1102">
        <f t="shared" si="7"/>
        <v>965.84988020821947</v>
      </c>
    </row>
    <row r="29" spans="1:30">
      <c r="A29" s="1106">
        <v>2195</v>
      </c>
      <c r="B29" s="1107">
        <v>14462</v>
      </c>
      <c r="C29" s="1076" t="s">
        <v>2367</v>
      </c>
      <c r="D29" s="1106" t="s">
        <v>2350</v>
      </c>
      <c r="E29" s="1096">
        <v>1951.2500010000001</v>
      </c>
      <c r="F29" s="1096">
        <v>328.60000400000001</v>
      </c>
      <c r="G29" s="1096">
        <v>40</v>
      </c>
      <c r="H29" s="1096">
        <v>64</v>
      </c>
      <c r="I29" s="1096">
        <v>0</v>
      </c>
      <c r="J29" s="1097">
        <v>40532.03</v>
      </c>
      <c r="K29" s="1096">
        <v>10276.32</v>
      </c>
      <c r="L29" s="1096">
        <v>2841.04</v>
      </c>
      <c r="M29" s="1096">
        <v>1330.4</v>
      </c>
      <c r="N29" s="1096">
        <v>652.79</v>
      </c>
      <c r="O29" s="1096">
        <v>0</v>
      </c>
      <c r="P29" s="1098">
        <f t="shared" si="0"/>
        <v>55632.58</v>
      </c>
      <c r="Q29" s="1049">
        <f t="shared" si="1"/>
        <v>2383.8500050000002</v>
      </c>
      <c r="R29" s="1049">
        <f t="shared" si="2"/>
        <v>104</v>
      </c>
      <c r="S29" s="1099">
        <f t="shared" si="3"/>
        <v>2279.8500050000002</v>
      </c>
      <c r="T29" s="1100"/>
      <c r="U29" s="1101"/>
      <c r="V29" s="1102">
        <f t="shared" si="8"/>
        <v>10655.347643835616</v>
      </c>
      <c r="W29" s="1103">
        <v>42639</v>
      </c>
      <c r="X29" s="1104">
        <v>0.02</v>
      </c>
      <c r="Y29" s="1102">
        <f t="shared" si="5"/>
        <v>213.10695287671231</v>
      </c>
      <c r="Z29" s="1105"/>
      <c r="AA29" s="1049">
        <f t="shared" si="6"/>
        <v>44916.576952876712</v>
      </c>
      <c r="AB29" s="1103">
        <v>43003</v>
      </c>
      <c r="AC29" s="1104">
        <v>0.02</v>
      </c>
      <c r="AD29" s="1102">
        <f t="shared" si="7"/>
        <v>898.33153905753431</v>
      </c>
    </row>
    <row r="30" spans="1:30">
      <c r="A30" s="1106">
        <v>2195</v>
      </c>
      <c r="B30" s="1107">
        <v>14454</v>
      </c>
      <c r="C30" s="1076" t="s">
        <v>2368</v>
      </c>
      <c r="D30" s="1106" t="s">
        <v>2350</v>
      </c>
      <c r="E30" s="1096">
        <v>1976.7166670000001</v>
      </c>
      <c r="F30" s="1096">
        <v>361.05666799999995</v>
      </c>
      <c r="G30" s="1096">
        <v>80</v>
      </c>
      <c r="H30" s="1096">
        <v>64</v>
      </c>
      <c r="I30" s="1096">
        <v>0</v>
      </c>
      <c r="J30" s="1097">
        <v>41096.82</v>
      </c>
      <c r="K30" s="1096">
        <v>11258.460000000001</v>
      </c>
      <c r="L30" s="1096">
        <v>2474</v>
      </c>
      <c r="M30" s="1096">
        <v>1330.4</v>
      </c>
      <c r="N30" s="1096">
        <v>2.76</v>
      </c>
      <c r="O30" s="1096">
        <v>0</v>
      </c>
      <c r="P30" s="1098">
        <f t="shared" si="0"/>
        <v>56162.44</v>
      </c>
      <c r="Q30" s="1049">
        <f t="shared" si="1"/>
        <v>2481.7733349999999</v>
      </c>
      <c r="R30" s="1049">
        <f t="shared" si="2"/>
        <v>144</v>
      </c>
      <c r="S30" s="1099">
        <f t="shared" si="3"/>
        <v>2337.7733349999999</v>
      </c>
      <c r="T30" s="1100"/>
      <c r="U30" s="1101"/>
      <c r="V30" s="1102">
        <f t="shared" si="8"/>
        <v>10702.482575342467</v>
      </c>
      <c r="W30" s="1103">
        <v>42639</v>
      </c>
      <c r="X30" s="1104">
        <v>0.02</v>
      </c>
      <c r="Y30" s="1102">
        <f t="shared" si="5"/>
        <v>214.04965150684933</v>
      </c>
      <c r="Z30" s="1105"/>
      <c r="AA30" s="1049">
        <f t="shared" si="6"/>
        <v>45115.269651506853</v>
      </c>
      <c r="AB30" s="1103">
        <v>43003</v>
      </c>
      <c r="AC30" s="1104">
        <v>0.02</v>
      </c>
      <c r="AD30" s="1102">
        <f t="shared" si="7"/>
        <v>902.30539303013711</v>
      </c>
    </row>
    <row r="31" spans="1:30">
      <c r="A31" s="1106">
        <v>2195</v>
      </c>
      <c r="B31" s="1107">
        <v>55169</v>
      </c>
      <c r="C31" s="1076" t="s">
        <v>2369</v>
      </c>
      <c r="D31" s="1106" t="s">
        <v>2350</v>
      </c>
      <c r="E31" s="1096">
        <v>1999.55</v>
      </c>
      <c r="F31" s="1096">
        <v>421.49666700000006</v>
      </c>
      <c r="G31" s="1096">
        <v>8</v>
      </c>
      <c r="H31" s="1096">
        <v>64</v>
      </c>
      <c r="I31" s="1096">
        <v>0</v>
      </c>
      <c r="J31" s="1097">
        <v>41541</v>
      </c>
      <c r="K31" s="1096">
        <v>13175.570000000002</v>
      </c>
      <c r="L31" s="1096">
        <v>2339.6799999999998</v>
      </c>
      <c r="M31" s="1096">
        <v>1330.4</v>
      </c>
      <c r="N31" s="1096">
        <v>632.54</v>
      </c>
      <c r="O31" s="1096">
        <v>0</v>
      </c>
      <c r="P31" s="1098">
        <f t="shared" si="0"/>
        <v>59019.19</v>
      </c>
      <c r="Q31" s="1049">
        <f t="shared" si="1"/>
        <v>2493.0466670000001</v>
      </c>
      <c r="R31" s="1049">
        <f t="shared" si="2"/>
        <v>72</v>
      </c>
      <c r="S31" s="1099">
        <f t="shared" si="3"/>
        <v>2421.0466670000001</v>
      </c>
      <c r="T31" s="1100"/>
      <c r="U31" s="1101"/>
      <c r="V31" s="1102">
        <f t="shared" si="8"/>
        <v>10776.339616438356</v>
      </c>
      <c r="W31" s="1103">
        <v>42639</v>
      </c>
      <c r="X31" s="1104">
        <v>0.02</v>
      </c>
      <c r="Y31" s="1102">
        <f t="shared" si="5"/>
        <v>215.52679232876713</v>
      </c>
      <c r="Z31" s="1105"/>
      <c r="AA31" s="1049">
        <f t="shared" si="6"/>
        <v>45426.60679232877</v>
      </c>
      <c r="AB31" s="1103">
        <v>43003</v>
      </c>
      <c r="AC31" s="1104">
        <v>0.02</v>
      </c>
      <c r="AD31" s="1102">
        <f t="shared" si="7"/>
        <v>908.53213584657544</v>
      </c>
    </row>
    <row r="32" spans="1:30">
      <c r="A32" s="1106">
        <v>2195</v>
      </c>
      <c r="B32" s="1107">
        <v>16135</v>
      </c>
      <c r="C32" s="1076" t="s">
        <v>2370</v>
      </c>
      <c r="D32" s="1106" t="s">
        <v>2350</v>
      </c>
      <c r="E32" s="1096">
        <v>1909.47</v>
      </c>
      <c r="F32" s="1096">
        <v>449.04000300000007</v>
      </c>
      <c r="G32" s="1096">
        <v>144</v>
      </c>
      <c r="H32" s="1096">
        <v>80</v>
      </c>
      <c r="I32" s="1096">
        <v>0</v>
      </c>
      <c r="J32" s="1097">
        <v>41957.24010000001</v>
      </c>
      <c r="K32" s="1096">
        <v>14864.240000000002</v>
      </c>
      <c r="L32" s="1096">
        <v>4024.88</v>
      </c>
      <c r="M32" s="1096">
        <v>1752.6399999999999</v>
      </c>
      <c r="N32" s="1096">
        <v>771.46</v>
      </c>
      <c r="O32" s="1096">
        <v>0</v>
      </c>
      <c r="P32" s="1098">
        <f t="shared" si="0"/>
        <v>63370.460100000011</v>
      </c>
      <c r="Q32" s="1049">
        <f t="shared" si="1"/>
        <v>2582.5100030000003</v>
      </c>
      <c r="R32" s="1049">
        <f t="shared" si="2"/>
        <v>224</v>
      </c>
      <c r="S32" s="1099">
        <f t="shared" si="3"/>
        <v>2358.5100030000003</v>
      </c>
      <c r="T32" s="1100"/>
      <c r="U32" s="1101"/>
      <c r="V32" s="1102">
        <f t="shared" si="8"/>
        <v>11377.874325205481</v>
      </c>
      <c r="W32" s="1103">
        <v>42639</v>
      </c>
      <c r="X32" s="1104">
        <v>0.02</v>
      </c>
      <c r="Y32" s="1102">
        <f t="shared" si="5"/>
        <v>227.55748650410962</v>
      </c>
      <c r="Z32" s="1105"/>
      <c r="AA32" s="1049">
        <f t="shared" si="6"/>
        <v>47962.317586504119</v>
      </c>
      <c r="AB32" s="1103">
        <v>43003</v>
      </c>
      <c r="AC32" s="1104">
        <v>0.02</v>
      </c>
      <c r="AD32" s="1102">
        <f t="shared" si="7"/>
        <v>959.24635173008244</v>
      </c>
    </row>
    <row r="33" spans="1:30">
      <c r="A33" s="1106">
        <v>2195</v>
      </c>
      <c r="B33" s="1107">
        <v>14449</v>
      </c>
      <c r="C33" s="1076" t="s">
        <v>2371</v>
      </c>
      <c r="D33" s="1106" t="s">
        <v>2350</v>
      </c>
      <c r="E33" s="1096">
        <v>1906.9466659999998</v>
      </c>
      <c r="F33" s="1096">
        <v>444.48999900000001</v>
      </c>
      <c r="G33" s="1096">
        <v>105</v>
      </c>
      <c r="H33" s="1096">
        <v>72</v>
      </c>
      <c r="I33" s="1096">
        <v>0</v>
      </c>
      <c r="J33" s="1097">
        <v>41885.830000000009</v>
      </c>
      <c r="K33" s="1096">
        <v>14720.640000000003</v>
      </c>
      <c r="L33" s="1096">
        <v>5120.5599999999995</v>
      </c>
      <c r="M33" s="1096">
        <v>1579.4399999999998</v>
      </c>
      <c r="N33" s="1096">
        <v>769.85</v>
      </c>
      <c r="O33" s="1096">
        <v>0</v>
      </c>
      <c r="P33" s="1098">
        <f t="shared" si="0"/>
        <v>64076.320000000014</v>
      </c>
      <c r="Q33" s="1049">
        <f t="shared" si="1"/>
        <v>2528.4366649999997</v>
      </c>
      <c r="R33" s="1049">
        <f t="shared" si="2"/>
        <v>177</v>
      </c>
      <c r="S33" s="1099">
        <f t="shared" si="3"/>
        <v>2351.4366649999997</v>
      </c>
      <c r="T33" s="1100"/>
      <c r="U33" s="1101"/>
      <c r="V33" s="1102">
        <f t="shared" si="8"/>
        <v>11580.732082191782</v>
      </c>
      <c r="W33" s="1103">
        <v>42639</v>
      </c>
      <c r="X33" s="1104">
        <v>0.02</v>
      </c>
      <c r="Y33" s="1102">
        <f t="shared" si="5"/>
        <v>231.61464164383565</v>
      </c>
      <c r="Z33" s="1105"/>
      <c r="AA33" s="1049">
        <f t="shared" si="6"/>
        <v>48817.444641643844</v>
      </c>
      <c r="AB33" s="1103">
        <v>43003</v>
      </c>
      <c r="AC33" s="1104">
        <v>0.02</v>
      </c>
      <c r="AD33" s="1102">
        <f t="shared" si="7"/>
        <v>976.34889283287691</v>
      </c>
    </row>
    <row r="34" spans="1:30">
      <c r="A34" s="1106">
        <v>2195</v>
      </c>
      <c r="B34" s="1107">
        <v>15644</v>
      </c>
      <c r="C34" s="1076" t="s">
        <v>2372</v>
      </c>
      <c r="D34" s="1106" t="s">
        <v>2350</v>
      </c>
      <c r="E34" s="1096">
        <v>1938.78</v>
      </c>
      <c r="F34" s="1096">
        <v>517.04333800000006</v>
      </c>
      <c r="G34" s="1096">
        <v>40</v>
      </c>
      <c r="H34" s="1096">
        <v>64</v>
      </c>
      <c r="I34" s="1096">
        <v>24</v>
      </c>
      <c r="J34" s="1097">
        <v>40296.619900000005</v>
      </c>
      <c r="K34" s="1096">
        <v>16194.64</v>
      </c>
      <c r="L34" s="1096">
        <v>2657.5200000000004</v>
      </c>
      <c r="M34" s="1096">
        <v>1330.4</v>
      </c>
      <c r="N34" s="1096">
        <v>674.22</v>
      </c>
      <c r="O34" s="1096">
        <v>491.52</v>
      </c>
      <c r="P34" s="1098">
        <f t="shared" si="0"/>
        <v>61644.919900000008</v>
      </c>
      <c r="Q34" s="1049">
        <f t="shared" si="1"/>
        <v>2583.8233380000001</v>
      </c>
      <c r="R34" s="1049">
        <f t="shared" si="2"/>
        <v>128</v>
      </c>
      <c r="S34" s="1099">
        <f t="shared" si="3"/>
        <v>2455.8233380000001</v>
      </c>
      <c r="T34" s="1100"/>
      <c r="U34" s="1101"/>
      <c r="V34" s="1102">
        <f t="shared" si="8"/>
        <v>10555.493072054796</v>
      </c>
      <c r="W34" s="1103">
        <v>42639</v>
      </c>
      <c r="X34" s="1104">
        <v>0.02</v>
      </c>
      <c r="Y34" s="1102">
        <f t="shared" si="5"/>
        <v>211.10986144109594</v>
      </c>
      <c r="Z34" s="1105"/>
      <c r="AA34" s="1049">
        <f t="shared" si="6"/>
        <v>44495.649761441106</v>
      </c>
      <c r="AB34" s="1103">
        <v>43003</v>
      </c>
      <c r="AC34" s="1104">
        <v>0.02</v>
      </c>
      <c r="AD34" s="1102">
        <f t="shared" si="7"/>
        <v>889.91299522882218</v>
      </c>
    </row>
    <row r="35" spans="1:30">
      <c r="A35" s="1106">
        <v>2195</v>
      </c>
      <c r="B35" s="1107">
        <v>56896</v>
      </c>
      <c r="C35" s="1076" t="s">
        <v>2373</v>
      </c>
      <c r="D35" s="1106" t="s">
        <v>2350</v>
      </c>
      <c r="E35" s="1096">
        <v>1992.870001</v>
      </c>
      <c r="F35" s="1096">
        <v>110.236667</v>
      </c>
      <c r="G35" s="1096">
        <v>0</v>
      </c>
      <c r="H35" s="1096">
        <v>72</v>
      </c>
      <c r="I35" s="1096">
        <v>0</v>
      </c>
      <c r="J35" s="1097">
        <v>35137.54</v>
      </c>
      <c r="K35" s="1096">
        <v>2850.4799999999996</v>
      </c>
      <c r="L35" s="1096">
        <v>884.6400000000001</v>
      </c>
      <c r="M35" s="1096">
        <v>1250.56</v>
      </c>
      <c r="N35" s="1096">
        <v>768.11</v>
      </c>
      <c r="O35" s="1096">
        <v>0</v>
      </c>
      <c r="P35" s="1098">
        <f t="shared" si="0"/>
        <v>40891.33</v>
      </c>
      <c r="Q35" s="1049">
        <f t="shared" si="1"/>
        <v>2175.1066679999999</v>
      </c>
      <c r="R35" s="1049">
        <f t="shared" si="2"/>
        <v>72</v>
      </c>
      <c r="S35" s="1099">
        <f t="shared" si="3"/>
        <v>2103.1066679999999</v>
      </c>
      <c r="T35" s="1100"/>
      <c r="U35" s="1101"/>
      <c r="V35" s="1102">
        <f>SUM(J35,L35:M35)*($AH$7/365)</f>
        <v>8884.1873424657533</v>
      </c>
      <c r="W35" s="1103">
        <v>42639</v>
      </c>
      <c r="X35" s="1104">
        <v>0.13</v>
      </c>
      <c r="Y35" s="1102">
        <f t="shared" si="5"/>
        <v>1154.9443545205479</v>
      </c>
      <c r="Z35" s="1105"/>
      <c r="AA35" s="1049">
        <f t="shared" si="6"/>
        <v>38427.684354520548</v>
      </c>
      <c r="AB35" s="1103">
        <v>43003</v>
      </c>
      <c r="AC35" s="1104">
        <v>0.02</v>
      </c>
      <c r="AD35" s="1102">
        <f t="shared" si="7"/>
        <v>768.55368709041102</v>
      </c>
    </row>
    <row r="36" spans="1:30">
      <c r="A36" s="1106">
        <v>2195</v>
      </c>
      <c r="B36" s="1107">
        <v>57983</v>
      </c>
      <c r="C36" s="1076" t="s">
        <v>2374</v>
      </c>
      <c r="D36" s="1106" t="s">
        <v>2350</v>
      </c>
      <c r="E36" s="1096">
        <v>1968.37</v>
      </c>
      <c r="F36" s="1096">
        <v>245.84000599999999</v>
      </c>
      <c r="G36" s="1096">
        <v>16</v>
      </c>
      <c r="H36" s="1096">
        <v>56</v>
      </c>
      <c r="I36" s="1096">
        <v>0</v>
      </c>
      <c r="J36" s="1097">
        <v>37021.800100000008</v>
      </c>
      <c r="K36" s="1096">
        <v>6905.6399999999994</v>
      </c>
      <c r="L36" s="1096">
        <v>618.31999999999994</v>
      </c>
      <c r="M36" s="1096">
        <v>1058.4000000000001</v>
      </c>
      <c r="N36" s="1096">
        <v>446.25</v>
      </c>
      <c r="O36" s="1096">
        <v>0</v>
      </c>
      <c r="P36" s="1098">
        <f t="shared" si="0"/>
        <v>46050.410100000008</v>
      </c>
      <c r="Q36" s="1049">
        <f t="shared" si="1"/>
        <v>2286.2100059999998</v>
      </c>
      <c r="R36" s="1049">
        <f t="shared" si="2"/>
        <v>72</v>
      </c>
      <c r="S36" s="1099">
        <f t="shared" si="3"/>
        <v>2214.2100059999998</v>
      </c>
      <c r="T36" s="1100"/>
      <c r="U36" s="1101"/>
      <c r="V36" s="1102">
        <f t="shared" si="8"/>
        <v>9224.0308183561665</v>
      </c>
      <c r="W36" s="1103">
        <v>42639</v>
      </c>
      <c r="X36" s="1104">
        <v>5.8599999999999999E-2</v>
      </c>
      <c r="Y36" s="1102">
        <f t="shared" si="5"/>
        <v>540.5282059556713</v>
      </c>
      <c r="Z36" s="1105"/>
      <c r="AA36" s="1049">
        <f t="shared" si="6"/>
        <v>39239.048305955679</v>
      </c>
      <c r="AB36" s="1103">
        <v>43003</v>
      </c>
      <c r="AC36" s="1104">
        <v>0.02</v>
      </c>
      <c r="AD36" s="1102">
        <f t="shared" si="7"/>
        <v>784.7809661191136</v>
      </c>
    </row>
    <row r="37" spans="1:30">
      <c r="A37" s="1106">
        <v>2195</v>
      </c>
      <c r="B37" s="1107">
        <v>55118</v>
      </c>
      <c r="C37" s="1076" t="s">
        <v>2375</v>
      </c>
      <c r="D37" s="1106" t="s">
        <v>2350</v>
      </c>
      <c r="E37" s="1096">
        <v>2000</v>
      </c>
      <c r="F37" s="1096">
        <v>664.46000299999992</v>
      </c>
      <c r="G37" s="1096">
        <v>40</v>
      </c>
      <c r="H37" s="1096">
        <v>72</v>
      </c>
      <c r="I37" s="1096">
        <v>0</v>
      </c>
      <c r="J37" s="1097">
        <v>41550.399999999994</v>
      </c>
      <c r="K37" s="1096">
        <v>20784.669999999998</v>
      </c>
      <c r="L37" s="1096">
        <v>2005.44</v>
      </c>
      <c r="M37" s="1096">
        <v>1497.52</v>
      </c>
      <c r="N37" s="1096">
        <v>772.69</v>
      </c>
      <c r="O37" s="1096">
        <v>0</v>
      </c>
      <c r="P37" s="1098">
        <f t="shared" si="0"/>
        <v>66610.720000000001</v>
      </c>
      <c r="Q37" s="1049">
        <f t="shared" si="1"/>
        <v>2776.4600030000001</v>
      </c>
      <c r="R37" s="1049">
        <f t="shared" si="2"/>
        <v>112</v>
      </c>
      <c r="S37" s="1099">
        <f t="shared" si="3"/>
        <v>2664.4600030000001</v>
      </c>
      <c r="T37" s="1100"/>
      <c r="U37" s="1101"/>
      <c r="V37" s="1102">
        <f t="shared" si="8"/>
        <v>10738.746082191779</v>
      </c>
      <c r="W37" s="1103">
        <v>42639</v>
      </c>
      <c r="X37" s="1104">
        <v>0.02</v>
      </c>
      <c r="Y37" s="1102">
        <f t="shared" si="5"/>
        <v>214.7749216438356</v>
      </c>
      <c r="Z37" s="1105"/>
      <c r="AA37" s="1049">
        <f t="shared" si="6"/>
        <v>45268.134921643832</v>
      </c>
      <c r="AB37" s="1103">
        <v>43003</v>
      </c>
      <c r="AC37" s="1104">
        <v>0.02</v>
      </c>
      <c r="AD37" s="1102">
        <f t="shared" si="7"/>
        <v>905.36269843287664</v>
      </c>
    </row>
    <row r="38" spans="1:30">
      <c r="A38" s="1106">
        <v>2195</v>
      </c>
      <c r="B38" s="1107">
        <v>16218</v>
      </c>
      <c r="C38" s="1076" t="s">
        <v>2376</v>
      </c>
      <c r="D38" s="1106" t="s">
        <v>2350</v>
      </c>
      <c r="E38" s="1096">
        <v>1914.583333</v>
      </c>
      <c r="F38" s="1096">
        <v>364.003333</v>
      </c>
      <c r="G38" s="1096">
        <v>88</v>
      </c>
      <c r="H38" s="1096">
        <v>72</v>
      </c>
      <c r="I38" s="1096">
        <v>0</v>
      </c>
      <c r="J38" s="1097">
        <v>39782.450100000002</v>
      </c>
      <c r="K38" s="1096">
        <v>11382.509999999998</v>
      </c>
      <c r="L38" s="1096">
        <v>3827.36</v>
      </c>
      <c r="M38" s="1096">
        <v>1494.24</v>
      </c>
      <c r="N38" s="1096">
        <v>632.98</v>
      </c>
      <c r="O38" s="1096">
        <v>0</v>
      </c>
      <c r="P38" s="1098">
        <f t="shared" si="0"/>
        <v>57119.540099999998</v>
      </c>
      <c r="Q38" s="1049">
        <f t="shared" si="1"/>
        <v>2438.5866660000002</v>
      </c>
      <c r="R38" s="1049">
        <f t="shared" si="2"/>
        <v>160</v>
      </c>
      <c r="S38" s="1099">
        <f t="shared" si="3"/>
        <v>2278.5866660000002</v>
      </c>
      <c r="T38" s="1100"/>
      <c r="U38" s="1101"/>
      <c r="V38" s="1102">
        <f t="shared" si="8"/>
        <v>10750.828379999999</v>
      </c>
      <c r="W38" s="1103">
        <v>42639</v>
      </c>
      <c r="X38" s="1104">
        <v>0.02</v>
      </c>
      <c r="Y38" s="1102">
        <f t="shared" si="5"/>
        <v>215.01656759999997</v>
      </c>
      <c r="Z38" s="1105"/>
      <c r="AA38" s="1049">
        <f t="shared" si="6"/>
        <v>45319.066667600004</v>
      </c>
      <c r="AB38" s="1103">
        <v>43003</v>
      </c>
      <c r="AC38" s="1104">
        <v>0.02</v>
      </c>
      <c r="AD38" s="1102">
        <f t="shared" si="7"/>
        <v>906.38133335200007</v>
      </c>
    </row>
    <row r="39" spans="1:30">
      <c r="A39" s="1106">
        <v>2195</v>
      </c>
      <c r="B39" s="1107">
        <v>14487</v>
      </c>
      <c r="C39" s="1076" t="s">
        <v>2377</v>
      </c>
      <c r="D39" s="1106" t="s">
        <v>2350</v>
      </c>
      <c r="E39" s="1096">
        <v>1920</v>
      </c>
      <c r="F39" s="1096">
        <v>391.97667099999995</v>
      </c>
      <c r="G39" s="1096">
        <v>112</v>
      </c>
      <c r="H39" s="1096">
        <v>64</v>
      </c>
      <c r="I39" s="1096">
        <v>0</v>
      </c>
      <c r="J39" s="1097">
        <v>39895.599999999999</v>
      </c>
      <c r="K39" s="1096">
        <v>12276</v>
      </c>
      <c r="L39" s="1096">
        <v>4161.6000000000004</v>
      </c>
      <c r="M39" s="1096">
        <v>1330.4</v>
      </c>
      <c r="N39" s="1096">
        <v>771.25</v>
      </c>
      <c r="O39" s="1096">
        <v>0</v>
      </c>
      <c r="P39" s="1098">
        <f t="shared" si="0"/>
        <v>58434.85</v>
      </c>
      <c r="Q39" s="1049">
        <f t="shared" si="1"/>
        <v>2487.9766709999999</v>
      </c>
      <c r="R39" s="1049">
        <f t="shared" si="2"/>
        <v>176</v>
      </c>
      <c r="S39" s="1099">
        <f t="shared" si="3"/>
        <v>2311.9766709999999</v>
      </c>
      <c r="T39" s="1100"/>
      <c r="U39" s="1101"/>
      <c r="V39" s="1102">
        <f t="shared" si="8"/>
        <v>10818.414246575341</v>
      </c>
      <c r="W39" s="1103">
        <v>42639</v>
      </c>
      <c r="X39" s="1104">
        <v>0.02</v>
      </c>
      <c r="Y39" s="1102">
        <f t="shared" si="5"/>
        <v>216.36828493150682</v>
      </c>
      <c r="Z39" s="1105"/>
      <c r="AA39" s="1049">
        <f t="shared" si="6"/>
        <v>45603.968284931507</v>
      </c>
      <c r="AB39" s="1103">
        <v>43003</v>
      </c>
      <c r="AC39" s="1104">
        <v>0.02</v>
      </c>
      <c r="AD39" s="1102">
        <f t="shared" si="7"/>
        <v>912.07936569863011</v>
      </c>
    </row>
    <row r="40" spans="1:30">
      <c r="A40" s="1106">
        <v>2195</v>
      </c>
      <c r="B40" s="1107">
        <v>14465</v>
      </c>
      <c r="C40" s="1076" t="s">
        <v>2378</v>
      </c>
      <c r="D40" s="1106" t="s">
        <v>2350</v>
      </c>
      <c r="E40" s="1096">
        <v>1920</v>
      </c>
      <c r="F40" s="1096">
        <v>680.89000099999998</v>
      </c>
      <c r="G40" s="1096">
        <v>168</v>
      </c>
      <c r="H40" s="1096">
        <v>64</v>
      </c>
      <c r="I40" s="1096">
        <v>24</v>
      </c>
      <c r="J40" s="1097">
        <v>42187.200000000012</v>
      </c>
      <c r="K40" s="1096">
        <v>22526.289999999994</v>
      </c>
      <c r="L40" s="1096">
        <v>5954.16</v>
      </c>
      <c r="M40" s="1096">
        <v>1406.2399999999998</v>
      </c>
      <c r="N40" s="1096">
        <v>654.69000000000005</v>
      </c>
      <c r="O40" s="1096">
        <v>529.91999999999996</v>
      </c>
      <c r="P40" s="1098">
        <f t="shared" si="0"/>
        <v>73258.500000000015</v>
      </c>
      <c r="Q40" s="1049">
        <f t="shared" si="1"/>
        <v>2856.8900009999998</v>
      </c>
      <c r="R40" s="1049">
        <f t="shared" si="2"/>
        <v>256</v>
      </c>
      <c r="S40" s="1099">
        <f t="shared" si="3"/>
        <v>2600.8900009999998</v>
      </c>
      <c r="T40" s="1100"/>
      <c r="U40" s="1101"/>
      <c r="V40" s="1102">
        <f t="shared" si="8"/>
        <v>11809.975890410962</v>
      </c>
      <c r="W40" s="1103">
        <v>42639</v>
      </c>
      <c r="X40" s="1104">
        <v>0.02</v>
      </c>
      <c r="Y40" s="1102">
        <f t="shared" si="5"/>
        <v>236.19951780821924</v>
      </c>
      <c r="Z40" s="1105"/>
      <c r="AA40" s="1049">
        <f t="shared" si="6"/>
        <v>49783.799517808235</v>
      </c>
      <c r="AB40" s="1103">
        <v>43003</v>
      </c>
      <c r="AC40" s="1104">
        <v>0.02</v>
      </c>
      <c r="AD40" s="1102">
        <f t="shared" si="7"/>
        <v>995.67599035616468</v>
      </c>
    </row>
    <row r="41" spans="1:30">
      <c r="A41" s="1106">
        <v>2195</v>
      </c>
      <c r="B41" s="1107">
        <v>14473</v>
      </c>
      <c r="C41" s="1076" t="s">
        <v>2379</v>
      </c>
      <c r="D41" s="1106" t="s">
        <v>2350</v>
      </c>
      <c r="E41" s="1096">
        <v>1943.986666</v>
      </c>
      <c r="F41" s="1096">
        <v>596.14666199999988</v>
      </c>
      <c r="G41" s="1096">
        <v>128</v>
      </c>
      <c r="H41" s="1096">
        <v>64</v>
      </c>
      <c r="I41" s="1096">
        <v>24</v>
      </c>
      <c r="J41" s="1097">
        <v>42685.580000000016</v>
      </c>
      <c r="K41" s="1096">
        <v>19754.050000000003</v>
      </c>
      <c r="L41" s="1096">
        <v>4062.72</v>
      </c>
      <c r="M41" s="1096">
        <v>1406.2399999999998</v>
      </c>
      <c r="N41" s="1096">
        <v>872.52</v>
      </c>
      <c r="O41" s="1096">
        <v>519.59999999999991</v>
      </c>
      <c r="P41" s="1098">
        <f t="shared" si="0"/>
        <v>69300.710000000036</v>
      </c>
      <c r="Q41" s="1049">
        <f t="shared" si="1"/>
        <v>2756.1333279999999</v>
      </c>
      <c r="R41" s="1049">
        <f t="shared" si="2"/>
        <v>216</v>
      </c>
      <c r="S41" s="1099">
        <f t="shared" si="3"/>
        <v>2540.1333279999999</v>
      </c>
      <c r="T41" s="1100"/>
      <c r="U41" s="1101"/>
      <c r="V41" s="1102">
        <f t="shared" si="8"/>
        <v>11477.931452054798</v>
      </c>
      <c r="W41" s="1103">
        <v>42639</v>
      </c>
      <c r="X41" s="1104">
        <v>0.02</v>
      </c>
      <c r="Y41" s="1102">
        <f t="shared" si="5"/>
        <v>229.55862904109597</v>
      </c>
      <c r="Z41" s="1105"/>
      <c r="AA41" s="1049">
        <f t="shared" si="6"/>
        <v>48384.098629041109</v>
      </c>
      <c r="AB41" s="1103">
        <v>43003</v>
      </c>
      <c r="AC41" s="1104">
        <v>0.02</v>
      </c>
      <c r="AD41" s="1102">
        <f t="shared" si="7"/>
        <v>967.68197258082216</v>
      </c>
    </row>
    <row r="42" spans="1:30">
      <c r="A42" s="1106">
        <v>2195</v>
      </c>
      <c r="B42" s="1107">
        <v>58366</v>
      </c>
      <c r="C42" s="1076" t="s">
        <v>2380</v>
      </c>
      <c r="D42" s="1106" t="s">
        <v>2350</v>
      </c>
      <c r="E42" s="1096">
        <v>2072.8799989999998</v>
      </c>
      <c r="F42" s="1096">
        <v>411.45333199999999</v>
      </c>
      <c r="G42" s="1096">
        <v>8</v>
      </c>
      <c r="H42" s="1096">
        <v>48</v>
      </c>
      <c r="I42" s="1096">
        <v>0</v>
      </c>
      <c r="J42" s="1097">
        <v>37529.30999999999</v>
      </c>
      <c r="K42" s="1096">
        <v>11106.32</v>
      </c>
      <c r="L42" s="1096">
        <v>440.08000000000004</v>
      </c>
      <c r="M42" s="1096">
        <v>880.16000000000008</v>
      </c>
      <c r="N42" s="1096">
        <v>339.45</v>
      </c>
      <c r="O42" s="1096">
        <v>0</v>
      </c>
      <c r="P42" s="1098">
        <f t="shared" si="0"/>
        <v>50295.319999999992</v>
      </c>
      <c r="Q42" s="1049">
        <f t="shared" si="1"/>
        <v>2540.3333309999998</v>
      </c>
      <c r="R42" s="1049">
        <f t="shared" si="2"/>
        <v>56</v>
      </c>
      <c r="S42" s="1099">
        <f t="shared" si="3"/>
        <v>2484.3333309999998</v>
      </c>
      <c r="T42" s="1100"/>
      <c r="U42" s="1101"/>
      <c r="V42" s="1102">
        <f t="shared" si="8"/>
        <v>9260.0297260273965</v>
      </c>
      <c r="W42" s="1103"/>
      <c r="X42" s="1104"/>
      <c r="Y42" s="1102">
        <f t="shared" si="5"/>
        <v>0</v>
      </c>
      <c r="Z42" s="1105"/>
      <c r="AA42" s="1049">
        <f t="shared" si="6"/>
        <v>38849.549999999996</v>
      </c>
      <c r="AB42" s="1103">
        <v>43003</v>
      </c>
      <c r="AC42" s="1104">
        <v>0.02</v>
      </c>
      <c r="AD42" s="1102">
        <f t="shared" si="7"/>
        <v>776.99099999999999</v>
      </c>
    </row>
    <row r="43" spans="1:30">
      <c r="A43" s="1106">
        <v>2195</v>
      </c>
      <c r="B43" s="1107">
        <v>58932</v>
      </c>
      <c r="C43" s="1076" t="s">
        <v>2381</v>
      </c>
      <c r="D43" s="1106" t="s">
        <v>2350</v>
      </c>
      <c r="E43" s="1096">
        <v>1443.5533350000001</v>
      </c>
      <c r="F43" s="1096">
        <v>110.83333200000001</v>
      </c>
      <c r="G43" s="1096">
        <v>0</v>
      </c>
      <c r="H43" s="1096">
        <v>24</v>
      </c>
      <c r="I43" s="1096">
        <v>0</v>
      </c>
      <c r="J43" s="1097">
        <v>26135.759999999995</v>
      </c>
      <c r="K43" s="1096">
        <v>3026.4000000000005</v>
      </c>
      <c r="L43" s="1096">
        <v>426.24</v>
      </c>
      <c r="M43" s="1096">
        <v>434.56000000000006</v>
      </c>
      <c r="N43" s="1096">
        <v>138.62</v>
      </c>
      <c r="O43" s="1096">
        <v>0</v>
      </c>
      <c r="P43" s="1098">
        <f t="shared" si="0"/>
        <v>30161.579999999998</v>
      </c>
      <c r="Q43" s="1049">
        <f t="shared" si="1"/>
        <v>1578.386667</v>
      </c>
      <c r="R43" s="1049">
        <f t="shared" si="2"/>
        <v>24</v>
      </c>
      <c r="S43" s="1099">
        <f t="shared" si="3"/>
        <v>1554.386667</v>
      </c>
      <c r="T43" s="1100"/>
      <c r="U43" s="1101"/>
      <c r="V43" s="1102">
        <f>SUM(J43,L43:M43)*($AJ$7/365)</f>
        <v>19822.131726027394</v>
      </c>
      <c r="W43" s="1103">
        <v>42820</v>
      </c>
      <c r="X43" s="1104">
        <v>5.5800000000000002E-2</v>
      </c>
      <c r="Y43" s="1102">
        <f t="shared" si="5"/>
        <v>1106.0749503123286</v>
      </c>
      <c r="Z43" s="1105"/>
      <c r="AA43" s="1049">
        <f t="shared" si="6"/>
        <v>28102.634950312327</v>
      </c>
      <c r="AB43" s="1103">
        <v>43003</v>
      </c>
      <c r="AC43" s="1104">
        <v>0.02</v>
      </c>
      <c r="AD43" s="1102">
        <f t="shared" si="7"/>
        <v>562.0526990062466</v>
      </c>
    </row>
    <row r="44" spans="1:30">
      <c r="A44" s="1106">
        <v>2195</v>
      </c>
      <c r="B44" s="1107">
        <v>14442</v>
      </c>
      <c r="C44" s="1076" t="s">
        <v>2382</v>
      </c>
      <c r="D44" s="1106" t="s">
        <v>2383</v>
      </c>
      <c r="E44" s="1096">
        <v>1925.31</v>
      </c>
      <c r="F44" s="1096">
        <v>282.44333100000006</v>
      </c>
      <c r="G44" s="1096">
        <v>64</v>
      </c>
      <c r="H44" s="1096">
        <v>64</v>
      </c>
      <c r="I44" s="1096">
        <v>0</v>
      </c>
      <c r="J44" s="1097">
        <v>40008.79</v>
      </c>
      <c r="K44" s="1096">
        <v>8851.7200000000012</v>
      </c>
      <c r="L44" s="1096">
        <v>4492.5600000000004</v>
      </c>
      <c r="M44" s="1096">
        <v>1330.4</v>
      </c>
      <c r="N44" s="1096">
        <v>869.29</v>
      </c>
      <c r="O44" s="1096">
        <v>0</v>
      </c>
      <c r="P44" s="1098">
        <f t="shared" si="0"/>
        <v>55552.76</v>
      </c>
      <c r="Q44" s="1049">
        <f t="shared" si="1"/>
        <v>2335.7533309999999</v>
      </c>
      <c r="R44" s="1049">
        <f t="shared" si="2"/>
        <v>128</v>
      </c>
      <c r="S44" s="1099">
        <f t="shared" si="3"/>
        <v>2207.7533309999999</v>
      </c>
      <c r="T44" s="1100"/>
      <c r="U44" s="1101"/>
      <c r="V44" s="1102">
        <f>SUM(J44,L44:M44)*($AH$7/365)</f>
        <v>10924.280136986301</v>
      </c>
      <c r="W44" s="1103">
        <v>42639</v>
      </c>
      <c r="X44" s="1104">
        <v>0.02</v>
      </c>
      <c r="Y44" s="1102">
        <f t="shared" si="5"/>
        <v>218.48560273972603</v>
      </c>
      <c r="Z44" s="1105"/>
      <c r="AA44" s="1049">
        <f t="shared" si="6"/>
        <v>46050.235602739725</v>
      </c>
      <c r="AB44" s="1103">
        <v>43003</v>
      </c>
      <c r="AC44" s="1104">
        <v>0.02</v>
      </c>
      <c r="AD44" s="1102">
        <f t="shared" si="7"/>
        <v>921.00471205479448</v>
      </c>
    </row>
    <row r="45" spans="1:30" s="1110" customFormat="1">
      <c r="A45" s="1106">
        <v>2195</v>
      </c>
      <c r="B45" s="1107">
        <v>14469</v>
      </c>
      <c r="C45" s="1076" t="s">
        <v>2384</v>
      </c>
      <c r="D45" s="1106" t="s">
        <v>2350</v>
      </c>
      <c r="E45" s="1096">
        <v>1315.7333330000001</v>
      </c>
      <c r="F45" s="1096">
        <v>291.66999900000002</v>
      </c>
      <c r="G45" s="1096">
        <v>0</v>
      </c>
      <c r="H45" s="1096">
        <v>16</v>
      </c>
      <c r="I45" s="1096">
        <v>0</v>
      </c>
      <c r="J45" s="1097">
        <v>29051.400000000009</v>
      </c>
      <c r="K45" s="1096">
        <v>9660.2999999999993</v>
      </c>
      <c r="L45" s="1096">
        <v>1236.48</v>
      </c>
      <c r="M45" s="1096">
        <v>353.28</v>
      </c>
      <c r="N45" s="1096">
        <v>3.29</v>
      </c>
      <c r="O45" s="1096">
        <v>0</v>
      </c>
      <c r="P45" s="1098">
        <f t="shared" si="0"/>
        <v>40304.750000000015</v>
      </c>
      <c r="Q45" s="1049">
        <f t="shared" ref="Q45:Q46" si="9">SUM(E45:I45)</f>
        <v>1623.4033320000001</v>
      </c>
      <c r="R45" s="1049">
        <f t="shared" si="2"/>
        <v>16</v>
      </c>
      <c r="S45" s="1099">
        <f t="shared" si="3"/>
        <v>1607.4033320000001</v>
      </c>
      <c r="T45" s="1100"/>
      <c r="U45" s="1101"/>
      <c r="V45" s="1102">
        <f>SUM(J45,L45:M45)*($AH$7/365)</f>
        <v>7303.5093698630153</v>
      </c>
      <c r="W45" s="1103"/>
      <c r="X45" s="1104"/>
      <c r="Y45" s="1108">
        <f t="shared" si="5"/>
        <v>0</v>
      </c>
      <c r="Z45" s="1109"/>
      <c r="AA45" s="1049">
        <f t="shared" si="6"/>
        <v>30641.160000000007</v>
      </c>
      <c r="AB45" s="1103">
        <v>43003</v>
      </c>
      <c r="AC45" s="1104">
        <v>0.02</v>
      </c>
      <c r="AD45" s="1102">
        <f t="shared" si="7"/>
        <v>612.82320000000016</v>
      </c>
    </row>
    <row r="46" spans="1:30" s="1110" customFormat="1">
      <c r="A46" s="1106">
        <v>2195</v>
      </c>
      <c r="B46" s="1107">
        <v>490</v>
      </c>
      <c r="C46" s="1076" t="s">
        <v>2385</v>
      </c>
      <c r="D46" s="1106" t="s">
        <v>2350</v>
      </c>
      <c r="E46" s="1096">
        <v>600</v>
      </c>
      <c r="F46" s="1096">
        <v>137.81666100000001</v>
      </c>
      <c r="G46" s="1096">
        <v>0</v>
      </c>
      <c r="H46" s="1096">
        <v>0</v>
      </c>
      <c r="I46" s="1096">
        <v>0</v>
      </c>
      <c r="J46" s="1097">
        <v>10655.999999999996</v>
      </c>
      <c r="K46" s="1096">
        <v>3671.5599999999995</v>
      </c>
      <c r="L46" s="1096">
        <v>0</v>
      </c>
      <c r="M46" s="1096">
        <v>0</v>
      </c>
      <c r="N46" s="1096">
        <v>0</v>
      </c>
      <c r="O46" s="1096">
        <v>0</v>
      </c>
      <c r="P46" s="1098">
        <f t="shared" si="0"/>
        <v>14327.559999999996</v>
      </c>
      <c r="Q46" s="1049">
        <f t="shared" si="9"/>
        <v>737.81666100000007</v>
      </c>
      <c r="R46" s="1049">
        <f t="shared" si="2"/>
        <v>0</v>
      </c>
      <c r="S46" s="1099">
        <f t="shared" si="3"/>
        <v>737.81666100000007</v>
      </c>
      <c r="T46" s="1100"/>
      <c r="U46" s="1101"/>
      <c r="V46" s="1102">
        <f>SUM(J46,L46:M46)*($AH$7/365)</f>
        <v>2539.9232876712317</v>
      </c>
      <c r="W46" s="1103"/>
      <c r="X46" s="1104"/>
      <c r="Y46" s="1108">
        <f t="shared" si="5"/>
        <v>0</v>
      </c>
      <c r="Z46" s="1109"/>
      <c r="AA46" s="1049">
        <f t="shared" si="6"/>
        <v>10655.999999999996</v>
      </c>
      <c r="AB46" s="1103">
        <v>43003</v>
      </c>
      <c r="AC46" s="1104">
        <v>0.02</v>
      </c>
      <c r="AD46" s="1102">
        <f t="shared" si="7"/>
        <v>213.11999999999992</v>
      </c>
    </row>
    <row r="47" spans="1:30">
      <c r="A47" s="1106"/>
      <c r="B47" s="1107"/>
      <c r="C47" s="1076"/>
      <c r="D47" s="1106"/>
      <c r="E47" s="1096"/>
      <c r="F47" s="1096"/>
      <c r="G47" s="1096"/>
      <c r="H47" s="1096"/>
      <c r="I47" s="1111"/>
      <c r="J47" s="1112"/>
      <c r="K47" s="1096"/>
      <c r="L47" s="1096"/>
      <c r="M47" s="1096"/>
      <c r="N47" s="1096"/>
      <c r="O47" s="1096"/>
      <c r="P47" s="1098"/>
      <c r="S47" s="1099"/>
      <c r="T47" s="1100"/>
      <c r="U47" s="1101"/>
      <c r="V47" s="1102"/>
      <c r="W47" s="1103"/>
      <c r="X47" s="1113"/>
      <c r="Y47" s="1102"/>
      <c r="Z47" s="1105"/>
      <c r="AA47" s="1049"/>
      <c r="AB47" s="1114"/>
      <c r="AC47" s="1115"/>
      <c r="AD47" s="1102"/>
    </row>
    <row r="48" spans="1:30">
      <c r="A48" s="1106"/>
      <c r="B48" s="1107"/>
      <c r="C48" s="1116" t="s">
        <v>2386</v>
      </c>
      <c r="D48" s="1106"/>
      <c r="E48" s="1117">
        <f t="shared" ref="E48:S48" si="10">+SUM(E11:E47)</f>
        <v>65634.009988999998</v>
      </c>
      <c r="F48" s="1117">
        <f t="shared" si="10"/>
        <v>10976.603317999999</v>
      </c>
      <c r="G48" s="1117">
        <f t="shared" si="10"/>
        <v>2105</v>
      </c>
      <c r="H48" s="1117">
        <f t="shared" si="10"/>
        <v>2160</v>
      </c>
      <c r="I48" s="1118">
        <f t="shared" si="10"/>
        <v>72</v>
      </c>
      <c r="J48" s="1117">
        <f t="shared" si="10"/>
        <v>1336382.1604000002</v>
      </c>
      <c r="K48" s="1117">
        <f t="shared" si="10"/>
        <v>341808.48</v>
      </c>
      <c r="L48" s="1117">
        <f t="shared" si="10"/>
        <v>90404.77</v>
      </c>
      <c r="M48" s="1117">
        <f t="shared" si="10"/>
        <v>44053.760000000002</v>
      </c>
      <c r="N48" s="1117">
        <f t="shared" si="10"/>
        <v>17901.22</v>
      </c>
      <c r="O48" s="1117">
        <f t="shared" si="10"/>
        <v>1541.04</v>
      </c>
      <c r="P48" s="1119">
        <f t="shared" si="10"/>
        <v>1832091.4304000007</v>
      </c>
      <c r="Q48" s="1120">
        <f t="shared" si="10"/>
        <v>80947.613307000021</v>
      </c>
      <c r="R48" s="1120">
        <f t="shared" si="10"/>
        <v>4337</v>
      </c>
      <c r="S48" s="1120">
        <f t="shared" si="10"/>
        <v>76610.613307000021</v>
      </c>
      <c r="T48" s="1120"/>
      <c r="U48" s="1120"/>
      <c r="V48" s="1120">
        <f>+SUM(V11:V47)</f>
        <v>421498.69420849317</v>
      </c>
      <c r="W48" s="1120"/>
      <c r="X48" s="1120"/>
      <c r="Y48" s="1120">
        <f>+SUM(Y11:Y47)</f>
        <v>21104.821395748135</v>
      </c>
      <c r="Z48" s="1120"/>
      <c r="AA48" s="1120">
        <f>+SUM(AA11:AA47)</f>
        <v>1491945.5117957485</v>
      </c>
      <c r="AB48" s="1120"/>
      <c r="AC48" s="1120"/>
      <c r="AD48" s="1120">
        <f>+SUM(AD11:AD47)</f>
        <v>29001.102785153318</v>
      </c>
    </row>
    <row r="49" spans="1:32">
      <c r="A49" s="1106"/>
      <c r="B49" s="1107"/>
      <c r="C49" s="1076"/>
      <c r="D49" s="1106"/>
      <c r="E49" s="1096"/>
      <c r="F49" s="1096"/>
      <c r="G49" s="1096"/>
      <c r="H49" s="1096"/>
      <c r="I49" s="1111"/>
      <c r="J49" s="1112"/>
      <c r="K49" s="1096"/>
      <c r="L49" s="1096"/>
      <c r="M49" s="1096"/>
      <c r="N49" s="1096"/>
      <c r="O49" s="1096"/>
      <c r="P49" s="1098"/>
      <c r="S49" s="1099"/>
      <c r="T49" s="1100"/>
      <c r="U49" s="1101"/>
      <c r="V49" s="1102"/>
      <c r="W49" s="1114"/>
      <c r="X49" s="1113"/>
      <c r="Y49" s="1102"/>
      <c r="Z49" s="1105"/>
      <c r="AA49" s="1049"/>
      <c r="AB49" s="1114"/>
      <c r="AC49" s="1115"/>
      <c r="AD49" s="1102"/>
    </row>
    <row r="50" spans="1:32">
      <c r="A50" s="1106">
        <v>2195</v>
      </c>
      <c r="B50" s="1107">
        <v>14475</v>
      </c>
      <c r="C50" s="1076" t="s">
        <v>2387</v>
      </c>
      <c r="D50" s="1106" t="s">
        <v>1659</v>
      </c>
      <c r="E50" s="1096">
        <v>1866.1</v>
      </c>
      <c r="F50" s="1096">
        <v>367.35333299999996</v>
      </c>
      <c r="G50" s="1096">
        <v>128</v>
      </c>
      <c r="H50" s="1096">
        <v>72</v>
      </c>
      <c r="I50" s="1096">
        <v>0</v>
      </c>
      <c r="J50" s="1097">
        <v>38769.64</v>
      </c>
      <c r="K50" s="1096">
        <v>11529.369999999999</v>
      </c>
      <c r="L50" s="1096">
        <v>5498.5599999999995</v>
      </c>
      <c r="M50" s="1096">
        <v>1497.52</v>
      </c>
      <c r="N50" s="1096">
        <v>971.18</v>
      </c>
      <c r="O50" s="1096">
        <v>0</v>
      </c>
      <c r="P50" s="1098">
        <f t="shared" ref="P50:P61" si="11">SUM(J50:O50)</f>
        <v>58266.26999999999</v>
      </c>
      <c r="Q50" s="1049">
        <f t="shared" ref="Q50:Q60" si="12">SUM(E50:I50)</f>
        <v>2433.4533329999999</v>
      </c>
      <c r="R50" s="1049">
        <f t="shared" ref="R50:R60" si="13">G50+H50+I50</f>
        <v>200</v>
      </c>
      <c r="S50" s="1099">
        <f t="shared" ref="S50:S60" si="14">Q50-R50</f>
        <v>2233.4533329999999</v>
      </c>
      <c r="T50" s="1100"/>
      <c r="U50" s="1101"/>
      <c r="V50" s="1102">
        <f t="shared" ref="V50:V61" si="15">SUM(J50,L50:M50)*($AH$7/365)</f>
        <v>10908.541479452053</v>
      </c>
      <c r="W50" s="1103">
        <v>42639</v>
      </c>
      <c r="X50" s="1104">
        <v>0.02</v>
      </c>
      <c r="Y50" s="1102">
        <f t="shared" ref="Y50:Y60" si="16">V50*X50</f>
        <v>218.17082958904106</v>
      </c>
      <c r="Z50" s="1105"/>
      <c r="AA50" s="1049">
        <f t="shared" ref="AA50:AA60" si="17">SUM(J50,L50:M50)+Y50</f>
        <v>45983.890829589036</v>
      </c>
      <c r="AB50" s="1103">
        <v>43003</v>
      </c>
      <c r="AC50" s="1104">
        <v>0.02</v>
      </c>
      <c r="AD50" s="1102">
        <f t="shared" ref="AD50:AD60" si="18">AA50*AC50</f>
        <v>919.6778165917807</v>
      </c>
    </row>
    <row r="51" spans="1:32">
      <c r="A51" s="1106">
        <v>2195</v>
      </c>
      <c r="B51" s="1107">
        <v>14490</v>
      </c>
      <c r="C51" s="1076" t="s">
        <v>2388</v>
      </c>
      <c r="D51" s="1106" t="s">
        <v>1659</v>
      </c>
      <c r="E51" s="1096">
        <v>1868.4699999999998</v>
      </c>
      <c r="F51" s="1096">
        <v>342.41666899999996</v>
      </c>
      <c r="G51" s="1096">
        <v>160</v>
      </c>
      <c r="H51" s="1096">
        <v>64</v>
      </c>
      <c r="I51" s="1096">
        <v>0</v>
      </c>
      <c r="J51" s="1097">
        <v>41066.630000000005</v>
      </c>
      <c r="K51" s="1096">
        <v>11344.560000000001</v>
      </c>
      <c r="L51" s="1096">
        <v>5424.24</v>
      </c>
      <c r="M51" s="1096">
        <v>1406.2399999999998</v>
      </c>
      <c r="N51" s="1096">
        <v>663.52</v>
      </c>
      <c r="O51" s="1096">
        <v>0</v>
      </c>
      <c r="P51" s="1098">
        <f t="shared" si="11"/>
        <v>59905.189999999995</v>
      </c>
      <c r="Q51" s="1049">
        <f t="shared" si="12"/>
        <v>2434.8866689999995</v>
      </c>
      <c r="R51" s="1049">
        <f t="shared" si="13"/>
        <v>224</v>
      </c>
      <c r="S51" s="1099">
        <f t="shared" si="14"/>
        <v>2210.8866689999995</v>
      </c>
      <c r="T51" s="1100"/>
      <c r="U51" s="1101"/>
      <c r="V51" s="1102">
        <f t="shared" si="15"/>
        <v>11416.571424657533</v>
      </c>
      <c r="W51" s="1103">
        <v>42639</v>
      </c>
      <c r="X51" s="1104">
        <v>0.02</v>
      </c>
      <c r="Y51" s="1102">
        <f t="shared" si="16"/>
        <v>228.33142849315067</v>
      </c>
      <c r="Z51" s="1105"/>
      <c r="AA51" s="1049">
        <f t="shared" si="17"/>
        <v>48125.441428493148</v>
      </c>
      <c r="AB51" s="1103">
        <v>43003</v>
      </c>
      <c r="AC51" s="1104">
        <v>0.02</v>
      </c>
      <c r="AD51" s="1102">
        <f t="shared" si="18"/>
        <v>962.508828569863</v>
      </c>
    </row>
    <row r="52" spans="1:32">
      <c r="A52" s="1106">
        <v>2195</v>
      </c>
      <c r="B52" s="1107">
        <v>14483</v>
      </c>
      <c r="C52" s="1076" t="s">
        <v>2389</v>
      </c>
      <c r="D52" s="1106" t="s">
        <v>1659</v>
      </c>
      <c r="E52" s="1096">
        <v>1854.486666</v>
      </c>
      <c r="F52" s="1096">
        <v>469.58666600000004</v>
      </c>
      <c r="G52" s="1096">
        <v>168</v>
      </c>
      <c r="H52" s="1096">
        <v>56</v>
      </c>
      <c r="I52" s="1096">
        <v>0</v>
      </c>
      <c r="J52" s="1097">
        <v>40590.470100000006</v>
      </c>
      <c r="K52" s="1096">
        <v>15405.23</v>
      </c>
      <c r="L52" s="1096">
        <v>5322.24</v>
      </c>
      <c r="M52" s="1096">
        <v>1233.04</v>
      </c>
      <c r="N52" s="1096">
        <v>771.72</v>
      </c>
      <c r="O52" s="1096">
        <v>0</v>
      </c>
      <c r="P52" s="1098">
        <f t="shared" si="11"/>
        <v>63322.700100000002</v>
      </c>
      <c r="Q52" s="1049">
        <f t="shared" si="12"/>
        <v>2548.0733319999999</v>
      </c>
      <c r="R52" s="1049">
        <f t="shared" si="13"/>
        <v>224</v>
      </c>
      <c r="S52" s="1099">
        <f t="shared" si="14"/>
        <v>2324.0733319999999</v>
      </c>
      <c r="T52" s="1100"/>
      <c r="U52" s="1101"/>
      <c r="V52" s="1102">
        <f t="shared" si="15"/>
        <v>11237.480160821919</v>
      </c>
      <c r="W52" s="1103">
        <v>42639</v>
      </c>
      <c r="X52" s="1104">
        <v>0.02</v>
      </c>
      <c r="Y52" s="1102">
        <f t="shared" si="16"/>
        <v>224.74960321643837</v>
      </c>
      <c r="Z52" s="1105"/>
      <c r="AA52" s="1049">
        <f t="shared" si="17"/>
        <v>47370.499703216447</v>
      </c>
      <c r="AB52" s="1103">
        <v>43003</v>
      </c>
      <c r="AC52" s="1104">
        <v>0.02</v>
      </c>
      <c r="AD52" s="1102">
        <f t="shared" si="18"/>
        <v>947.409994064329</v>
      </c>
    </row>
    <row r="53" spans="1:32">
      <c r="A53" s="1106">
        <v>2195</v>
      </c>
      <c r="B53" s="1107">
        <v>14457</v>
      </c>
      <c r="C53" s="1076" t="s">
        <v>2390</v>
      </c>
      <c r="D53" s="1106" t="s">
        <v>1659</v>
      </c>
      <c r="E53" s="1096">
        <v>1898.8033339999997</v>
      </c>
      <c r="F53" s="1096">
        <v>283.32666799999998</v>
      </c>
      <c r="G53" s="1096">
        <v>48</v>
      </c>
      <c r="H53" s="1096">
        <v>48</v>
      </c>
      <c r="I53" s="1096">
        <v>0</v>
      </c>
      <c r="J53" s="1097">
        <v>39454.140000000014</v>
      </c>
      <c r="K53" s="1096">
        <v>8861.99</v>
      </c>
      <c r="L53" s="1096">
        <v>3824.08</v>
      </c>
      <c r="M53" s="1096">
        <v>996.16000000000008</v>
      </c>
      <c r="N53" s="1096">
        <v>682.67</v>
      </c>
      <c r="O53" s="1096">
        <v>0</v>
      </c>
      <c r="P53" s="1098">
        <f t="shared" si="11"/>
        <v>53819.040000000015</v>
      </c>
      <c r="Q53" s="1049">
        <f t="shared" si="12"/>
        <v>2278.1300019999999</v>
      </c>
      <c r="R53" s="1049">
        <f t="shared" si="13"/>
        <v>96</v>
      </c>
      <c r="S53" s="1099">
        <f t="shared" si="14"/>
        <v>2182.1300019999999</v>
      </c>
      <c r="T53" s="1100"/>
      <c r="U53" s="1101"/>
      <c r="V53" s="1102">
        <f t="shared" si="15"/>
        <v>10553.071397260279</v>
      </c>
      <c r="W53" s="1103">
        <v>42639</v>
      </c>
      <c r="X53" s="1104">
        <v>0.02</v>
      </c>
      <c r="Y53" s="1102">
        <f t="shared" si="16"/>
        <v>211.06142794520559</v>
      </c>
      <c r="Z53" s="1105"/>
      <c r="AA53" s="1049">
        <f t="shared" si="17"/>
        <v>44485.441427945225</v>
      </c>
      <c r="AB53" s="1103">
        <v>43003</v>
      </c>
      <c r="AC53" s="1104">
        <v>0.02</v>
      </c>
      <c r="AD53" s="1102">
        <f t="shared" si="18"/>
        <v>889.70882855890454</v>
      </c>
    </row>
    <row r="54" spans="1:32">
      <c r="A54" s="1106">
        <v>2195</v>
      </c>
      <c r="B54" s="1107">
        <v>14458</v>
      </c>
      <c r="C54" s="1076" t="s">
        <v>2391</v>
      </c>
      <c r="D54" s="1106" t="s">
        <v>1659</v>
      </c>
      <c r="E54" s="1096">
        <v>1912.4899989999999</v>
      </c>
      <c r="F54" s="1096">
        <v>451.47999500000003</v>
      </c>
      <c r="G54" s="1096">
        <v>201</v>
      </c>
      <c r="H54" s="1096">
        <v>72</v>
      </c>
      <c r="I54" s="1096">
        <v>0</v>
      </c>
      <c r="J54" s="1097">
        <v>39772.3099</v>
      </c>
      <c r="K54" s="1096">
        <v>14092.04</v>
      </c>
      <c r="L54" s="1096">
        <v>4149.6900000000005</v>
      </c>
      <c r="M54" s="1096">
        <v>1494.24</v>
      </c>
      <c r="N54" s="1096">
        <v>4.09</v>
      </c>
      <c r="O54" s="1096">
        <v>0</v>
      </c>
      <c r="P54" s="1098">
        <f t="shared" si="11"/>
        <v>59512.369899999998</v>
      </c>
      <c r="Q54" s="1049">
        <f t="shared" si="12"/>
        <v>2636.969994</v>
      </c>
      <c r="R54" s="1049">
        <f t="shared" si="13"/>
        <v>273</v>
      </c>
      <c r="S54" s="1099">
        <f t="shared" si="14"/>
        <v>2363.969994</v>
      </c>
      <c r="T54" s="1100"/>
      <c r="U54" s="1101"/>
      <c r="V54" s="1102">
        <f t="shared" si="15"/>
        <v>10825.240743287672</v>
      </c>
      <c r="W54" s="1103">
        <v>42639</v>
      </c>
      <c r="X54" s="1104">
        <v>0.02</v>
      </c>
      <c r="Y54" s="1102">
        <f t="shared" si="16"/>
        <v>216.50481486575345</v>
      </c>
      <c r="Z54" s="1105"/>
      <c r="AA54" s="1049">
        <f t="shared" si="17"/>
        <v>45632.744714865752</v>
      </c>
      <c r="AB54" s="1103">
        <v>43003</v>
      </c>
      <c r="AC54" s="1104">
        <v>0.02</v>
      </c>
      <c r="AD54" s="1102">
        <f t="shared" si="18"/>
        <v>912.65489429731508</v>
      </c>
    </row>
    <row r="55" spans="1:32">
      <c r="A55" s="1106">
        <v>2195</v>
      </c>
      <c r="B55" s="1107">
        <v>14441</v>
      </c>
      <c r="C55" s="1076" t="s">
        <v>2392</v>
      </c>
      <c r="D55" s="1106" t="s">
        <v>1659</v>
      </c>
      <c r="E55" s="1096">
        <v>1898.17</v>
      </c>
      <c r="F55" s="1096">
        <v>428.496668</v>
      </c>
      <c r="G55" s="1096">
        <v>128</v>
      </c>
      <c r="H55" s="1096">
        <v>72</v>
      </c>
      <c r="I55" s="1096">
        <v>0</v>
      </c>
      <c r="J55" s="1097">
        <v>39439.569900000002</v>
      </c>
      <c r="K55" s="1096">
        <v>13412.07</v>
      </c>
      <c r="L55" s="1096">
        <v>4662.96</v>
      </c>
      <c r="M55" s="1096">
        <v>1497.52</v>
      </c>
      <c r="N55" s="1096">
        <v>676.05</v>
      </c>
      <c r="O55" s="1096">
        <v>0</v>
      </c>
      <c r="P55" s="1098">
        <f t="shared" si="11"/>
        <v>59688.169900000001</v>
      </c>
      <c r="Q55" s="1049">
        <f t="shared" si="12"/>
        <v>2526.6666679999998</v>
      </c>
      <c r="R55" s="1049">
        <f t="shared" si="13"/>
        <v>200</v>
      </c>
      <c r="S55" s="1099">
        <f t="shared" si="14"/>
        <v>2326.6666679999998</v>
      </c>
      <c r="T55" s="1100"/>
      <c r="U55" s="1101"/>
      <c r="V55" s="1102">
        <f t="shared" si="15"/>
        <v>10869.052989863012</v>
      </c>
      <c r="W55" s="1103">
        <v>42639</v>
      </c>
      <c r="X55" s="1104">
        <v>0.02</v>
      </c>
      <c r="Y55" s="1102">
        <f t="shared" si="16"/>
        <v>217.38105979726024</v>
      </c>
      <c r="Z55" s="1105"/>
      <c r="AA55" s="1049">
        <f t="shared" si="17"/>
        <v>45817.430959797261</v>
      </c>
      <c r="AB55" s="1103">
        <v>43003</v>
      </c>
      <c r="AC55" s="1104">
        <v>0.02</v>
      </c>
      <c r="AD55" s="1102">
        <f t="shared" si="18"/>
        <v>916.34861919594528</v>
      </c>
    </row>
    <row r="56" spans="1:32">
      <c r="A56" s="1106">
        <v>2195</v>
      </c>
      <c r="B56" s="1107">
        <v>14615</v>
      </c>
      <c r="C56" s="1076" t="s">
        <v>2393</v>
      </c>
      <c r="D56" s="1106" t="s">
        <v>1659</v>
      </c>
      <c r="E56" s="1096">
        <v>1938.1833329999999</v>
      </c>
      <c r="F56" s="1096">
        <v>555.05333199999995</v>
      </c>
      <c r="G56" s="1096">
        <v>80</v>
      </c>
      <c r="H56" s="1096">
        <v>64</v>
      </c>
      <c r="I56" s="1096">
        <v>0</v>
      </c>
      <c r="J56" s="1097">
        <v>42571.630000000012</v>
      </c>
      <c r="K56" s="1096">
        <v>18382.21</v>
      </c>
      <c r="L56" s="1096">
        <v>3162.3199999999997</v>
      </c>
      <c r="M56" s="1096">
        <v>1402.7999999999997</v>
      </c>
      <c r="N56" s="1096">
        <v>772</v>
      </c>
      <c r="O56" s="1096">
        <v>0</v>
      </c>
      <c r="P56" s="1098">
        <f t="shared" si="11"/>
        <v>66290.960000000021</v>
      </c>
      <c r="Q56" s="1049">
        <f t="shared" si="12"/>
        <v>2637.2366649999999</v>
      </c>
      <c r="R56" s="1049">
        <f t="shared" si="13"/>
        <v>144</v>
      </c>
      <c r="S56" s="1099">
        <f t="shared" si="14"/>
        <v>2493.2366649999999</v>
      </c>
      <c r="T56" s="1100"/>
      <c r="U56" s="1101"/>
      <c r="V56" s="1102">
        <f t="shared" si="15"/>
        <v>11235.334931506852</v>
      </c>
      <c r="W56" s="1103">
        <v>42639</v>
      </c>
      <c r="X56" s="1104">
        <v>0.02</v>
      </c>
      <c r="Y56" s="1102">
        <f t="shared" si="16"/>
        <v>224.70669863013703</v>
      </c>
      <c r="Z56" s="1105"/>
      <c r="AA56" s="1049">
        <f t="shared" si="17"/>
        <v>47361.456698630151</v>
      </c>
      <c r="AB56" s="1103">
        <v>43003</v>
      </c>
      <c r="AC56" s="1104">
        <v>0.02</v>
      </c>
      <c r="AD56" s="1102">
        <f t="shared" si="18"/>
        <v>947.22913397260299</v>
      </c>
    </row>
    <row r="57" spans="1:32">
      <c r="A57" s="1106">
        <v>2195</v>
      </c>
      <c r="B57" s="1107">
        <v>14463</v>
      </c>
      <c r="C57" s="1076" t="s">
        <v>2394</v>
      </c>
      <c r="D57" s="1106" t="s">
        <v>1659</v>
      </c>
      <c r="E57" s="1096">
        <v>1879.0700000000002</v>
      </c>
      <c r="F57" s="1096">
        <v>472.46000500000002</v>
      </c>
      <c r="G57" s="1096">
        <v>208</v>
      </c>
      <c r="H57" s="1096">
        <v>72</v>
      </c>
      <c r="I57" s="1096">
        <v>0</v>
      </c>
      <c r="J57" s="1097">
        <v>39056.979999999996</v>
      </c>
      <c r="K57" s="1096">
        <v>14812.91</v>
      </c>
      <c r="L57" s="1096">
        <v>5315.04</v>
      </c>
      <c r="M57" s="1096">
        <v>1497.52</v>
      </c>
      <c r="N57" s="1096">
        <v>972.08</v>
      </c>
      <c r="O57" s="1096">
        <v>0</v>
      </c>
      <c r="P57" s="1098">
        <f t="shared" si="11"/>
        <v>61654.53</v>
      </c>
      <c r="Q57" s="1049">
        <f t="shared" si="12"/>
        <v>2631.5300050000001</v>
      </c>
      <c r="R57" s="1049">
        <f t="shared" si="13"/>
        <v>280</v>
      </c>
      <c r="S57" s="1099">
        <f t="shared" si="14"/>
        <v>2351.5300050000001</v>
      </c>
      <c r="T57" s="1100"/>
      <c r="U57" s="1101"/>
      <c r="V57" s="1102">
        <f t="shared" si="15"/>
        <v>10933.287616438354</v>
      </c>
      <c r="W57" s="1103">
        <v>42639</v>
      </c>
      <c r="X57" s="1104">
        <v>0.02</v>
      </c>
      <c r="Y57" s="1102">
        <f t="shared" si="16"/>
        <v>218.6657523287671</v>
      </c>
      <c r="Z57" s="1105"/>
      <c r="AA57" s="1049">
        <f t="shared" si="17"/>
        <v>46088.205752328759</v>
      </c>
      <c r="AB57" s="1103">
        <v>43003</v>
      </c>
      <c r="AC57" s="1104">
        <v>0.02</v>
      </c>
      <c r="AD57" s="1102">
        <f t="shared" si="18"/>
        <v>921.76411504657517</v>
      </c>
    </row>
    <row r="58" spans="1:32">
      <c r="A58" s="1106">
        <v>2195</v>
      </c>
      <c r="B58" s="1107">
        <v>14480</v>
      </c>
      <c r="C58" s="1076" t="s">
        <v>2395</v>
      </c>
      <c r="D58" s="1106" t="s">
        <v>1659</v>
      </c>
      <c r="E58" s="1096">
        <v>1957.4866670000001</v>
      </c>
      <c r="F58" s="1096">
        <v>603.51666399999999</v>
      </c>
      <c r="G58" s="1096">
        <v>88</v>
      </c>
      <c r="H58" s="1096">
        <v>64</v>
      </c>
      <c r="I58" s="1096">
        <v>0</v>
      </c>
      <c r="J58" s="1097">
        <v>40678.699999999997</v>
      </c>
      <c r="K58" s="1096">
        <v>18824.43</v>
      </c>
      <c r="L58" s="1096">
        <v>3660.2400000000002</v>
      </c>
      <c r="M58" s="1096">
        <v>1330.4</v>
      </c>
      <c r="N58" s="1096">
        <v>4.58</v>
      </c>
      <c r="O58" s="1096">
        <v>0</v>
      </c>
      <c r="P58" s="1098">
        <f t="shared" si="11"/>
        <v>64498.35</v>
      </c>
      <c r="Q58" s="1049">
        <f t="shared" si="12"/>
        <v>2713.0033309999999</v>
      </c>
      <c r="R58" s="1049">
        <f t="shared" si="13"/>
        <v>152</v>
      </c>
      <c r="S58" s="1099">
        <f t="shared" si="14"/>
        <v>2561.0033309999999</v>
      </c>
      <c r="T58" s="1100"/>
      <c r="U58" s="1101"/>
      <c r="V58" s="1102">
        <f t="shared" si="15"/>
        <v>10885.568712328766</v>
      </c>
      <c r="W58" s="1103">
        <v>42639</v>
      </c>
      <c r="X58" s="1104">
        <v>0.02</v>
      </c>
      <c r="Y58" s="1102">
        <f t="shared" si="16"/>
        <v>217.71137424657533</v>
      </c>
      <c r="Z58" s="1105"/>
      <c r="AA58" s="1049">
        <f t="shared" si="17"/>
        <v>45887.05137424657</v>
      </c>
      <c r="AB58" s="1103">
        <v>43003</v>
      </c>
      <c r="AC58" s="1104">
        <v>0.02</v>
      </c>
      <c r="AD58" s="1102">
        <f t="shared" si="18"/>
        <v>917.74102748493146</v>
      </c>
    </row>
    <row r="59" spans="1:32">
      <c r="A59" s="1106">
        <v>2195</v>
      </c>
      <c r="B59" s="1107">
        <v>14472</v>
      </c>
      <c r="C59" s="1076" t="s">
        <v>2396</v>
      </c>
      <c r="D59" s="1106" t="s">
        <v>1659</v>
      </c>
      <c r="E59" s="1096">
        <v>1907.886667</v>
      </c>
      <c r="F59" s="1096">
        <v>487.503333</v>
      </c>
      <c r="G59" s="1096">
        <v>128</v>
      </c>
      <c r="H59" s="1096">
        <v>64</v>
      </c>
      <c r="I59" s="1096">
        <v>0</v>
      </c>
      <c r="J59" s="1097">
        <v>39658.959999999999</v>
      </c>
      <c r="K59" s="1096">
        <v>15287.579999999998</v>
      </c>
      <c r="L59" s="1096">
        <v>4479.4400000000005</v>
      </c>
      <c r="M59" s="1096">
        <v>1330.4</v>
      </c>
      <c r="N59" s="1096">
        <v>863.77</v>
      </c>
      <c r="O59" s="1096">
        <v>0</v>
      </c>
      <c r="P59" s="1098">
        <f t="shared" si="11"/>
        <v>61620.149999999994</v>
      </c>
      <c r="Q59" s="1049">
        <f t="shared" si="12"/>
        <v>2587.39</v>
      </c>
      <c r="R59" s="1049">
        <f t="shared" si="13"/>
        <v>192</v>
      </c>
      <c r="S59" s="1099">
        <f t="shared" si="14"/>
        <v>2395.39</v>
      </c>
      <c r="T59" s="1100"/>
      <c r="U59" s="1101"/>
      <c r="V59" s="1102">
        <f t="shared" si="15"/>
        <v>10837.768767123289</v>
      </c>
      <c r="W59" s="1103">
        <v>42639</v>
      </c>
      <c r="X59" s="1104">
        <v>0.02</v>
      </c>
      <c r="Y59" s="1102">
        <f t="shared" si="16"/>
        <v>216.75537534246578</v>
      </c>
      <c r="Z59" s="1105"/>
      <c r="AA59" s="1049">
        <f t="shared" si="17"/>
        <v>45685.555375342468</v>
      </c>
      <c r="AB59" s="1103">
        <v>43003</v>
      </c>
      <c r="AC59" s="1104">
        <v>0.02</v>
      </c>
      <c r="AD59" s="1102">
        <f t="shared" si="18"/>
        <v>913.71110750684943</v>
      </c>
    </row>
    <row r="60" spans="1:32">
      <c r="A60" s="1106">
        <v>2195</v>
      </c>
      <c r="B60" s="1107">
        <v>14452</v>
      </c>
      <c r="C60" s="1076" t="s">
        <v>2397</v>
      </c>
      <c r="D60" s="1106" t="s">
        <v>1659</v>
      </c>
      <c r="E60" s="1096">
        <v>1911.27</v>
      </c>
      <c r="F60" s="1096">
        <v>370.33999599999999</v>
      </c>
      <c r="G60" s="1096">
        <v>124</v>
      </c>
      <c r="H60" s="1096">
        <v>72</v>
      </c>
      <c r="I60" s="1096">
        <v>0</v>
      </c>
      <c r="J60" s="1097">
        <v>40291.230100000001</v>
      </c>
      <c r="K60" s="1096">
        <v>11777.470000000001</v>
      </c>
      <c r="L60" s="1096">
        <v>3486.7599999999998</v>
      </c>
      <c r="M60" s="1096">
        <v>1516.24</v>
      </c>
      <c r="N60" s="1096">
        <v>635.41</v>
      </c>
      <c r="O60" s="1096">
        <v>0</v>
      </c>
      <c r="P60" s="1098">
        <f t="shared" si="11"/>
        <v>57707.110100000005</v>
      </c>
      <c r="Q60" s="1049">
        <f t="shared" si="12"/>
        <v>2477.6099960000001</v>
      </c>
      <c r="R60" s="1049">
        <f t="shared" si="13"/>
        <v>196</v>
      </c>
      <c r="S60" s="1099">
        <f t="shared" si="14"/>
        <v>2281.6099960000001</v>
      </c>
      <c r="T60" s="1100"/>
      <c r="U60" s="1101"/>
      <c r="V60" s="1102">
        <f t="shared" si="15"/>
        <v>10796.158955342466</v>
      </c>
      <c r="W60" s="1103">
        <v>42639</v>
      </c>
      <c r="X60" s="1104">
        <v>-3.5099999999999999E-2</v>
      </c>
      <c r="Y60" s="1102">
        <f t="shared" si="16"/>
        <v>-378.94517933252052</v>
      </c>
      <c r="Z60" s="1105"/>
      <c r="AA60" s="1049">
        <f t="shared" si="17"/>
        <v>44915.28492066748</v>
      </c>
      <c r="AB60" s="1103">
        <v>43003</v>
      </c>
      <c r="AC60" s="1104">
        <v>0.02</v>
      </c>
      <c r="AD60" s="1102">
        <f t="shared" si="18"/>
        <v>898.30569841334966</v>
      </c>
    </row>
    <row r="61" spans="1:32" s="1110" customFormat="1">
      <c r="A61" s="1106">
        <v>2195</v>
      </c>
      <c r="B61" s="1107">
        <v>53956</v>
      </c>
      <c r="C61" s="1076" t="s">
        <v>2398</v>
      </c>
      <c r="D61" s="1106" t="s">
        <v>1659</v>
      </c>
      <c r="E61" s="1096">
        <v>821.85000200000002</v>
      </c>
      <c r="F61" s="1096">
        <v>50.866669999999999</v>
      </c>
      <c r="G61" s="1096">
        <v>0</v>
      </c>
      <c r="H61" s="1096">
        <v>16</v>
      </c>
      <c r="I61" s="1096">
        <v>0</v>
      </c>
      <c r="J61" s="1097">
        <v>17152.080000000002</v>
      </c>
      <c r="K61" s="1096">
        <v>1591.21</v>
      </c>
      <c r="L61" s="1096">
        <v>0</v>
      </c>
      <c r="M61" s="1096">
        <v>334.24</v>
      </c>
      <c r="N61" s="1096">
        <v>0</v>
      </c>
      <c r="O61" s="1096">
        <v>0</v>
      </c>
      <c r="P61" s="1098">
        <f t="shared" si="11"/>
        <v>19077.530000000002</v>
      </c>
      <c r="Q61" s="1049">
        <f>SUM(E61:I61)</f>
        <v>888.71667200000002</v>
      </c>
      <c r="R61" s="1049">
        <f>G61+H61+I61</f>
        <v>16</v>
      </c>
      <c r="S61" s="1099">
        <f>Q61-R61</f>
        <v>872.71667200000002</v>
      </c>
      <c r="T61" s="1100"/>
      <c r="U61" s="1101"/>
      <c r="V61" s="1102">
        <f t="shared" si="15"/>
        <v>4167.9721643835619</v>
      </c>
      <c r="W61" s="1103"/>
      <c r="X61" s="1104"/>
      <c r="Y61" s="1108">
        <f>V61*X61</f>
        <v>0</v>
      </c>
      <c r="Z61" s="1109"/>
      <c r="AA61" s="1049">
        <f>SUM(J61,L61:M61)+Y61</f>
        <v>17486.320000000003</v>
      </c>
      <c r="AB61" s="1103">
        <v>43003</v>
      </c>
      <c r="AC61" s="1104">
        <v>0.02</v>
      </c>
      <c r="AD61" s="1102">
        <f>AA61*AC61</f>
        <v>349.72640000000007</v>
      </c>
      <c r="AE61" s="1045"/>
      <c r="AF61" s="1045"/>
    </row>
    <row r="62" spans="1:32">
      <c r="A62" s="1106"/>
      <c r="B62" s="1107"/>
      <c r="C62" s="1076"/>
      <c r="D62" s="1106"/>
      <c r="E62" s="1096"/>
      <c r="F62" s="1096"/>
      <c r="G62" s="1096"/>
      <c r="H62" s="1096"/>
      <c r="I62" s="1111"/>
      <c r="J62" s="1112"/>
      <c r="K62" s="1096"/>
      <c r="L62" s="1096"/>
      <c r="M62" s="1096"/>
      <c r="N62" s="1096"/>
      <c r="O62" s="1096"/>
      <c r="P62" s="1098"/>
      <c r="S62" s="1099"/>
      <c r="T62" s="1100"/>
      <c r="U62" s="1101"/>
      <c r="V62" s="1102"/>
      <c r="W62" s="1114"/>
      <c r="X62" s="1113"/>
      <c r="Y62" s="1102"/>
      <c r="Z62" s="1105"/>
      <c r="AA62" s="1049"/>
      <c r="AB62" s="1114"/>
      <c r="AC62" s="1115"/>
      <c r="AD62" s="1102"/>
    </row>
    <row r="63" spans="1:32">
      <c r="A63" s="1106"/>
      <c r="B63" s="1107"/>
      <c r="C63" s="1121" t="s">
        <v>2399</v>
      </c>
      <c r="D63" s="1106"/>
      <c r="E63" s="1117">
        <f t="shared" ref="E63:R63" si="19">+SUM(E50:E62)</f>
        <v>21714.266667999997</v>
      </c>
      <c r="F63" s="1117">
        <f t="shared" si="19"/>
        <v>4882.3999989999993</v>
      </c>
      <c r="G63" s="1117">
        <f t="shared" si="19"/>
        <v>1461</v>
      </c>
      <c r="H63" s="1117">
        <f t="shared" si="19"/>
        <v>736</v>
      </c>
      <c r="I63" s="1118">
        <f t="shared" si="19"/>
        <v>0</v>
      </c>
      <c r="J63" s="1117">
        <f t="shared" si="19"/>
        <v>458502.34</v>
      </c>
      <c r="K63" s="1117">
        <f t="shared" si="19"/>
        <v>155321.06999999998</v>
      </c>
      <c r="L63" s="1117">
        <f t="shared" si="19"/>
        <v>48985.57</v>
      </c>
      <c r="M63" s="1117">
        <f t="shared" si="19"/>
        <v>15536.319999999998</v>
      </c>
      <c r="N63" s="1117">
        <f t="shared" si="19"/>
        <v>7017.07</v>
      </c>
      <c r="O63" s="1117">
        <f t="shared" si="19"/>
        <v>0</v>
      </c>
      <c r="P63" s="1119">
        <f>+SUM(P50:P62)</f>
        <v>685362.37000000011</v>
      </c>
      <c r="Q63" s="1120">
        <f t="shared" si="19"/>
        <v>28793.666666999994</v>
      </c>
      <c r="R63" s="1120">
        <f t="shared" si="19"/>
        <v>2197</v>
      </c>
      <c r="S63" s="1120">
        <f t="shared" ref="S63:AD63" si="20">+SUM(S50:S62)</f>
        <v>26596.666666999994</v>
      </c>
      <c r="T63" s="1120"/>
      <c r="U63" s="1120"/>
      <c r="V63" s="1120">
        <f t="shared" si="20"/>
        <v>124666.04934246575</v>
      </c>
      <c r="W63" s="1120"/>
      <c r="X63" s="1120">
        <f t="shared" si="20"/>
        <v>0.16489999999999999</v>
      </c>
      <c r="Y63" s="1120">
        <f t="shared" si="20"/>
        <v>1815.093185122274</v>
      </c>
      <c r="Z63" s="1120"/>
      <c r="AA63" s="1120">
        <f t="shared" si="20"/>
        <v>524839.32318512234</v>
      </c>
      <c r="AB63" s="1120"/>
      <c r="AC63" s="1120"/>
      <c r="AD63" s="1120">
        <f t="shared" si="20"/>
        <v>10496.786463702447</v>
      </c>
    </row>
    <row r="64" spans="1:32" s="1076" customFormat="1">
      <c r="A64" s="1106"/>
      <c r="B64" s="1107"/>
      <c r="C64" s="1122" t="s">
        <v>2400</v>
      </c>
      <c r="D64" s="1106"/>
      <c r="E64" s="1120">
        <f>+E48+E63</f>
        <v>87348.276656999995</v>
      </c>
      <c r="F64" s="1120">
        <f t="shared" ref="F64:AD64" si="21">+F48+F63</f>
        <v>15859.003316999999</v>
      </c>
      <c r="G64" s="1120">
        <f t="shared" si="21"/>
        <v>3566</v>
      </c>
      <c r="H64" s="1120">
        <f t="shared" si="21"/>
        <v>2896</v>
      </c>
      <c r="I64" s="1119">
        <f t="shared" si="21"/>
        <v>72</v>
      </c>
      <c r="J64" s="1120">
        <f t="shared" si="21"/>
        <v>1794884.5004000003</v>
      </c>
      <c r="K64" s="1120">
        <f t="shared" si="21"/>
        <v>497129.54999999993</v>
      </c>
      <c r="L64" s="1120">
        <f t="shared" si="21"/>
        <v>139390.34</v>
      </c>
      <c r="M64" s="1120">
        <f t="shared" si="21"/>
        <v>59590.080000000002</v>
      </c>
      <c r="N64" s="1120">
        <f t="shared" si="21"/>
        <v>24918.29</v>
      </c>
      <c r="O64" s="1120">
        <f t="shared" si="21"/>
        <v>1541.04</v>
      </c>
      <c r="P64" s="1119">
        <f t="shared" si="21"/>
        <v>2517453.800400001</v>
      </c>
      <c r="Q64" s="1120">
        <f t="shared" si="21"/>
        <v>109741.27997400002</v>
      </c>
      <c r="R64" s="1120">
        <f t="shared" si="21"/>
        <v>6534</v>
      </c>
      <c r="S64" s="1120">
        <f t="shared" si="21"/>
        <v>103207.27997400002</v>
      </c>
      <c r="T64" s="1120"/>
      <c r="U64" s="1120"/>
      <c r="V64" s="1120">
        <f t="shared" si="21"/>
        <v>546164.74355095893</v>
      </c>
      <c r="W64" s="1120"/>
      <c r="X64" s="1120">
        <f t="shared" si="21"/>
        <v>0.16489999999999999</v>
      </c>
      <c r="Y64" s="1120">
        <f t="shared" si="21"/>
        <v>22919.914580870409</v>
      </c>
      <c r="Z64" s="1120"/>
      <c r="AA64" s="1120">
        <f t="shared" si="21"/>
        <v>2016784.8349808708</v>
      </c>
      <c r="AB64" s="1120"/>
      <c r="AC64" s="1120"/>
      <c r="AD64" s="1120">
        <f t="shared" si="21"/>
        <v>39497.889248855761</v>
      </c>
    </row>
    <row r="65" spans="1:30" s="1076" customFormat="1" ht="12" thickBot="1">
      <c r="A65" s="1106"/>
      <c r="B65" s="1107"/>
      <c r="D65" s="1106"/>
      <c r="E65" s="1123"/>
      <c r="F65" s="1123"/>
      <c r="G65" s="1123"/>
      <c r="H65" s="1123"/>
      <c r="I65" s="1123"/>
      <c r="J65" s="1124"/>
      <c r="K65" s="1123"/>
      <c r="L65" s="1123"/>
      <c r="M65" s="1123"/>
      <c r="N65" s="1123"/>
      <c r="O65" s="1123"/>
      <c r="P65" s="1098"/>
      <c r="Q65" s="1123"/>
      <c r="R65" s="1123"/>
      <c r="S65" s="1125"/>
      <c r="T65" s="1126"/>
      <c r="U65" s="1127"/>
      <c r="V65" s="1128"/>
      <c r="W65" s="1129"/>
      <c r="X65" s="1130"/>
      <c r="Y65" s="1128"/>
      <c r="Z65" s="1131"/>
      <c r="AA65" s="1123"/>
      <c r="AB65" s="1129"/>
      <c r="AC65" s="1132"/>
      <c r="AD65" s="1128"/>
    </row>
    <row r="66" spans="1:30" s="1076" customFormat="1" ht="12.75" thickTop="1" thickBot="1">
      <c r="A66" s="1133"/>
      <c r="B66" s="1133" t="s">
        <v>2401</v>
      </c>
      <c r="C66" s="1134"/>
      <c r="D66" s="1135"/>
      <c r="E66" s="1123"/>
      <c r="F66" s="1123"/>
      <c r="G66" s="1123"/>
      <c r="H66" s="1123"/>
      <c r="I66" s="1123"/>
      <c r="J66" s="1124"/>
      <c r="K66" s="1123"/>
      <c r="L66" s="1123"/>
      <c r="M66" s="1123"/>
      <c r="N66" s="1123"/>
      <c r="O66" s="1123"/>
      <c r="P66" s="1098"/>
      <c r="Q66" s="1123"/>
      <c r="R66" s="1123"/>
      <c r="S66" s="1125"/>
      <c r="T66" s="1126"/>
      <c r="U66" s="1127"/>
      <c r="V66" s="1128"/>
      <c r="W66" s="1129"/>
      <c r="X66" s="1130"/>
      <c r="Y66" s="1128"/>
      <c r="Z66" s="1131"/>
      <c r="AA66" s="1123"/>
      <c r="AB66" s="1129"/>
      <c r="AC66" s="1132"/>
      <c r="AD66" s="1128"/>
    </row>
    <row r="67" spans="1:30" ht="12" thickTop="1">
      <c r="A67" s="1106">
        <v>2195</v>
      </c>
      <c r="B67" s="1107">
        <v>57406</v>
      </c>
      <c r="C67" s="1136" t="s">
        <v>2402</v>
      </c>
      <c r="D67" s="1106" t="s">
        <v>2403</v>
      </c>
      <c r="E67" s="1096">
        <v>2039.283332</v>
      </c>
      <c r="F67" s="1096">
        <v>216.80666900000003</v>
      </c>
      <c r="G67" s="1096">
        <v>16</v>
      </c>
      <c r="H67" s="1096">
        <v>64</v>
      </c>
      <c r="I67" s="1096">
        <v>0</v>
      </c>
      <c r="J67" s="1097">
        <v>34706.47</v>
      </c>
      <c r="K67" s="1096">
        <v>5537.6599999999989</v>
      </c>
      <c r="L67" s="1096">
        <v>816</v>
      </c>
      <c r="M67" s="1096">
        <v>1080</v>
      </c>
      <c r="N67" s="1096">
        <v>1076.3800000000001</v>
      </c>
      <c r="O67" s="1096">
        <v>384</v>
      </c>
      <c r="P67" s="1098">
        <f t="shared" ref="P67:P78" si="22">SUM(J67:O67)</f>
        <v>43600.509999999995</v>
      </c>
      <c r="Q67" s="1049">
        <f t="shared" ref="Q67:Q78" si="23">SUM(E67:I67)</f>
        <v>2336.090001</v>
      </c>
      <c r="R67" s="1049">
        <f t="shared" ref="R67:R78" si="24">G67+H67+I67</f>
        <v>80</v>
      </c>
      <c r="S67" s="1099">
        <f t="shared" ref="S67:S78" si="25">Q67-R67</f>
        <v>2256.090001</v>
      </c>
      <c r="T67" s="1100"/>
      <c r="U67" s="1101"/>
      <c r="V67" s="1102">
        <f t="shared" ref="V67:V78" si="26">SUM(J67,L67:M67)*($AH$7/365)</f>
        <v>8724.4243561643834</v>
      </c>
      <c r="W67" s="1103"/>
      <c r="X67" s="1104"/>
      <c r="Y67" s="1102">
        <f t="shared" ref="Y67:Y78" si="27">V67*X67</f>
        <v>0</v>
      </c>
      <c r="Z67" s="1105"/>
      <c r="AA67" s="1049">
        <f t="shared" ref="AA67:AA78" si="28">SUM(J67,L67:M67)+Y67</f>
        <v>36602.47</v>
      </c>
      <c r="AB67" s="1103">
        <v>43003</v>
      </c>
      <c r="AC67" s="1104">
        <v>0.02</v>
      </c>
      <c r="AD67" s="1102">
        <f t="shared" ref="AD67:AD78" si="29">AA67*AC67</f>
        <v>732.04939999999999</v>
      </c>
    </row>
    <row r="68" spans="1:30">
      <c r="A68" s="1106">
        <v>2195</v>
      </c>
      <c r="B68" s="1107">
        <v>56668</v>
      </c>
      <c r="C68" s="1076" t="s">
        <v>2353</v>
      </c>
      <c r="D68" s="1106" t="s">
        <v>2403</v>
      </c>
      <c r="E68" s="1096">
        <v>2040</v>
      </c>
      <c r="F68" s="1096">
        <v>900.23000699999989</v>
      </c>
      <c r="G68" s="1096">
        <v>8</v>
      </c>
      <c r="H68" s="1096">
        <v>64</v>
      </c>
      <c r="I68" s="1096">
        <v>0</v>
      </c>
      <c r="J68" s="1097">
        <v>34541.129999999997</v>
      </c>
      <c r="K68" s="1096">
        <v>23022.850099999996</v>
      </c>
      <c r="L68" s="1096">
        <v>816</v>
      </c>
      <c r="M68" s="1096">
        <v>1088</v>
      </c>
      <c r="N68" s="1096">
        <v>705.85</v>
      </c>
      <c r="O68" s="1096">
        <v>138.88</v>
      </c>
      <c r="P68" s="1098">
        <f t="shared" si="22"/>
        <v>60312.710099999989</v>
      </c>
      <c r="Q68" s="1049">
        <f t="shared" si="23"/>
        <v>3012.2300070000001</v>
      </c>
      <c r="R68" s="1049">
        <f t="shared" si="24"/>
        <v>72</v>
      </c>
      <c r="S68" s="1099">
        <f t="shared" si="25"/>
        <v>2940.2300070000001</v>
      </c>
      <c r="T68" s="1100"/>
      <c r="U68" s="1101"/>
      <c r="V68" s="1102">
        <f t="shared" si="26"/>
        <v>8686.9213972602738</v>
      </c>
      <c r="W68" s="1103"/>
      <c r="X68" s="1104"/>
      <c r="Y68" s="1102">
        <f t="shared" si="27"/>
        <v>0</v>
      </c>
      <c r="Z68" s="1105"/>
      <c r="AA68" s="1049">
        <f t="shared" si="28"/>
        <v>36445.129999999997</v>
      </c>
      <c r="AB68" s="1103">
        <v>42961</v>
      </c>
      <c r="AC68" s="1104">
        <v>0.26500000000000001</v>
      </c>
      <c r="AD68" s="1102">
        <f t="shared" si="29"/>
        <v>9657.9594500000003</v>
      </c>
    </row>
    <row r="69" spans="1:30">
      <c r="A69" s="1106">
        <v>2195</v>
      </c>
      <c r="B69" s="1107">
        <v>15397</v>
      </c>
      <c r="C69" s="1076" t="s">
        <v>2404</v>
      </c>
      <c r="D69" s="1106" t="s">
        <v>2403</v>
      </c>
      <c r="E69" s="1096">
        <v>1558.9833330000001</v>
      </c>
      <c r="F69" s="1096">
        <v>380.18666699999994</v>
      </c>
      <c r="G69" s="1096">
        <v>27</v>
      </c>
      <c r="H69" s="1096">
        <v>56</v>
      </c>
      <c r="I69" s="1096">
        <v>0</v>
      </c>
      <c r="J69" s="1097">
        <v>35856.619999999995</v>
      </c>
      <c r="K69" s="1096">
        <v>13190.79</v>
      </c>
      <c r="L69" s="1096">
        <v>6814.9</v>
      </c>
      <c r="M69" s="1096">
        <v>1288</v>
      </c>
      <c r="N69" s="1096">
        <v>840.92</v>
      </c>
      <c r="O69" s="1096">
        <v>0</v>
      </c>
      <c r="P69" s="1098">
        <f t="shared" si="22"/>
        <v>57991.229999999996</v>
      </c>
      <c r="Q69" s="1049">
        <f t="shared" si="23"/>
        <v>2022.17</v>
      </c>
      <c r="R69" s="1049">
        <f t="shared" si="24"/>
        <v>83</v>
      </c>
      <c r="S69" s="1099">
        <f t="shared" si="25"/>
        <v>1939.17</v>
      </c>
      <c r="T69" s="1100"/>
      <c r="U69" s="1101"/>
      <c r="V69" s="1102">
        <f t="shared" si="26"/>
        <v>10478.022575342464</v>
      </c>
      <c r="W69" s="1103"/>
      <c r="X69" s="1104"/>
      <c r="Y69" s="1102">
        <f t="shared" si="27"/>
        <v>0</v>
      </c>
      <c r="Z69" s="1105"/>
      <c r="AA69" s="1049">
        <f t="shared" si="28"/>
        <v>43959.519999999997</v>
      </c>
      <c r="AB69" s="1103">
        <v>43003</v>
      </c>
      <c r="AC69" s="1104">
        <v>0.02</v>
      </c>
      <c r="AD69" s="1102">
        <f t="shared" si="29"/>
        <v>879.19039999999995</v>
      </c>
    </row>
    <row r="70" spans="1:30">
      <c r="A70" s="1106">
        <v>2195</v>
      </c>
      <c r="B70" s="1107">
        <v>14492</v>
      </c>
      <c r="C70" s="1076" t="s">
        <v>2405</v>
      </c>
      <c r="D70" s="1106" t="s">
        <v>2403</v>
      </c>
      <c r="E70" s="1096">
        <v>1953.8400000000001</v>
      </c>
      <c r="F70" s="1096">
        <v>569.743337</v>
      </c>
      <c r="G70" s="1096">
        <v>85</v>
      </c>
      <c r="H70" s="1096">
        <v>64</v>
      </c>
      <c r="I70" s="1096">
        <v>0</v>
      </c>
      <c r="J70" s="1097">
        <v>44938.319900000002</v>
      </c>
      <c r="K70" s="1096">
        <v>19732.309999999998</v>
      </c>
      <c r="L70" s="1096">
        <v>2875</v>
      </c>
      <c r="M70" s="1096">
        <v>1472</v>
      </c>
      <c r="N70" s="1096">
        <v>703.44</v>
      </c>
      <c r="O70" s="1096">
        <v>0</v>
      </c>
      <c r="P70" s="1098">
        <f t="shared" si="22"/>
        <v>69721.069900000002</v>
      </c>
      <c r="Q70" s="1049">
        <f t="shared" si="23"/>
        <v>2672.583337</v>
      </c>
      <c r="R70" s="1049">
        <f t="shared" si="24"/>
        <v>149</v>
      </c>
      <c r="S70" s="1099">
        <f t="shared" si="25"/>
        <v>2523.583337</v>
      </c>
      <c r="T70" s="1100"/>
      <c r="U70" s="1101"/>
      <c r="V70" s="1102">
        <f t="shared" si="26"/>
        <v>11747.459811780822</v>
      </c>
      <c r="W70" s="1103"/>
      <c r="X70" s="1104"/>
      <c r="Y70" s="1102">
        <f t="shared" si="27"/>
        <v>0</v>
      </c>
      <c r="Z70" s="1105"/>
      <c r="AA70" s="1049">
        <f t="shared" si="28"/>
        <v>49285.319900000002</v>
      </c>
      <c r="AB70" s="1103">
        <v>42961</v>
      </c>
      <c r="AC70" s="1104">
        <v>0.02</v>
      </c>
      <c r="AD70" s="1102">
        <f t="shared" si="29"/>
        <v>985.70639800000004</v>
      </c>
    </row>
    <row r="71" spans="1:30">
      <c r="A71" s="1106">
        <v>2195</v>
      </c>
      <c r="B71" s="1107">
        <v>14445</v>
      </c>
      <c r="C71" s="1076" t="s">
        <v>2406</v>
      </c>
      <c r="D71" s="1106" t="s">
        <v>2403</v>
      </c>
      <c r="E71" s="1096">
        <v>2032.26</v>
      </c>
      <c r="F71" s="1096">
        <v>350.93333599999994</v>
      </c>
      <c r="G71" s="1096">
        <v>56</v>
      </c>
      <c r="H71" s="1096">
        <v>64</v>
      </c>
      <c r="I71" s="1096">
        <v>0</v>
      </c>
      <c r="J71" s="1097">
        <v>39250.800000000003</v>
      </c>
      <c r="K71" s="1096">
        <v>10155.960000000001</v>
      </c>
      <c r="L71" s="1096">
        <v>1920</v>
      </c>
      <c r="M71" s="1096">
        <v>1240.1600000000001</v>
      </c>
      <c r="N71" s="1096">
        <v>0.93</v>
      </c>
      <c r="O71" s="1096">
        <v>0</v>
      </c>
      <c r="P71" s="1098">
        <f t="shared" si="22"/>
        <v>52567.850000000006</v>
      </c>
      <c r="Q71" s="1049">
        <f t="shared" si="23"/>
        <v>2503.1933359999998</v>
      </c>
      <c r="R71" s="1049">
        <f t="shared" si="24"/>
        <v>120</v>
      </c>
      <c r="S71" s="1099">
        <f t="shared" si="25"/>
        <v>2383.1933359999998</v>
      </c>
      <c r="T71" s="1100"/>
      <c r="U71" s="1101"/>
      <c r="V71" s="1102">
        <f t="shared" si="26"/>
        <v>10108.913753424658</v>
      </c>
      <c r="W71" s="1103">
        <v>42639</v>
      </c>
      <c r="X71" s="1104">
        <v>0.14219999999999999</v>
      </c>
      <c r="Y71" s="1102">
        <f t="shared" si="27"/>
        <v>1437.4875357369863</v>
      </c>
      <c r="Z71" s="1105"/>
      <c r="AA71" s="1049">
        <f t="shared" si="28"/>
        <v>43848.447535736996</v>
      </c>
      <c r="AB71" s="1103">
        <v>42961</v>
      </c>
      <c r="AC71" s="1104">
        <v>0.125</v>
      </c>
      <c r="AD71" s="1102">
        <f t="shared" si="29"/>
        <v>5481.0559419671245</v>
      </c>
    </row>
    <row r="72" spans="1:30">
      <c r="A72" s="1106">
        <v>2195</v>
      </c>
      <c r="B72" s="1107">
        <v>14459</v>
      </c>
      <c r="C72" s="1076" t="s">
        <v>2407</v>
      </c>
      <c r="D72" s="1106" t="s">
        <v>2403</v>
      </c>
      <c r="E72" s="1096">
        <v>11</v>
      </c>
      <c r="F72" s="1096">
        <v>0</v>
      </c>
      <c r="G72" s="1096">
        <v>196.4</v>
      </c>
      <c r="H72" s="1096">
        <v>0</v>
      </c>
      <c r="I72" s="1096">
        <v>0</v>
      </c>
      <c r="J72" s="1097">
        <v>209</v>
      </c>
      <c r="K72" s="1096">
        <v>0</v>
      </c>
      <c r="L72" s="1096">
        <v>3731.6001000000001</v>
      </c>
      <c r="M72" s="1096">
        <v>0</v>
      </c>
      <c r="N72" s="1096">
        <v>0</v>
      </c>
      <c r="O72" s="1096">
        <v>0</v>
      </c>
      <c r="P72" s="1098">
        <f t="shared" si="22"/>
        <v>3940.6001000000001</v>
      </c>
      <c r="Q72" s="1049">
        <f t="shared" si="23"/>
        <v>207.4</v>
      </c>
      <c r="R72" s="1049">
        <f t="shared" si="24"/>
        <v>196.4</v>
      </c>
      <c r="S72" s="1099">
        <f t="shared" si="25"/>
        <v>11</v>
      </c>
      <c r="T72" s="1100"/>
      <c r="U72" s="1101"/>
      <c r="V72" s="1102">
        <f t="shared" si="26"/>
        <v>939.26632520547946</v>
      </c>
      <c r="W72" s="1103"/>
      <c r="X72" s="1104"/>
      <c r="Y72" s="1102">
        <f t="shared" si="27"/>
        <v>0</v>
      </c>
      <c r="Z72" s="1105"/>
      <c r="AA72" s="1049">
        <f t="shared" si="28"/>
        <v>3940.6001000000001</v>
      </c>
      <c r="AB72" s="1103"/>
      <c r="AC72" s="1104"/>
      <c r="AD72" s="1102"/>
    </row>
    <row r="73" spans="1:30">
      <c r="A73" s="1106">
        <v>2195</v>
      </c>
      <c r="B73" s="1107">
        <v>58409</v>
      </c>
      <c r="C73" s="1076" t="s">
        <v>2408</v>
      </c>
      <c r="D73" s="1106" t="s">
        <v>2403</v>
      </c>
      <c r="E73" s="1096">
        <v>59.73</v>
      </c>
      <c r="F73" s="1096">
        <v>5.75</v>
      </c>
      <c r="G73" s="1096">
        <v>0</v>
      </c>
      <c r="H73" s="1096">
        <v>0</v>
      </c>
      <c r="I73" s="1096">
        <v>0</v>
      </c>
      <c r="J73" s="1097">
        <v>1015.41</v>
      </c>
      <c r="K73" s="1096">
        <v>146.63</v>
      </c>
      <c r="L73" s="1096">
        <v>0</v>
      </c>
      <c r="M73" s="1096">
        <v>0</v>
      </c>
      <c r="N73" s="1096">
        <v>0</v>
      </c>
      <c r="O73" s="1096">
        <v>0</v>
      </c>
      <c r="P73" s="1098">
        <f t="shared" si="22"/>
        <v>1162.04</v>
      </c>
      <c r="Q73" s="1049">
        <f t="shared" si="23"/>
        <v>65.47999999999999</v>
      </c>
      <c r="R73" s="1049">
        <f t="shared" si="24"/>
        <v>0</v>
      </c>
      <c r="S73" s="1099">
        <f t="shared" si="25"/>
        <v>65.47999999999999</v>
      </c>
      <c r="T73" s="1100"/>
      <c r="U73" s="1101"/>
      <c r="V73" s="1102">
        <f t="shared" si="26"/>
        <v>242.02923287671231</v>
      </c>
      <c r="W73" s="1103"/>
      <c r="X73" s="1104"/>
      <c r="Y73" s="1102">
        <f t="shared" si="27"/>
        <v>0</v>
      </c>
      <c r="Z73" s="1105"/>
      <c r="AA73" s="1049">
        <f t="shared" si="28"/>
        <v>1015.41</v>
      </c>
      <c r="AB73" s="1103"/>
      <c r="AC73" s="1104"/>
      <c r="AD73" s="1102"/>
    </row>
    <row r="74" spans="1:30">
      <c r="A74" s="1106">
        <v>2195</v>
      </c>
      <c r="B74" s="1107">
        <v>58542</v>
      </c>
      <c r="C74" s="1076" t="s">
        <v>2409</v>
      </c>
      <c r="D74" s="1106" t="s">
        <v>2403</v>
      </c>
      <c r="E74" s="1096">
        <v>1908.716668</v>
      </c>
      <c r="F74" s="1096">
        <v>175.02666700000003</v>
      </c>
      <c r="G74" s="1096">
        <v>32</v>
      </c>
      <c r="H74" s="1096">
        <v>48</v>
      </c>
      <c r="I74" s="1096">
        <v>0</v>
      </c>
      <c r="J74" s="1097">
        <v>35783.660100000001</v>
      </c>
      <c r="K74" s="1096">
        <v>4898.53</v>
      </c>
      <c r="L74" s="1096">
        <v>904</v>
      </c>
      <c r="M74" s="1096">
        <v>912</v>
      </c>
      <c r="N74" s="1096">
        <v>214.31</v>
      </c>
      <c r="O74" s="1096">
        <v>0</v>
      </c>
      <c r="P74" s="1098">
        <f t="shared" si="22"/>
        <v>42712.500099999997</v>
      </c>
      <c r="Q74" s="1049">
        <f t="shared" si="23"/>
        <v>2163.7433350000001</v>
      </c>
      <c r="R74" s="1049">
        <f t="shared" si="24"/>
        <v>80</v>
      </c>
      <c r="S74" s="1099">
        <f t="shared" si="25"/>
        <v>2083.7433350000001</v>
      </c>
      <c r="T74" s="1100"/>
      <c r="U74" s="1101"/>
      <c r="V74" s="1102">
        <f>SUM(J74,L74:M74)*($AI$10/365)</f>
        <v>10404.289507123287</v>
      </c>
      <c r="W74" s="1103">
        <v>42653</v>
      </c>
      <c r="X74" s="1104">
        <v>5.5555555555555552E-2</v>
      </c>
      <c r="Y74" s="1102">
        <f>V74*X74</f>
        <v>578.01608372907151</v>
      </c>
      <c r="Z74" s="1105"/>
      <c r="AA74" s="1049">
        <f t="shared" si="28"/>
        <v>38177.676183729076</v>
      </c>
      <c r="AB74" s="1103">
        <v>42961</v>
      </c>
      <c r="AC74" s="1104">
        <v>0.13200000000000001</v>
      </c>
      <c r="AD74" s="1102">
        <f t="shared" si="29"/>
        <v>5039.4532562522381</v>
      </c>
    </row>
    <row r="75" spans="1:30">
      <c r="A75" s="1106">
        <v>2195</v>
      </c>
      <c r="B75" s="1107">
        <v>58638</v>
      </c>
      <c r="C75" s="1076" t="s">
        <v>2410</v>
      </c>
      <c r="D75" s="1106" t="s">
        <v>2403</v>
      </c>
      <c r="E75" s="1096">
        <v>1836.0300020000002</v>
      </c>
      <c r="F75" s="1096">
        <v>429.110004</v>
      </c>
      <c r="G75" s="1096">
        <v>0</v>
      </c>
      <c r="H75" s="1096">
        <v>48</v>
      </c>
      <c r="I75" s="1096">
        <v>0</v>
      </c>
      <c r="J75" s="1097">
        <v>41837.850000000006</v>
      </c>
      <c r="K75" s="1096">
        <v>14602.29</v>
      </c>
      <c r="L75" s="1096">
        <v>0</v>
      </c>
      <c r="M75" s="1096">
        <v>1088</v>
      </c>
      <c r="N75" s="1096">
        <v>179.21</v>
      </c>
      <c r="O75" s="1096">
        <v>0</v>
      </c>
      <c r="P75" s="1098">
        <f t="shared" si="22"/>
        <v>57707.350000000006</v>
      </c>
      <c r="Q75" s="1049">
        <f t="shared" si="23"/>
        <v>2313.1400060000001</v>
      </c>
      <c r="R75" s="1049">
        <f t="shared" si="24"/>
        <v>48</v>
      </c>
      <c r="S75" s="1099">
        <f t="shared" si="25"/>
        <v>2265.1400060000001</v>
      </c>
      <c r="T75" s="1100"/>
      <c r="U75" s="1101"/>
      <c r="V75" s="1102">
        <f>SUM(J75,L75:M75)*($AJ$10/365)</f>
        <v>13524.582876712329</v>
      </c>
      <c r="W75" s="1103">
        <v>42667</v>
      </c>
      <c r="X75" s="1104">
        <v>4.5454545454545456E-2</v>
      </c>
      <c r="Y75" s="1102">
        <f>V75*X75</f>
        <v>614.75376712328773</v>
      </c>
      <c r="Z75" s="1105"/>
      <c r="AA75" s="1049">
        <f t="shared" si="28"/>
        <v>43540.603767123292</v>
      </c>
      <c r="AB75" s="1103">
        <v>42961</v>
      </c>
      <c r="AC75" s="1104">
        <v>0.02</v>
      </c>
      <c r="AD75" s="1102">
        <f t="shared" si="29"/>
        <v>870.81207534246585</v>
      </c>
    </row>
    <row r="76" spans="1:30">
      <c r="A76" s="1106">
        <v>2195</v>
      </c>
      <c r="B76" s="1107">
        <v>52008</v>
      </c>
      <c r="C76" s="1076" t="s">
        <v>2411</v>
      </c>
      <c r="D76" s="1106" t="s">
        <v>2412</v>
      </c>
      <c r="E76" s="1096">
        <v>1040</v>
      </c>
      <c r="F76" s="1096">
        <v>0</v>
      </c>
      <c r="G76" s="1096">
        <v>0</v>
      </c>
      <c r="H76" s="1096">
        <v>16</v>
      </c>
      <c r="I76" s="1096">
        <v>0</v>
      </c>
      <c r="J76" s="1097">
        <v>66409.019</v>
      </c>
      <c r="K76" s="1096">
        <v>0</v>
      </c>
      <c r="L76" s="1096">
        <v>1330.8000000000002</v>
      </c>
      <c r="M76" s="1096">
        <v>532.32000000000005</v>
      </c>
      <c r="N76" s="1096">
        <v>0</v>
      </c>
      <c r="O76" s="1096">
        <v>0</v>
      </c>
      <c r="P76" s="1098">
        <f t="shared" si="22"/>
        <v>68272.13900000001</v>
      </c>
      <c r="Q76" s="1049">
        <f t="shared" si="23"/>
        <v>1056</v>
      </c>
      <c r="R76" s="1049">
        <f t="shared" si="24"/>
        <v>16</v>
      </c>
      <c r="S76" s="1099">
        <f t="shared" si="25"/>
        <v>1040</v>
      </c>
      <c r="T76" s="1100"/>
      <c r="U76" s="1101"/>
      <c r="V76" s="1102">
        <f>SUM(J76,L76:M76)*($AK$7/365)</f>
        <v>24129.057345205481</v>
      </c>
      <c r="W76" s="1103">
        <v>42681</v>
      </c>
      <c r="X76" s="1104">
        <v>2.5000000000000001E-2</v>
      </c>
      <c r="Y76" s="1102">
        <f>V76*X76</f>
        <v>603.22643363013708</v>
      </c>
      <c r="Z76" s="1105"/>
      <c r="AA76" s="1049">
        <f t="shared" si="28"/>
        <v>68875.365433630141</v>
      </c>
      <c r="AB76" s="1103">
        <v>43045</v>
      </c>
      <c r="AC76" s="1104">
        <v>0.02</v>
      </c>
      <c r="AD76" s="1102">
        <f t="shared" si="29"/>
        <v>1377.5073086726029</v>
      </c>
    </row>
    <row r="77" spans="1:30">
      <c r="A77" s="1106">
        <v>2195</v>
      </c>
      <c r="B77" s="1107">
        <v>1428</v>
      </c>
      <c r="C77" s="1076" t="s">
        <v>2413</v>
      </c>
      <c r="D77" s="1106" t="s">
        <v>2403</v>
      </c>
      <c r="E77" s="1096">
        <v>80</v>
      </c>
      <c r="F77" s="1096">
        <v>9.0666669999999989</v>
      </c>
      <c r="G77" s="1096">
        <v>0</v>
      </c>
      <c r="H77" s="1096">
        <v>0</v>
      </c>
      <c r="I77" s="1096">
        <v>0</v>
      </c>
      <c r="J77" s="1097">
        <v>1440</v>
      </c>
      <c r="K77" s="1096">
        <v>244.82</v>
      </c>
      <c r="L77" s="1096">
        <v>0</v>
      </c>
      <c r="M77" s="1096">
        <v>0</v>
      </c>
      <c r="N77" s="1096">
        <v>0</v>
      </c>
      <c r="O77" s="1096">
        <v>0</v>
      </c>
      <c r="P77" s="1098">
        <f t="shared" si="22"/>
        <v>1684.82</v>
      </c>
      <c r="Q77" s="1049">
        <f t="shared" si="23"/>
        <v>89.066666999999995</v>
      </c>
      <c r="R77" s="1049">
        <f t="shared" si="24"/>
        <v>0</v>
      </c>
      <c r="S77" s="1099">
        <f t="shared" si="25"/>
        <v>89.066666999999995</v>
      </c>
      <c r="T77" s="1100"/>
      <c r="U77" s="1101"/>
      <c r="V77" s="1102">
        <f t="shared" si="26"/>
        <v>343.23287671232873</v>
      </c>
      <c r="W77" s="1103"/>
      <c r="X77" s="1104"/>
      <c r="Y77" s="1102"/>
      <c r="Z77" s="1105"/>
      <c r="AA77" s="1049"/>
      <c r="AB77" s="1103"/>
      <c r="AC77" s="1104"/>
      <c r="AD77" s="1102"/>
    </row>
    <row r="78" spans="1:30">
      <c r="A78" s="1106">
        <v>2195</v>
      </c>
      <c r="B78" s="1107">
        <v>57920</v>
      </c>
      <c r="C78" s="1076" t="s">
        <v>2414</v>
      </c>
      <c r="D78" s="1106" t="s">
        <v>2415</v>
      </c>
      <c r="E78" s="1096">
        <v>1998.94</v>
      </c>
      <c r="F78" s="1096">
        <v>213.426669</v>
      </c>
      <c r="G78" s="1096">
        <v>16</v>
      </c>
      <c r="H78" s="1096">
        <v>64</v>
      </c>
      <c r="I78" s="1096">
        <v>0</v>
      </c>
      <c r="J78" s="1097">
        <v>38387.57</v>
      </c>
      <c r="K78" s="1096">
        <v>5859.37</v>
      </c>
      <c r="L78" s="1096">
        <v>1896</v>
      </c>
      <c r="M78" s="1096">
        <v>1224</v>
      </c>
      <c r="N78" s="1096">
        <v>426.74</v>
      </c>
      <c r="O78" s="1096">
        <v>0</v>
      </c>
      <c r="P78" s="1098">
        <f t="shared" si="22"/>
        <v>47793.68</v>
      </c>
      <c r="Q78" s="1049">
        <f t="shared" si="23"/>
        <v>2292.366669</v>
      </c>
      <c r="R78" s="1049">
        <f t="shared" si="24"/>
        <v>80</v>
      </c>
      <c r="S78" s="1099">
        <f t="shared" si="25"/>
        <v>2212.366669</v>
      </c>
      <c r="T78" s="1100"/>
      <c r="U78" s="1101"/>
      <c r="V78" s="1102">
        <f t="shared" si="26"/>
        <v>9893.5851780821922</v>
      </c>
      <c r="W78" s="1103">
        <v>42639</v>
      </c>
      <c r="X78" s="1104">
        <v>0.17649999999999999</v>
      </c>
      <c r="Y78" s="1102">
        <f t="shared" si="27"/>
        <v>1746.2177839315068</v>
      </c>
      <c r="Z78" s="1105"/>
      <c r="AA78" s="1049">
        <f t="shared" si="28"/>
        <v>43253.787783931504</v>
      </c>
      <c r="AB78" s="1103">
        <v>43003</v>
      </c>
      <c r="AC78" s="1104">
        <v>0.02</v>
      </c>
      <c r="AD78" s="1102">
        <f t="shared" si="29"/>
        <v>865.07575567863012</v>
      </c>
    </row>
    <row r="79" spans="1:30">
      <c r="A79" s="1106"/>
      <c r="B79" s="1107"/>
      <c r="C79" s="1076"/>
      <c r="D79" s="1106"/>
      <c r="E79" s="1096"/>
      <c r="F79" s="1096"/>
      <c r="G79" s="1096"/>
      <c r="H79" s="1096"/>
      <c r="I79" s="1096"/>
      <c r="J79" s="1097"/>
      <c r="K79" s="1096"/>
      <c r="L79" s="1096"/>
      <c r="M79" s="1096"/>
      <c r="N79" s="1096"/>
      <c r="O79" s="1096"/>
      <c r="P79" s="1098"/>
      <c r="S79" s="1099"/>
      <c r="T79" s="1100"/>
      <c r="U79" s="1101"/>
      <c r="V79" s="1102"/>
      <c r="W79" s="1114"/>
      <c r="X79" s="1113"/>
      <c r="Y79" s="1102"/>
      <c r="Z79" s="1105"/>
      <c r="AA79" s="1049"/>
      <c r="AB79" s="1114"/>
      <c r="AC79" s="1115"/>
      <c r="AD79" s="1102"/>
    </row>
    <row r="80" spans="1:30">
      <c r="A80" s="1106"/>
      <c r="B80" s="1107"/>
      <c r="C80" s="1122" t="s">
        <v>2416</v>
      </c>
      <c r="D80" s="1106"/>
      <c r="E80" s="1117">
        <f>+SUM(E67:E79)</f>
        <v>16558.783334999996</v>
      </c>
      <c r="F80" s="1117">
        <f t="shared" ref="F80:H80" si="30">+SUM(F67:F79)</f>
        <v>3250.2800230000003</v>
      </c>
      <c r="G80" s="1117">
        <f t="shared" si="30"/>
        <v>436.4</v>
      </c>
      <c r="H80" s="1117">
        <f t="shared" si="30"/>
        <v>488</v>
      </c>
      <c r="I80" s="1118">
        <f>+SUM(I67:I79)</f>
        <v>0</v>
      </c>
      <c r="J80" s="1117">
        <f>+SUM(J67:J79)</f>
        <v>374375.84899999999</v>
      </c>
      <c r="K80" s="1117">
        <f>+SUM(K67:K79)</f>
        <v>97391.210099999997</v>
      </c>
      <c r="L80" s="1117">
        <f t="shared" ref="L80:O80" si="31">+SUM(L67:L79)</f>
        <v>21104.3001</v>
      </c>
      <c r="M80" s="1117">
        <f t="shared" si="31"/>
        <v>9924.48</v>
      </c>
      <c r="N80" s="1117">
        <f t="shared" si="31"/>
        <v>4147.78</v>
      </c>
      <c r="O80" s="1117">
        <f t="shared" si="31"/>
        <v>522.88</v>
      </c>
      <c r="P80" s="1119">
        <f>+SUM(P67:P79)</f>
        <v>507466.49920000002</v>
      </c>
      <c r="Q80" s="1120">
        <f>+SUM(Q67:Q79)</f>
        <v>20733.463358000001</v>
      </c>
      <c r="R80" s="1120">
        <f>+SUM(R67:R79)</f>
        <v>924.4</v>
      </c>
      <c r="S80" s="1120">
        <f t="shared" ref="S80:AD80" si="32">+SUM(S67:S79)</f>
        <v>19809.063357999999</v>
      </c>
      <c r="T80" s="1120"/>
      <c r="U80" s="1120"/>
      <c r="V80" s="1120">
        <f t="shared" si="32"/>
        <v>109221.78523589041</v>
      </c>
      <c r="W80" s="1120"/>
      <c r="X80" s="1120">
        <f t="shared" si="32"/>
        <v>0.444710101010101</v>
      </c>
      <c r="Y80" s="1120">
        <f t="shared" si="32"/>
        <v>4979.7016041509887</v>
      </c>
      <c r="Z80" s="1120"/>
      <c r="AA80" s="1120"/>
      <c r="AB80" s="1120"/>
      <c r="AC80" s="1120"/>
      <c r="AD80" s="1120">
        <f t="shared" si="32"/>
        <v>25888.809985913063</v>
      </c>
    </row>
    <row r="81" spans="1:30" s="1076" customFormat="1" ht="12" thickBot="1">
      <c r="A81" s="1106"/>
      <c r="B81" s="1107"/>
      <c r="D81" s="1106"/>
      <c r="E81" s="1123"/>
      <c r="F81" s="1123"/>
      <c r="G81" s="1123"/>
      <c r="H81" s="1123"/>
      <c r="I81" s="1123"/>
      <c r="J81" s="1124"/>
      <c r="K81" s="1123"/>
      <c r="L81" s="1123"/>
      <c r="M81" s="1123"/>
      <c r="N81" s="1123"/>
      <c r="O81" s="1123"/>
      <c r="P81" s="1098"/>
      <c r="Q81" s="1123"/>
      <c r="R81" s="1123"/>
      <c r="S81" s="1125"/>
      <c r="T81" s="1126"/>
      <c r="U81" s="1127"/>
      <c r="V81" s="1128"/>
      <c r="W81" s="1129"/>
      <c r="X81" s="1130"/>
      <c r="Y81" s="1128"/>
      <c r="Z81" s="1131"/>
      <c r="AA81" s="1123"/>
      <c r="AB81" s="1129"/>
      <c r="AC81" s="1132"/>
      <c r="AD81" s="1128"/>
    </row>
    <row r="82" spans="1:30" s="1076" customFormat="1" ht="12.75" thickTop="1" thickBot="1">
      <c r="A82" s="1133"/>
      <c r="B82" s="1133" t="s">
        <v>2417</v>
      </c>
      <c r="C82" s="1134"/>
      <c r="D82" s="1135"/>
      <c r="E82" s="1123"/>
      <c r="F82" s="1123"/>
      <c r="G82" s="1123"/>
      <c r="H82" s="1123"/>
      <c r="I82" s="1123"/>
      <c r="J82" s="1124"/>
      <c r="K82" s="1123"/>
      <c r="L82" s="1123"/>
      <c r="M82" s="1123"/>
      <c r="N82" s="1123"/>
      <c r="O82" s="1123"/>
      <c r="P82" s="1098"/>
      <c r="Q82" s="1123"/>
      <c r="R82" s="1123"/>
      <c r="S82" s="1125"/>
      <c r="T82" s="1126"/>
      <c r="U82" s="1127"/>
      <c r="V82" s="1128"/>
      <c r="W82" s="1129"/>
      <c r="X82" s="1130"/>
      <c r="Y82" s="1128"/>
      <c r="Z82" s="1131"/>
      <c r="AA82" s="1123"/>
      <c r="AB82" s="1129"/>
      <c r="AC82" s="1132"/>
      <c r="AD82" s="1128"/>
    </row>
    <row r="83" spans="1:30" ht="12" thickTop="1">
      <c r="A83" s="1106">
        <v>2195</v>
      </c>
      <c r="B83" s="1107">
        <v>14565</v>
      </c>
      <c r="C83" s="1136" t="s">
        <v>2418</v>
      </c>
      <c r="D83" s="1106" t="s">
        <v>2419</v>
      </c>
      <c r="E83" s="1096">
        <v>1040</v>
      </c>
      <c r="F83" s="1096">
        <v>0</v>
      </c>
      <c r="G83" s="1096">
        <v>0</v>
      </c>
      <c r="H83" s="1096">
        <v>16</v>
      </c>
      <c r="I83" s="1096">
        <v>0</v>
      </c>
      <c r="J83" s="1097">
        <v>87416.8413</v>
      </c>
      <c r="K83" s="1096">
        <v>0</v>
      </c>
      <c r="L83" s="1096">
        <v>1403.52</v>
      </c>
      <c r="M83" s="1096">
        <v>693.2</v>
      </c>
      <c r="N83" s="1096">
        <v>0</v>
      </c>
      <c r="O83" s="1096">
        <v>0</v>
      </c>
      <c r="P83" s="1098">
        <f t="shared" ref="P83:P97" si="33">SUM(J83:O83)</f>
        <v>89513.561300000001</v>
      </c>
      <c r="Q83" s="1049">
        <f t="shared" ref="Q83:Q98" si="34">SUM(E83:I83)</f>
        <v>1056</v>
      </c>
      <c r="R83" s="1049">
        <f t="shared" ref="R83:R98" si="35">G83+H83+I83</f>
        <v>16</v>
      </c>
      <c r="S83" s="1099">
        <f t="shared" ref="S83:S98" si="36">Q83-R83</f>
        <v>1040</v>
      </c>
      <c r="T83" s="1100"/>
      <c r="U83" s="1101"/>
      <c r="V83" s="1102">
        <f t="shared" ref="V83:V98" si="37">SUM(J83,L83:M83)*($AH$7/365)</f>
        <v>21336.10913178082</v>
      </c>
      <c r="W83" s="1103">
        <v>42765</v>
      </c>
      <c r="X83" s="1104">
        <v>2.5000000000000001E-2</v>
      </c>
      <c r="Y83" s="1102">
        <f t="shared" ref="Y83:Y98" si="38">V83*X83</f>
        <v>533.40272829452056</v>
      </c>
      <c r="Z83" s="1105"/>
      <c r="AA83" s="1049">
        <f t="shared" ref="AA83:AA98" si="39">SUM(J83,L83:M83)+Y83</f>
        <v>90046.964028294518</v>
      </c>
      <c r="AB83" s="1103">
        <v>43130</v>
      </c>
      <c r="AC83" s="1104">
        <v>0.02</v>
      </c>
      <c r="AD83" s="1102">
        <f t="shared" ref="AD83:AD98" si="40">AA83*AC83</f>
        <v>1800.9392805658904</v>
      </c>
    </row>
    <row r="84" spans="1:30">
      <c r="A84" s="1106">
        <v>2195</v>
      </c>
      <c r="B84" s="1107">
        <v>2740</v>
      </c>
      <c r="C84" s="1136" t="s">
        <v>2420</v>
      </c>
      <c r="D84" s="1106" t="s">
        <v>2421</v>
      </c>
      <c r="E84" s="1096">
        <v>1040</v>
      </c>
      <c r="F84" s="1096">
        <v>0</v>
      </c>
      <c r="G84" s="1096">
        <v>0</v>
      </c>
      <c r="H84" s="1096">
        <v>16</v>
      </c>
      <c r="I84" s="1096">
        <v>0</v>
      </c>
      <c r="J84" s="1097">
        <v>121476.73870000002</v>
      </c>
      <c r="K84" s="1096">
        <v>0</v>
      </c>
      <c r="L84" s="1096">
        <v>3903.36</v>
      </c>
      <c r="M84" s="1096">
        <v>975.84</v>
      </c>
      <c r="N84" s="1096">
        <v>0</v>
      </c>
      <c r="O84" s="1096">
        <v>0</v>
      </c>
      <c r="P84" s="1098">
        <f>SUM(J84:O84)</f>
        <v>126355.93870000001</v>
      </c>
      <c r="Q84" s="1049">
        <f>SUM(E84:I84)</f>
        <v>1056</v>
      </c>
      <c r="R84" s="1049">
        <f>G84+H84+I84</f>
        <v>16</v>
      </c>
      <c r="S84" s="1099">
        <f>Q84-R84</f>
        <v>1040</v>
      </c>
      <c r="T84" s="1100"/>
      <c r="U84" s="1101"/>
      <c r="V84" s="1102">
        <f t="shared" si="37"/>
        <v>30117.716895616442</v>
      </c>
      <c r="W84" s="1103">
        <v>43009</v>
      </c>
      <c r="X84" s="1104">
        <v>0.02</v>
      </c>
      <c r="Y84" s="1102">
        <f>V84*X84</f>
        <v>602.3543379123289</v>
      </c>
      <c r="Z84" s="1105"/>
      <c r="AA84" s="1049">
        <f>SUM(J84,L84:M84)+Y84</f>
        <v>126958.29303791234</v>
      </c>
      <c r="AB84" s="1103">
        <v>43374</v>
      </c>
      <c r="AC84" s="1104">
        <v>0.02</v>
      </c>
      <c r="AD84" s="1102">
        <f>AA84*AC84</f>
        <v>2539.1658607582467</v>
      </c>
    </row>
    <row r="85" spans="1:30">
      <c r="A85" s="1106">
        <v>2195</v>
      </c>
      <c r="B85" s="1107">
        <v>56072</v>
      </c>
      <c r="C85" s="1076" t="s">
        <v>2422</v>
      </c>
      <c r="D85" s="1106" t="s">
        <v>2423</v>
      </c>
      <c r="E85" s="1096">
        <v>78.7</v>
      </c>
      <c r="F85" s="1096">
        <v>0</v>
      </c>
      <c r="G85" s="1096">
        <v>26</v>
      </c>
      <c r="H85" s="1096">
        <v>0</v>
      </c>
      <c r="I85" s="1096">
        <v>0</v>
      </c>
      <c r="J85" s="1097">
        <v>1190.73</v>
      </c>
      <c r="K85" s="1096">
        <v>0</v>
      </c>
      <c r="L85" s="1096">
        <v>393.38</v>
      </c>
      <c r="M85" s="1096">
        <v>0</v>
      </c>
      <c r="N85" s="1096">
        <v>399</v>
      </c>
      <c r="O85" s="1096">
        <v>0</v>
      </c>
      <c r="P85" s="1098">
        <f t="shared" si="33"/>
        <v>1983.1100000000001</v>
      </c>
      <c r="Q85" s="1049">
        <f t="shared" si="34"/>
        <v>104.7</v>
      </c>
      <c r="R85" s="1049">
        <f t="shared" si="35"/>
        <v>26</v>
      </c>
      <c r="S85" s="1099">
        <f t="shared" si="36"/>
        <v>78.7</v>
      </c>
      <c r="T85" s="1100"/>
      <c r="U85" s="1101"/>
      <c r="V85" s="1102">
        <f t="shared" si="37"/>
        <v>377.58238356164384</v>
      </c>
      <c r="W85" s="1103"/>
      <c r="X85" s="1104"/>
      <c r="Y85" s="1102"/>
      <c r="Z85" s="1105"/>
      <c r="AA85" s="1049"/>
      <c r="AB85" s="1103"/>
      <c r="AC85" s="1104"/>
      <c r="AD85" s="1102"/>
    </row>
    <row r="86" spans="1:30" s="1110" customFormat="1">
      <c r="A86" s="1106">
        <v>2195</v>
      </c>
      <c r="B86" s="1107">
        <v>59211</v>
      </c>
      <c r="C86" s="1076" t="s">
        <v>2424</v>
      </c>
      <c r="D86" s="1106" t="s">
        <v>2423</v>
      </c>
      <c r="E86" s="1096">
        <v>1150.5999999999999</v>
      </c>
      <c r="F86" s="1096">
        <v>39.246665999999991</v>
      </c>
      <c r="G86" s="1096">
        <v>0</v>
      </c>
      <c r="H86" s="1096">
        <v>16</v>
      </c>
      <c r="I86" s="1096">
        <v>0</v>
      </c>
      <c r="J86" s="1097">
        <v>15567.650000000003</v>
      </c>
      <c r="K86" s="1096">
        <v>814.62</v>
      </c>
      <c r="L86" s="1096">
        <v>108.24</v>
      </c>
      <c r="M86" s="1096">
        <v>216.48</v>
      </c>
      <c r="N86" s="1096">
        <v>931</v>
      </c>
      <c r="O86" s="1096">
        <v>0</v>
      </c>
      <c r="P86" s="1098">
        <f t="shared" si="33"/>
        <v>17637.990000000005</v>
      </c>
      <c r="Q86" s="1049">
        <f t="shared" si="34"/>
        <v>1205.8466659999999</v>
      </c>
      <c r="R86" s="1049">
        <f t="shared" si="35"/>
        <v>16</v>
      </c>
      <c r="S86" s="1099">
        <f t="shared" si="36"/>
        <v>1189.8466659999999</v>
      </c>
      <c r="T86" s="1100"/>
      <c r="U86" s="1101"/>
      <c r="V86" s="1102">
        <f t="shared" si="37"/>
        <v>3788.0443561643842</v>
      </c>
      <c r="W86" s="1103"/>
      <c r="X86" s="1104"/>
      <c r="Y86" s="1108"/>
      <c r="Z86" s="1109"/>
      <c r="AA86" s="1049">
        <f t="shared" ref="AA86:AA87" si="41">SUM(J86,L86:M86)+Y86</f>
        <v>15892.370000000003</v>
      </c>
      <c r="AB86" s="1103">
        <v>43003</v>
      </c>
      <c r="AC86" s="1104">
        <v>0.02</v>
      </c>
      <c r="AD86" s="1102">
        <f t="shared" ref="AD86:AD87" si="42">AA86*AC86</f>
        <v>317.84740000000005</v>
      </c>
    </row>
    <row r="87" spans="1:30" s="1110" customFormat="1">
      <c r="A87" s="1106">
        <v>2195</v>
      </c>
      <c r="B87" s="1107">
        <v>1165</v>
      </c>
      <c r="C87" s="1076" t="s">
        <v>2425</v>
      </c>
      <c r="D87" s="1106" t="s">
        <v>2423</v>
      </c>
      <c r="E87" s="1096">
        <v>193.23333400000001</v>
      </c>
      <c r="F87" s="1096">
        <v>4.7333350000000003</v>
      </c>
      <c r="G87" s="1096">
        <v>0</v>
      </c>
      <c r="H87" s="1096">
        <v>0</v>
      </c>
      <c r="I87" s="1096">
        <v>0</v>
      </c>
      <c r="J87" s="1097">
        <v>2614.4499999999998</v>
      </c>
      <c r="K87" s="1096">
        <v>96.1</v>
      </c>
      <c r="L87" s="1096">
        <v>0</v>
      </c>
      <c r="M87" s="1096">
        <v>0</v>
      </c>
      <c r="N87" s="1096">
        <v>0</v>
      </c>
      <c r="O87" s="1096">
        <v>0</v>
      </c>
      <c r="P87" s="1098">
        <f t="shared" si="33"/>
        <v>2710.5499999999997</v>
      </c>
      <c r="Q87" s="1049">
        <f t="shared" si="34"/>
        <v>197.96666900000002</v>
      </c>
      <c r="R87" s="1049">
        <f t="shared" si="35"/>
        <v>0</v>
      </c>
      <c r="S87" s="1099">
        <f t="shared" si="36"/>
        <v>197.96666900000002</v>
      </c>
      <c r="T87" s="1100"/>
      <c r="U87" s="1101"/>
      <c r="V87" s="1102">
        <f t="shared" si="37"/>
        <v>623.17027397260267</v>
      </c>
      <c r="W87" s="1103"/>
      <c r="X87" s="1104"/>
      <c r="Y87" s="1108"/>
      <c r="Z87" s="1109"/>
      <c r="AA87" s="1049">
        <f t="shared" si="41"/>
        <v>2614.4499999999998</v>
      </c>
      <c r="AB87" s="1103">
        <v>43003</v>
      </c>
      <c r="AC87" s="1104">
        <v>0.02</v>
      </c>
      <c r="AD87" s="1102">
        <f t="shared" si="42"/>
        <v>52.288999999999994</v>
      </c>
    </row>
    <row r="88" spans="1:30">
      <c r="A88" s="1106">
        <v>2195</v>
      </c>
      <c r="B88" s="1107">
        <v>52785</v>
      </c>
      <c r="C88" s="1076" t="s">
        <v>2426</v>
      </c>
      <c r="D88" s="1106" t="s">
        <v>2423</v>
      </c>
      <c r="E88" s="1096">
        <v>1941.7633340000002</v>
      </c>
      <c r="F88" s="1096">
        <v>56.119999000000007</v>
      </c>
      <c r="G88" s="1096">
        <v>40</v>
      </c>
      <c r="H88" s="1096">
        <v>72</v>
      </c>
      <c r="I88" s="1096">
        <v>0</v>
      </c>
      <c r="J88" s="1097">
        <v>30998.830099999999</v>
      </c>
      <c r="K88" s="1096">
        <v>1343.0300000000002</v>
      </c>
      <c r="L88" s="1096">
        <v>1475</v>
      </c>
      <c r="M88" s="1096">
        <v>1148.1599999999999</v>
      </c>
      <c r="N88" s="1096">
        <v>400.02</v>
      </c>
      <c r="O88" s="1096">
        <v>0</v>
      </c>
      <c r="P88" s="1098">
        <f t="shared" si="33"/>
        <v>35365.040099999991</v>
      </c>
      <c r="Q88" s="1049">
        <f t="shared" si="34"/>
        <v>2109.8833330000002</v>
      </c>
      <c r="R88" s="1049">
        <f t="shared" si="35"/>
        <v>112</v>
      </c>
      <c r="S88" s="1099">
        <f t="shared" si="36"/>
        <v>1997.8833330000002</v>
      </c>
      <c r="T88" s="1100"/>
      <c r="U88" s="1101"/>
      <c r="V88" s="1102">
        <f t="shared" si="37"/>
        <v>8014.0085991780807</v>
      </c>
      <c r="W88" s="1103">
        <v>42639</v>
      </c>
      <c r="X88" s="1104">
        <v>0.02</v>
      </c>
      <c r="Y88" s="1102">
        <f t="shared" si="38"/>
        <v>160.28017198356162</v>
      </c>
      <c r="Z88" s="1105"/>
      <c r="AA88" s="1049">
        <f t="shared" si="39"/>
        <v>33782.270271983558</v>
      </c>
      <c r="AB88" s="1103">
        <v>43003</v>
      </c>
      <c r="AC88" s="1104">
        <v>0.02</v>
      </c>
      <c r="AD88" s="1102">
        <f t="shared" si="40"/>
        <v>675.64540543967121</v>
      </c>
    </row>
    <row r="89" spans="1:30">
      <c r="A89" s="1106">
        <v>2195</v>
      </c>
      <c r="B89" s="1107">
        <v>54751</v>
      </c>
      <c r="C89" s="1076" t="s">
        <v>2427</v>
      </c>
      <c r="D89" s="1106" t="s">
        <v>2423</v>
      </c>
      <c r="E89" s="1096">
        <v>1922.649999</v>
      </c>
      <c r="F89" s="1096">
        <v>60.223332999999997</v>
      </c>
      <c r="G89" s="1096">
        <v>80</v>
      </c>
      <c r="H89" s="1096">
        <v>64</v>
      </c>
      <c r="I89" s="1096">
        <v>0</v>
      </c>
      <c r="J89" s="1097">
        <v>28957.590000000007</v>
      </c>
      <c r="K89" s="1096">
        <v>1361.8900000000003</v>
      </c>
      <c r="L89" s="1096">
        <v>1320.3200000000002</v>
      </c>
      <c r="M89" s="1096">
        <v>964.16000000000008</v>
      </c>
      <c r="N89" s="1096">
        <v>0.62</v>
      </c>
      <c r="O89" s="1096">
        <v>0</v>
      </c>
      <c r="P89" s="1098">
        <f t="shared" si="33"/>
        <v>32604.580000000005</v>
      </c>
      <c r="Q89" s="1049">
        <f t="shared" si="34"/>
        <v>2126.8733320000001</v>
      </c>
      <c r="R89" s="1049">
        <f t="shared" si="35"/>
        <v>144</v>
      </c>
      <c r="S89" s="1099">
        <f t="shared" si="36"/>
        <v>1982.8733320000001</v>
      </c>
      <c r="T89" s="1100"/>
      <c r="U89" s="1101"/>
      <c r="V89" s="1102">
        <f t="shared" si="37"/>
        <v>7446.7399726027415</v>
      </c>
      <c r="W89" s="1103">
        <v>42639</v>
      </c>
      <c r="X89" s="1104">
        <v>0.02</v>
      </c>
      <c r="Y89" s="1102">
        <f t="shared" si="38"/>
        <v>148.93479945205485</v>
      </c>
      <c r="Z89" s="1105"/>
      <c r="AA89" s="1049">
        <f t="shared" si="39"/>
        <v>31391.004799452061</v>
      </c>
      <c r="AB89" s="1103">
        <v>43003</v>
      </c>
      <c r="AC89" s="1104">
        <v>0.02</v>
      </c>
      <c r="AD89" s="1102">
        <f t="shared" si="40"/>
        <v>627.82009598904119</v>
      </c>
    </row>
    <row r="90" spans="1:30">
      <c r="A90" s="1106">
        <v>2195</v>
      </c>
      <c r="B90" s="1107">
        <v>56030</v>
      </c>
      <c r="C90" s="1076" t="s">
        <v>2428</v>
      </c>
      <c r="D90" s="1106" t="s">
        <v>2423</v>
      </c>
      <c r="E90" s="1096">
        <v>0</v>
      </c>
      <c r="F90" s="1096">
        <v>0</v>
      </c>
      <c r="G90" s="1096">
        <v>0</v>
      </c>
      <c r="H90" s="1096">
        <v>0</v>
      </c>
      <c r="I90" s="1096">
        <v>0</v>
      </c>
      <c r="J90" s="1097">
        <v>0</v>
      </c>
      <c r="K90" s="1096">
        <v>1.78</v>
      </c>
      <c r="L90" s="1096">
        <v>0</v>
      </c>
      <c r="M90" s="1096">
        <v>0</v>
      </c>
      <c r="N90" s="1096">
        <v>532</v>
      </c>
      <c r="O90" s="1096">
        <v>0</v>
      </c>
      <c r="P90" s="1098">
        <f t="shared" si="33"/>
        <v>533.78</v>
      </c>
      <c r="Q90" s="1049">
        <f t="shared" si="34"/>
        <v>0</v>
      </c>
      <c r="R90" s="1049">
        <f t="shared" si="35"/>
        <v>0</v>
      </c>
      <c r="S90" s="1099">
        <f t="shared" si="36"/>
        <v>0</v>
      </c>
      <c r="T90" s="1100"/>
      <c r="U90" s="1101"/>
      <c r="V90" s="1102">
        <f t="shared" si="37"/>
        <v>0</v>
      </c>
      <c r="W90" s="1103"/>
      <c r="X90" s="1104"/>
      <c r="Y90" s="1102"/>
      <c r="Z90" s="1105"/>
      <c r="AA90" s="1049"/>
      <c r="AB90" s="1103"/>
      <c r="AC90" s="1104"/>
      <c r="AD90" s="1102"/>
    </row>
    <row r="91" spans="1:30">
      <c r="A91" s="1106">
        <v>2195</v>
      </c>
      <c r="B91" s="1107">
        <v>54444</v>
      </c>
      <c r="C91" s="1076" t="s">
        <v>2429</v>
      </c>
      <c r="D91" s="1106" t="s">
        <v>2423</v>
      </c>
      <c r="E91" s="1096">
        <v>1431.6666660000001</v>
      </c>
      <c r="F91" s="1096">
        <v>18.873333999999996</v>
      </c>
      <c r="G91" s="1096">
        <v>24</v>
      </c>
      <c r="H91" s="1096">
        <v>64</v>
      </c>
      <c r="I91" s="1096">
        <v>8</v>
      </c>
      <c r="J91" s="1097">
        <v>22817.680100000001</v>
      </c>
      <c r="K91" s="1096">
        <v>467.04000000000008</v>
      </c>
      <c r="L91" s="1096">
        <v>3586.16</v>
      </c>
      <c r="M91" s="1096">
        <v>1019.76</v>
      </c>
      <c r="N91" s="1096">
        <v>4218.07</v>
      </c>
      <c r="O91" s="1096">
        <v>3.86</v>
      </c>
      <c r="P91" s="1098">
        <f t="shared" si="33"/>
        <v>32112.570100000001</v>
      </c>
      <c r="Q91" s="1049">
        <f t="shared" si="34"/>
        <v>1546.54</v>
      </c>
      <c r="R91" s="1049">
        <f t="shared" si="35"/>
        <v>96</v>
      </c>
      <c r="S91" s="1099">
        <f t="shared" si="36"/>
        <v>1450.54</v>
      </c>
      <c r="T91" s="1100"/>
      <c r="U91" s="1101"/>
      <c r="V91" s="1102">
        <f t="shared" si="37"/>
        <v>6536.584133424657</v>
      </c>
      <c r="W91" s="1103">
        <v>42639</v>
      </c>
      <c r="X91" s="1104">
        <v>0.02</v>
      </c>
      <c r="Y91" s="1102">
        <f t="shared" si="38"/>
        <v>130.73168266849314</v>
      </c>
      <c r="Z91" s="1105"/>
      <c r="AA91" s="1049"/>
      <c r="AB91" s="1103"/>
      <c r="AC91" s="1104"/>
      <c r="AD91" s="1102"/>
    </row>
    <row r="92" spans="1:30">
      <c r="A92" s="1106">
        <v>2195</v>
      </c>
      <c r="B92" s="1107">
        <v>53091</v>
      </c>
      <c r="C92" s="1076" t="s">
        <v>2430</v>
      </c>
      <c r="D92" s="1106" t="s">
        <v>2423</v>
      </c>
      <c r="E92" s="1096">
        <v>1933.1666640000001</v>
      </c>
      <c r="F92" s="1096">
        <v>18.943330000000003</v>
      </c>
      <c r="G92" s="1096">
        <v>40</v>
      </c>
      <c r="H92" s="1096">
        <v>72</v>
      </c>
      <c r="I92" s="1096">
        <v>0</v>
      </c>
      <c r="J92" s="1097">
        <v>30869.100099999996</v>
      </c>
      <c r="K92" s="1096">
        <v>462.57000000000005</v>
      </c>
      <c r="L92" s="1096">
        <v>1400</v>
      </c>
      <c r="M92" s="1096">
        <v>1150.6399999999999</v>
      </c>
      <c r="N92" s="1096">
        <v>2460.5700000000002</v>
      </c>
      <c r="O92" s="1096">
        <v>0</v>
      </c>
      <c r="P92" s="1098">
        <f t="shared" si="33"/>
        <v>36342.880099999995</v>
      </c>
      <c r="Q92" s="1049">
        <f t="shared" si="34"/>
        <v>2064.1099940000004</v>
      </c>
      <c r="R92" s="1049">
        <f t="shared" si="35"/>
        <v>112</v>
      </c>
      <c r="S92" s="1099">
        <f t="shared" si="36"/>
        <v>1952.1099940000004</v>
      </c>
      <c r="T92" s="1100"/>
      <c r="U92" s="1101"/>
      <c r="V92" s="1102">
        <f t="shared" si="37"/>
        <v>7965.8010649315056</v>
      </c>
      <c r="W92" s="1103">
        <v>42639</v>
      </c>
      <c r="X92" s="1104">
        <v>0.02</v>
      </c>
      <c r="Y92" s="1102">
        <f t="shared" si="38"/>
        <v>159.31602129863012</v>
      </c>
      <c r="Z92" s="1105"/>
      <c r="AA92" s="1049">
        <f t="shared" si="39"/>
        <v>33579.056121298629</v>
      </c>
      <c r="AB92" s="1103">
        <v>43003</v>
      </c>
      <c r="AC92" s="1104">
        <v>0.02</v>
      </c>
      <c r="AD92" s="1102">
        <f t="shared" si="40"/>
        <v>671.58112242597258</v>
      </c>
    </row>
    <row r="93" spans="1:30">
      <c r="A93" s="1106">
        <v>2195</v>
      </c>
      <c r="B93" s="1107">
        <v>14508</v>
      </c>
      <c r="C93" s="1076" t="s">
        <v>2431</v>
      </c>
      <c r="D93" s="1106" t="s">
        <v>2423</v>
      </c>
      <c r="E93" s="1096">
        <v>1744.9499980000001</v>
      </c>
      <c r="F93" s="1096">
        <v>28.936667999999997</v>
      </c>
      <c r="G93" s="1096">
        <v>88</v>
      </c>
      <c r="H93" s="1096">
        <v>64</v>
      </c>
      <c r="I93" s="1096">
        <v>0</v>
      </c>
      <c r="J93" s="1097">
        <v>29430.559999999998</v>
      </c>
      <c r="K93" s="1096">
        <v>732.04</v>
      </c>
      <c r="L93" s="1096">
        <v>5278.32</v>
      </c>
      <c r="M93" s="1096">
        <v>1077.52</v>
      </c>
      <c r="N93" s="1096">
        <v>0.23</v>
      </c>
      <c r="O93" s="1096">
        <v>0</v>
      </c>
      <c r="P93" s="1098">
        <f t="shared" si="33"/>
        <v>36518.67</v>
      </c>
      <c r="Q93" s="1049">
        <f t="shared" si="34"/>
        <v>1925.8866660000001</v>
      </c>
      <c r="R93" s="1049">
        <f t="shared" si="35"/>
        <v>152</v>
      </c>
      <c r="S93" s="1099">
        <f t="shared" si="36"/>
        <v>1773.8866660000001</v>
      </c>
      <c r="T93" s="1100"/>
      <c r="U93" s="1101"/>
      <c r="V93" s="1102">
        <f t="shared" si="37"/>
        <v>8529.9090410958888</v>
      </c>
      <c r="W93" s="1103">
        <v>42639</v>
      </c>
      <c r="X93" s="1104">
        <v>0.02</v>
      </c>
      <c r="Y93" s="1102">
        <f t="shared" si="38"/>
        <v>170.59818082191779</v>
      </c>
      <c r="Z93" s="1105"/>
      <c r="AA93" s="1049">
        <f t="shared" si="39"/>
        <v>35956.998180821909</v>
      </c>
      <c r="AB93" s="1103">
        <v>43003</v>
      </c>
      <c r="AC93" s="1104">
        <v>0.02</v>
      </c>
      <c r="AD93" s="1102">
        <f t="shared" si="40"/>
        <v>719.13996361643819</v>
      </c>
    </row>
    <row r="94" spans="1:30">
      <c r="A94" s="1106">
        <v>2195</v>
      </c>
      <c r="B94" s="1107">
        <v>3485</v>
      </c>
      <c r="C94" s="1076" t="s">
        <v>2432</v>
      </c>
      <c r="D94" s="1106" t="s">
        <v>2423</v>
      </c>
      <c r="E94" s="1096">
        <v>223.19</v>
      </c>
      <c r="F94" s="1096">
        <v>3.95</v>
      </c>
      <c r="G94" s="1096">
        <v>16</v>
      </c>
      <c r="H94" s="1096">
        <v>0</v>
      </c>
      <c r="I94" s="1096">
        <v>0</v>
      </c>
      <c r="J94" s="1097">
        <v>3758.5199999999995</v>
      </c>
      <c r="K94" s="1096">
        <v>99.78</v>
      </c>
      <c r="L94" s="1096">
        <v>269.44</v>
      </c>
      <c r="M94" s="1096">
        <v>0</v>
      </c>
      <c r="N94" s="1096">
        <v>0</v>
      </c>
      <c r="O94" s="1096">
        <v>0</v>
      </c>
      <c r="P94" s="1098">
        <f t="shared" si="33"/>
        <v>4127.74</v>
      </c>
      <c r="Q94" s="1049">
        <f t="shared" si="34"/>
        <v>243.14</v>
      </c>
      <c r="R94" s="1049">
        <f t="shared" si="35"/>
        <v>16</v>
      </c>
      <c r="S94" s="1099">
        <f t="shared" si="36"/>
        <v>227.14</v>
      </c>
      <c r="T94" s="1100"/>
      <c r="U94" s="1101"/>
      <c r="V94" s="1102">
        <f t="shared" si="37"/>
        <v>960.08909589041082</v>
      </c>
      <c r="W94" s="1103"/>
      <c r="X94" s="1104"/>
      <c r="Y94" s="1102"/>
      <c r="Z94" s="1105"/>
      <c r="AA94" s="1049"/>
      <c r="AB94" s="1103"/>
      <c r="AC94" s="1104"/>
      <c r="AD94" s="1102"/>
    </row>
    <row r="95" spans="1:30">
      <c r="A95" s="1106">
        <v>2195</v>
      </c>
      <c r="B95" s="1107">
        <v>14514</v>
      </c>
      <c r="C95" s="1076" t="s">
        <v>2433</v>
      </c>
      <c r="D95" s="1106" t="s">
        <v>2423</v>
      </c>
      <c r="E95" s="1096">
        <v>24</v>
      </c>
      <c r="F95" s="1096">
        <v>0</v>
      </c>
      <c r="G95" s="1096">
        <v>0</v>
      </c>
      <c r="H95" s="1096">
        <v>0</v>
      </c>
      <c r="I95" s="1096">
        <v>0</v>
      </c>
      <c r="J95" s="1097">
        <v>334.32</v>
      </c>
      <c r="K95" s="1096">
        <v>0</v>
      </c>
      <c r="L95" s="1096">
        <v>0</v>
      </c>
      <c r="M95" s="1096">
        <v>0</v>
      </c>
      <c r="N95" s="1096">
        <v>0</v>
      </c>
      <c r="O95" s="1096">
        <v>0</v>
      </c>
      <c r="P95" s="1098">
        <f t="shared" si="33"/>
        <v>334.32</v>
      </c>
      <c r="Q95" s="1049">
        <f t="shared" si="34"/>
        <v>24</v>
      </c>
      <c r="R95" s="1049">
        <f t="shared" si="35"/>
        <v>0</v>
      </c>
      <c r="S95" s="1099">
        <f t="shared" si="36"/>
        <v>24</v>
      </c>
      <c r="T95" s="1100"/>
      <c r="U95" s="1101"/>
      <c r="V95" s="1102">
        <f t="shared" si="37"/>
        <v>79.687232876712329</v>
      </c>
      <c r="W95" s="1103"/>
      <c r="X95" s="1104"/>
      <c r="Y95" s="1102"/>
      <c r="Z95" s="1105"/>
      <c r="AA95" s="1049"/>
      <c r="AB95" s="1103"/>
      <c r="AC95" s="1104"/>
      <c r="AD95" s="1102"/>
    </row>
    <row r="96" spans="1:30">
      <c r="A96" s="1106">
        <v>2195</v>
      </c>
      <c r="B96" s="1107">
        <v>58717</v>
      </c>
      <c r="C96" s="1076" t="s">
        <v>2434</v>
      </c>
      <c r="D96" s="1106" t="s">
        <v>2423</v>
      </c>
      <c r="E96" s="1096">
        <v>286.7</v>
      </c>
      <c r="F96" s="1096">
        <v>4.0299999999999994</v>
      </c>
      <c r="G96" s="1096">
        <v>0</v>
      </c>
      <c r="H96" s="1096">
        <v>0</v>
      </c>
      <c r="I96" s="1096">
        <v>0</v>
      </c>
      <c r="J96" s="1097">
        <v>3993.7400000000002</v>
      </c>
      <c r="K96" s="1096">
        <v>84.2</v>
      </c>
      <c r="L96" s="1096">
        <v>0</v>
      </c>
      <c r="M96" s="1096">
        <v>0</v>
      </c>
      <c r="N96" s="1096">
        <v>0</v>
      </c>
      <c r="O96" s="1096">
        <v>0</v>
      </c>
      <c r="P96" s="1098">
        <f t="shared" si="33"/>
        <v>4077.94</v>
      </c>
      <c r="Q96" s="1049">
        <f t="shared" si="34"/>
        <v>290.72999999999996</v>
      </c>
      <c r="R96" s="1049">
        <f t="shared" si="35"/>
        <v>0</v>
      </c>
      <c r="S96" s="1099">
        <f t="shared" si="36"/>
        <v>290.72999999999996</v>
      </c>
      <c r="T96" s="1100"/>
      <c r="U96" s="1101"/>
      <c r="V96" s="1102">
        <f t="shared" si="37"/>
        <v>951.93254794520556</v>
      </c>
      <c r="W96" s="1103"/>
      <c r="X96" s="1104"/>
      <c r="Y96" s="1102"/>
      <c r="Z96" s="1105"/>
      <c r="AA96" s="1049"/>
      <c r="AB96" s="1103"/>
      <c r="AC96" s="1104"/>
      <c r="AD96" s="1102"/>
    </row>
    <row r="97" spans="1:30">
      <c r="A97" s="1106">
        <v>2195</v>
      </c>
      <c r="B97" s="1107">
        <v>59050</v>
      </c>
      <c r="C97" s="1076" t="s">
        <v>2435</v>
      </c>
      <c r="D97" s="1106" t="s">
        <v>2423</v>
      </c>
      <c r="E97" s="1096">
        <v>1297.036668</v>
      </c>
      <c r="F97" s="1096">
        <v>14.183332</v>
      </c>
      <c r="G97" s="1096">
        <v>0</v>
      </c>
      <c r="H97" s="1096">
        <v>16</v>
      </c>
      <c r="I97" s="1096">
        <v>0</v>
      </c>
      <c r="J97" s="1097">
        <v>17748.090000000004</v>
      </c>
      <c r="K97" s="1096">
        <v>293.31999999999994</v>
      </c>
      <c r="L97" s="1096">
        <v>443.84</v>
      </c>
      <c r="M97" s="1096">
        <v>221.92000000000002</v>
      </c>
      <c r="N97" s="1096">
        <v>133.04</v>
      </c>
      <c r="O97" s="1096">
        <v>0</v>
      </c>
      <c r="P97" s="1098">
        <f t="shared" si="33"/>
        <v>18840.210000000003</v>
      </c>
      <c r="Q97" s="1049">
        <f t="shared" si="34"/>
        <v>1327.22</v>
      </c>
      <c r="R97" s="1049">
        <f t="shared" si="35"/>
        <v>16</v>
      </c>
      <c r="S97" s="1099">
        <f t="shared" si="36"/>
        <v>1311.22</v>
      </c>
      <c r="T97" s="1100"/>
      <c r="U97" s="1101"/>
      <c r="V97" s="1102">
        <f t="shared" si="37"/>
        <v>4389.0546575342469</v>
      </c>
      <c r="W97" s="1103"/>
      <c r="X97" s="1104"/>
      <c r="Y97" s="1102"/>
      <c r="Z97" s="1105"/>
      <c r="AA97" s="1049">
        <f t="shared" si="39"/>
        <v>18413.850000000002</v>
      </c>
      <c r="AB97" s="1103">
        <v>43003</v>
      </c>
      <c r="AC97" s="1104">
        <v>0.02</v>
      </c>
      <c r="AD97" s="1102">
        <f t="shared" si="40"/>
        <v>368.27700000000004</v>
      </c>
    </row>
    <row r="98" spans="1:30">
      <c r="A98" s="1106">
        <v>2195</v>
      </c>
      <c r="B98" s="1107">
        <v>14460</v>
      </c>
      <c r="C98" s="1076" t="s">
        <v>2436</v>
      </c>
      <c r="D98" s="1106" t="s">
        <v>2437</v>
      </c>
      <c r="E98" s="1096">
        <v>1040</v>
      </c>
      <c r="F98" s="1096">
        <v>0</v>
      </c>
      <c r="G98" s="1096">
        <v>0</v>
      </c>
      <c r="H98" s="1096">
        <v>16</v>
      </c>
      <c r="I98" s="1096">
        <v>0</v>
      </c>
      <c r="J98" s="1097">
        <v>52804.88</v>
      </c>
      <c r="K98" s="1096">
        <v>0</v>
      </c>
      <c r="L98" s="1096">
        <v>1493.5200000000004</v>
      </c>
      <c r="M98" s="1096">
        <v>426.72</v>
      </c>
      <c r="N98" s="1096">
        <v>0</v>
      </c>
      <c r="O98" s="1096">
        <v>0</v>
      </c>
      <c r="P98" s="1098">
        <f>SUM(J98:O98)</f>
        <v>54725.119999999995</v>
      </c>
      <c r="Q98" s="1049">
        <f t="shared" si="34"/>
        <v>1056</v>
      </c>
      <c r="R98" s="1049">
        <f t="shared" si="35"/>
        <v>16</v>
      </c>
      <c r="S98" s="1099">
        <f t="shared" si="36"/>
        <v>1040</v>
      </c>
      <c r="T98" s="1100"/>
      <c r="U98" s="1101"/>
      <c r="V98" s="1102">
        <f t="shared" si="37"/>
        <v>13044.069698630135</v>
      </c>
      <c r="W98" s="1103">
        <v>42681</v>
      </c>
      <c r="X98" s="1104">
        <v>2.5000000000000001E-2</v>
      </c>
      <c r="Y98" s="1102">
        <f t="shared" si="38"/>
        <v>326.10174246575343</v>
      </c>
      <c r="Z98" s="1105"/>
      <c r="AA98" s="1049">
        <f t="shared" si="39"/>
        <v>55051.22174246575</v>
      </c>
      <c r="AB98" s="1103">
        <v>43045</v>
      </c>
      <c r="AC98" s="1104">
        <v>0.02</v>
      </c>
      <c r="AD98" s="1102">
        <f t="shared" si="40"/>
        <v>1101.024434849315</v>
      </c>
    </row>
    <row r="99" spans="1:30">
      <c r="A99" s="1106"/>
      <c r="B99" s="1107"/>
      <c r="C99" s="1076"/>
      <c r="D99" s="1106"/>
      <c r="E99" s="1096"/>
      <c r="F99" s="1096"/>
      <c r="G99" s="1096"/>
      <c r="H99" s="1096"/>
      <c r="I99" s="1096"/>
      <c r="J99" s="1097"/>
      <c r="K99" s="1096"/>
      <c r="L99" s="1096"/>
      <c r="M99" s="1096"/>
      <c r="N99" s="1096"/>
      <c r="O99" s="1096"/>
      <c r="P99" s="1098"/>
      <c r="S99" s="1099"/>
      <c r="T99" s="1100"/>
      <c r="U99" s="1101"/>
      <c r="V99" s="1102"/>
      <c r="W99" s="1114"/>
      <c r="X99" s="1113"/>
      <c r="Y99" s="1102"/>
      <c r="Z99" s="1105"/>
      <c r="AA99" s="1049"/>
      <c r="AB99" s="1114"/>
      <c r="AC99" s="1115"/>
      <c r="AD99" s="1102"/>
    </row>
    <row r="100" spans="1:30">
      <c r="A100" s="1106"/>
      <c r="B100" s="1107"/>
      <c r="C100" s="1122" t="s">
        <v>2438</v>
      </c>
      <c r="D100" s="1106"/>
      <c r="E100" s="1117">
        <f t="shared" ref="E100:S100" si="43">+SUM(E83:E99)</f>
        <v>15347.656663000003</v>
      </c>
      <c r="F100" s="1117">
        <f t="shared" si="43"/>
        <v>249.23999699999999</v>
      </c>
      <c r="G100" s="1117">
        <f t="shared" si="43"/>
        <v>314</v>
      </c>
      <c r="H100" s="1117">
        <f t="shared" si="43"/>
        <v>416</v>
      </c>
      <c r="I100" s="1117">
        <f t="shared" si="43"/>
        <v>8</v>
      </c>
      <c r="J100" s="1137">
        <f t="shared" si="43"/>
        <v>449979.72030000004</v>
      </c>
      <c r="K100" s="1117">
        <f t="shared" si="43"/>
        <v>5756.37</v>
      </c>
      <c r="L100" s="1117">
        <f t="shared" si="43"/>
        <v>21075.1</v>
      </c>
      <c r="M100" s="1117">
        <f t="shared" si="43"/>
        <v>7894.4000000000005</v>
      </c>
      <c r="N100" s="1117">
        <f t="shared" si="43"/>
        <v>9074.5499999999993</v>
      </c>
      <c r="O100" s="1117">
        <f t="shared" si="43"/>
        <v>3.86</v>
      </c>
      <c r="P100" s="1119">
        <f t="shared" si="43"/>
        <v>493784.00030000001</v>
      </c>
      <c r="Q100" s="1120">
        <f t="shared" si="43"/>
        <v>16334.896659999999</v>
      </c>
      <c r="R100" s="1120">
        <f t="shared" si="43"/>
        <v>738</v>
      </c>
      <c r="S100" s="1120">
        <f t="shared" si="43"/>
        <v>15596.896659999999</v>
      </c>
      <c r="T100" s="1120"/>
      <c r="U100" s="1120"/>
      <c r="V100" s="1120">
        <f>+SUM(V83:V99)</f>
        <v>114160.49908520546</v>
      </c>
      <c r="W100" s="1120"/>
      <c r="X100" s="1120">
        <f>+SUM(X83:X99)</f>
        <v>0.16999999999999998</v>
      </c>
      <c r="Y100" s="1120">
        <f>+SUM(Y83:Y99)</f>
        <v>2231.7196648972604</v>
      </c>
      <c r="Z100" s="1120"/>
      <c r="AA100" s="1120"/>
      <c r="AB100" s="1120"/>
      <c r="AC100" s="1120"/>
      <c r="AD100" s="1120">
        <f>+SUM(AD83:AD99)</f>
        <v>8873.7295636445724</v>
      </c>
    </row>
    <row r="101" spans="1:30" s="1076" customFormat="1" ht="12" thickBot="1">
      <c r="A101" s="1106"/>
      <c r="B101" s="1107"/>
      <c r="D101" s="1106"/>
      <c r="E101" s="1123"/>
      <c r="F101" s="1123"/>
      <c r="G101" s="1123"/>
      <c r="H101" s="1123"/>
      <c r="I101" s="1123"/>
      <c r="J101" s="1124"/>
      <c r="K101" s="1123"/>
      <c r="L101" s="1123"/>
      <c r="M101" s="1123"/>
      <c r="N101" s="1123"/>
      <c r="O101" s="1123"/>
      <c r="P101" s="1098"/>
      <c r="Q101" s="1123"/>
      <c r="R101" s="1123"/>
      <c r="S101" s="1125"/>
      <c r="T101" s="1126"/>
      <c r="U101" s="1127"/>
      <c r="V101" s="1128"/>
      <c r="W101" s="1129"/>
      <c r="X101" s="1130"/>
      <c r="Y101" s="1128"/>
      <c r="Z101" s="1131"/>
      <c r="AA101" s="1123"/>
      <c r="AB101" s="1129"/>
      <c r="AC101" s="1132"/>
      <c r="AD101" s="1128"/>
    </row>
    <row r="102" spans="1:30" s="1076" customFormat="1" ht="12.75" thickTop="1" thickBot="1">
      <c r="A102" s="1138"/>
      <c r="B102" s="1133" t="s">
        <v>205</v>
      </c>
      <c r="C102" s="1134"/>
      <c r="D102" s="1135"/>
      <c r="E102" s="1123"/>
      <c r="F102" s="1123"/>
      <c r="G102" s="1123"/>
      <c r="H102" s="1123"/>
      <c r="I102" s="1123"/>
      <c r="J102" s="1124"/>
      <c r="K102" s="1123"/>
      <c r="L102" s="1123"/>
      <c r="M102" s="1123"/>
      <c r="N102" s="1123"/>
      <c r="O102" s="1123"/>
      <c r="P102" s="1098"/>
      <c r="Q102" s="1123"/>
      <c r="R102" s="1123"/>
      <c r="S102" s="1125"/>
      <c r="T102" s="1126"/>
      <c r="U102" s="1127"/>
      <c r="V102" s="1128"/>
      <c r="W102" s="1129"/>
      <c r="X102" s="1130"/>
      <c r="Y102" s="1128"/>
      <c r="Z102" s="1131"/>
      <c r="AA102" s="1123"/>
      <c r="AB102" s="1129"/>
      <c r="AC102" s="1132"/>
      <c r="AD102" s="1128"/>
    </row>
    <row r="103" spans="1:30" ht="12" thickTop="1">
      <c r="A103" s="1106">
        <v>2195</v>
      </c>
      <c r="B103" s="1107">
        <v>14439</v>
      </c>
      <c r="C103" s="1136" t="s">
        <v>2439</v>
      </c>
      <c r="D103" s="1106" t="s">
        <v>205</v>
      </c>
      <c r="E103" s="1096">
        <v>1871.1466660000001</v>
      </c>
      <c r="F103" s="1096">
        <v>198.37667299999998</v>
      </c>
      <c r="G103" s="1096">
        <v>104</v>
      </c>
      <c r="H103" s="1096">
        <v>64</v>
      </c>
      <c r="I103" s="1096">
        <v>24</v>
      </c>
      <c r="J103" s="1097">
        <v>22276.119999999995</v>
      </c>
      <c r="K103" s="1096">
        <v>3571.4399999999996</v>
      </c>
      <c r="L103" s="1096">
        <v>2392.16</v>
      </c>
      <c r="M103" s="1096">
        <v>762.40000000000009</v>
      </c>
      <c r="N103" s="1096">
        <v>701.74</v>
      </c>
      <c r="O103" s="1096">
        <v>281.76</v>
      </c>
      <c r="P103" s="1098">
        <f>SUM(J103:O103)</f>
        <v>29985.619999999995</v>
      </c>
      <c r="Q103" s="1049">
        <f>SUM(E103:I103)</f>
        <v>2261.5233390000003</v>
      </c>
      <c r="R103" s="1049">
        <f>G103+H103+I103</f>
        <v>192</v>
      </c>
      <c r="S103" s="1099">
        <f>Q103-R103</f>
        <v>2069.5233390000003</v>
      </c>
      <c r="T103" s="1100"/>
      <c r="U103" s="1101"/>
      <c r="V103" s="1102">
        <f>SUM(J103,L103:M103)*($AH$7/365)</f>
        <v>6061.5593424657527</v>
      </c>
      <c r="W103" s="1103">
        <v>42639</v>
      </c>
      <c r="X103" s="1104">
        <v>0.02</v>
      </c>
      <c r="Y103" s="1102">
        <f>V103*X103</f>
        <v>121.23118684931505</v>
      </c>
      <c r="Z103" s="1105"/>
      <c r="AA103" s="1049">
        <f>SUM(J103,L103:M103)+Y103</f>
        <v>25551.911186849313</v>
      </c>
      <c r="AB103" s="1103">
        <v>43003</v>
      </c>
      <c r="AC103" s="1104">
        <v>0.02</v>
      </c>
      <c r="AD103" s="1102">
        <f>AA103*AC103</f>
        <v>511.03822373698625</v>
      </c>
    </row>
    <row r="104" spans="1:30">
      <c r="A104" s="1106">
        <v>2195</v>
      </c>
      <c r="B104" s="1107">
        <v>56717</v>
      </c>
      <c r="C104" s="1076" t="s">
        <v>2440</v>
      </c>
      <c r="D104" s="1106" t="s">
        <v>205</v>
      </c>
      <c r="E104" s="1096">
        <v>2003.0633330000001</v>
      </c>
      <c r="F104" s="1096">
        <v>83.263335000000012</v>
      </c>
      <c r="G104" s="1096">
        <v>0</v>
      </c>
      <c r="H104" s="1096">
        <v>64</v>
      </c>
      <c r="I104" s="1096">
        <v>0</v>
      </c>
      <c r="J104" s="1097">
        <v>23369.15</v>
      </c>
      <c r="K104" s="1096">
        <v>1466.38</v>
      </c>
      <c r="L104" s="1096">
        <v>656.88</v>
      </c>
      <c r="M104" s="1096">
        <v>745.2</v>
      </c>
      <c r="N104" s="1096">
        <v>700.47</v>
      </c>
      <c r="O104" s="1096">
        <v>0</v>
      </c>
      <c r="P104" s="1098">
        <f>SUM(J104:O104)</f>
        <v>26938.080000000005</v>
      </c>
      <c r="Q104" s="1049">
        <f>SUM(E104:I104)</f>
        <v>2150.3266680000002</v>
      </c>
      <c r="R104" s="1049">
        <f>G104+H104+I104</f>
        <v>64</v>
      </c>
      <c r="S104" s="1099">
        <f>Q104-R104</f>
        <v>2086.3266680000002</v>
      </c>
      <c r="T104" s="1100"/>
      <c r="U104" s="1101"/>
      <c r="V104" s="1102">
        <f>SUM(J104,L104:M104)*($AH$7/365)</f>
        <v>5904.3753698630144</v>
      </c>
      <c r="W104" s="1103">
        <v>42639</v>
      </c>
      <c r="X104" s="1104">
        <v>0.02</v>
      </c>
      <c r="Y104" s="1102">
        <f>V104*X104</f>
        <v>118.0875073972603</v>
      </c>
      <c r="Z104" s="1105"/>
      <c r="AA104" s="1049">
        <f>SUM(J104,L104:M104)+Y104</f>
        <v>24889.317507397263</v>
      </c>
      <c r="AB104" s="1103">
        <v>43003</v>
      </c>
      <c r="AC104" s="1104">
        <v>0.02</v>
      </c>
      <c r="AD104" s="1102">
        <f>AA104*AC104</f>
        <v>497.78635014794526</v>
      </c>
    </row>
    <row r="105" spans="1:30">
      <c r="A105" s="1106"/>
      <c r="B105" s="1107"/>
      <c r="C105" s="1076"/>
      <c r="D105" s="1106"/>
      <c r="E105" s="1096"/>
      <c r="F105" s="1096"/>
      <c r="G105" s="1096"/>
      <c r="H105" s="1096"/>
      <c r="I105" s="1096"/>
      <c r="J105" s="1097"/>
      <c r="K105" s="1096"/>
      <c r="L105" s="1096"/>
      <c r="M105" s="1096"/>
      <c r="N105" s="1096"/>
      <c r="O105" s="1096"/>
      <c r="P105" s="1098"/>
      <c r="S105" s="1099"/>
      <c r="T105" s="1100"/>
      <c r="U105" s="1101"/>
      <c r="V105" s="1102"/>
      <c r="W105" s="1114"/>
      <c r="X105" s="1113"/>
      <c r="Y105" s="1102"/>
      <c r="Z105" s="1105"/>
      <c r="AA105" s="1049"/>
      <c r="AB105" s="1114"/>
      <c r="AC105" s="1115"/>
      <c r="AD105" s="1102"/>
    </row>
    <row r="106" spans="1:30">
      <c r="A106" s="1106"/>
      <c r="B106" s="1107"/>
      <c r="C106" s="1122" t="s">
        <v>2441</v>
      </c>
      <c r="D106" s="1106"/>
      <c r="E106" s="1117">
        <f>+SUM(E103:E105)</f>
        <v>3874.2099990000002</v>
      </c>
      <c r="F106" s="1117">
        <f t="shared" ref="F106:I106" si="44">+SUM(F103:F105)</f>
        <v>281.64000799999997</v>
      </c>
      <c r="G106" s="1117">
        <f t="shared" si="44"/>
        <v>104</v>
      </c>
      <c r="H106" s="1117">
        <f t="shared" si="44"/>
        <v>128</v>
      </c>
      <c r="I106" s="1117">
        <f t="shared" si="44"/>
        <v>24</v>
      </c>
      <c r="J106" s="1137">
        <f t="shared" ref="J106:AD106" si="45">+SUM(J103:J105)</f>
        <v>45645.27</v>
      </c>
      <c r="K106" s="1117">
        <f t="shared" si="45"/>
        <v>5037.82</v>
      </c>
      <c r="L106" s="1117">
        <f t="shared" si="45"/>
        <v>3049.04</v>
      </c>
      <c r="M106" s="1117">
        <f t="shared" si="45"/>
        <v>1507.6000000000001</v>
      </c>
      <c r="N106" s="1117">
        <f t="shared" si="45"/>
        <v>1402.21</v>
      </c>
      <c r="O106" s="1117">
        <f t="shared" si="45"/>
        <v>281.76</v>
      </c>
      <c r="P106" s="1119">
        <f>+SUM(P103:P105)</f>
        <v>56923.7</v>
      </c>
      <c r="Q106" s="1120">
        <f t="shared" si="45"/>
        <v>4411.8500070000009</v>
      </c>
      <c r="R106" s="1120">
        <f t="shared" si="45"/>
        <v>256</v>
      </c>
      <c r="S106" s="1120">
        <f t="shared" si="45"/>
        <v>4155.8500070000009</v>
      </c>
      <c r="T106" s="1120"/>
      <c r="U106" s="1120"/>
      <c r="V106" s="1120">
        <f t="shared" si="45"/>
        <v>11965.934712328766</v>
      </c>
      <c r="W106" s="1120"/>
      <c r="X106" s="1120">
        <f t="shared" si="45"/>
        <v>0.04</v>
      </c>
      <c r="Y106" s="1120">
        <f t="shared" si="45"/>
        <v>239.31869424657535</v>
      </c>
      <c r="Z106" s="1120"/>
      <c r="AA106" s="1120"/>
      <c r="AB106" s="1120"/>
      <c r="AC106" s="1120"/>
      <c r="AD106" s="1120">
        <f t="shared" si="45"/>
        <v>1008.8245738849315</v>
      </c>
    </row>
    <row r="107" spans="1:30" s="1076" customFormat="1" ht="12" thickBot="1">
      <c r="A107" s="1106"/>
      <c r="B107" s="1107"/>
      <c r="D107" s="1106"/>
      <c r="E107" s="1123"/>
      <c r="F107" s="1123"/>
      <c r="G107" s="1123"/>
      <c r="H107" s="1123"/>
      <c r="I107" s="1123"/>
      <c r="J107" s="1124"/>
      <c r="K107" s="1123"/>
      <c r="L107" s="1123"/>
      <c r="M107" s="1123"/>
      <c r="N107" s="1123"/>
      <c r="O107" s="1123"/>
      <c r="P107" s="1098"/>
      <c r="Q107" s="1123"/>
      <c r="R107" s="1123"/>
      <c r="S107" s="1125"/>
      <c r="T107" s="1126"/>
      <c r="U107" s="1127"/>
      <c r="V107" s="1128"/>
      <c r="W107" s="1129"/>
      <c r="X107" s="1130"/>
      <c r="Y107" s="1128"/>
      <c r="Z107" s="1131"/>
      <c r="AA107" s="1123"/>
      <c r="AB107" s="1129"/>
      <c r="AC107" s="1132"/>
      <c r="AD107" s="1128"/>
    </row>
    <row r="108" spans="1:30" s="1076" customFormat="1" ht="12" thickTop="1">
      <c r="A108" s="1091"/>
      <c r="B108" s="1139"/>
      <c r="C108" s="1089" t="s">
        <v>2442</v>
      </c>
      <c r="D108" s="1092"/>
      <c r="E108" s="1123"/>
      <c r="F108" s="1123"/>
      <c r="G108" s="1123"/>
      <c r="H108" s="1123"/>
      <c r="I108" s="1123"/>
      <c r="J108" s="1124"/>
      <c r="K108" s="1123"/>
      <c r="L108" s="1123"/>
      <c r="M108" s="1123"/>
      <c r="N108" s="1123"/>
      <c r="O108" s="1123"/>
      <c r="P108" s="1098"/>
      <c r="Q108" s="1123"/>
      <c r="R108" s="1123"/>
      <c r="S108" s="1125"/>
      <c r="T108" s="1126"/>
      <c r="U108" s="1127"/>
      <c r="V108" s="1128"/>
      <c r="W108" s="1129"/>
      <c r="X108" s="1130"/>
      <c r="Y108" s="1128"/>
      <c r="Z108" s="1131"/>
      <c r="AA108" s="1123"/>
      <c r="AB108" s="1129"/>
      <c r="AC108" s="1132"/>
      <c r="AD108" s="1128"/>
    </row>
    <row r="109" spans="1:30">
      <c r="A109" s="1106">
        <v>2195</v>
      </c>
      <c r="B109" s="1107">
        <v>14455</v>
      </c>
      <c r="C109" s="1076" t="s">
        <v>2443</v>
      </c>
      <c r="D109" s="1106" t="s">
        <v>2444</v>
      </c>
      <c r="E109" s="1096">
        <v>1040</v>
      </c>
      <c r="F109" s="1096">
        <v>0</v>
      </c>
      <c r="G109" s="1096">
        <v>0</v>
      </c>
      <c r="H109" s="1096">
        <v>16</v>
      </c>
      <c r="I109" s="1096">
        <v>0</v>
      </c>
      <c r="J109" s="1097">
        <v>58187.400299999987</v>
      </c>
      <c r="K109" s="1096">
        <v>0</v>
      </c>
      <c r="L109" s="1096">
        <v>1166</v>
      </c>
      <c r="M109" s="1096">
        <v>466.4</v>
      </c>
      <c r="N109" s="1096">
        <v>0</v>
      </c>
      <c r="O109" s="1096">
        <v>0</v>
      </c>
      <c r="P109" s="1098">
        <f>SUM(J109:O109)</f>
        <v>59819.800299999988</v>
      </c>
      <c r="Q109" s="1049">
        <f>SUM(E109:I109)</f>
        <v>1056</v>
      </c>
      <c r="R109" s="1049">
        <f>G109+H109+I109</f>
        <v>16</v>
      </c>
      <c r="S109" s="1099">
        <f>Q109-R109</f>
        <v>1040</v>
      </c>
      <c r="T109" s="1100"/>
      <c r="U109" s="1101"/>
      <c r="V109" s="1102">
        <f>SUM(J109,L109:M109)*($AK$7/365)</f>
        <v>21141.792434794515</v>
      </c>
      <c r="W109" s="1103">
        <v>42681</v>
      </c>
      <c r="X109" s="1104">
        <v>2.5000000000000001E-2</v>
      </c>
      <c r="Y109" s="1102">
        <f>V109*X109</f>
        <v>528.54481086986289</v>
      </c>
      <c r="Z109" s="1105"/>
      <c r="AA109" s="1049">
        <f>SUM(J109,L109:M109)+Y109</f>
        <v>60348.34511086985</v>
      </c>
      <c r="AB109" s="1103">
        <v>43045</v>
      </c>
      <c r="AC109" s="1104">
        <v>0.02</v>
      </c>
      <c r="AD109" s="1102">
        <f>AA109*AC109</f>
        <v>1206.9669022173971</v>
      </c>
    </row>
    <row r="110" spans="1:30">
      <c r="A110" s="1106">
        <v>2195</v>
      </c>
      <c r="B110" s="1107">
        <v>14461</v>
      </c>
      <c r="C110" s="1076" t="s">
        <v>2445</v>
      </c>
      <c r="D110" s="1106" t="s">
        <v>2446</v>
      </c>
      <c r="E110" s="1096">
        <v>1040</v>
      </c>
      <c r="F110" s="1096">
        <v>0</v>
      </c>
      <c r="G110" s="1096">
        <v>0</v>
      </c>
      <c r="H110" s="1096">
        <v>16</v>
      </c>
      <c r="I110" s="1096">
        <v>0</v>
      </c>
      <c r="J110" s="1097">
        <v>61733.760699999992</v>
      </c>
      <c r="K110" s="1096">
        <v>0</v>
      </c>
      <c r="L110" s="1096">
        <v>1490.4</v>
      </c>
      <c r="M110" s="1096">
        <v>496.8</v>
      </c>
      <c r="N110" s="1096">
        <v>0</v>
      </c>
      <c r="O110" s="1096">
        <v>0</v>
      </c>
      <c r="P110" s="1098">
        <f>SUM(J110:O110)</f>
        <v>63720.960699999996</v>
      </c>
      <c r="Q110" s="1049">
        <f>SUM(E110:I110)</f>
        <v>1056</v>
      </c>
      <c r="R110" s="1049">
        <f>G110+H110+I110</f>
        <v>16</v>
      </c>
      <c r="S110" s="1099">
        <f>Q110-R110</f>
        <v>1040</v>
      </c>
      <c r="T110" s="1100"/>
      <c r="U110" s="1101"/>
      <c r="V110" s="1102">
        <f>SUM(J110,L110:M110)*($AK$7/365)</f>
        <v>22520.558713150684</v>
      </c>
      <c r="W110" s="1103">
        <v>42681</v>
      </c>
      <c r="X110" s="1104">
        <v>2.5000000000000001E-2</v>
      </c>
      <c r="Y110" s="1102">
        <f>V110*X110</f>
        <v>563.01396782876714</v>
      </c>
      <c r="Z110" s="1105"/>
      <c r="AA110" s="1049">
        <f>SUM(J110,L110:M110)+Y110</f>
        <v>64283.974667828763</v>
      </c>
      <c r="AB110" s="1103">
        <v>43045</v>
      </c>
      <c r="AC110" s="1104">
        <v>0.02</v>
      </c>
      <c r="AD110" s="1102">
        <f>AA110*AC110</f>
        <v>1285.6794933565752</v>
      </c>
    </row>
    <row r="111" spans="1:30">
      <c r="A111" s="1087"/>
      <c r="B111" s="1087"/>
      <c r="C111" s="1087"/>
      <c r="D111" s="1087"/>
      <c r="E111" s="1069"/>
      <c r="F111" s="1069"/>
      <c r="G111" s="1069"/>
      <c r="H111" s="1069"/>
      <c r="I111" s="1069"/>
      <c r="J111" s="1071"/>
      <c r="K111" s="1069"/>
      <c r="L111" s="1069"/>
      <c r="M111" s="1069"/>
      <c r="N111" s="1069"/>
      <c r="O111" s="1069"/>
      <c r="P111" s="1088"/>
      <c r="Q111" s="1081"/>
      <c r="R111" s="1081"/>
      <c r="S111" s="1082"/>
      <c r="T111" s="1082"/>
      <c r="V111" s="1074"/>
      <c r="W111" s="1083"/>
      <c r="X111" s="1084"/>
      <c r="Y111" s="1085"/>
      <c r="Z111" s="1085"/>
      <c r="AA111" s="1074"/>
      <c r="AB111" s="1086"/>
      <c r="AC111" s="1074"/>
      <c r="AD111" s="1074"/>
    </row>
    <row r="112" spans="1:30">
      <c r="A112" s="1087"/>
      <c r="B112" s="1087"/>
      <c r="C112" s="1122" t="s">
        <v>2447</v>
      </c>
      <c r="D112" s="1087"/>
      <c r="E112" s="1140">
        <f t="shared" ref="E112:P112" si="46">+SUM(E109:E111)</f>
        <v>2080</v>
      </c>
      <c r="F112" s="1140">
        <f t="shared" si="46"/>
        <v>0</v>
      </c>
      <c r="G112" s="1140">
        <f t="shared" si="46"/>
        <v>0</v>
      </c>
      <c r="H112" s="1140">
        <f t="shared" si="46"/>
        <v>32</v>
      </c>
      <c r="I112" s="1140">
        <f t="shared" si="46"/>
        <v>0</v>
      </c>
      <c r="J112" s="1140">
        <f t="shared" si="46"/>
        <v>119921.16099999998</v>
      </c>
      <c r="K112" s="1140">
        <f t="shared" si="46"/>
        <v>0</v>
      </c>
      <c r="L112" s="1140">
        <f t="shared" si="46"/>
        <v>2656.4</v>
      </c>
      <c r="M112" s="1140">
        <f t="shared" si="46"/>
        <v>963.2</v>
      </c>
      <c r="N112" s="1140">
        <f t="shared" si="46"/>
        <v>0</v>
      </c>
      <c r="O112" s="1140">
        <f t="shared" si="46"/>
        <v>0</v>
      </c>
      <c r="P112" s="1141">
        <f t="shared" si="46"/>
        <v>123540.76099999998</v>
      </c>
      <c r="Q112" s="1142">
        <f>+SUM(Q84:Q111)</f>
        <v>42549.493333999999</v>
      </c>
      <c r="R112" s="1142">
        <f>+SUM(R84:R111)</f>
        <v>2004</v>
      </c>
      <c r="S112" s="1142">
        <f>+SUM(S84:S111)</f>
        <v>40545.493333999999</v>
      </c>
      <c r="T112" s="1142"/>
      <c r="U112" s="1142"/>
      <c r="V112" s="1142">
        <f>+SUM(V84:V111)</f>
        <v>274579.10961123282</v>
      </c>
      <c r="W112" s="1142"/>
      <c r="X112" s="1142">
        <f>+SUM(X84:X111)</f>
        <v>0.44500000000000006</v>
      </c>
      <c r="Y112" s="1142">
        <f>+SUM(Y109:Y111)</f>
        <v>1091.55877869863</v>
      </c>
      <c r="Z112" s="1142"/>
      <c r="AA112" s="1142"/>
      <c r="AB112" s="1142"/>
      <c r="AC112" s="1142"/>
      <c r="AD112" s="1142">
        <f>+SUM(AD109:AD111)</f>
        <v>2492.6463955739723</v>
      </c>
    </row>
    <row r="113" spans="1:35">
      <c r="A113" s="1087"/>
      <c r="B113" s="1087"/>
      <c r="C113" s="1087"/>
      <c r="D113" s="1087"/>
      <c r="E113" s="1069"/>
      <c r="F113" s="1069"/>
      <c r="G113" s="1069"/>
      <c r="H113" s="1069"/>
      <c r="I113" s="1069"/>
      <c r="J113" s="1071"/>
      <c r="K113" s="1069"/>
      <c r="L113" s="1069"/>
      <c r="M113" s="1069"/>
      <c r="N113" s="1069"/>
      <c r="O113" s="1069"/>
      <c r="P113" s="1088"/>
      <c r="Q113" s="1081"/>
      <c r="R113" s="1081"/>
      <c r="S113" s="1082"/>
      <c r="T113" s="1082"/>
      <c r="V113" s="1074"/>
      <c r="W113" s="1083"/>
      <c r="X113" s="1084"/>
      <c r="Y113" s="1085"/>
      <c r="Z113" s="1085"/>
      <c r="AA113" s="1074"/>
      <c r="AB113" s="1086"/>
      <c r="AC113" s="1074"/>
      <c r="AD113" s="1074"/>
    </row>
    <row r="114" spans="1:35">
      <c r="A114" s="1087"/>
      <c r="B114" s="1087"/>
      <c r="C114" s="1122" t="s">
        <v>2448</v>
      </c>
      <c r="D114" s="1087"/>
      <c r="E114" s="1140">
        <f t="shared" ref="E114:S114" si="47">+E112+E106+E100+E80+E64</f>
        <v>125208.926654</v>
      </c>
      <c r="F114" s="1140">
        <f t="shared" si="47"/>
        <v>19640.163345000001</v>
      </c>
      <c r="G114" s="1140">
        <f t="shared" si="47"/>
        <v>4420.3999999999996</v>
      </c>
      <c r="H114" s="1140">
        <f t="shared" si="47"/>
        <v>3960</v>
      </c>
      <c r="I114" s="1140">
        <f t="shared" si="47"/>
        <v>104</v>
      </c>
      <c r="J114" s="1137">
        <f t="shared" si="47"/>
        <v>2784806.5007000002</v>
      </c>
      <c r="K114" s="1140">
        <f t="shared" si="47"/>
        <v>605314.9500999999</v>
      </c>
      <c r="L114" s="1140">
        <f t="shared" si="47"/>
        <v>187275.1801</v>
      </c>
      <c r="M114" s="1140">
        <f t="shared" si="47"/>
        <v>79879.760000000009</v>
      </c>
      <c r="N114" s="1140">
        <f t="shared" si="47"/>
        <v>39542.83</v>
      </c>
      <c r="O114" s="1140">
        <f t="shared" si="47"/>
        <v>2349.54</v>
      </c>
      <c r="P114" s="1119">
        <f t="shared" si="47"/>
        <v>3699168.760900001</v>
      </c>
      <c r="Q114" s="1143">
        <f t="shared" si="47"/>
        <v>193770.98333300004</v>
      </c>
      <c r="R114" s="1143">
        <f t="shared" si="47"/>
        <v>10456.4</v>
      </c>
      <c r="S114" s="1143">
        <f t="shared" si="47"/>
        <v>183314.58333300002</v>
      </c>
      <c r="T114" s="1143"/>
      <c r="U114" s="1143"/>
      <c r="V114" s="1143">
        <f t="shared" ref="V114:AD114" si="48">+V112+V106+V100+V80+V64</f>
        <v>1056092.0721956166</v>
      </c>
      <c r="W114" s="1143"/>
      <c r="X114" s="1143">
        <f t="shared" si="48"/>
        <v>1.2646101010101012</v>
      </c>
      <c r="Y114" s="1143">
        <f t="shared" si="48"/>
        <v>31462.213322863863</v>
      </c>
      <c r="Z114" s="1143"/>
      <c r="AA114" s="1143"/>
      <c r="AB114" s="1143"/>
      <c r="AC114" s="1143"/>
      <c r="AD114" s="1143">
        <f t="shared" si="48"/>
        <v>77761.899767872295</v>
      </c>
    </row>
    <row r="115" spans="1:35">
      <c r="A115" s="1087"/>
      <c r="B115" s="1087"/>
      <c r="C115" s="1087"/>
      <c r="D115" s="1087"/>
      <c r="E115" s="1069"/>
      <c r="F115" s="1069"/>
      <c r="G115" s="1069"/>
      <c r="H115" s="1069"/>
      <c r="I115" s="1069"/>
      <c r="J115" s="1071"/>
      <c r="K115" s="1069"/>
      <c r="L115" s="1069"/>
      <c r="M115" s="1069"/>
      <c r="N115" s="1069"/>
      <c r="O115" s="1069"/>
      <c r="P115" s="1088"/>
      <c r="Q115" s="1081"/>
      <c r="R115" s="1081"/>
      <c r="S115" s="1082"/>
      <c r="T115" s="1082"/>
      <c r="V115" s="1074"/>
      <c r="W115" s="1083"/>
      <c r="X115" s="1084"/>
      <c r="Y115" s="1085"/>
      <c r="Z115" s="1085"/>
      <c r="AA115" s="1074"/>
      <c r="AB115" s="1086"/>
      <c r="AC115" s="1074"/>
      <c r="AD115" s="1074"/>
    </row>
    <row r="116" spans="1:35" ht="9" customHeight="1">
      <c r="J116" s="1144"/>
      <c r="K116" s="1145"/>
      <c r="L116" s="1145"/>
      <c r="M116" s="1145"/>
      <c r="N116" s="1145"/>
      <c r="O116" s="1145"/>
      <c r="V116" s="1444"/>
      <c r="W116" s="1444"/>
      <c r="X116" s="1444"/>
      <c r="Y116" s="1444"/>
      <c r="Z116" s="1444"/>
      <c r="AA116" s="1444"/>
      <c r="AB116" s="1444"/>
      <c r="AC116" s="1444"/>
      <c r="AD116" s="1444"/>
      <c r="AE116" s="1146"/>
      <c r="AH116" s="1049"/>
      <c r="AI116" s="1049"/>
    </row>
    <row r="117" spans="1:35">
      <c r="J117" s="1144"/>
      <c r="K117" s="1145"/>
      <c r="L117" s="1145"/>
      <c r="M117" s="1145"/>
      <c r="N117" s="1145"/>
      <c r="O117" s="1145"/>
      <c r="V117" s="1445"/>
      <c r="W117" s="1445"/>
      <c r="X117" s="1445"/>
      <c r="Y117" s="1445"/>
      <c r="Z117" s="1445"/>
      <c r="AA117" s="1445"/>
      <c r="AB117" s="1445"/>
      <c r="AC117" s="1445"/>
      <c r="AD117" s="1445"/>
      <c r="AE117" s="1146"/>
      <c r="AH117" s="1049"/>
      <c r="AI117" s="1049"/>
    </row>
    <row r="118" spans="1:35" ht="12.75" customHeight="1">
      <c r="A118" s="1446" t="s">
        <v>2449</v>
      </c>
      <c r="B118" s="1446"/>
      <c r="C118" s="1446"/>
      <c r="D118" s="1446"/>
      <c r="E118" s="1147"/>
      <c r="F118" s="1147"/>
      <c r="G118" s="1147"/>
      <c r="H118" s="1147"/>
      <c r="I118" s="1147"/>
      <c r="J118" s="1148"/>
      <c r="K118" s="1147"/>
      <c r="L118" s="1147"/>
      <c r="M118" s="1147"/>
      <c r="N118" s="1147"/>
      <c r="O118" s="1147"/>
      <c r="P118" s="1147"/>
      <c r="Q118" s="1123"/>
      <c r="R118" s="1123"/>
      <c r="S118" s="1123"/>
      <c r="AE118" s="1146"/>
      <c r="AH118" s="1049"/>
      <c r="AI118" s="1049"/>
    </row>
    <row r="119" spans="1:35">
      <c r="J119" s="1149"/>
      <c r="R119" s="1150"/>
      <c r="S119" s="1151"/>
      <c r="AE119" s="1146"/>
      <c r="AH119" s="1049"/>
      <c r="AI119" s="1049"/>
    </row>
    <row r="120" spans="1:35">
      <c r="A120" s="1152"/>
      <c r="B120" s="1152"/>
      <c r="C120" s="1153" t="s">
        <v>2450</v>
      </c>
      <c r="D120" s="1154"/>
      <c r="E120" s="1154"/>
      <c r="F120" s="1154"/>
      <c r="G120" s="1154"/>
      <c r="H120" s="1154"/>
      <c r="I120" s="1154"/>
      <c r="J120" s="1154"/>
      <c r="K120" s="1154"/>
      <c r="L120" s="1154"/>
      <c r="M120" s="1154"/>
      <c r="N120" s="1154"/>
      <c r="O120" s="1154"/>
      <c r="P120" s="1155">
        <f>+P64</f>
        <v>2517453.800400001</v>
      </c>
      <c r="Q120" s="1156"/>
      <c r="R120" s="1157"/>
      <c r="S120" s="1158"/>
      <c r="T120" s="1159"/>
      <c r="U120" s="1136"/>
      <c r="V120" s="1136"/>
      <c r="W120" s="1160"/>
      <c r="X120" s="1161"/>
      <c r="Y120" s="1162"/>
      <c r="Z120" s="1159"/>
      <c r="AA120" s="1136"/>
      <c r="AB120" s="1163"/>
      <c r="AC120" s="1136"/>
      <c r="AE120" s="1164"/>
    </row>
    <row r="121" spans="1:35" ht="13.5" customHeight="1">
      <c r="Q121" s="1158"/>
      <c r="R121" s="1447"/>
      <c r="S121" s="1447"/>
      <c r="T121" s="1447"/>
      <c r="U121" s="1447"/>
      <c r="V121" s="1447"/>
      <c r="W121" s="1447"/>
      <c r="X121" s="1447"/>
      <c r="Y121" s="1447"/>
      <c r="Z121" s="1447"/>
      <c r="AA121" s="1447"/>
      <c r="AB121" s="1165"/>
      <c r="AC121" s="1165"/>
      <c r="AE121" s="1164"/>
    </row>
    <row r="122" spans="1:35">
      <c r="D122" s="1166" t="s">
        <v>2451</v>
      </c>
      <c r="P122" s="1167">
        <v>13637.200000000028</v>
      </c>
      <c r="Q122" s="1158"/>
      <c r="R122" s="1136"/>
      <c r="S122" s="1106"/>
      <c r="T122" s="1168"/>
      <c r="U122" s="1168"/>
      <c r="V122" s="1136"/>
      <c r="W122" s="1106"/>
      <c r="X122" s="1169"/>
      <c r="Y122" s="1106"/>
      <c r="Z122" s="1159"/>
      <c r="AA122" s="1106"/>
      <c r="AB122" s="1163"/>
      <c r="AC122" s="1136"/>
      <c r="AE122" s="1164"/>
    </row>
    <row r="123" spans="1:35">
      <c r="D123" s="1170" t="s">
        <v>2452</v>
      </c>
      <c r="Q123" s="1158"/>
      <c r="R123" s="1171"/>
      <c r="S123" s="1158"/>
      <c r="T123" s="1158"/>
      <c r="U123" s="1158"/>
      <c r="V123" s="1136"/>
      <c r="W123" s="1158"/>
      <c r="X123" s="1172"/>
      <c r="Y123" s="1162"/>
      <c r="Z123" s="1159"/>
      <c r="AA123" s="1158"/>
      <c r="AB123" s="1163"/>
      <c r="AC123" s="1173"/>
      <c r="AE123" s="1164"/>
    </row>
    <row r="124" spans="1:35">
      <c r="D124" s="1166" t="s">
        <v>2453</v>
      </c>
      <c r="P124" s="1174"/>
      <c r="Q124" s="1158"/>
      <c r="R124" s="1171"/>
      <c r="S124" s="1158"/>
      <c r="T124" s="1158"/>
      <c r="U124" s="1158"/>
      <c r="V124" s="1136"/>
      <c r="W124" s="1160"/>
      <c r="X124" s="1161"/>
      <c r="Y124" s="1162"/>
      <c r="Z124" s="1159"/>
      <c r="AA124" s="1158"/>
      <c r="AB124" s="1163"/>
      <c r="AC124" s="1173"/>
      <c r="AE124" s="1164"/>
    </row>
    <row r="125" spans="1:35">
      <c r="D125" s="1166"/>
      <c r="Q125" s="1158"/>
      <c r="R125" s="1175"/>
      <c r="S125" s="1158"/>
      <c r="T125" s="1158"/>
      <c r="U125" s="1158"/>
      <c r="V125" s="1136"/>
      <c r="W125" s="1160"/>
      <c r="X125" s="1161"/>
      <c r="Y125" s="1162"/>
      <c r="Z125" s="1159"/>
      <c r="AA125" s="1158"/>
      <c r="AB125" s="1163"/>
      <c r="AC125" s="1173"/>
      <c r="AE125" s="1164"/>
    </row>
    <row r="126" spans="1:35">
      <c r="D126" s="1045"/>
      <c r="E126" s="1058"/>
      <c r="F126" s="1058"/>
      <c r="G126" s="1058"/>
      <c r="H126" s="1058"/>
      <c r="I126" s="1058"/>
      <c r="J126" s="1058"/>
      <c r="K126" s="1058"/>
      <c r="L126" s="1058"/>
      <c r="M126" s="1058"/>
      <c r="N126" s="1058"/>
      <c r="O126" s="1058"/>
      <c r="P126" s="1176" t="s">
        <v>2454</v>
      </c>
      <c r="Q126" s="1158"/>
      <c r="R126" s="1177"/>
      <c r="S126" s="1158"/>
      <c r="T126" s="1158"/>
      <c r="U126" s="1158"/>
      <c r="V126" s="1136"/>
      <c r="W126" s="1159"/>
      <c r="X126" s="1172"/>
      <c r="Y126" s="1177"/>
      <c r="Z126" s="1136"/>
      <c r="AA126" s="1158"/>
      <c r="AB126" s="1136"/>
      <c r="AC126" s="1173"/>
      <c r="AE126" s="1057"/>
    </row>
    <row r="127" spans="1:35">
      <c r="C127" s="1178">
        <v>50020</v>
      </c>
      <c r="D127" s="1178" t="s">
        <v>50</v>
      </c>
      <c r="E127" s="1179"/>
      <c r="F127" s="1179"/>
      <c r="G127" s="1179"/>
      <c r="H127" s="1179"/>
      <c r="I127" s="1179"/>
      <c r="J127" s="1179"/>
      <c r="K127" s="1179"/>
      <c r="L127" s="1179"/>
      <c r="M127" s="1179"/>
      <c r="N127" s="1179"/>
      <c r="O127" s="1179"/>
      <c r="P127" s="1158">
        <f>'Yakima Consolidated IS'!C89</f>
        <v>1904821.8</v>
      </c>
      <c r="Q127" s="1158"/>
      <c r="R127" s="1177"/>
      <c r="S127" s="1158"/>
      <c r="T127" s="1158"/>
      <c r="U127" s="1158"/>
      <c r="V127" s="1136"/>
      <c r="W127" s="1159"/>
      <c r="X127" s="1172"/>
      <c r="Y127" s="1177"/>
      <c r="Z127" s="1136"/>
      <c r="AA127" s="1158"/>
      <c r="AB127" s="1180"/>
      <c r="AC127" s="1180"/>
      <c r="AE127" s="1057"/>
    </row>
    <row r="128" spans="1:35">
      <c r="C128" s="1178">
        <v>50025</v>
      </c>
      <c r="D128" s="1178" t="s">
        <v>51</v>
      </c>
      <c r="E128" s="1179"/>
      <c r="F128" s="1179"/>
      <c r="G128" s="1179"/>
      <c r="H128" s="1179"/>
      <c r="I128" s="1179"/>
      <c r="J128" s="1179"/>
      <c r="K128" s="1179"/>
      <c r="L128" s="1179"/>
      <c r="M128" s="1179"/>
      <c r="N128" s="1179"/>
      <c r="O128" s="1179"/>
      <c r="P128" s="1158">
        <f>'Yakima Consolidated IS'!C90</f>
        <v>510063.83999999997</v>
      </c>
      <c r="Q128" s="1158"/>
      <c r="R128" s="1177"/>
      <c r="S128" s="1158"/>
      <c r="T128" s="1158"/>
      <c r="U128" s="1158"/>
      <c r="V128" s="1136"/>
      <c r="W128" s="1136"/>
      <c r="X128" s="1172"/>
      <c r="Y128" s="1177"/>
      <c r="Z128" s="1136"/>
      <c r="AA128" s="1158"/>
      <c r="AB128" s="1136"/>
      <c r="AC128" s="1136"/>
      <c r="AE128" s="1057"/>
    </row>
    <row r="129" spans="1:32">
      <c r="C129" s="1178">
        <v>50035</v>
      </c>
      <c r="D129" s="1181" t="s">
        <v>258</v>
      </c>
      <c r="E129" s="1179"/>
      <c r="F129" s="1179"/>
      <c r="G129" s="1179"/>
      <c r="H129" s="1179"/>
      <c r="I129" s="1179"/>
      <c r="J129" s="1179"/>
      <c r="K129" s="1179"/>
      <c r="L129" s="1179"/>
      <c r="M129" s="1179"/>
      <c r="N129" s="1179"/>
      <c r="O129" s="1179"/>
      <c r="P129" s="1158">
        <f>'Yakima Consolidated IS'!C91</f>
        <v>29945.100000000002</v>
      </c>
      <c r="Q129" s="1158"/>
      <c r="R129" s="1171"/>
      <c r="S129" s="1158"/>
      <c r="T129" s="1158"/>
      <c r="U129" s="1158"/>
      <c r="V129" s="1136"/>
      <c r="W129" s="1159"/>
      <c r="X129" s="1172"/>
      <c r="Y129" s="1177"/>
      <c r="Z129" s="1136"/>
      <c r="AA129" s="1158"/>
      <c r="AB129" s="1163"/>
      <c r="AC129" s="1136"/>
      <c r="AE129" s="1146"/>
    </row>
    <row r="130" spans="1:32">
      <c r="C130" s="1178">
        <v>50036</v>
      </c>
      <c r="D130" s="1181" t="s">
        <v>2455</v>
      </c>
      <c r="E130" s="1179"/>
      <c r="F130" s="1179"/>
      <c r="G130" s="1179"/>
      <c r="H130" s="1179"/>
      <c r="I130" s="1179"/>
      <c r="J130" s="1179"/>
      <c r="K130" s="1179"/>
      <c r="L130" s="1179"/>
      <c r="M130" s="1179"/>
      <c r="N130" s="1179"/>
      <c r="O130" s="1179"/>
      <c r="P130" s="1158">
        <f>'Yakima Consolidated IS'!C92</f>
        <v>2374.71</v>
      </c>
      <c r="Q130" s="1158"/>
      <c r="R130" s="1171"/>
      <c r="S130" s="1159"/>
      <c r="T130" s="1159"/>
      <c r="U130" s="1158"/>
      <c r="V130" s="1136"/>
      <c r="W130" s="1159"/>
      <c r="X130" s="1172"/>
      <c r="Y130" s="1177"/>
      <c r="Z130" s="1136"/>
      <c r="AA130" s="1158"/>
      <c r="AB130" s="1163"/>
      <c r="AC130" s="1136"/>
      <c r="AE130" s="1164"/>
    </row>
    <row r="131" spans="1:32">
      <c r="C131" s="1178">
        <v>50065</v>
      </c>
      <c r="D131" s="1178" t="s">
        <v>47</v>
      </c>
      <c r="E131" s="1179"/>
      <c r="F131" s="1179"/>
      <c r="G131" s="1179"/>
      <c r="H131" s="1179"/>
      <c r="I131" s="1179"/>
      <c r="J131" s="1179"/>
      <c r="K131" s="1179"/>
      <c r="L131" s="1179"/>
      <c r="M131" s="1179"/>
      <c r="N131" s="1179"/>
      <c r="O131" s="1179"/>
      <c r="P131" s="1158">
        <f>'Yakima Consolidated IS'!C93</f>
        <v>110516.81</v>
      </c>
      <c r="Q131" s="1158"/>
      <c r="R131" s="1171"/>
      <c r="S131" s="1156"/>
      <c r="T131" s="1156"/>
      <c r="U131" s="1156"/>
      <c r="V131" s="1156"/>
      <c r="W131" s="1156"/>
      <c r="X131" s="1182"/>
      <c r="Y131" s="1156"/>
      <c r="Z131" s="1136"/>
      <c r="AA131" s="1156"/>
      <c r="AB131" s="1163"/>
      <c r="AC131" s="1136"/>
      <c r="AE131" s="1164"/>
    </row>
    <row r="132" spans="1:32">
      <c r="C132" s="1178">
        <v>50070</v>
      </c>
      <c r="D132" s="1178" t="s">
        <v>48</v>
      </c>
      <c r="E132" s="1179"/>
      <c r="F132" s="1179"/>
      <c r="G132" s="1179"/>
      <c r="H132" s="1179"/>
      <c r="I132" s="1179"/>
      <c r="J132" s="1179"/>
      <c r="K132" s="1179"/>
      <c r="L132" s="1179"/>
      <c r="M132" s="1179"/>
      <c r="N132" s="1179"/>
      <c r="O132" s="1179"/>
      <c r="P132" s="1412">
        <f>'Yakima Consolidated IS'!C94</f>
        <v>30850.020000000004</v>
      </c>
      <c r="Q132" s="1158"/>
      <c r="R132" s="1158"/>
      <c r="S132" s="1158"/>
      <c r="T132" s="1159"/>
      <c r="U132" s="1136"/>
      <c r="V132" s="1136"/>
      <c r="W132" s="1160"/>
      <c r="X132" s="1161"/>
      <c r="Y132" s="1177"/>
      <c r="Z132" s="1136"/>
      <c r="AA132" s="1183"/>
      <c r="AB132" s="1163"/>
      <c r="AC132" s="1136"/>
      <c r="AE132" s="1164"/>
    </row>
    <row r="133" spans="1:32">
      <c r="C133" s="1184"/>
      <c r="D133" s="1184"/>
      <c r="E133" s="1179"/>
      <c r="F133" s="1179"/>
      <c r="G133" s="1179"/>
      <c r="H133" s="1179"/>
      <c r="I133" s="1179"/>
      <c r="J133" s="1179"/>
      <c r="K133" s="1179"/>
      <c r="L133" s="1179"/>
      <c r="M133" s="1179"/>
      <c r="N133" s="1179"/>
      <c r="O133" s="1179"/>
      <c r="P133" s="1156">
        <f>SUM(P127:P132)</f>
        <v>2588572.2800000003</v>
      </c>
      <c r="Q133" s="1158"/>
      <c r="R133" s="1177"/>
      <c r="S133" s="1159"/>
      <c r="T133" s="1185"/>
      <c r="U133" s="1159"/>
      <c r="V133" s="1159"/>
      <c r="W133" s="1160"/>
      <c r="X133" s="1161"/>
      <c r="Y133" s="1162"/>
      <c r="Z133" s="1159"/>
      <c r="AA133" s="1183"/>
      <c r="AB133" s="1163"/>
      <c r="AC133" s="1136"/>
      <c r="AE133" s="1164"/>
    </row>
    <row r="134" spans="1:32">
      <c r="C134" s="1184"/>
      <c r="D134" s="1184"/>
      <c r="E134" s="1179"/>
      <c r="F134" s="1179"/>
      <c r="G134" s="1179"/>
      <c r="H134" s="1179"/>
      <c r="I134" s="1179"/>
      <c r="J134" s="1179"/>
      <c r="K134" s="1179"/>
      <c r="L134" s="1179"/>
      <c r="M134" s="1179"/>
      <c r="N134" s="1179"/>
      <c r="O134" s="1179"/>
      <c r="P134" s="1186"/>
      <c r="Q134" s="1158"/>
      <c r="R134" s="1177"/>
      <c r="S134" s="1106"/>
      <c r="T134" s="1168"/>
      <c r="U134" s="1168"/>
      <c r="V134" s="1168"/>
      <c r="W134" s="1106"/>
      <c r="X134" s="1169"/>
      <c r="Y134" s="1106"/>
      <c r="Z134" s="1159"/>
      <c r="AA134" s="1187"/>
      <c r="AB134" s="1163"/>
      <c r="AC134" s="1136"/>
      <c r="AE134" s="1164"/>
    </row>
    <row r="135" spans="1:32">
      <c r="C135" s="1184"/>
      <c r="D135" s="1181" t="s">
        <v>508</v>
      </c>
      <c r="E135" s="1188"/>
      <c r="F135" s="1188"/>
      <c r="G135" s="1188"/>
      <c r="H135" s="1188"/>
      <c r="I135" s="1188"/>
      <c r="J135" s="1188"/>
      <c r="K135" s="1188"/>
      <c r="L135" s="1188"/>
      <c r="M135" s="1188"/>
      <c r="N135" s="1188"/>
      <c r="O135" s="1189" t="s">
        <v>2456</v>
      </c>
      <c r="P135" s="1186">
        <f>P120+P122-P133+P124</f>
        <v>-57481.279599999078</v>
      </c>
      <c r="Q135" s="1173">
        <f>P135/P133</f>
        <v>-2.2205785036065934E-2</v>
      </c>
      <c r="R135" s="1177"/>
      <c r="S135" s="1173"/>
      <c r="T135" s="1190"/>
      <c r="U135" s="1190"/>
      <c r="V135" s="1190"/>
      <c r="W135" s="1158"/>
      <c r="X135" s="1172"/>
      <c r="Y135" s="1162"/>
      <c r="Z135" s="1159"/>
      <c r="AA135" s="1158"/>
      <c r="AB135" s="1163"/>
      <c r="AC135" s="1136"/>
      <c r="AE135" s="1164"/>
      <c r="AF135" s="1115"/>
    </row>
    <row r="136" spans="1:32" s="1046" customFormat="1">
      <c r="B136" s="1045"/>
      <c r="C136" s="1045"/>
      <c r="D136" s="1047"/>
      <c r="E136" s="1047"/>
      <c r="F136" s="1047"/>
      <c r="G136" s="1047"/>
      <c r="H136" s="1047"/>
      <c r="I136" s="1047"/>
      <c r="J136" s="1047"/>
      <c r="K136" s="1047"/>
      <c r="L136" s="1047"/>
      <c r="M136" s="1047"/>
      <c r="N136" s="1047"/>
      <c r="O136" s="1047"/>
      <c r="P136" s="1158"/>
      <c r="Q136" s="1158"/>
      <c r="R136" s="1177"/>
      <c r="S136" s="1191"/>
      <c r="T136" s="1190"/>
      <c r="U136" s="1190"/>
      <c r="V136" s="1190"/>
      <c r="W136" s="1160"/>
      <c r="X136" s="1172"/>
      <c r="Y136" s="1162"/>
      <c r="Z136" s="1159"/>
      <c r="AA136" s="1158"/>
      <c r="AB136" s="1159"/>
      <c r="AC136" s="1159"/>
      <c r="AD136" s="1164"/>
      <c r="AE136" s="1164"/>
    </row>
    <row r="137" spans="1:32">
      <c r="P137" s="1192"/>
      <c r="Q137" s="1158"/>
      <c r="R137" s="1177"/>
      <c r="S137" s="1190"/>
      <c r="T137" s="1190"/>
      <c r="U137" s="1190"/>
      <c r="V137" s="1190"/>
      <c r="W137" s="1160"/>
      <c r="X137" s="1172"/>
      <c r="Y137" s="1162"/>
      <c r="Z137" s="1159"/>
      <c r="AA137" s="1158"/>
      <c r="AB137" s="1159"/>
      <c r="AC137" s="1159"/>
      <c r="AD137" s="1164"/>
      <c r="AE137" s="1164"/>
    </row>
    <row r="138" spans="1:32">
      <c r="A138" s="1193"/>
      <c r="B138" s="1193"/>
      <c r="C138" s="1194" t="s">
        <v>2457</v>
      </c>
      <c r="D138" s="1195"/>
      <c r="E138" s="1195"/>
      <c r="F138" s="1195"/>
      <c r="G138" s="1195"/>
      <c r="H138" s="1195"/>
      <c r="I138" s="1195"/>
      <c r="J138" s="1195"/>
      <c r="K138" s="1195"/>
      <c r="L138" s="1195"/>
      <c r="M138" s="1195"/>
      <c r="N138" s="1195"/>
      <c r="O138" s="1195"/>
      <c r="P138" s="1196">
        <f>+P80</f>
        <v>507466.49920000002</v>
      </c>
      <c r="Q138" s="1197"/>
      <c r="R138" s="1198"/>
      <c r="S138" s="1190"/>
      <c r="T138" s="1190"/>
      <c r="U138" s="1190"/>
      <c r="V138" s="1190"/>
      <c r="W138" s="1158"/>
      <c r="X138" s="1172"/>
      <c r="Y138" s="1162"/>
      <c r="Z138" s="1159"/>
      <c r="AA138" s="1158"/>
      <c r="AB138" s="1159"/>
      <c r="AC138" s="1159"/>
      <c r="AD138" s="1164"/>
      <c r="AE138" s="1164"/>
    </row>
    <row r="139" spans="1:32">
      <c r="D139" s="1045"/>
      <c r="Q139" s="1158"/>
      <c r="R139" s="1177"/>
      <c r="S139" s="1190"/>
      <c r="T139" s="1190"/>
      <c r="U139" s="1190"/>
      <c r="V139" s="1190"/>
      <c r="W139" s="1159"/>
      <c r="X139" s="1172"/>
      <c r="Y139" s="1199"/>
      <c r="Z139" s="1160"/>
      <c r="AA139" s="1158"/>
      <c r="AB139" s="1159"/>
      <c r="AC139" s="1159"/>
      <c r="AD139" s="1164"/>
      <c r="AE139" s="1164"/>
    </row>
    <row r="140" spans="1:32">
      <c r="D140" s="1166" t="s">
        <v>2458</v>
      </c>
      <c r="P140" s="1167">
        <v>22569.200000000008</v>
      </c>
      <c r="Q140" s="1158"/>
      <c r="R140" s="1177"/>
      <c r="S140" s="1190"/>
      <c r="T140" s="1190"/>
      <c r="U140" s="1190"/>
      <c r="V140" s="1190"/>
      <c r="W140" s="1159"/>
      <c r="X140" s="1172"/>
      <c r="Y140" s="1199"/>
      <c r="Z140" s="1160"/>
      <c r="AA140" s="1158"/>
      <c r="AB140" s="1159"/>
      <c r="AC140" s="1159"/>
      <c r="AD140" s="1164"/>
      <c r="AE140" s="1164"/>
    </row>
    <row r="141" spans="1:32">
      <c r="D141" s="1166" t="s">
        <v>2459</v>
      </c>
      <c r="Q141" s="1158"/>
      <c r="R141" s="1177"/>
      <c r="S141" s="1190"/>
      <c r="T141" s="1190"/>
      <c r="U141" s="1190"/>
      <c r="V141" s="1190"/>
      <c r="W141" s="1159"/>
      <c r="X141" s="1172"/>
      <c r="Y141" s="1199"/>
      <c r="Z141" s="1160"/>
      <c r="AA141" s="1158"/>
      <c r="AB141" s="1159"/>
      <c r="AC141" s="1159"/>
      <c r="AD141" s="1164"/>
      <c r="AE141" s="1164"/>
    </row>
    <row r="142" spans="1:32">
      <c r="D142" s="1166"/>
      <c r="Q142" s="1158"/>
      <c r="R142" s="1177"/>
      <c r="S142" s="1190"/>
      <c r="T142" s="1190"/>
      <c r="U142" s="1190"/>
      <c r="V142" s="1190"/>
      <c r="W142" s="1136"/>
      <c r="X142" s="1172"/>
      <c r="Y142" s="1199"/>
      <c r="Z142" s="1160"/>
      <c r="AA142" s="1158"/>
      <c r="AB142" s="1159"/>
      <c r="AC142" s="1136"/>
      <c r="AD142" s="1054"/>
    </row>
    <row r="143" spans="1:32">
      <c r="D143" s="1045"/>
      <c r="E143" s="1058"/>
      <c r="F143" s="1058"/>
      <c r="G143" s="1058"/>
      <c r="H143" s="1058"/>
      <c r="I143" s="1058"/>
      <c r="J143" s="1058"/>
      <c r="K143" s="1058"/>
      <c r="L143" s="1058"/>
      <c r="M143" s="1058"/>
      <c r="N143" s="1058"/>
      <c r="O143" s="1058"/>
      <c r="P143" s="1176" t="s">
        <v>2454</v>
      </c>
      <c r="Q143" s="1158"/>
      <c r="R143" s="1158"/>
      <c r="S143" s="1158"/>
      <c r="T143" s="1158"/>
      <c r="U143" s="1158"/>
      <c r="V143" s="1158"/>
      <c r="W143" s="1158"/>
      <c r="X143" s="1172"/>
      <c r="Y143" s="1158"/>
      <c r="Z143" s="1158"/>
      <c r="AA143" s="1158"/>
      <c r="AB143" s="1163"/>
      <c r="AC143" s="1136"/>
    </row>
    <row r="144" spans="1:32">
      <c r="C144" s="1178">
        <v>52010</v>
      </c>
      <c r="D144" s="1178" t="s">
        <v>41</v>
      </c>
      <c r="E144" s="1058"/>
      <c r="F144" s="1058"/>
      <c r="G144" s="1058"/>
      <c r="H144" s="1058"/>
      <c r="I144" s="1058"/>
      <c r="J144" s="1058"/>
      <c r="K144" s="1058"/>
      <c r="L144" s="1058"/>
      <c r="M144" s="1058"/>
      <c r="N144" s="1058"/>
      <c r="O144" s="1058"/>
      <c r="P144" s="1158">
        <f>'Yakima Consolidated IS'!C31</f>
        <v>78033.449999999983</v>
      </c>
      <c r="Q144" s="1158"/>
      <c r="R144" s="1158"/>
      <c r="S144" s="1158"/>
      <c r="T144" s="1159"/>
      <c r="U144" s="1136"/>
      <c r="V144" s="1136"/>
      <c r="W144" s="1160"/>
      <c r="X144" s="1161"/>
      <c r="Y144" s="1162"/>
      <c r="Z144" s="1159"/>
      <c r="AA144" s="1136"/>
      <c r="AB144" s="1163"/>
      <c r="AC144" s="1136"/>
    </row>
    <row r="145" spans="1:33">
      <c r="C145" s="1178">
        <v>52020</v>
      </c>
      <c r="D145" s="1178" t="s">
        <v>50</v>
      </c>
      <c r="E145" s="1179"/>
      <c r="F145" s="1179"/>
      <c r="G145" s="1179"/>
      <c r="H145" s="1179"/>
      <c r="I145" s="1179"/>
      <c r="J145" s="1179"/>
      <c r="K145" s="1179"/>
      <c r="L145" s="1179"/>
      <c r="M145" s="1179"/>
      <c r="N145" s="1179"/>
      <c r="O145" s="1179"/>
      <c r="P145" s="1158">
        <f>'Yakima Consolidated IS'!C32</f>
        <v>283839.60000000003</v>
      </c>
      <c r="Q145" s="1158"/>
      <c r="R145" s="1158"/>
      <c r="S145" s="1158"/>
      <c r="T145" s="1159"/>
      <c r="U145" s="1136"/>
      <c r="V145" s="1136"/>
      <c r="W145" s="1160"/>
      <c r="X145" s="1161"/>
      <c r="Y145" s="1162"/>
      <c r="Z145" s="1159"/>
      <c r="AA145" s="1136"/>
      <c r="AB145" s="1163"/>
      <c r="AC145" s="1136"/>
    </row>
    <row r="146" spans="1:33">
      <c r="C146" s="1178">
        <v>52025</v>
      </c>
      <c r="D146" s="1178" t="s">
        <v>51</v>
      </c>
      <c r="E146" s="1179"/>
      <c r="F146" s="1179"/>
      <c r="G146" s="1179"/>
      <c r="H146" s="1179"/>
      <c r="I146" s="1179"/>
      <c r="J146" s="1179"/>
      <c r="K146" s="1179"/>
      <c r="L146" s="1179"/>
      <c r="M146" s="1179"/>
      <c r="N146" s="1179"/>
      <c r="O146" s="1179"/>
      <c r="P146" s="1158">
        <f>'Yakima Consolidated IS'!C33</f>
        <v>95162.37999999999</v>
      </c>
      <c r="Q146" s="1158"/>
    </row>
    <row r="147" spans="1:33">
      <c r="C147" s="1178">
        <v>52035</v>
      </c>
      <c r="D147" s="1181" t="s">
        <v>258</v>
      </c>
      <c r="E147" s="1179"/>
      <c r="F147" s="1179"/>
      <c r="G147" s="1179"/>
      <c r="H147" s="1179"/>
      <c r="I147" s="1179"/>
      <c r="J147" s="1179"/>
      <c r="K147" s="1179"/>
      <c r="L147" s="1179"/>
      <c r="M147" s="1179"/>
      <c r="N147" s="1179"/>
      <c r="O147" s="1179"/>
      <c r="P147" s="1158">
        <f>'Yakima Consolidated IS'!C34</f>
        <v>8000</v>
      </c>
      <c r="Q147" s="1158"/>
      <c r="R147" s="1158"/>
    </row>
    <row r="148" spans="1:33">
      <c r="C148" s="1178">
        <v>52036</v>
      </c>
      <c r="D148" s="1181" t="s">
        <v>2455</v>
      </c>
      <c r="E148" s="1179"/>
      <c r="F148" s="1179"/>
      <c r="G148" s="1179"/>
      <c r="H148" s="1179"/>
      <c r="I148" s="1179"/>
      <c r="J148" s="1179"/>
      <c r="K148" s="1179"/>
      <c r="L148" s="1179"/>
      <c r="M148" s="1179"/>
      <c r="N148" s="1179"/>
      <c r="O148" s="1179"/>
      <c r="P148" s="1158">
        <f>'Yakima Consolidated IS'!C35</f>
        <v>937.94</v>
      </c>
      <c r="Q148" s="1158"/>
      <c r="R148" s="1158"/>
    </row>
    <row r="149" spans="1:33">
      <c r="C149" s="1178">
        <v>52065</v>
      </c>
      <c r="D149" s="1178" t="s">
        <v>47</v>
      </c>
      <c r="E149" s="1179"/>
      <c r="F149" s="1179"/>
      <c r="G149" s="1179"/>
      <c r="H149" s="1179"/>
      <c r="I149" s="1179"/>
      <c r="J149" s="1179"/>
      <c r="K149" s="1179"/>
      <c r="L149" s="1179"/>
      <c r="M149" s="1179"/>
      <c r="N149" s="1179"/>
      <c r="O149" s="1179"/>
      <c r="P149" s="1158">
        <f>'Yakima Consolidated IS'!C36</f>
        <v>17229.87</v>
      </c>
      <c r="Q149" s="1158"/>
      <c r="R149" s="1158"/>
    </row>
    <row r="150" spans="1:33">
      <c r="C150" s="1178">
        <v>52070</v>
      </c>
      <c r="D150" s="1178" t="s">
        <v>48</v>
      </c>
      <c r="E150" s="1179"/>
      <c r="F150" s="1179"/>
      <c r="G150" s="1179"/>
      <c r="H150" s="1179"/>
      <c r="I150" s="1179"/>
      <c r="J150" s="1179"/>
      <c r="K150" s="1179"/>
      <c r="L150" s="1179"/>
      <c r="M150" s="1179"/>
      <c r="N150" s="1179"/>
      <c r="O150" s="1179"/>
      <c r="P150" s="1412">
        <f>'Yakima Consolidated IS'!C37</f>
        <v>2880.37</v>
      </c>
      <c r="Q150" s="1158"/>
      <c r="R150" s="1158"/>
    </row>
    <row r="151" spans="1:33">
      <c r="C151" s="1184"/>
      <c r="D151" s="1184"/>
      <c r="E151" s="1179"/>
      <c r="F151" s="1179"/>
      <c r="G151" s="1179"/>
      <c r="H151" s="1179"/>
      <c r="I151" s="1179"/>
      <c r="J151" s="1179"/>
      <c r="K151" s="1179"/>
      <c r="L151" s="1179"/>
      <c r="M151" s="1179"/>
      <c r="N151" s="1179"/>
      <c r="O151" s="1179"/>
      <c r="P151" s="1158">
        <f>SUM(P144:P150)</f>
        <v>486083.61000000004</v>
      </c>
      <c r="Q151" s="1158"/>
      <c r="R151" s="1158"/>
    </row>
    <row r="152" spans="1:33">
      <c r="C152" s="1184"/>
      <c r="D152" s="1184"/>
      <c r="E152" s="1179"/>
      <c r="F152" s="1179"/>
      <c r="G152" s="1179"/>
      <c r="H152" s="1179"/>
      <c r="I152" s="1179"/>
      <c r="J152" s="1179"/>
      <c r="K152" s="1179"/>
      <c r="L152" s="1179"/>
      <c r="M152" s="1179"/>
      <c r="N152" s="1179"/>
      <c r="O152" s="1179"/>
      <c r="P152" s="1186"/>
      <c r="Q152" s="1158"/>
      <c r="R152" s="1158"/>
    </row>
    <row r="153" spans="1:33">
      <c r="C153" s="1184"/>
      <c r="D153" s="1200" t="s">
        <v>508</v>
      </c>
      <c r="E153" s="1188"/>
      <c r="F153" s="1188"/>
      <c r="G153" s="1188"/>
      <c r="H153" s="1188"/>
      <c r="I153" s="1188"/>
      <c r="J153" s="1188"/>
      <c r="K153" s="1188"/>
      <c r="L153" s="1188"/>
      <c r="M153" s="1188"/>
      <c r="N153" s="1188"/>
      <c r="O153" s="1189" t="s">
        <v>2456</v>
      </c>
      <c r="P153" s="1186">
        <f>P138+P140-P151</f>
        <v>43952.089199999988</v>
      </c>
      <c r="Q153" s="1173">
        <f>P153/P151</f>
        <v>9.0420841797154983E-2</v>
      </c>
      <c r="R153" s="1201"/>
      <c r="AG153" s="1056"/>
    </row>
    <row r="154" spans="1:33" s="1046" customFormat="1">
      <c r="B154" s="1045"/>
      <c r="C154" s="1045"/>
      <c r="D154" s="1047"/>
      <c r="E154" s="1047"/>
      <c r="F154" s="1047"/>
      <c r="G154" s="1047"/>
      <c r="H154" s="1047"/>
      <c r="I154" s="1047"/>
      <c r="J154" s="1047"/>
      <c r="K154" s="1047"/>
      <c r="L154" s="1047"/>
      <c r="M154" s="1047"/>
      <c r="N154" s="1047"/>
      <c r="O154" s="1047"/>
      <c r="P154" s="1048"/>
      <c r="Q154" s="1158"/>
      <c r="R154" s="1158"/>
      <c r="S154" s="1158"/>
      <c r="T154" s="1159"/>
      <c r="U154" s="1136"/>
      <c r="V154" s="1136"/>
      <c r="W154" s="1051"/>
      <c r="X154" s="1052"/>
      <c r="Y154" s="1053"/>
      <c r="Z154" s="1050"/>
      <c r="AA154" s="1045"/>
      <c r="AB154" s="1054"/>
      <c r="AC154" s="1045"/>
      <c r="AD154" s="1045"/>
      <c r="AE154" s="1164"/>
    </row>
    <row r="155" spans="1:33">
      <c r="Q155" s="1158"/>
      <c r="R155" s="1158"/>
      <c r="S155" s="1158"/>
      <c r="T155" s="1159"/>
      <c r="U155" s="1136"/>
      <c r="V155" s="1136"/>
      <c r="AE155" s="1164"/>
    </row>
    <row r="156" spans="1:33" hidden="1">
      <c r="A156" s="1193"/>
      <c r="B156" s="1193"/>
      <c r="C156" s="1194" t="s">
        <v>2460</v>
      </c>
      <c r="D156" s="1195"/>
      <c r="E156" s="1195"/>
      <c r="F156" s="1195"/>
      <c r="G156" s="1195"/>
      <c r="H156" s="1195"/>
      <c r="I156" s="1195"/>
      <c r="J156" s="1195"/>
      <c r="K156" s="1195"/>
      <c r="L156" s="1195"/>
      <c r="M156" s="1195"/>
      <c r="N156" s="1195"/>
      <c r="O156" s="1195"/>
      <c r="P156" s="1202"/>
      <c r="Q156" s="1197"/>
      <c r="R156" s="1197"/>
      <c r="S156" s="1197"/>
      <c r="T156" s="1203"/>
      <c r="U156" s="1204"/>
      <c r="V156" s="1204"/>
      <c r="W156" s="1046"/>
      <c r="X156" s="1205"/>
      <c r="Y156" s="1206"/>
      <c r="Z156" s="1207"/>
      <c r="AA156" s="1164"/>
      <c r="AB156" s="1164"/>
      <c r="AC156" s="1164"/>
      <c r="AD156" s="1164"/>
      <c r="AE156" s="1164"/>
    </row>
    <row r="157" spans="1:33" hidden="1">
      <c r="Q157" s="1158"/>
      <c r="R157" s="1158"/>
      <c r="S157" s="1158"/>
      <c r="T157" s="1159"/>
      <c r="U157" s="1136"/>
      <c r="V157" s="1136"/>
      <c r="X157" s="1205"/>
      <c r="Y157" s="1206"/>
      <c r="Z157" s="1207"/>
      <c r="AA157" s="1164"/>
      <c r="AB157" s="1164"/>
      <c r="AC157" s="1164"/>
      <c r="AD157" s="1164"/>
      <c r="AE157" s="1164"/>
    </row>
    <row r="158" spans="1:33" hidden="1">
      <c r="C158" s="1166" t="s">
        <v>2461</v>
      </c>
      <c r="Q158" s="1158"/>
      <c r="R158" s="1158"/>
      <c r="S158" s="1158"/>
      <c r="T158" s="1159"/>
      <c r="U158" s="1136"/>
      <c r="V158" s="1136"/>
      <c r="X158" s="1205"/>
      <c r="Y158" s="1206"/>
      <c r="Z158" s="1207"/>
      <c r="AA158" s="1164"/>
      <c r="AB158" s="1164"/>
      <c r="AC158" s="1164"/>
      <c r="AD158" s="1164"/>
      <c r="AE158" s="1164"/>
    </row>
    <row r="159" spans="1:33" hidden="1">
      <c r="C159" s="1166" t="s">
        <v>2462</v>
      </c>
      <c r="Q159" s="1158"/>
      <c r="R159" s="1158"/>
      <c r="S159" s="1158"/>
      <c r="T159" s="1159"/>
      <c r="U159" s="1136"/>
      <c r="V159" s="1136"/>
      <c r="X159" s="1205"/>
      <c r="Y159" s="1206"/>
      <c r="Z159" s="1207"/>
      <c r="AA159" s="1164"/>
      <c r="AB159" s="1164"/>
      <c r="AC159" s="1164"/>
      <c r="AD159" s="1164"/>
      <c r="AE159" s="1164"/>
    </row>
    <row r="160" spans="1:33" hidden="1">
      <c r="C160" s="1166" t="s">
        <v>2463</v>
      </c>
      <c r="Q160" s="1158"/>
      <c r="R160" s="1158"/>
      <c r="S160" s="1158"/>
      <c r="T160" s="1159"/>
      <c r="U160" s="1136"/>
      <c r="V160" s="1136"/>
      <c r="X160" s="1205"/>
      <c r="Y160" s="1206"/>
      <c r="Z160" s="1207"/>
      <c r="AA160" s="1164"/>
      <c r="AB160" s="1164"/>
      <c r="AC160" s="1164"/>
      <c r="AD160" s="1164"/>
      <c r="AE160" s="1164"/>
    </row>
    <row r="161" spans="2:31" hidden="1">
      <c r="C161" s="1166" t="s">
        <v>2464</v>
      </c>
      <c r="Q161" s="1158"/>
      <c r="R161" s="1158"/>
      <c r="S161" s="1158"/>
      <c r="T161" s="1159"/>
      <c r="U161" s="1136"/>
      <c r="V161" s="1136"/>
      <c r="X161" s="1205"/>
      <c r="Y161" s="1206"/>
      <c r="Z161" s="1207"/>
      <c r="AA161" s="1164"/>
      <c r="AB161" s="1164"/>
      <c r="AC161" s="1164"/>
      <c r="AD161" s="1164"/>
      <c r="AE161" s="1164"/>
    </row>
    <row r="162" spans="2:31" hidden="1">
      <c r="C162" s="1166" t="s">
        <v>2465</v>
      </c>
      <c r="Q162" s="1158"/>
      <c r="R162" s="1158"/>
      <c r="S162" s="1158"/>
      <c r="T162" s="1159"/>
      <c r="U162" s="1136"/>
      <c r="V162" s="1136"/>
      <c r="X162" s="1205"/>
      <c r="Y162" s="1206"/>
      <c r="Z162" s="1207"/>
      <c r="AA162" s="1164"/>
      <c r="AB162" s="1164"/>
      <c r="AC162" s="1164"/>
      <c r="AD162" s="1164"/>
    </row>
    <row r="163" spans="2:31" hidden="1">
      <c r="C163" s="1166" t="s">
        <v>2466</v>
      </c>
      <c r="Q163" s="1158"/>
      <c r="R163" s="1158"/>
      <c r="S163" s="1158"/>
      <c r="T163" s="1159"/>
      <c r="U163" s="1136"/>
      <c r="V163" s="1136"/>
      <c r="X163" s="1205"/>
      <c r="Y163" s="1206"/>
      <c r="Z163" s="1207"/>
      <c r="AA163" s="1164"/>
      <c r="AB163" s="1164"/>
      <c r="AC163" s="1164"/>
      <c r="AD163" s="1164"/>
    </row>
    <row r="164" spans="2:31" hidden="1">
      <c r="C164" s="1166" t="s">
        <v>2467</v>
      </c>
      <c r="Q164" s="1158"/>
      <c r="R164" s="1158"/>
      <c r="S164" s="1158"/>
      <c r="T164" s="1159"/>
      <c r="U164" s="1136"/>
      <c r="V164" s="1136"/>
      <c r="Y164" s="1208"/>
      <c r="Z164" s="1051"/>
      <c r="AA164" s="1054"/>
      <c r="AB164" s="1050"/>
      <c r="AE164" s="1054"/>
    </row>
    <row r="165" spans="2:31" hidden="1">
      <c r="C165" s="1166" t="s">
        <v>2468</v>
      </c>
      <c r="Q165" s="1158"/>
      <c r="R165" s="1158"/>
      <c r="S165" s="1158"/>
      <c r="T165" s="1159"/>
      <c r="U165" s="1136"/>
      <c r="V165" s="1136"/>
      <c r="Y165" s="1208"/>
      <c r="Z165" s="1051"/>
      <c r="AA165" s="1054"/>
      <c r="AB165" s="1050"/>
    </row>
    <row r="166" spans="2:31" hidden="1">
      <c r="C166" s="1166" t="s">
        <v>2469</v>
      </c>
      <c r="Q166" s="1158"/>
      <c r="R166" s="1158"/>
      <c r="S166" s="1158"/>
      <c r="T166" s="1159"/>
      <c r="U166" s="1136"/>
      <c r="V166" s="1136"/>
      <c r="Y166" s="1208"/>
      <c r="Z166" s="1051"/>
      <c r="AA166" s="1054"/>
      <c r="AB166" s="1050"/>
      <c r="AD166" s="1054"/>
    </row>
    <row r="167" spans="2:31" hidden="1">
      <c r="C167" s="1166" t="s">
        <v>2470</v>
      </c>
      <c r="Q167" s="1158"/>
      <c r="R167" s="1158"/>
      <c r="S167" s="1158"/>
      <c r="T167" s="1159"/>
      <c r="U167" s="1136"/>
      <c r="V167" s="1136"/>
    </row>
    <row r="168" spans="2:31" hidden="1">
      <c r="Q168" s="1158"/>
      <c r="R168" s="1158"/>
      <c r="S168" s="1158"/>
      <c r="T168" s="1159"/>
      <c r="U168" s="1136"/>
      <c r="V168" s="1136"/>
    </row>
    <row r="169" spans="2:31" hidden="1">
      <c r="Q169" s="1158"/>
      <c r="R169" s="1158"/>
      <c r="S169" s="1158"/>
      <c r="T169" s="1159"/>
      <c r="U169" s="1136"/>
      <c r="V169" s="1136"/>
    </row>
    <row r="170" spans="2:31" hidden="1">
      <c r="B170" s="1178">
        <v>55020</v>
      </c>
      <c r="C170" s="1178" t="s">
        <v>50</v>
      </c>
      <c r="D170" s="1184"/>
      <c r="E170" s="1184"/>
      <c r="F170" s="1184"/>
      <c r="G170" s="1184"/>
      <c r="H170" s="1184"/>
      <c r="I170" s="1184"/>
      <c r="J170" s="1184"/>
      <c r="K170" s="1184"/>
      <c r="L170" s="1184"/>
      <c r="M170" s="1184"/>
      <c r="N170" s="1184"/>
      <c r="O170" s="1184"/>
      <c r="P170" s="1209"/>
      <c r="Q170" s="1158"/>
      <c r="R170" s="1158"/>
      <c r="S170" s="1158"/>
      <c r="T170" s="1159"/>
      <c r="U170" s="1136"/>
      <c r="V170" s="1136"/>
    </row>
    <row r="171" spans="2:31" hidden="1">
      <c r="B171" s="1178">
        <v>55025</v>
      </c>
      <c r="C171" s="1178" t="s">
        <v>51</v>
      </c>
      <c r="D171" s="1184"/>
      <c r="E171" s="1184"/>
      <c r="F171" s="1184"/>
      <c r="G171" s="1184"/>
      <c r="H171" s="1184"/>
      <c r="I171" s="1184"/>
      <c r="J171" s="1184"/>
      <c r="K171" s="1184"/>
      <c r="L171" s="1184"/>
      <c r="M171" s="1184"/>
      <c r="N171" s="1184"/>
      <c r="O171" s="1184"/>
      <c r="P171" s="1209"/>
      <c r="Q171" s="1158"/>
      <c r="R171" s="1158"/>
      <c r="S171" s="1158"/>
      <c r="T171" s="1159"/>
      <c r="U171" s="1136"/>
      <c r="V171" s="1136"/>
    </row>
    <row r="172" spans="2:31" hidden="1">
      <c r="B172" s="1178">
        <v>55035</v>
      </c>
      <c r="C172" s="1181" t="s">
        <v>45</v>
      </c>
      <c r="D172" s="1184"/>
      <c r="E172" s="1184"/>
      <c r="F172" s="1184"/>
      <c r="G172" s="1184"/>
      <c r="H172" s="1184"/>
      <c r="I172" s="1184"/>
      <c r="J172" s="1184"/>
      <c r="K172" s="1184"/>
      <c r="L172" s="1184"/>
      <c r="M172" s="1184"/>
      <c r="N172" s="1184"/>
      <c r="O172" s="1184"/>
      <c r="P172" s="1209"/>
      <c r="Q172" s="1158"/>
      <c r="R172" s="1158"/>
      <c r="S172" s="1158"/>
      <c r="T172" s="1159"/>
      <c r="U172" s="1136"/>
      <c r="V172" s="1136"/>
    </row>
    <row r="173" spans="2:31" hidden="1">
      <c r="B173" s="1178">
        <v>50065</v>
      </c>
      <c r="C173" s="1178" t="s">
        <v>47</v>
      </c>
      <c r="D173" s="1184"/>
      <c r="E173" s="1184"/>
      <c r="F173" s="1184"/>
      <c r="G173" s="1184"/>
      <c r="H173" s="1184"/>
      <c r="I173" s="1184"/>
      <c r="J173" s="1184"/>
      <c r="K173" s="1184"/>
      <c r="L173" s="1184"/>
      <c r="M173" s="1184"/>
      <c r="N173" s="1184"/>
      <c r="O173" s="1184"/>
      <c r="P173" s="1209"/>
      <c r="Q173" s="1158"/>
      <c r="R173" s="1158"/>
      <c r="S173" s="1158"/>
      <c r="T173" s="1159"/>
      <c r="U173" s="1136"/>
      <c r="V173" s="1136"/>
    </row>
    <row r="174" spans="2:31" hidden="1">
      <c r="B174" s="1178">
        <v>55070</v>
      </c>
      <c r="C174" s="1178" t="s">
        <v>48</v>
      </c>
      <c r="D174" s="1184"/>
      <c r="E174" s="1184"/>
      <c r="F174" s="1184"/>
      <c r="G174" s="1184"/>
      <c r="H174" s="1184"/>
      <c r="I174" s="1184"/>
      <c r="J174" s="1184"/>
      <c r="K174" s="1184"/>
      <c r="L174" s="1184"/>
      <c r="M174" s="1184"/>
      <c r="N174" s="1184"/>
      <c r="O174" s="1184"/>
      <c r="P174" s="1209"/>
      <c r="Q174" s="1158"/>
      <c r="R174" s="1158"/>
      <c r="S174" s="1158"/>
      <c r="T174" s="1159"/>
      <c r="U174" s="1136"/>
      <c r="V174" s="1136"/>
    </row>
    <row r="175" spans="2:31" hidden="1">
      <c r="B175" s="1184"/>
      <c r="C175" s="1184"/>
      <c r="D175" s="1184"/>
      <c r="E175" s="1184"/>
      <c r="F175" s="1184"/>
      <c r="G175" s="1184"/>
      <c r="H175" s="1184"/>
      <c r="I175" s="1184"/>
      <c r="J175" s="1184"/>
      <c r="K175" s="1184"/>
      <c r="L175" s="1184"/>
      <c r="M175" s="1184"/>
      <c r="N175" s="1184"/>
      <c r="O175" s="1184"/>
      <c r="P175" s="1209"/>
      <c r="Q175" s="1158"/>
      <c r="R175" s="1158"/>
      <c r="S175" s="1158"/>
      <c r="T175" s="1159"/>
      <c r="U175" s="1136"/>
      <c r="V175" s="1136"/>
    </row>
    <row r="176" spans="2:31" hidden="1">
      <c r="B176" s="1184"/>
      <c r="C176" s="1184"/>
      <c r="D176" s="1184"/>
      <c r="E176" s="1184"/>
      <c r="F176" s="1184"/>
      <c r="G176" s="1184"/>
      <c r="H176" s="1184"/>
      <c r="I176" s="1184"/>
      <c r="J176" s="1184"/>
      <c r="K176" s="1184"/>
      <c r="L176" s="1184"/>
      <c r="M176" s="1184"/>
      <c r="N176" s="1184"/>
      <c r="O176" s="1184"/>
      <c r="P176" s="1209"/>
      <c r="Q176" s="1158"/>
      <c r="R176" s="1158"/>
      <c r="S176" s="1158"/>
      <c r="T176" s="1159"/>
      <c r="U176" s="1136"/>
      <c r="V176" s="1136"/>
    </row>
    <row r="177" spans="1:40" hidden="1">
      <c r="B177" s="1184"/>
      <c r="C177" s="1200" t="s">
        <v>508</v>
      </c>
      <c r="D177" s="1200"/>
      <c r="E177" s="1200"/>
      <c r="F177" s="1200"/>
      <c r="G177" s="1200"/>
      <c r="H177" s="1200"/>
      <c r="I177" s="1200"/>
      <c r="J177" s="1200"/>
      <c r="K177" s="1200"/>
      <c r="L177" s="1200"/>
      <c r="M177" s="1200"/>
      <c r="N177" s="1200"/>
      <c r="O177" s="1200"/>
      <c r="P177" s="1210"/>
      <c r="Q177" s="1158"/>
      <c r="R177" s="1156"/>
      <c r="S177" s="1158"/>
      <c r="T177" s="1159"/>
      <c r="U177" s="1136"/>
      <c r="V177" s="1136"/>
      <c r="AE177" s="1076"/>
      <c r="AF177" s="1076"/>
      <c r="AG177" s="1076"/>
      <c r="AH177" s="1076"/>
      <c r="AI177" s="1076"/>
      <c r="AJ177" s="1076"/>
      <c r="AK177" s="1076"/>
      <c r="AL177" s="1076"/>
      <c r="AM177" s="1076"/>
      <c r="AN177" s="1076"/>
    </row>
    <row r="178" spans="1:40" s="1211" customFormat="1" hidden="1">
      <c r="A178" s="1045"/>
      <c r="B178" s="1045"/>
      <c r="C178" s="1045"/>
      <c r="D178" s="1047"/>
      <c r="E178" s="1047"/>
      <c r="F178" s="1047"/>
      <c r="G178" s="1047"/>
      <c r="H178" s="1047"/>
      <c r="I178" s="1047"/>
      <c r="J178" s="1047"/>
      <c r="K178" s="1047"/>
      <c r="L178" s="1047"/>
      <c r="M178" s="1047"/>
      <c r="N178" s="1047"/>
      <c r="O178" s="1047"/>
      <c r="P178" s="1048"/>
      <c r="Q178" s="1158"/>
      <c r="R178" s="1158"/>
      <c r="S178" s="1158"/>
      <c r="T178" s="1159"/>
      <c r="U178" s="1136"/>
      <c r="V178" s="1136"/>
      <c r="W178" s="1051"/>
      <c r="X178" s="1052"/>
      <c r="Y178" s="1053"/>
      <c r="Z178" s="1050"/>
      <c r="AA178" s="1045"/>
      <c r="AB178" s="1054"/>
      <c r="AC178" s="1045"/>
      <c r="AD178" s="1045"/>
      <c r="AE178" s="1076"/>
      <c r="AF178" s="1076"/>
      <c r="AG178" s="1076"/>
      <c r="AH178" s="1076"/>
      <c r="AI178" s="1076"/>
      <c r="AJ178" s="1076"/>
      <c r="AK178" s="1076"/>
      <c r="AL178" s="1076"/>
      <c r="AM178" s="1076"/>
      <c r="AN178" s="1076"/>
    </row>
    <row r="179" spans="1:40">
      <c r="Q179" s="1158"/>
      <c r="R179" s="1158"/>
      <c r="S179" s="1158"/>
      <c r="T179" s="1159"/>
      <c r="U179" s="1136"/>
      <c r="V179" s="1136"/>
      <c r="W179" s="1212"/>
      <c r="X179" s="1213"/>
      <c r="Y179" s="1214"/>
      <c r="Z179" s="1215"/>
      <c r="AA179" s="1076"/>
      <c r="AB179" s="1216"/>
      <c r="AC179" s="1076"/>
      <c r="AD179" s="1076"/>
      <c r="AE179" s="1076"/>
      <c r="AF179" s="1076"/>
      <c r="AG179" s="1076"/>
      <c r="AH179" s="1076"/>
      <c r="AI179" s="1076"/>
      <c r="AJ179" s="1076"/>
      <c r="AK179" s="1076"/>
      <c r="AL179" s="1076"/>
      <c r="AM179" s="1076"/>
      <c r="AN179" s="1076"/>
    </row>
    <row r="180" spans="1:40">
      <c r="A180" s="1217"/>
      <c r="B180" s="1217"/>
      <c r="C180" s="1218" t="s">
        <v>2471</v>
      </c>
      <c r="D180" s="1219"/>
      <c r="E180" s="1219"/>
      <c r="F180" s="1219"/>
      <c r="G180" s="1219"/>
      <c r="H180" s="1219"/>
      <c r="I180" s="1219"/>
      <c r="J180" s="1219"/>
      <c r="K180" s="1219"/>
      <c r="L180" s="1219"/>
      <c r="M180" s="1219"/>
      <c r="N180" s="1219"/>
      <c r="O180" s="1219"/>
      <c r="P180" s="1220">
        <f>+P112</f>
        <v>123540.76099999998</v>
      </c>
      <c r="Q180" s="1156"/>
      <c r="R180" s="1156"/>
      <c r="S180" s="1190"/>
      <c r="T180" s="1221"/>
      <c r="U180" s="1136"/>
      <c r="V180" s="1136"/>
      <c r="W180" s="1212"/>
      <c r="X180" s="1213"/>
      <c r="Y180" s="1214"/>
      <c r="Z180" s="1215"/>
      <c r="AA180" s="1076"/>
      <c r="AB180" s="1216"/>
      <c r="AC180" s="1076"/>
      <c r="AD180" s="1076"/>
      <c r="AE180" s="1076"/>
      <c r="AF180" s="1076"/>
      <c r="AG180" s="1076"/>
      <c r="AH180" s="1076"/>
      <c r="AI180" s="1076"/>
      <c r="AJ180" s="1076"/>
      <c r="AK180" s="1076"/>
      <c r="AL180" s="1076"/>
      <c r="AM180" s="1076"/>
      <c r="AN180" s="1076"/>
    </row>
    <row r="181" spans="1:40">
      <c r="B181" s="1076"/>
      <c r="C181" s="1116"/>
      <c r="D181" s="1048"/>
      <c r="E181" s="1048"/>
      <c r="F181" s="1048"/>
      <c r="G181" s="1048"/>
      <c r="H181" s="1048"/>
      <c r="I181" s="1048"/>
      <c r="J181" s="1048"/>
      <c r="K181" s="1048"/>
      <c r="L181" s="1048"/>
      <c r="M181" s="1048"/>
      <c r="N181" s="1048"/>
      <c r="O181" s="1048"/>
      <c r="Q181" s="1156"/>
      <c r="R181" s="1156"/>
      <c r="S181" s="1156"/>
      <c r="T181" s="1221"/>
      <c r="U181" s="1136"/>
      <c r="V181" s="1136"/>
      <c r="W181" s="1212"/>
      <c r="X181" s="1213"/>
      <c r="Y181" s="1214"/>
      <c r="Z181" s="1215"/>
      <c r="AA181" s="1076"/>
      <c r="AB181" s="1216"/>
      <c r="AC181" s="1076"/>
      <c r="AD181" s="1076"/>
      <c r="AE181" s="1076"/>
      <c r="AF181" s="1076"/>
      <c r="AG181" s="1076"/>
      <c r="AH181" s="1076"/>
      <c r="AI181" s="1076"/>
      <c r="AJ181" s="1076"/>
      <c r="AK181" s="1076"/>
      <c r="AL181" s="1076"/>
      <c r="AM181" s="1076"/>
      <c r="AN181" s="1076"/>
    </row>
    <row r="182" spans="1:40">
      <c r="D182" s="1166" t="s">
        <v>2472</v>
      </c>
      <c r="P182" s="1167">
        <v>17860.199999999997</v>
      </c>
      <c r="Q182" s="1158"/>
      <c r="R182" s="1158"/>
      <c r="S182" s="1158"/>
      <c r="T182" s="1159"/>
      <c r="U182" s="1136"/>
      <c r="V182" s="1136"/>
      <c r="W182" s="1212"/>
      <c r="X182" s="1213"/>
      <c r="Y182" s="1214"/>
      <c r="Z182" s="1215"/>
      <c r="AA182" s="1076"/>
      <c r="AB182" s="1216"/>
      <c r="AC182" s="1076"/>
      <c r="AD182" s="1076"/>
      <c r="AE182" s="1076"/>
      <c r="AF182" s="1076"/>
      <c r="AG182" s="1076"/>
      <c r="AH182" s="1076"/>
      <c r="AI182" s="1076"/>
      <c r="AJ182" s="1076"/>
      <c r="AK182" s="1076"/>
      <c r="AL182" s="1076"/>
      <c r="AM182" s="1076"/>
      <c r="AN182" s="1076"/>
    </row>
    <row r="183" spans="1:40">
      <c r="D183" s="1170" t="s">
        <v>2473</v>
      </c>
      <c r="Q183" s="1158"/>
      <c r="R183" s="1158"/>
      <c r="S183" s="1158"/>
      <c r="T183" s="1159"/>
      <c r="U183" s="1136"/>
      <c r="V183" s="1136"/>
      <c r="W183" s="1212"/>
      <c r="X183" s="1213"/>
      <c r="Y183" s="1214"/>
      <c r="Z183" s="1215"/>
      <c r="AA183" s="1076"/>
      <c r="AB183" s="1216"/>
      <c r="AC183" s="1076"/>
      <c r="AD183" s="1076"/>
      <c r="AE183" s="1076"/>
      <c r="AF183" s="1076"/>
      <c r="AG183" s="1076"/>
      <c r="AH183" s="1076"/>
      <c r="AI183" s="1076"/>
      <c r="AJ183" s="1076"/>
      <c r="AK183" s="1076"/>
      <c r="AL183" s="1076"/>
      <c r="AM183" s="1076"/>
      <c r="AN183" s="1076"/>
    </row>
    <row r="184" spans="1:40">
      <c r="D184" s="1166"/>
      <c r="Q184" s="1158"/>
      <c r="R184" s="1158"/>
      <c r="S184" s="1158"/>
      <c r="T184" s="1159"/>
      <c r="U184" s="1136"/>
      <c r="V184" s="1136"/>
      <c r="W184" s="1212"/>
      <c r="X184" s="1213"/>
      <c r="Y184" s="1214"/>
      <c r="Z184" s="1215"/>
      <c r="AA184" s="1076"/>
      <c r="AB184" s="1216"/>
      <c r="AC184" s="1076"/>
      <c r="AD184" s="1076"/>
      <c r="AE184" s="1076"/>
      <c r="AF184" s="1076"/>
      <c r="AG184" s="1076"/>
      <c r="AH184" s="1076"/>
      <c r="AI184" s="1076"/>
      <c r="AJ184" s="1076"/>
      <c r="AK184" s="1076"/>
      <c r="AL184" s="1076"/>
      <c r="AM184" s="1076"/>
      <c r="AN184" s="1076"/>
    </row>
    <row r="185" spans="1:40">
      <c r="B185" s="1222"/>
      <c r="D185" s="1222"/>
      <c r="P185" s="1176" t="s">
        <v>2454</v>
      </c>
      <c r="Q185" s="1125"/>
      <c r="R185" s="1125"/>
      <c r="S185" s="1125"/>
      <c r="T185" s="1223"/>
      <c r="U185" s="1224"/>
      <c r="V185" s="1224"/>
      <c r="W185" s="1225"/>
      <c r="X185" s="1226"/>
      <c r="Y185" s="1214"/>
      <c r="Z185" s="1227"/>
      <c r="AA185" s="1075"/>
      <c r="AB185" s="1228"/>
      <c r="AC185" s="1075"/>
      <c r="AD185" s="1075"/>
      <c r="AE185" s="1076"/>
      <c r="AF185" s="1076"/>
      <c r="AG185" s="1076"/>
      <c r="AH185" s="1076"/>
      <c r="AI185" s="1076"/>
      <c r="AJ185" s="1076"/>
      <c r="AK185" s="1076"/>
      <c r="AL185" s="1076"/>
      <c r="AM185" s="1076"/>
      <c r="AN185" s="1076"/>
    </row>
    <row r="186" spans="1:40">
      <c r="C186" s="1166">
        <v>56010</v>
      </c>
      <c r="D186" s="1166" t="s">
        <v>41</v>
      </c>
      <c r="E186" s="1058"/>
      <c r="F186" s="1058"/>
      <c r="G186" s="1058"/>
      <c r="H186" s="1058"/>
      <c r="I186" s="1058"/>
      <c r="J186" s="1058"/>
      <c r="K186" s="1058"/>
      <c r="L186" s="1058"/>
      <c r="M186" s="1058"/>
      <c r="N186" s="1058"/>
      <c r="O186" s="1058"/>
      <c r="P186" s="1158">
        <f>'Yakima Consolidated IS'!C83</f>
        <v>134643.66999999998</v>
      </c>
      <c r="Q186" s="1125"/>
      <c r="R186" s="1125"/>
      <c r="S186" s="1125"/>
      <c r="T186" s="1223"/>
      <c r="U186" s="1224"/>
      <c r="V186" s="1224"/>
      <c r="W186" s="1225"/>
      <c r="X186" s="1226"/>
      <c r="Y186" s="1214"/>
      <c r="Z186" s="1227"/>
      <c r="AA186" s="1075"/>
      <c r="AB186" s="1228"/>
      <c r="AC186" s="1075"/>
      <c r="AD186" s="1075"/>
      <c r="AE186" s="1076"/>
      <c r="AF186" s="1076"/>
      <c r="AG186" s="1076"/>
      <c r="AH186" s="1076"/>
      <c r="AI186" s="1076"/>
      <c r="AJ186" s="1076"/>
      <c r="AK186" s="1076"/>
      <c r="AL186" s="1076"/>
      <c r="AM186" s="1076"/>
      <c r="AN186" s="1076"/>
    </row>
    <row r="187" spans="1:40">
      <c r="C187" s="1166">
        <v>56025</v>
      </c>
      <c r="D187" s="1178" t="s">
        <v>51</v>
      </c>
      <c r="E187" s="1058"/>
      <c r="F187" s="1058"/>
      <c r="G187" s="1058"/>
      <c r="H187" s="1058"/>
      <c r="I187" s="1058"/>
      <c r="J187" s="1058"/>
      <c r="K187" s="1058"/>
      <c r="L187" s="1058"/>
      <c r="M187" s="1058"/>
      <c r="N187" s="1058"/>
      <c r="O187" s="1058"/>
      <c r="P187" s="1158">
        <v>0</v>
      </c>
      <c r="Q187" s="1158"/>
      <c r="R187" s="1158"/>
      <c r="S187" s="1158"/>
      <c r="T187" s="1159"/>
      <c r="U187" s="1136"/>
      <c r="V187" s="1136"/>
      <c r="W187" s="1212"/>
      <c r="X187" s="1213"/>
      <c r="Y187" s="1214"/>
      <c r="Z187" s="1215"/>
      <c r="AA187" s="1076"/>
      <c r="AB187" s="1216"/>
      <c r="AC187" s="1076"/>
      <c r="AD187" s="1076"/>
      <c r="AE187" s="1076"/>
      <c r="AF187" s="1076"/>
      <c r="AG187" s="1076"/>
      <c r="AH187" s="1076"/>
      <c r="AI187" s="1076"/>
      <c r="AJ187" s="1076"/>
      <c r="AK187" s="1076"/>
      <c r="AL187" s="1076"/>
      <c r="AM187" s="1076"/>
      <c r="AN187" s="1076"/>
    </row>
    <row r="188" spans="1:40">
      <c r="C188" s="1166">
        <v>56036</v>
      </c>
      <c r="D188" s="1181" t="s">
        <v>46</v>
      </c>
      <c r="E188" s="1058"/>
      <c r="F188" s="1058"/>
      <c r="G188" s="1058"/>
      <c r="H188" s="1058"/>
      <c r="I188" s="1058"/>
      <c r="J188" s="1058"/>
      <c r="K188" s="1058"/>
      <c r="L188" s="1058"/>
      <c r="M188" s="1058"/>
      <c r="N188" s="1058"/>
      <c r="O188" s="1058"/>
      <c r="P188" s="1158">
        <f>'Yakima Consolidated IS'!C84</f>
        <v>74.23</v>
      </c>
      <c r="Q188" s="1158"/>
      <c r="R188" s="1158"/>
      <c r="S188" s="1158"/>
      <c r="T188" s="1159"/>
      <c r="U188" s="1136"/>
      <c r="V188" s="1136"/>
      <c r="W188" s="1212"/>
      <c r="X188" s="1213"/>
      <c r="Y188" s="1214"/>
      <c r="Z188" s="1215"/>
      <c r="AA188" s="1076"/>
      <c r="AB188" s="1216"/>
      <c r="AC188" s="1076"/>
      <c r="AD188" s="1076"/>
      <c r="AE188" s="1076"/>
      <c r="AF188" s="1076"/>
      <c r="AG188" s="1076"/>
      <c r="AH188" s="1076"/>
      <c r="AI188" s="1076"/>
      <c r="AJ188" s="1076"/>
      <c r="AK188" s="1076"/>
      <c r="AL188" s="1076"/>
      <c r="AM188" s="1076"/>
      <c r="AN188" s="1076"/>
    </row>
    <row r="189" spans="1:40">
      <c r="C189" s="1166">
        <v>56065</v>
      </c>
      <c r="D189" s="1181" t="s">
        <v>47</v>
      </c>
      <c r="E189" s="1058"/>
      <c r="F189" s="1058"/>
      <c r="G189" s="1058"/>
      <c r="H189" s="1058"/>
      <c r="I189" s="1058"/>
      <c r="J189" s="1058"/>
      <c r="K189" s="1058"/>
      <c r="L189" s="1058"/>
      <c r="M189" s="1058"/>
      <c r="N189" s="1058"/>
      <c r="O189" s="1058"/>
      <c r="P189" s="1412">
        <f>'Yakima Consolidated IS'!C85</f>
        <v>7188.8899999999994</v>
      </c>
      <c r="Q189" s="1158"/>
      <c r="R189" s="1158"/>
      <c r="S189" s="1158"/>
      <c r="T189" s="1159"/>
      <c r="U189" s="1136"/>
      <c r="V189" s="1136"/>
      <c r="W189" s="1212"/>
      <c r="X189" s="1213"/>
      <c r="Y189" s="1214"/>
      <c r="Z189" s="1215"/>
      <c r="AA189" s="1076"/>
      <c r="AB189" s="1216"/>
      <c r="AC189" s="1076"/>
      <c r="AD189" s="1076"/>
      <c r="AE189" s="1076"/>
      <c r="AF189" s="1076"/>
      <c r="AG189" s="1076"/>
      <c r="AH189" s="1076"/>
      <c r="AI189" s="1076"/>
      <c r="AJ189" s="1076"/>
      <c r="AK189" s="1076"/>
      <c r="AL189" s="1076"/>
      <c r="AM189" s="1076"/>
      <c r="AN189" s="1076"/>
    </row>
    <row r="190" spans="1:40">
      <c r="D190" s="1045"/>
      <c r="P190" s="1158">
        <f>SUM(P186:P189)</f>
        <v>141906.78999999998</v>
      </c>
      <c r="Q190" s="1156"/>
      <c r="R190" s="1229"/>
      <c r="S190" s="1158"/>
      <c r="T190" s="1159"/>
      <c r="U190" s="1136"/>
      <c r="V190" s="1136"/>
      <c r="W190" s="1212"/>
      <c r="X190" s="1213"/>
      <c r="Y190" s="1214"/>
      <c r="Z190" s="1215"/>
      <c r="AA190" s="1076"/>
      <c r="AB190" s="1216"/>
      <c r="AC190" s="1076"/>
      <c r="AD190" s="1076"/>
      <c r="AE190" s="1076"/>
      <c r="AF190" s="1076"/>
      <c r="AG190" s="1076"/>
      <c r="AH190" s="1076"/>
      <c r="AI190" s="1076"/>
      <c r="AJ190" s="1076"/>
      <c r="AK190" s="1076"/>
      <c r="AL190" s="1076"/>
      <c r="AM190" s="1076"/>
      <c r="AN190" s="1076"/>
    </row>
    <row r="191" spans="1:40" s="1211" customFormat="1">
      <c r="A191" s="1076"/>
      <c r="B191" s="1045"/>
      <c r="C191" s="1076"/>
      <c r="D191" s="1045"/>
      <c r="E191" s="1047"/>
      <c r="F191" s="1047"/>
      <c r="G191" s="1047"/>
      <c r="H191" s="1047"/>
      <c r="I191" s="1047"/>
      <c r="J191" s="1047"/>
      <c r="K191" s="1047"/>
      <c r="L191" s="1047"/>
      <c r="M191" s="1047"/>
      <c r="N191" s="1047"/>
      <c r="O191" s="1047"/>
      <c r="P191" s="1186"/>
      <c r="Q191" s="1158"/>
      <c r="R191" s="1158"/>
      <c r="S191" s="1158"/>
      <c r="T191" s="1159"/>
      <c r="U191" s="1136"/>
      <c r="V191" s="1136"/>
      <c r="W191" s="1212"/>
      <c r="X191" s="1213"/>
      <c r="Y191" s="1214"/>
      <c r="Z191" s="1215"/>
      <c r="AA191" s="1076"/>
      <c r="AB191" s="1216"/>
      <c r="AC191" s="1076"/>
      <c r="AD191" s="1076"/>
      <c r="AE191" s="1076"/>
      <c r="AF191" s="1076"/>
      <c r="AG191" s="1076"/>
      <c r="AH191" s="1076"/>
      <c r="AI191" s="1076"/>
      <c r="AJ191" s="1076"/>
      <c r="AK191" s="1076"/>
      <c r="AL191" s="1076"/>
      <c r="AM191" s="1076"/>
      <c r="AN191" s="1076"/>
    </row>
    <row r="192" spans="1:40">
      <c r="D192" s="1166" t="s">
        <v>508</v>
      </c>
      <c r="O192" s="1189"/>
      <c r="P192" s="1186">
        <f>P180+P182-P190</f>
        <v>-505.8289999999979</v>
      </c>
      <c r="Q192" s="1173">
        <f>P192/P190</f>
        <v>-3.5645158346545502E-3</v>
      </c>
      <c r="R192" s="1158"/>
      <c r="S192" s="1158"/>
      <c r="T192" s="1159"/>
      <c r="U192" s="1136"/>
      <c r="V192" s="1136"/>
      <c r="W192" s="1212"/>
      <c r="X192" s="1213"/>
      <c r="Y192" s="1214"/>
      <c r="Z192" s="1215"/>
      <c r="AA192" s="1076"/>
      <c r="AB192" s="1216"/>
      <c r="AC192" s="1076"/>
      <c r="AD192" s="1076"/>
      <c r="AE192" s="1076"/>
      <c r="AF192" s="1076"/>
      <c r="AG192" s="1076"/>
      <c r="AH192" s="1076"/>
      <c r="AI192" s="1076"/>
      <c r="AJ192" s="1076"/>
      <c r="AK192" s="1076"/>
      <c r="AL192" s="1076"/>
      <c r="AM192" s="1076"/>
      <c r="AN192" s="1076"/>
    </row>
    <row r="193" spans="1:40">
      <c r="C193" s="1166"/>
      <c r="P193" s="1230" t="s">
        <v>2474</v>
      </c>
      <c r="Q193" s="1158"/>
      <c r="R193" s="1158"/>
      <c r="S193" s="1158"/>
      <c r="T193" s="1159"/>
      <c r="U193" s="1136"/>
      <c r="V193" s="1136"/>
      <c r="W193" s="1212"/>
      <c r="X193" s="1213"/>
      <c r="Y193" s="1214"/>
      <c r="Z193" s="1215"/>
      <c r="AA193" s="1076"/>
      <c r="AB193" s="1216"/>
      <c r="AC193" s="1076"/>
      <c r="AD193" s="1076"/>
      <c r="AE193" s="1076"/>
      <c r="AF193" s="1076"/>
      <c r="AG193" s="1076"/>
      <c r="AH193" s="1076"/>
      <c r="AI193" s="1076"/>
      <c r="AJ193" s="1076"/>
      <c r="AK193" s="1076"/>
      <c r="AL193" s="1076"/>
      <c r="AM193" s="1076"/>
      <c r="AN193" s="1076"/>
    </row>
    <row r="194" spans="1:40">
      <c r="A194" s="1217"/>
      <c r="B194" s="1217"/>
      <c r="C194" s="1218" t="s">
        <v>2475</v>
      </c>
      <c r="D194" s="1219"/>
      <c r="E194" s="1219"/>
      <c r="F194" s="1219"/>
      <c r="G194" s="1219"/>
      <c r="H194" s="1219"/>
      <c r="I194" s="1219"/>
      <c r="J194" s="1219"/>
      <c r="K194" s="1219"/>
      <c r="L194" s="1219"/>
      <c r="M194" s="1219"/>
      <c r="N194" s="1219"/>
      <c r="O194" s="1219"/>
      <c r="P194" s="1220">
        <f>+P100</f>
        <v>493784.00030000001</v>
      </c>
      <c r="Q194" s="1156"/>
      <c r="R194" s="1156"/>
      <c r="S194" s="1190"/>
      <c r="T194" s="1221"/>
      <c r="U194" s="1136"/>
      <c r="V194" s="1136"/>
      <c r="W194" s="1212"/>
      <c r="X194" s="1213"/>
      <c r="Y194" s="1214"/>
      <c r="Z194" s="1215"/>
      <c r="AA194" s="1076"/>
      <c r="AB194" s="1216"/>
      <c r="AC194" s="1076"/>
      <c r="AD194" s="1076"/>
      <c r="AE194" s="1076"/>
      <c r="AF194" s="1076"/>
      <c r="AG194" s="1076"/>
      <c r="AH194" s="1076"/>
      <c r="AI194" s="1076"/>
      <c r="AJ194" s="1076"/>
      <c r="AK194" s="1076"/>
      <c r="AL194" s="1076"/>
      <c r="AM194" s="1076"/>
      <c r="AN194" s="1076"/>
    </row>
    <row r="195" spans="1:40">
      <c r="B195" s="1076"/>
      <c r="C195" s="1116"/>
      <c r="D195" s="1048"/>
      <c r="E195" s="1048"/>
      <c r="F195" s="1048"/>
      <c r="G195" s="1048"/>
      <c r="H195" s="1048"/>
      <c r="I195" s="1048"/>
      <c r="J195" s="1048"/>
      <c r="K195" s="1048"/>
      <c r="L195" s="1048"/>
      <c r="M195" s="1048"/>
      <c r="N195" s="1048"/>
      <c r="O195" s="1048"/>
      <c r="Q195" s="1156"/>
      <c r="R195" s="1156"/>
      <c r="S195" s="1156"/>
      <c r="T195" s="1221"/>
      <c r="U195" s="1136"/>
      <c r="V195" s="1136"/>
      <c r="W195" s="1212"/>
      <c r="X195" s="1213"/>
      <c r="Y195" s="1214"/>
      <c r="Z195" s="1215"/>
      <c r="AA195" s="1076"/>
      <c r="AB195" s="1216"/>
      <c r="AC195" s="1076"/>
      <c r="AD195" s="1076"/>
      <c r="AE195" s="1076"/>
      <c r="AF195" s="1076"/>
      <c r="AG195" s="1076"/>
      <c r="AH195" s="1076"/>
      <c r="AI195" s="1076"/>
      <c r="AJ195" s="1076"/>
      <c r="AK195" s="1076"/>
      <c r="AL195" s="1076"/>
      <c r="AM195" s="1076"/>
      <c r="AN195" s="1076"/>
    </row>
    <row r="196" spans="1:40">
      <c r="D196" s="1166" t="s">
        <v>2476</v>
      </c>
      <c r="P196" s="1167">
        <v>265764.48999999993</v>
      </c>
      <c r="Q196" s="1158"/>
      <c r="R196" s="1158"/>
      <c r="S196" s="1158"/>
      <c r="T196" s="1159"/>
      <c r="U196" s="1136"/>
      <c r="V196" s="1136"/>
      <c r="W196" s="1212"/>
      <c r="X196" s="1213"/>
      <c r="Y196" s="1214"/>
      <c r="Z196" s="1215"/>
      <c r="AA196" s="1076"/>
      <c r="AB196" s="1216"/>
      <c r="AC196" s="1076"/>
      <c r="AD196" s="1076"/>
      <c r="AE196" s="1076"/>
      <c r="AF196" s="1076"/>
      <c r="AG196" s="1076"/>
      <c r="AH196" s="1076"/>
      <c r="AI196" s="1076"/>
      <c r="AJ196" s="1076"/>
      <c r="AK196" s="1076"/>
      <c r="AL196" s="1076"/>
      <c r="AM196" s="1076"/>
      <c r="AN196" s="1076"/>
    </row>
    <row r="197" spans="1:40">
      <c r="D197" s="1170" t="s">
        <v>2477</v>
      </c>
      <c r="Q197" s="1158"/>
      <c r="R197" s="1158"/>
      <c r="S197" s="1158"/>
      <c r="T197" s="1159"/>
      <c r="U197" s="1136"/>
      <c r="V197" s="1136"/>
      <c r="W197" s="1212"/>
      <c r="X197" s="1213"/>
      <c r="Y197" s="1214"/>
      <c r="Z197" s="1215"/>
      <c r="AA197" s="1076"/>
      <c r="AB197" s="1216"/>
      <c r="AC197" s="1076"/>
      <c r="AD197" s="1076"/>
      <c r="AE197" s="1076"/>
      <c r="AF197" s="1076"/>
      <c r="AG197" s="1076"/>
      <c r="AH197" s="1076"/>
      <c r="AI197" s="1076"/>
      <c r="AJ197" s="1076"/>
      <c r="AK197" s="1076"/>
      <c r="AL197" s="1076"/>
      <c r="AM197" s="1076"/>
      <c r="AN197" s="1076"/>
    </row>
    <row r="198" spans="1:40">
      <c r="C198" s="1166"/>
      <c r="D198" s="1166" t="s">
        <v>2453</v>
      </c>
      <c r="P198" s="1174"/>
      <c r="Q198" s="1158"/>
      <c r="R198" s="1158"/>
      <c r="S198" s="1158"/>
      <c r="T198" s="1159"/>
      <c r="U198" s="1136"/>
      <c r="V198" s="1136"/>
      <c r="W198" s="1212"/>
      <c r="X198" s="1213"/>
      <c r="Y198" s="1214"/>
      <c r="Z198" s="1215"/>
      <c r="AA198" s="1076"/>
      <c r="AB198" s="1216"/>
      <c r="AC198" s="1076"/>
      <c r="AD198" s="1076"/>
      <c r="AE198" s="1076"/>
      <c r="AF198" s="1076"/>
      <c r="AG198" s="1076"/>
      <c r="AH198" s="1076"/>
      <c r="AI198" s="1076"/>
      <c r="AJ198" s="1076"/>
      <c r="AK198" s="1076"/>
      <c r="AL198" s="1076"/>
      <c r="AM198" s="1076"/>
      <c r="AN198" s="1076"/>
    </row>
    <row r="199" spans="1:40">
      <c r="C199" s="1166"/>
      <c r="D199" s="1166"/>
      <c r="P199" s="1174"/>
      <c r="Q199" s="1158"/>
      <c r="R199" s="1158"/>
      <c r="S199" s="1158"/>
      <c r="T199" s="1159"/>
      <c r="U199" s="1136"/>
      <c r="V199" s="1136"/>
      <c r="W199" s="1212"/>
      <c r="X199" s="1213"/>
      <c r="Y199" s="1214"/>
      <c r="Z199" s="1215"/>
      <c r="AA199" s="1076"/>
      <c r="AB199" s="1216"/>
      <c r="AC199" s="1076"/>
      <c r="AD199" s="1076"/>
      <c r="AE199" s="1076"/>
      <c r="AF199" s="1076"/>
      <c r="AG199" s="1076"/>
      <c r="AH199" s="1076"/>
      <c r="AI199" s="1076"/>
      <c r="AJ199" s="1076"/>
      <c r="AK199" s="1076"/>
      <c r="AL199" s="1076"/>
      <c r="AM199" s="1076"/>
      <c r="AN199" s="1076"/>
    </row>
    <row r="200" spans="1:40" s="1222" customFormat="1">
      <c r="D200" s="1047"/>
      <c r="E200" s="1047"/>
      <c r="F200" s="1047"/>
      <c r="G200" s="1047"/>
      <c r="H200" s="1047"/>
      <c r="I200" s="1047"/>
      <c r="J200" s="1047"/>
      <c r="K200" s="1047"/>
      <c r="L200" s="1047"/>
      <c r="M200" s="1047"/>
      <c r="N200" s="1047"/>
      <c r="O200" s="1047"/>
      <c r="P200" s="1176" t="s">
        <v>2454</v>
      </c>
      <c r="R200" s="1125"/>
      <c r="S200" s="1125"/>
      <c r="T200" s="1223"/>
      <c r="U200" s="1224"/>
      <c r="V200" s="1224"/>
      <c r="W200" s="1225"/>
      <c r="X200" s="1226"/>
      <c r="Y200" s="1214"/>
      <c r="Z200" s="1227"/>
      <c r="AA200" s="1075"/>
      <c r="AB200" s="1228"/>
      <c r="AC200" s="1075"/>
      <c r="AD200" s="1075"/>
      <c r="AE200" s="1075"/>
      <c r="AF200" s="1075"/>
      <c r="AG200" s="1075"/>
      <c r="AH200" s="1075"/>
      <c r="AI200" s="1075"/>
      <c r="AJ200" s="1075"/>
      <c r="AK200" s="1075"/>
      <c r="AL200" s="1075"/>
      <c r="AM200" s="1075"/>
      <c r="AN200" s="1075"/>
    </row>
    <row r="201" spans="1:40">
      <c r="C201" s="1178">
        <v>70010</v>
      </c>
      <c r="D201" s="1166" t="s">
        <v>41</v>
      </c>
      <c r="E201" s="1058"/>
      <c r="F201" s="1058"/>
      <c r="G201" s="1058"/>
      <c r="H201" s="1058"/>
      <c r="I201" s="1058"/>
      <c r="J201" s="1058"/>
      <c r="K201" s="1058"/>
      <c r="L201" s="1058"/>
      <c r="M201" s="1058"/>
      <c r="N201" s="1058"/>
      <c r="O201" s="1058"/>
      <c r="P201" s="1158">
        <f>'Yakima Consolidated IS'!C148</f>
        <v>525316.98</v>
      </c>
      <c r="R201" s="1158"/>
      <c r="S201" s="1158"/>
      <c r="T201" s="1159"/>
      <c r="U201" s="1136"/>
      <c r="V201" s="1136"/>
      <c r="W201" s="1212"/>
      <c r="X201" s="1213"/>
      <c r="Y201" s="1214"/>
      <c r="Z201" s="1215"/>
      <c r="AA201" s="1076"/>
      <c r="AB201" s="1216"/>
      <c r="AC201" s="1076"/>
      <c r="AD201" s="1076"/>
      <c r="AE201" s="1076"/>
      <c r="AF201" s="1076"/>
      <c r="AG201" s="1076"/>
      <c r="AH201" s="1076"/>
      <c r="AI201" s="1076"/>
      <c r="AJ201" s="1076"/>
      <c r="AK201" s="1076"/>
      <c r="AL201" s="1076"/>
      <c r="AM201" s="1076"/>
      <c r="AN201" s="1076"/>
    </row>
    <row r="202" spans="1:40">
      <c r="C202" s="1178">
        <v>70020</v>
      </c>
      <c r="D202" s="1178" t="s">
        <v>50</v>
      </c>
      <c r="E202" s="1058"/>
      <c r="F202" s="1058"/>
      <c r="G202" s="1058"/>
      <c r="H202" s="1058"/>
      <c r="I202" s="1058"/>
      <c r="J202" s="1058"/>
      <c r="K202" s="1058"/>
      <c r="L202" s="1058"/>
      <c r="M202" s="1058"/>
      <c r="N202" s="1058"/>
      <c r="O202" s="1058"/>
      <c r="P202" s="1158">
        <f>'Yakima Consolidated IS'!C149</f>
        <v>198494.93</v>
      </c>
      <c r="R202" s="1158"/>
      <c r="S202" s="1158"/>
      <c r="T202" s="1159"/>
      <c r="U202" s="1136"/>
      <c r="V202" s="1136"/>
      <c r="W202" s="1212"/>
      <c r="X202" s="1213"/>
      <c r="Y202" s="1214"/>
      <c r="Z202" s="1215"/>
      <c r="AA202" s="1076"/>
      <c r="AB202" s="1216"/>
      <c r="AC202" s="1076"/>
      <c r="AD202" s="1076"/>
      <c r="AE202" s="1076"/>
      <c r="AF202" s="1076"/>
      <c r="AG202" s="1076"/>
      <c r="AH202" s="1076"/>
      <c r="AI202" s="1076"/>
      <c r="AJ202" s="1076"/>
      <c r="AK202" s="1076"/>
      <c r="AL202" s="1076"/>
      <c r="AM202" s="1076"/>
      <c r="AN202" s="1076"/>
    </row>
    <row r="203" spans="1:40">
      <c r="C203" s="1178">
        <v>70025</v>
      </c>
      <c r="D203" s="1178" t="s">
        <v>51</v>
      </c>
      <c r="E203" s="1058"/>
      <c r="F203" s="1058"/>
      <c r="G203" s="1058"/>
      <c r="H203" s="1058"/>
      <c r="I203" s="1058"/>
      <c r="J203" s="1058"/>
      <c r="K203" s="1058"/>
      <c r="L203" s="1058"/>
      <c r="M203" s="1058"/>
      <c r="N203" s="1058"/>
      <c r="O203" s="1058"/>
      <c r="P203" s="1158">
        <f>'Yakima Consolidated IS'!C150</f>
        <v>6021.95</v>
      </c>
      <c r="R203" s="1158"/>
      <c r="S203" s="1158"/>
      <c r="T203" s="1159"/>
      <c r="U203" s="1136"/>
      <c r="V203" s="1136"/>
      <c r="W203" s="1212"/>
      <c r="X203" s="1213"/>
      <c r="Y203" s="1214"/>
      <c r="Z203" s="1215"/>
      <c r="AA203" s="1076"/>
      <c r="AB203" s="1216"/>
      <c r="AC203" s="1076"/>
      <c r="AD203" s="1076"/>
      <c r="AE203" s="1076"/>
      <c r="AF203" s="1076"/>
      <c r="AG203" s="1076"/>
      <c r="AH203" s="1076"/>
      <c r="AI203" s="1076"/>
      <c r="AJ203" s="1076"/>
      <c r="AK203" s="1076"/>
      <c r="AL203" s="1076"/>
      <c r="AM203" s="1076"/>
      <c r="AN203" s="1076"/>
    </row>
    <row r="204" spans="1:40">
      <c r="C204" s="1178">
        <v>70036</v>
      </c>
      <c r="D204" s="1181" t="s">
        <v>2478</v>
      </c>
      <c r="E204" s="1058"/>
      <c r="F204" s="1058"/>
      <c r="G204" s="1058"/>
      <c r="H204" s="1058"/>
      <c r="I204" s="1058"/>
      <c r="J204" s="1058"/>
      <c r="K204" s="1058"/>
      <c r="L204" s="1058"/>
      <c r="M204" s="1058"/>
      <c r="N204" s="1058"/>
      <c r="O204" s="1058"/>
      <c r="P204" s="1158">
        <f>'Yakima Consolidated IS'!C151</f>
        <v>12109.58</v>
      </c>
      <c r="R204" s="1158"/>
      <c r="S204" s="1158"/>
      <c r="T204" s="1159"/>
      <c r="U204" s="1136"/>
      <c r="V204" s="1136"/>
      <c r="W204" s="1212"/>
      <c r="X204" s="1213"/>
      <c r="Y204" s="1214"/>
      <c r="Z204" s="1215"/>
      <c r="AA204" s="1076"/>
      <c r="AB204" s="1216"/>
      <c r="AC204" s="1076"/>
      <c r="AD204" s="1076"/>
      <c r="AE204" s="1076"/>
      <c r="AF204" s="1076"/>
      <c r="AG204" s="1076"/>
      <c r="AH204" s="1076"/>
      <c r="AI204" s="1076"/>
      <c r="AJ204" s="1076"/>
      <c r="AK204" s="1076"/>
      <c r="AL204" s="1076"/>
      <c r="AM204" s="1076"/>
      <c r="AN204" s="1076"/>
    </row>
    <row r="205" spans="1:40">
      <c r="C205" s="1178">
        <v>70065</v>
      </c>
      <c r="D205" s="1178" t="s">
        <v>47</v>
      </c>
      <c r="E205" s="1058"/>
      <c r="F205" s="1058"/>
      <c r="G205" s="1058"/>
      <c r="H205" s="1058"/>
      <c r="I205" s="1058"/>
      <c r="J205" s="1058"/>
      <c r="K205" s="1058"/>
      <c r="L205" s="1058"/>
      <c r="M205" s="1058"/>
      <c r="N205" s="1058"/>
      <c r="O205" s="1058"/>
      <c r="P205" s="1171">
        <f>'Yakima Consolidated IS'!C153</f>
        <v>16121.389999999998</v>
      </c>
      <c r="R205" s="1231"/>
      <c r="S205" s="1158"/>
      <c r="T205" s="1159"/>
      <c r="U205" s="1136"/>
      <c r="V205" s="1136"/>
      <c r="W205" s="1212"/>
      <c r="X205" s="1213"/>
      <c r="Y205" s="1214"/>
      <c r="Z205" s="1215"/>
      <c r="AA205" s="1076"/>
      <c r="AB205" s="1216"/>
      <c r="AC205" s="1076"/>
      <c r="AD205" s="1076"/>
      <c r="AE205" s="1076"/>
      <c r="AF205" s="1076"/>
      <c r="AG205" s="1076"/>
      <c r="AH205" s="1076"/>
      <c r="AI205" s="1076"/>
      <c r="AJ205" s="1076"/>
      <c r="AK205" s="1076"/>
      <c r="AL205" s="1076"/>
      <c r="AM205" s="1076"/>
      <c r="AN205" s="1076"/>
    </row>
    <row r="206" spans="1:40">
      <c r="C206" s="1178">
        <v>70070</v>
      </c>
      <c r="D206" s="1178" t="s">
        <v>48</v>
      </c>
      <c r="E206" s="1058"/>
      <c r="F206" s="1058"/>
      <c r="G206" s="1058"/>
      <c r="H206" s="1058"/>
      <c r="I206" s="1058"/>
      <c r="J206" s="1058"/>
      <c r="K206" s="1058"/>
      <c r="L206" s="1058"/>
      <c r="M206" s="1058"/>
      <c r="N206" s="1058"/>
      <c r="O206" s="1058"/>
      <c r="P206" s="1413">
        <f>'Yakima Consolidated IS'!C154</f>
        <v>2376.16</v>
      </c>
      <c r="R206" s="1158"/>
      <c r="S206" s="1158"/>
      <c r="T206" s="1159"/>
      <c r="U206" s="1136"/>
      <c r="V206" s="1136"/>
      <c r="W206" s="1212"/>
      <c r="X206" s="1213"/>
      <c r="Y206" s="1214"/>
      <c r="Z206" s="1215"/>
      <c r="AA206" s="1076"/>
      <c r="AB206" s="1216"/>
      <c r="AC206" s="1076"/>
      <c r="AD206" s="1076"/>
      <c r="AE206" s="1076"/>
      <c r="AF206" s="1076"/>
      <c r="AG206" s="1076"/>
      <c r="AH206" s="1076"/>
      <c r="AI206" s="1076"/>
      <c r="AJ206" s="1076"/>
      <c r="AK206" s="1076"/>
      <c r="AL206" s="1076"/>
      <c r="AM206" s="1076"/>
      <c r="AN206" s="1076"/>
    </row>
    <row r="207" spans="1:40">
      <c r="D207" s="1045"/>
      <c r="E207" s="1058"/>
      <c r="F207" s="1058"/>
      <c r="G207" s="1058"/>
      <c r="H207" s="1058"/>
      <c r="I207" s="1058"/>
      <c r="J207" s="1058"/>
      <c r="K207" s="1058"/>
      <c r="L207" s="1058"/>
      <c r="M207" s="1058"/>
      <c r="N207" s="1058"/>
      <c r="O207" s="1058"/>
      <c r="P207" s="1158">
        <f>SUM(P201:P206)</f>
        <v>760440.98999999987</v>
      </c>
      <c r="R207" s="1158"/>
      <c r="S207" s="1158"/>
      <c r="T207" s="1159"/>
      <c r="U207" s="1136"/>
      <c r="V207" s="1136"/>
      <c r="W207" s="1212"/>
      <c r="X207" s="1213"/>
      <c r="Y207" s="1214"/>
      <c r="Z207" s="1215"/>
      <c r="AA207" s="1076"/>
      <c r="AB207" s="1216"/>
      <c r="AC207" s="1076"/>
      <c r="AD207" s="1076"/>
      <c r="AE207" s="1076"/>
      <c r="AF207" s="1076"/>
      <c r="AG207" s="1076"/>
      <c r="AH207" s="1076"/>
      <c r="AI207" s="1076"/>
      <c r="AJ207" s="1076"/>
      <c r="AK207" s="1076"/>
      <c r="AL207" s="1076"/>
      <c r="AM207" s="1076"/>
      <c r="AN207" s="1076"/>
    </row>
    <row r="208" spans="1:40">
      <c r="C208" s="1166"/>
      <c r="D208" s="1166"/>
      <c r="E208" s="1058"/>
      <c r="F208" s="1058"/>
      <c r="G208" s="1058"/>
      <c r="H208" s="1058"/>
      <c r="I208" s="1058"/>
      <c r="J208" s="1058"/>
      <c r="K208" s="1058"/>
      <c r="L208" s="1058"/>
      <c r="M208" s="1058"/>
      <c r="N208" s="1058"/>
      <c r="O208" s="1058"/>
      <c r="P208" s="1059"/>
      <c r="Q208" s="1158"/>
      <c r="R208" s="1158"/>
      <c r="S208" s="1158"/>
      <c r="T208" s="1159"/>
      <c r="U208" s="1136"/>
      <c r="V208" s="1136"/>
      <c r="W208" s="1212"/>
      <c r="X208" s="1213"/>
      <c r="Y208" s="1214"/>
      <c r="Z208" s="1215"/>
      <c r="AA208" s="1076"/>
      <c r="AB208" s="1216"/>
      <c r="AC208" s="1076"/>
      <c r="AD208" s="1076"/>
      <c r="AE208" s="1076"/>
      <c r="AF208" s="1076"/>
      <c r="AG208" s="1076"/>
      <c r="AH208" s="1076"/>
      <c r="AI208" s="1076"/>
      <c r="AJ208" s="1076"/>
      <c r="AK208" s="1076"/>
      <c r="AL208" s="1076"/>
      <c r="AM208" s="1076"/>
      <c r="AN208" s="1076"/>
    </row>
    <row r="209" spans="1:40">
      <c r="D209" s="1166"/>
      <c r="E209" s="1058"/>
      <c r="F209" s="1058"/>
      <c r="G209" s="1058"/>
      <c r="H209" s="1058"/>
      <c r="I209" s="1058"/>
      <c r="J209" s="1058"/>
      <c r="K209" s="1058"/>
      <c r="L209" s="1058"/>
      <c r="M209" s="1058"/>
      <c r="N209" s="1058"/>
      <c r="O209" s="1058"/>
      <c r="P209" s="1059"/>
      <c r="Q209" s="1158"/>
      <c r="R209" s="1158"/>
      <c r="S209" s="1158"/>
      <c r="T209" s="1159"/>
      <c r="U209" s="1136"/>
      <c r="V209" s="1136"/>
      <c r="W209" s="1212"/>
      <c r="X209" s="1213"/>
      <c r="Y209" s="1214"/>
      <c r="Z209" s="1215"/>
      <c r="AA209" s="1076"/>
      <c r="AB209" s="1216"/>
      <c r="AC209" s="1076"/>
      <c r="AD209" s="1076"/>
      <c r="AE209" s="1076"/>
      <c r="AF209" s="1076"/>
      <c r="AG209" s="1076"/>
      <c r="AH209" s="1076"/>
      <c r="AI209" s="1076"/>
      <c r="AJ209" s="1076"/>
      <c r="AK209" s="1076"/>
      <c r="AL209" s="1076"/>
      <c r="AM209" s="1076"/>
      <c r="AN209" s="1076"/>
    </row>
    <row r="210" spans="1:40">
      <c r="D210" s="1166" t="s">
        <v>508</v>
      </c>
      <c r="P210" s="1174">
        <f>P194+P196-P207+P198</f>
        <v>-892.49969999992754</v>
      </c>
      <c r="Q210" s="1173">
        <f>P210/P207</f>
        <v>-1.1736606939085801E-3</v>
      </c>
      <c r="R210" s="1156"/>
      <c r="S210" s="1158"/>
      <c r="T210" s="1159"/>
      <c r="U210" s="1136"/>
      <c r="V210" s="1136"/>
      <c r="W210" s="1212"/>
      <c r="X210" s="1213"/>
      <c r="Y210" s="1214"/>
      <c r="Z210" s="1215"/>
      <c r="AA210" s="1076"/>
      <c r="AB210" s="1216"/>
      <c r="AC210" s="1076"/>
      <c r="AD210" s="1076"/>
      <c r="AE210" s="1076"/>
      <c r="AF210" s="1076"/>
      <c r="AG210" s="1076"/>
      <c r="AH210" s="1076"/>
      <c r="AI210" s="1076"/>
      <c r="AJ210" s="1076"/>
      <c r="AK210" s="1076"/>
      <c r="AL210" s="1076"/>
      <c r="AM210" s="1076"/>
      <c r="AN210" s="1076"/>
    </row>
    <row r="211" spans="1:40">
      <c r="P211" s="1230" t="s">
        <v>2474</v>
      </c>
      <c r="Q211" s="1158"/>
      <c r="R211" s="1158"/>
      <c r="S211" s="1158"/>
      <c r="T211" s="1159"/>
      <c r="U211" s="1136"/>
      <c r="V211" s="1136"/>
      <c r="W211" s="1212"/>
      <c r="X211" s="1213"/>
      <c r="Y211" s="1214"/>
      <c r="Z211" s="1215"/>
      <c r="AA211" s="1076"/>
      <c r="AB211" s="1216"/>
      <c r="AC211" s="1076"/>
      <c r="AD211" s="1076"/>
      <c r="AE211" s="1076"/>
      <c r="AF211" s="1076"/>
      <c r="AG211" s="1076"/>
      <c r="AH211" s="1076"/>
      <c r="AI211" s="1076"/>
      <c r="AJ211" s="1076"/>
      <c r="AK211" s="1076"/>
      <c r="AL211" s="1076"/>
      <c r="AM211" s="1076"/>
      <c r="AN211" s="1076"/>
    </row>
    <row r="212" spans="1:40">
      <c r="D212" s="1045"/>
      <c r="E212" s="1045"/>
      <c r="F212" s="1045"/>
      <c r="G212" s="1045"/>
      <c r="H212" s="1045"/>
      <c r="I212" s="1045"/>
      <c r="J212" s="1045"/>
      <c r="K212" s="1045"/>
      <c r="L212" s="1045"/>
      <c r="M212" s="1045"/>
      <c r="N212" s="1045"/>
      <c r="O212" s="1045"/>
      <c r="P212" s="1076"/>
      <c r="Q212" s="1158"/>
      <c r="W212" s="1212"/>
      <c r="X212" s="1213"/>
      <c r="Y212" s="1214"/>
      <c r="Z212" s="1215"/>
      <c r="AA212" s="1076"/>
      <c r="AB212" s="1216"/>
      <c r="AC212" s="1076"/>
      <c r="AD212" s="1076"/>
      <c r="AE212" s="1076"/>
      <c r="AF212" s="1076"/>
      <c r="AG212" s="1076"/>
      <c r="AH212" s="1076"/>
      <c r="AI212" s="1076"/>
      <c r="AJ212" s="1076"/>
      <c r="AK212" s="1076"/>
      <c r="AL212" s="1076"/>
      <c r="AM212" s="1076"/>
      <c r="AN212" s="1076"/>
    </row>
    <row r="213" spans="1:40">
      <c r="A213" s="1193"/>
      <c r="B213" s="1193"/>
      <c r="C213" s="1194" t="s">
        <v>2479</v>
      </c>
      <c r="D213" s="1195"/>
      <c r="E213" s="1195"/>
      <c r="F213" s="1195"/>
      <c r="G213" s="1195"/>
      <c r="H213" s="1195"/>
      <c r="I213" s="1195"/>
      <c r="J213" s="1195"/>
      <c r="K213" s="1195"/>
      <c r="L213" s="1195"/>
      <c r="M213" s="1195"/>
      <c r="N213" s="1195"/>
      <c r="O213" s="1195"/>
      <c r="P213" s="1196">
        <f>+P106</f>
        <v>56923.7</v>
      </c>
      <c r="Q213" s="1197"/>
      <c r="R213" s="1198"/>
      <c r="S213" s="1190"/>
      <c r="T213" s="1190"/>
      <c r="U213" s="1190"/>
      <c r="V213" s="1232"/>
      <c r="W213" s="1158"/>
      <c r="X213" s="1172"/>
      <c r="Y213" s="1162"/>
      <c r="Z213" s="1159"/>
      <c r="AA213" s="1158"/>
      <c r="AB213" s="1159"/>
      <c r="AC213" s="1159"/>
      <c r="AD213" s="1164"/>
      <c r="AE213" s="1164"/>
    </row>
    <row r="214" spans="1:40">
      <c r="D214" s="1045"/>
      <c r="E214" s="1045"/>
      <c r="F214" s="1045"/>
      <c r="G214" s="1045"/>
      <c r="H214" s="1045"/>
      <c r="I214" s="1045"/>
      <c r="J214" s="1045"/>
      <c r="K214" s="1045"/>
      <c r="L214" s="1045"/>
      <c r="M214" s="1045"/>
      <c r="N214" s="1045"/>
      <c r="O214" s="1045"/>
      <c r="Q214" s="1156"/>
      <c r="W214" s="1212"/>
      <c r="X214" s="1213"/>
      <c r="Y214" s="1214"/>
      <c r="Z214" s="1215"/>
      <c r="AA214" s="1076"/>
      <c r="AB214" s="1216"/>
      <c r="AC214" s="1076"/>
      <c r="AD214" s="1076"/>
      <c r="AE214" s="1076"/>
      <c r="AF214" s="1076"/>
      <c r="AG214" s="1076"/>
      <c r="AH214" s="1076"/>
      <c r="AI214" s="1076"/>
      <c r="AJ214" s="1076"/>
      <c r="AK214" s="1076"/>
      <c r="AL214" s="1076"/>
      <c r="AM214" s="1076"/>
      <c r="AN214" s="1076"/>
    </row>
    <row r="215" spans="1:40">
      <c r="D215" s="1166" t="s">
        <v>2451</v>
      </c>
      <c r="E215" s="1045"/>
      <c r="F215" s="1045"/>
      <c r="G215" s="1045"/>
      <c r="H215" s="1045"/>
      <c r="I215" s="1045"/>
      <c r="J215" s="1045"/>
      <c r="K215" s="1045"/>
      <c r="L215" s="1045"/>
      <c r="M215" s="1045"/>
      <c r="N215" s="1045"/>
      <c r="O215" s="1045"/>
      <c r="P215" s="1167">
        <v>-720.55000000000018</v>
      </c>
      <c r="Q215" s="1158"/>
      <c r="W215" s="1212"/>
      <c r="X215" s="1213"/>
      <c r="Y215" s="1214"/>
      <c r="Z215" s="1215"/>
      <c r="AA215" s="1076"/>
      <c r="AB215" s="1216"/>
      <c r="AC215" s="1076"/>
      <c r="AD215" s="1076"/>
      <c r="AE215" s="1076"/>
      <c r="AF215" s="1076"/>
      <c r="AG215" s="1076"/>
      <c r="AH215" s="1076"/>
      <c r="AI215" s="1076"/>
      <c r="AJ215" s="1076"/>
      <c r="AK215" s="1076"/>
      <c r="AL215" s="1076"/>
      <c r="AM215" s="1076"/>
      <c r="AN215" s="1076"/>
    </row>
    <row r="216" spans="1:40">
      <c r="D216" s="1166" t="s">
        <v>2459</v>
      </c>
      <c r="E216" s="1045"/>
      <c r="F216" s="1045"/>
      <c r="G216" s="1045"/>
      <c r="H216" s="1045"/>
      <c r="I216" s="1045"/>
      <c r="J216" s="1045"/>
      <c r="K216" s="1045"/>
      <c r="L216" s="1045"/>
      <c r="M216" s="1045"/>
      <c r="N216" s="1045"/>
      <c r="O216" s="1045"/>
      <c r="Q216" s="1158"/>
      <c r="W216" s="1212"/>
      <c r="X216" s="1213"/>
      <c r="Y216" s="1214"/>
      <c r="Z216" s="1215"/>
      <c r="AA216" s="1076"/>
      <c r="AB216" s="1216"/>
      <c r="AC216" s="1076"/>
      <c r="AD216" s="1076"/>
      <c r="AE216" s="1076"/>
      <c r="AF216" s="1076"/>
      <c r="AG216" s="1076"/>
      <c r="AH216" s="1076"/>
      <c r="AI216" s="1076"/>
      <c r="AJ216" s="1076"/>
      <c r="AK216" s="1076"/>
      <c r="AL216" s="1076"/>
      <c r="AM216" s="1076"/>
      <c r="AN216" s="1076"/>
    </row>
    <row r="217" spans="1:40">
      <c r="D217" s="1166"/>
      <c r="E217" s="1045"/>
      <c r="F217" s="1045"/>
      <c r="G217" s="1045"/>
      <c r="H217" s="1045"/>
      <c r="I217" s="1045"/>
      <c r="J217" s="1045"/>
      <c r="K217" s="1045"/>
      <c r="L217" s="1045"/>
      <c r="M217" s="1045"/>
      <c r="N217" s="1045"/>
      <c r="O217" s="1045"/>
      <c r="P217" s="1174"/>
      <c r="Q217" s="1158"/>
      <c r="W217" s="1212"/>
      <c r="X217" s="1213"/>
      <c r="Y217" s="1214"/>
      <c r="Z217" s="1215"/>
      <c r="AA217" s="1076"/>
      <c r="AB217" s="1216"/>
      <c r="AC217" s="1076"/>
      <c r="AD217" s="1076"/>
      <c r="AE217" s="1076"/>
      <c r="AF217" s="1076"/>
      <c r="AG217" s="1076"/>
      <c r="AH217" s="1076"/>
      <c r="AI217" s="1076"/>
      <c r="AJ217" s="1076"/>
      <c r="AK217" s="1076"/>
      <c r="AL217" s="1076"/>
      <c r="AM217" s="1076"/>
      <c r="AN217" s="1076"/>
    </row>
    <row r="218" spans="1:40">
      <c r="D218" s="1045"/>
      <c r="E218" s="1045"/>
      <c r="F218" s="1045"/>
      <c r="G218" s="1045"/>
      <c r="H218" s="1045"/>
      <c r="I218" s="1045"/>
      <c r="J218" s="1045"/>
      <c r="K218" s="1045"/>
      <c r="L218" s="1045"/>
      <c r="M218" s="1045"/>
      <c r="N218" s="1045"/>
      <c r="O218" s="1045"/>
      <c r="P218" s="1174"/>
      <c r="Q218" s="1158"/>
      <c r="W218" s="1212"/>
      <c r="X218" s="1213"/>
      <c r="Y218" s="1214"/>
      <c r="Z218" s="1215"/>
      <c r="AA218" s="1076"/>
      <c r="AB218" s="1216"/>
      <c r="AC218" s="1076"/>
      <c r="AD218" s="1076"/>
      <c r="AE218" s="1076"/>
      <c r="AF218" s="1076"/>
      <c r="AG218" s="1076"/>
      <c r="AH218" s="1076"/>
      <c r="AI218" s="1076"/>
      <c r="AJ218" s="1076"/>
      <c r="AK218" s="1076"/>
      <c r="AL218" s="1076"/>
      <c r="AM218" s="1076"/>
      <c r="AN218" s="1076"/>
    </row>
    <row r="219" spans="1:40">
      <c r="C219" s="1178"/>
      <c r="D219" s="1178"/>
      <c r="E219" s="1045"/>
      <c r="F219" s="1045"/>
      <c r="G219" s="1045"/>
      <c r="H219" s="1045"/>
      <c r="I219" s="1045"/>
      <c r="J219" s="1045"/>
      <c r="K219" s="1045"/>
      <c r="L219" s="1045"/>
      <c r="M219" s="1045"/>
      <c r="N219" s="1045"/>
      <c r="O219" s="1045"/>
      <c r="P219" s="1176" t="s">
        <v>2454</v>
      </c>
      <c r="Q219" s="1222"/>
      <c r="W219" s="1212"/>
      <c r="X219" s="1213"/>
      <c r="Y219" s="1214"/>
      <c r="Z219" s="1215"/>
      <c r="AA219" s="1076"/>
      <c r="AB219" s="1216"/>
      <c r="AC219" s="1076"/>
      <c r="AD219" s="1076"/>
      <c r="AE219" s="1076"/>
      <c r="AF219" s="1076"/>
      <c r="AG219" s="1076"/>
      <c r="AH219" s="1076"/>
      <c r="AI219" s="1076"/>
      <c r="AJ219" s="1076"/>
      <c r="AK219" s="1076"/>
      <c r="AL219" s="1076"/>
      <c r="AM219" s="1076"/>
      <c r="AN219" s="1076"/>
    </row>
    <row r="220" spans="1:40">
      <c r="C220" s="1178">
        <v>55020</v>
      </c>
      <c r="D220" s="1178" t="s">
        <v>50</v>
      </c>
      <c r="E220" s="1045"/>
      <c r="F220" s="1045"/>
      <c r="G220" s="1045"/>
      <c r="H220" s="1045"/>
      <c r="I220" s="1045"/>
      <c r="J220" s="1045"/>
      <c r="K220" s="1045"/>
      <c r="L220" s="1045"/>
      <c r="M220" s="1045"/>
      <c r="N220" s="1045"/>
      <c r="O220" s="1045"/>
      <c r="P220" s="1414">
        <f>'Yakima Consolidated IS'!C41</f>
        <v>38490.500000000007</v>
      </c>
      <c r="W220" s="1212"/>
      <c r="X220" s="1213"/>
      <c r="Y220" s="1214"/>
      <c r="Z220" s="1215"/>
      <c r="AA220" s="1076"/>
      <c r="AB220" s="1216"/>
      <c r="AC220" s="1076"/>
      <c r="AD220" s="1076"/>
      <c r="AE220" s="1076"/>
      <c r="AF220" s="1076"/>
      <c r="AG220" s="1076"/>
      <c r="AH220" s="1076"/>
      <c r="AI220" s="1076"/>
      <c r="AJ220" s="1076"/>
      <c r="AK220" s="1076"/>
      <c r="AL220" s="1076"/>
      <c r="AM220" s="1076"/>
      <c r="AN220" s="1076"/>
    </row>
    <row r="221" spans="1:40">
      <c r="C221" s="1178">
        <v>55025</v>
      </c>
      <c r="D221" s="1178" t="s">
        <v>51</v>
      </c>
      <c r="E221" s="1045"/>
      <c r="F221" s="1045"/>
      <c r="G221" s="1045"/>
      <c r="H221" s="1045"/>
      <c r="I221" s="1045"/>
      <c r="J221" s="1045"/>
      <c r="K221" s="1045"/>
      <c r="L221" s="1045"/>
      <c r="M221" s="1045"/>
      <c r="N221" s="1045"/>
      <c r="O221" s="1045"/>
      <c r="P221" s="1158">
        <f>'Yakima Consolidated IS'!C42</f>
        <v>5564.91</v>
      </c>
      <c r="W221" s="1212"/>
      <c r="X221" s="1213"/>
      <c r="Y221" s="1214"/>
      <c r="Z221" s="1215"/>
      <c r="AA221" s="1076"/>
      <c r="AB221" s="1216"/>
      <c r="AC221" s="1076"/>
      <c r="AD221" s="1076"/>
      <c r="AE221" s="1076"/>
      <c r="AF221" s="1076"/>
      <c r="AG221" s="1076"/>
      <c r="AH221" s="1076"/>
      <c r="AI221" s="1076"/>
      <c r="AJ221" s="1076"/>
      <c r="AK221" s="1076"/>
      <c r="AL221" s="1076"/>
      <c r="AM221" s="1076"/>
      <c r="AN221" s="1076"/>
    </row>
    <row r="222" spans="1:40">
      <c r="C222" s="1178">
        <v>55035</v>
      </c>
      <c r="D222" s="1181" t="s">
        <v>258</v>
      </c>
      <c r="E222" s="1045"/>
      <c r="F222" s="1045"/>
      <c r="G222" s="1045"/>
      <c r="H222" s="1045"/>
      <c r="I222" s="1045"/>
      <c r="J222" s="1045"/>
      <c r="K222" s="1045"/>
      <c r="L222" s="1045"/>
      <c r="M222" s="1045"/>
      <c r="N222" s="1045"/>
      <c r="O222" s="1045"/>
      <c r="P222" s="1158">
        <v>0</v>
      </c>
      <c r="W222" s="1212"/>
      <c r="X222" s="1213"/>
      <c r="Y222" s="1214"/>
      <c r="Z222" s="1215"/>
      <c r="AA222" s="1076"/>
      <c r="AB222" s="1216"/>
      <c r="AC222" s="1076"/>
      <c r="AD222" s="1076"/>
      <c r="AE222" s="1076"/>
      <c r="AF222" s="1076"/>
      <c r="AG222" s="1076"/>
      <c r="AH222" s="1076"/>
      <c r="AI222" s="1076"/>
      <c r="AJ222" s="1076"/>
      <c r="AK222" s="1076"/>
      <c r="AL222" s="1076"/>
      <c r="AM222" s="1076"/>
      <c r="AN222" s="1076"/>
    </row>
    <row r="223" spans="1:40">
      <c r="C223" s="1178">
        <v>55036</v>
      </c>
      <c r="D223" s="1181" t="s">
        <v>2455</v>
      </c>
      <c r="E223" s="1045"/>
      <c r="F223" s="1045"/>
      <c r="G223" s="1045"/>
      <c r="H223" s="1045"/>
      <c r="I223" s="1045"/>
      <c r="J223" s="1045"/>
      <c r="K223" s="1045"/>
      <c r="L223" s="1045"/>
      <c r="M223" s="1045"/>
      <c r="N223" s="1045"/>
      <c r="O223" s="1045"/>
      <c r="P223" s="1158">
        <f>'Yakima Consolidated IS'!C43</f>
        <v>37.130000000000003</v>
      </c>
      <c r="W223" s="1212"/>
      <c r="X223" s="1213"/>
      <c r="Y223" s="1214"/>
      <c r="Z223" s="1215"/>
      <c r="AA223" s="1076"/>
      <c r="AB223" s="1216"/>
      <c r="AC223" s="1076"/>
      <c r="AD223" s="1076"/>
      <c r="AE223" s="1076"/>
      <c r="AF223" s="1076"/>
      <c r="AG223" s="1076"/>
      <c r="AH223" s="1076"/>
      <c r="AI223" s="1076"/>
      <c r="AJ223" s="1076"/>
      <c r="AK223" s="1076"/>
      <c r="AL223" s="1076"/>
      <c r="AM223" s="1076"/>
      <c r="AN223" s="1076"/>
    </row>
    <row r="224" spans="1:40">
      <c r="C224" s="1178">
        <v>55065</v>
      </c>
      <c r="D224" s="1178" t="s">
        <v>47</v>
      </c>
      <c r="P224" s="1158">
        <f>'Yakima Consolidated IS'!C44</f>
        <v>1416.72</v>
      </c>
      <c r="W224" s="1212"/>
      <c r="X224" s="1213"/>
      <c r="Y224" s="1214"/>
      <c r="Z224" s="1215"/>
      <c r="AA224" s="1076"/>
      <c r="AB224" s="1216"/>
      <c r="AC224" s="1076"/>
      <c r="AD224" s="1076"/>
      <c r="AE224" s="1076"/>
      <c r="AF224" s="1076"/>
      <c r="AG224" s="1076"/>
      <c r="AH224" s="1076"/>
      <c r="AI224" s="1076"/>
      <c r="AJ224" s="1076"/>
      <c r="AK224" s="1076"/>
      <c r="AL224" s="1076"/>
      <c r="AM224" s="1076"/>
      <c r="AN224" s="1076"/>
    </row>
    <row r="225" spans="1:40">
      <c r="C225" s="1178">
        <v>52070</v>
      </c>
      <c r="D225" s="1178" t="s">
        <v>48</v>
      </c>
      <c r="P225" s="1412">
        <f>'Yakima Consolidated IS'!C45</f>
        <v>1576</v>
      </c>
      <c r="W225" s="1212"/>
      <c r="X225" s="1213"/>
      <c r="Y225" s="1214"/>
      <c r="Z225" s="1215"/>
      <c r="AA225" s="1076"/>
      <c r="AB225" s="1216"/>
      <c r="AC225" s="1076"/>
      <c r="AD225" s="1076"/>
      <c r="AE225" s="1076"/>
      <c r="AF225" s="1076"/>
      <c r="AG225" s="1076"/>
      <c r="AH225" s="1076"/>
      <c r="AI225" s="1076"/>
      <c r="AJ225" s="1076"/>
      <c r="AK225" s="1076"/>
      <c r="AL225" s="1076"/>
      <c r="AM225" s="1076"/>
      <c r="AN225" s="1076"/>
    </row>
    <row r="226" spans="1:40">
      <c r="C226" s="1184"/>
      <c r="D226" s="1184"/>
      <c r="P226" s="1158">
        <f>SUM(P220:P225)</f>
        <v>47085.26</v>
      </c>
      <c r="W226" s="1212"/>
      <c r="X226" s="1213"/>
      <c r="Y226" s="1214"/>
      <c r="Z226" s="1215"/>
      <c r="AA226" s="1076"/>
      <c r="AB226" s="1216"/>
      <c r="AC226" s="1076"/>
      <c r="AD226" s="1076"/>
      <c r="AE226" s="1076"/>
      <c r="AF226" s="1076"/>
      <c r="AG226" s="1076"/>
      <c r="AH226" s="1076"/>
      <c r="AI226" s="1076"/>
      <c r="AJ226" s="1076"/>
      <c r="AK226" s="1076"/>
      <c r="AL226" s="1076"/>
      <c r="AM226" s="1076"/>
      <c r="AN226" s="1076"/>
    </row>
    <row r="227" spans="1:40">
      <c r="C227" s="1184"/>
      <c r="D227" s="1184"/>
      <c r="P227" s="1059"/>
      <c r="Q227" s="1158"/>
      <c r="W227" s="1212"/>
      <c r="X227" s="1213"/>
      <c r="Y227" s="1214"/>
      <c r="Z227" s="1215"/>
      <c r="AA227" s="1076"/>
      <c r="AB227" s="1216"/>
      <c r="AC227" s="1076"/>
      <c r="AD227" s="1076"/>
      <c r="AE227" s="1076"/>
      <c r="AF227" s="1076"/>
      <c r="AG227" s="1076"/>
      <c r="AH227" s="1076"/>
      <c r="AI227" s="1076"/>
      <c r="AJ227" s="1076"/>
      <c r="AK227" s="1076"/>
      <c r="AL227" s="1076"/>
      <c r="AM227" s="1076"/>
      <c r="AN227" s="1076"/>
    </row>
    <row r="228" spans="1:40">
      <c r="C228" s="1184"/>
      <c r="D228" s="1200" t="s">
        <v>508</v>
      </c>
      <c r="P228" s="1059"/>
      <c r="Q228" s="1158"/>
      <c r="W228" s="1212"/>
      <c r="X228" s="1213"/>
      <c r="Y228" s="1214"/>
      <c r="Z228" s="1215"/>
      <c r="AA228" s="1076"/>
      <c r="AB228" s="1216"/>
      <c r="AC228" s="1076"/>
      <c r="AD228" s="1076"/>
      <c r="AE228" s="1076"/>
      <c r="AF228" s="1076"/>
      <c r="AG228" s="1076"/>
      <c r="AH228" s="1076"/>
      <c r="AI228" s="1076"/>
      <c r="AJ228" s="1076"/>
      <c r="AK228" s="1076"/>
      <c r="AL228" s="1076"/>
      <c r="AM228" s="1076"/>
      <c r="AN228" s="1076"/>
    </row>
    <row r="229" spans="1:40">
      <c r="D229" s="1045"/>
      <c r="E229" s="1045"/>
      <c r="F229" s="1045"/>
      <c r="G229" s="1045"/>
      <c r="H229" s="1045"/>
      <c r="I229" s="1045"/>
      <c r="J229" s="1045"/>
      <c r="K229" s="1045"/>
      <c r="L229" s="1045"/>
      <c r="M229" s="1045"/>
      <c r="N229" s="1045"/>
      <c r="O229" s="1189" t="s">
        <v>2456</v>
      </c>
      <c r="P229" s="1174">
        <f>P213+P215-P226+P217</f>
        <v>9117.8899999999921</v>
      </c>
      <c r="Q229" s="1173">
        <f>P229/P226</f>
        <v>0.19364637680666927</v>
      </c>
      <c r="W229" s="1212"/>
      <c r="X229" s="1213"/>
      <c r="Y229" s="1214"/>
      <c r="Z229" s="1215"/>
      <c r="AA229" s="1076"/>
      <c r="AB229" s="1216"/>
      <c r="AC229" s="1076"/>
      <c r="AD229" s="1076"/>
      <c r="AE229" s="1076"/>
      <c r="AF229" s="1076"/>
      <c r="AG229" s="1076"/>
      <c r="AH229" s="1076"/>
      <c r="AI229" s="1076"/>
      <c r="AJ229" s="1076"/>
      <c r="AK229" s="1076"/>
      <c r="AL229" s="1076"/>
      <c r="AM229" s="1076"/>
      <c r="AN229" s="1076"/>
    </row>
    <row r="230" spans="1:40">
      <c r="D230" s="1045"/>
      <c r="E230" s="1045"/>
      <c r="F230" s="1045"/>
      <c r="G230" s="1045"/>
      <c r="H230" s="1045"/>
      <c r="I230" s="1045"/>
      <c r="J230" s="1045"/>
      <c r="K230" s="1045"/>
      <c r="L230" s="1045"/>
      <c r="M230" s="1045"/>
      <c r="N230" s="1045"/>
      <c r="O230" s="1045"/>
      <c r="P230" s="1076"/>
      <c r="W230" s="1212"/>
      <c r="X230" s="1213"/>
      <c r="Y230" s="1214"/>
      <c r="Z230" s="1215"/>
      <c r="AA230" s="1076"/>
      <c r="AB230" s="1216"/>
      <c r="AC230" s="1076"/>
      <c r="AD230" s="1076"/>
      <c r="AE230" s="1076"/>
      <c r="AF230" s="1076"/>
      <c r="AG230" s="1076"/>
      <c r="AH230" s="1076"/>
      <c r="AI230" s="1076"/>
      <c r="AJ230" s="1076"/>
      <c r="AK230" s="1076"/>
      <c r="AL230" s="1076"/>
      <c r="AM230" s="1076"/>
      <c r="AN230" s="1076"/>
    </row>
    <row r="231" spans="1:40">
      <c r="D231" s="1045"/>
      <c r="E231" s="1045"/>
      <c r="F231" s="1045"/>
      <c r="G231" s="1045"/>
      <c r="H231" s="1045"/>
      <c r="I231" s="1045"/>
      <c r="J231" s="1045"/>
      <c r="K231" s="1045"/>
      <c r="L231" s="1045"/>
      <c r="M231" s="1045"/>
      <c r="N231" s="1045"/>
      <c r="O231" s="1045"/>
      <c r="P231" s="1076"/>
      <c r="T231" s="1233"/>
      <c r="W231" s="1212"/>
      <c r="X231" s="1213"/>
      <c r="Y231" s="1214"/>
      <c r="Z231" s="1215"/>
      <c r="AA231" s="1076"/>
      <c r="AB231" s="1216"/>
      <c r="AC231" s="1076"/>
      <c r="AD231" s="1076"/>
      <c r="AE231" s="1076"/>
      <c r="AF231" s="1076"/>
      <c r="AG231" s="1076"/>
      <c r="AH231" s="1076"/>
      <c r="AI231" s="1076"/>
      <c r="AJ231" s="1076"/>
      <c r="AK231" s="1076"/>
      <c r="AL231" s="1076"/>
      <c r="AM231" s="1076"/>
      <c r="AN231" s="1076"/>
    </row>
    <row r="232" spans="1:40">
      <c r="D232" s="1045"/>
      <c r="E232" s="1045"/>
      <c r="F232" s="1045"/>
      <c r="G232" s="1045"/>
      <c r="H232" s="1045"/>
      <c r="I232" s="1045"/>
      <c r="J232" s="1045"/>
      <c r="K232" s="1045"/>
      <c r="L232" s="1045"/>
      <c r="M232" s="1045"/>
      <c r="N232" s="1045"/>
      <c r="O232" s="1045"/>
      <c r="P232" s="1076"/>
      <c r="W232" s="1212"/>
      <c r="X232" s="1213"/>
      <c r="Y232" s="1214"/>
      <c r="Z232" s="1215"/>
      <c r="AA232" s="1076"/>
      <c r="AB232" s="1216"/>
      <c r="AC232" s="1076"/>
      <c r="AD232" s="1076"/>
      <c r="AE232" s="1076"/>
      <c r="AF232" s="1076"/>
      <c r="AG232" s="1076"/>
      <c r="AH232" s="1076"/>
      <c r="AI232" s="1076"/>
      <c r="AJ232" s="1076"/>
      <c r="AK232" s="1076"/>
      <c r="AL232" s="1076"/>
      <c r="AM232" s="1076"/>
      <c r="AN232" s="1076"/>
    </row>
    <row r="233" spans="1:40">
      <c r="D233" s="1045"/>
      <c r="E233" s="1045"/>
      <c r="F233" s="1045"/>
      <c r="G233" s="1045"/>
      <c r="H233" s="1045"/>
      <c r="I233" s="1045"/>
      <c r="J233" s="1045"/>
      <c r="K233" s="1045"/>
      <c r="L233" s="1045"/>
      <c r="M233" s="1045"/>
      <c r="N233" s="1045"/>
      <c r="O233" s="1045"/>
      <c r="P233" s="1076"/>
      <c r="W233" s="1212"/>
      <c r="X233" s="1213"/>
      <c r="Y233" s="1214"/>
      <c r="Z233" s="1215"/>
      <c r="AA233" s="1076"/>
      <c r="AB233" s="1216"/>
      <c r="AC233" s="1076"/>
      <c r="AD233" s="1076"/>
      <c r="AE233" s="1076"/>
      <c r="AF233" s="1076"/>
      <c r="AG233" s="1076"/>
      <c r="AH233" s="1076"/>
      <c r="AI233" s="1076"/>
      <c r="AJ233" s="1076"/>
      <c r="AK233" s="1076"/>
      <c r="AL233" s="1076"/>
      <c r="AM233" s="1076"/>
      <c r="AN233" s="1076"/>
    </row>
    <row r="234" spans="1:40">
      <c r="D234" s="1045"/>
      <c r="E234" s="1045"/>
      <c r="F234" s="1045"/>
      <c r="G234" s="1045"/>
      <c r="H234" s="1045"/>
      <c r="I234" s="1045"/>
      <c r="J234" s="1045"/>
      <c r="K234" s="1045"/>
      <c r="L234" s="1045"/>
      <c r="M234" s="1045"/>
      <c r="N234" s="1045"/>
      <c r="O234" s="1234" t="s">
        <v>2480</v>
      </c>
      <c r="P234" s="1235">
        <f>+P229+P210+P192+P153+P135</f>
        <v>-5809.6290999990233</v>
      </c>
      <c r="W234" s="1212"/>
      <c r="X234" s="1213"/>
      <c r="Y234" s="1214"/>
      <c r="Z234" s="1215"/>
      <c r="AA234" s="1076"/>
      <c r="AB234" s="1216"/>
      <c r="AC234" s="1076"/>
      <c r="AD234" s="1076"/>
      <c r="AE234" s="1076"/>
      <c r="AF234" s="1076"/>
      <c r="AG234" s="1076"/>
      <c r="AH234" s="1076"/>
      <c r="AI234" s="1076"/>
      <c r="AJ234" s="1076"/>
      <c r="AK234" s="1076"/>
      <c r="AL234" s="1076"/>
      <c r="AM234" s="1076"/>
      <c r="AN234" s="1076"/>
    </row>
    <row r="235" spans="1:40">
      <c r="D235" s="1045"/>
      <c r="E235" s="1045"/>
      <c r="F235" s="1045"/>
      <c r="G235" s="1045"/>
      <c r="H235" s="1045"/>
      <c r="I235" s="1045"/>
      <c r="J235" s="1045"/>
      <c r="K235" s="1045"/>
      <c r="L235" s="1045"/>
      <c r="M235" s="1045"/>
      <c r="N235" s="1045"/>
      <c r="O235" s="1045"/>
      <c r="P235" s="1236">
        <f>+P234/P114</f>
        <v>-1.5705228594614189E-3</v>
      </c>
      <c r="W235" s="1212"/>
      <c r="X235" s="1213"/>
      <c r="Y235" s="1214"/>
      <c r="Z235" s="1215"/>
      <c r="AA235" s="1076"/>
      <c r="AB235" s="1216"/>
      <c r="AC235" s="1076"/>
      <c r="AD235" s="1076"/>
      <c r="AE235" s="1076"/>
      <c r="AF235" s="1076"/>
      <c r="AG235" s="1076"/>
      <c r="AH235" s="1076"/>
      <c r="AI235" s="1076"/>
      <c r="AJ235" s="1076"/>
      <c r="AK235" s="1076"/>
      <c r="AL235" s="1076"/>
      <c r="AM235" s="1076"/>
      <c r="AN235" s="1076"/>
    </row>
    <row r="236" spans="1:40">
      <c r="D236" s="1045"/>
      <c r="E236" s="1045"/>
      <c r="F236" s="1045"/>
      <c r="G236" s="1045"/>
      <c r="H236" s="1045"/>
      <c r="I236" s="1045"/>
      <c r="J236" s="1045"/>
      <c r="K236" s="1045"/>
      <c r="L236" s="1045"/>
      <c r="M236" s="1045"/>
      <c r="N236" s="1045"/>
      <c r="O236" s="1045"/>
      <c r="P236" s="1230" t="s">
        <v>2474</v>
      </c>
      <c r="W236" s="1212"/>
      <c r="X236" s="1213"/>
      <c r="Y236" s="1214"/>
      <c r="Z236" s="1215"/>
      <c r="AA236" s="1076"/>
      <c r="AB236" s="1216"/>
      <c r="AC236" s="1076"/>
      <c r="AD236" s="1076"/>
      <c r="AE236" s="1076"/>
      <c r="AF236" s="1076"/>
      <c r="AG236" s="1076"/>
      <c r="AH236" s="1076"/>
      <c r="AI236" s="1076"/>
      <c r="AJ236" s="1076"/>
      <c r="AK236" s="1076"/>
      <c r="AL236" s="1076"/>
      <c r="AM236" s="1076"/>
      <c r="AN236" s="1076"/>
    </row>
    <row r="237" spans="1:40">
      <c r="D237" s="1045"/>
      <c r="E237" s="1045"/>
      <c r="F237" s="1045"/>
      <c r="G237" s="1045"/>
      <c r="H237" s="1045"/>
      <c r="I237" s="1045"/>
      <c r="J237" s="1045"/>
      <c r="K237" s="1045"/>
      <c r="L237" s="1045"/>
      <c r="M237" s="1045"/>
      <c r="N237" s="1045"/>
      <c r="O237" s="1045"/>
      <c r="P237" s="1076"/>
      <c r="W237" s="1212"/>
      <c r="X237" s="1213"/>
      <c r="Y237" s="1214"/>
      <c r="Z237" s="1215"/>
      <c r="AA237" s="1076"/>
      <c r="AB237" s="1216"/>
      <c r="AC237" s="1076"/>
      <c r="AD237" s="1076"/>
      <c r="AE237" s="1076"/>
      <c r="AF237" s="1076"/>
      <c r="AG237" s="1076"/>
      <c r="AH237" s="1076"/>
      <c r="AI237" s="1076"/>
      <c r="AJ237" s="1076"/>
      <c r="AK237" s="1076"/>
      <c r="AL237" s="1076"/>
      <c r="AM237" s="1076"/>
      <c r="AN237" s="1076"/>
    </row>
    <row r="238" spans="1:40">
      <c r="A238" s="1046" t="s">
        <v>2481</v>
      </c>
      <c r="D238" s="1045"/>
      <c r="E238" s="1045"/>
      <c r="F238" s="1045"/>
      <c r="G238" s="1045"/>
      <c r="H238" s="1045"/>
      <c r="I238" s="1045"/>
      <c r="J238" s="1045"/>
      <c r="K238" s="1045"/>
      <c r="L238" s="1045"/>
      <c r="M238" s="1045"/>
      <c r="N238" s="1045"/>
      <c r="O238" s="1045"/>
      <c r="P238" s="1076"/>
    </row>
    <row r="239" spans="1:40">
      <c r="A239" s="1237" t="s">
        <v>2456</v>
      </c>
      <c r="B239" s="1045" t="s">
        <v>2482</v>
      </c>
      <c r="D239" s="1045"/>
      <c r="E239" s="1045"/>
      <c r="F239" s="1045"/>
      <c r="G239" s="1045"/>
      <c r="H239" s="1045"/>
      <c r="I239" s="1045"/>
      <c r="J239" s="1045"/>
      <c r="K239" s="1045"/>
      <c r="L239" s="1045"/>
      <c r="M239" s="1045"/>
      <c r="N239" s="1045"/>
      <c r="O239" s="1045"/>
      <c r="P239" s="1076"/>
    </row>
    <row r="240" spans="1:40">
      <c r="D240" s="1045"/>
      <c r="E240" s="1045"/>
      <c r="F240" s="1045"/>
      <c r="G240" s="1045"/>
      <c r="H240" s="1045"/>
      <c r="I240" s="1045"/>
      <c r="J240" s="1045"/>
      <c r="K240" s="1045"/>
      <c r="L240" s="1045"/>
      <c r="M240" s="1045"/>
      <c r="N240" s="1045"/>
      <c r="O240" s="1045"/>
      <c r="P240" s="1076"/>
    </row>
    <row r="241" spans="4:16">
      <c r="D241" s="1045"/>
      <c r="E241" s="1045"/>
      <c r="F241" s="1045"/>
      <c r="G241" s="1045"/>
      <c r="H241" s="1045"/>
      <c r="I241" s="1045"/>
      <c r="J241" s="1045"/>
      <c r="K241" s="1045"/>
      <c r="L241" s="1045"/>
      <c r="M241" s="1045"/>
      <c r="N241" s="1045"/>
      <c r="O241" s="1045"/>
      <c r="P241" s="1076"/>
    </row>
  </sheetData>
  <autoFilter ref="A8:AD109">
    <sortState ref="A9:AD82">
      <sortCondition sortBy="cellColor" ref="A8:A82" dxfId="3"/>
    </sortState>
  </autoFilter>
  <mergeCells count="5">
    <mergeCell ref="V2:AE2"/>
    <mergeCell ref="V116:AD116"/>
    <mergeCell ref="V117:AD117"/>
    <mergeCell ref="A118:D118"/>
    <mergeCell ref="R121:AA121"/>
  </mergeCells>
  <pageMargins left="0.75" right="0.75" top="1" bottom="1" header="0.5" footer="0.5"/>
  <pageSetup scale="55" pageOrder="overThenDown" orientation="landscape" r:id="rId1"/>
  <headerFooter alignWithMargins="0"/>
  <rowBreaks count="3" manualBreakCount="3">
    <brk id="64" max="16383" man="1"/>
    <brk id="115" max="16383" man="1"/>
    <brk id="199" max="16383" man="1"/>
  </rowBreaks>
  <colBreaks count="1" manualBreakCount="1">
    <brk id="31"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65"/>
  <sheetViews>
    <sheetView view="pageBreakPreview" topLeftCell="J1" zoomScale="60" zoomScaleNormal="100" workbookViewId="0">
      <selection activeCell="G20" sqref="G20"/>
    </sheetView>
  </sheetViews>
  <sheetFormatPr defaultRowHeight="15" outlineLevelCol="1"/>
  <cols>
    <col min="1" max="1" width="11.85546875" customWidth="1"/>
    <col min="2" max="2" width="14.85546875" customWidth="1"/>
    <col min="3" max="3" width="13.7109375" bestFit="1" customWidth="1"/>
    <col min="4" max="4" width="9.85546875" customWidth="1"/>
    <col min="5" max="5" width="11" bestFit="1" customWidth="1"/>
    <col min="6" max="6" width="10.5703125" bestFit="1" customWidth="1"/>
    <col min="7" max="7" width="13.28515625" bestFit="1" customWidth="1"/>
    <col min="8" max="8" width="14.140625" bestFit="1" customWidth="1"/>
    <col min="9" max="9" width="19.42578125" bestFit="1" customWidth="1"/>
    <col min="10" max="10" width="11.85546875" customWidth="1"/>
    <col min="11" max="11" width="13.28515625" bestFit="1" customWidth="1"/>
    <col min="12" max="12" width="13.42578125" bestFit="1" customWidth="1"/>
    <col min="13" max="13" width="16.85546875" bestFit="1" customWidth="1"/>
    <col min="14" max="14" width="7.7109375" bestFit="1" customWidth="1"/>
    <col min="15" max="15" width="11.5703125" bestFit="1" customWidth="1"/>
    <col min="16" max="16" width="11.85546875" bestFit="1" customWidth="1"/>
    <col min="17" max="17" width="11.7109375" bestFit="1" customWidth="1"/>
    <col min="18" max="18" width="12.85546875" bestFit="1" customWidth="1"/>
    <col min="19" max="19" width="9.42578125" bestFit="1" customWidth="1"/>
    <col min="20" max="20" width="11.85546875" bestFit="1" customWidth="1"/>
    <col min="21" max="21" width="14.140625" bestFit="1" customWidth="1"/>
    <col min="22" max="22" width="12.7109375" bestFit="1" customWidth="1"/>
    <col min="23" max="26" width="12.7109375" customWidth="1"/>
    <col min="27" max="27" width="5.7109375" style="416" customWidth="1"/>
    <col min="28" max="28" width="11.5703125" bestFit="1" customWidth="1"/>
    <col min="29" max="29" width="12.5703125" bestFit="1" customWidth="1"/>
    <col min="31" max="31" width="12.5703125" bestFit="1" customWidth="1"/>
    <col min="33" max="33" width="11.5703125" bestFit="1" customWidth="1"/>
    <col min="34" max="34" width="14.140625" bestFit="1" customWidth="1"/>
    <col min="35" max="35" width="12.5703125" bestFit="1" customWidth="1"/>
    <col min="37" max="37" width="12.5703125" bestFit="1" customWidth="1"/>
    <col min="38" max="38" width="13.42578125" bestFit="1" customWidth="1"/>
    <col min="39" max="39" width="13.42578125" customWidth="1"/>
    <col min="41" max="42" width="14.28515625" bestFit="1" customWidth="1"/>
    <col min="43" max="43" width="10.42578125" bestFit="1" customWidth="1"/>
    <col min="46" max="47" width="11.5703125" customWidth="1" outlineLevel="1"/>
    <col min="48" max="48" width="12.5703125" customWidth="1" outlineLevel="1"/>
  </cols>
  <sheetData>
    <row r="1" spans="1:48">
      <c r="A1" s="282" t="str">
        <f>'Yakima Consolidated IS'!A1</f>
        <v>Yakima Waste Systems, Inc G-89</v>
      </c>
    </row>
    <row r="2" spans="1:48">
      <c r="A2" s="214" t="s">
        <v>1365</v>
      </c>
    </row>
    <row r="4" spans="1:48">
      <c r="A4" s="1302" t="s">
        <v>1355</v>
      </c>
      <c r="B4" s="431" t="s">
        <v>1366</v>
      </c>
    </row>
    <row r="5" spans="1:48">
      <c r="D5" s="415"/>
      <c r="J5" s="223"/>
    </row>
    <row r="6" spans="1:48" ht="15.75" thickBot="1">
      <c r="B6" s="417"/>
      <c r="C6" s="417"/>
      <c r="D6" s="417"/>
      <c r="E6" s="417"/>
      <c r="F6" s="417"/>
      <c r="G6" s="417"/>
      <c r="H6" s="417"/>
      <c r="I6" s="417"/>
      <c r="J6" s="223"/>
      <c r="K6" s="417"/>
      <c r="L6" s="417"/>
      <c r="M6" s="417"/>
      <c r="N6" s="418"/>
      <c r="O6" s="417"/>
      <c r="P6" s="417"/>
      <c r="Q6" s="417"/>
      <c r="R6" s="417"/>
      <c r="T6" s="417"/>
      <c r="U6" s="417"/>
      <c r="V6" s="417"/>
      <c r="W6" s="417"/>
      <c r="X6" s="417"/>
      <c r="Y6" s="417"/>
      <c r="Z6" s="417"/>
      <c r="AA6" s="418"/>
      <c r="AB6" s="417"/>
      <c r="AC6" s="417"/>
      <c r="AD6" s="417"/>
      <c r="AE6" s="417"/>
      <c r="AF6" s="417"/>
      <c r="AG6" s="417"/>
      <c r="AH6" s="417"/>
      <c r="AI6" s="417"/>
      <c r="AJ6" s="417"/>
      <c r="AK6" s="417"/>
    </row>
    <row r="7" spans="1:48" ht="15.75" thickBot="1">
      <c r="B7" s="1450" t="s">
        <v>1356</v>
      </c>
      <c r="C7" s="1451"/>
      <c r="D7" s="1451"/>
      <c r="E7" s="1451"/>
      <c r="F7" s="1451"/>
      <c r="G7" s="1451"/>
      <c r="H7" s="1451"/>
      <c r="I7" s="1451"/>
      <c r="J7" s="1451"/>
      <c r="K7" s="1451"/>
      <c r="L7" s="1451"/>
      <c r="M7" s="1452"/>
      <c r="N7" s="419"/>
      <c r="O7" s="1450" t="s">
        <v>1357</v>
      </c>
      <c r="P7" s="1451"/>
      <c r="Q7" s="1451"/>
      <c r="R7" s="1451"/>
      <c r="S7" s="1451"/>
      <c r="T7" s="1451"/>
      <c r="U7" s="1451"/>
      <c r="V7" s="1451"/>
      <c r="W7" s="1451"/>
      <c r="X7" s="1451"/>
      <c r="Y7" s="1451"/>
      <c r="Z7" s="1452"/>
      <c r="AA7" s="419"/>
      <c r="AB7" s="1450" t="s">
        <v>1358</v>
      </c>
      <c r="AC7" s="1451"/>
      <c r="AD7" s="1451"/>
      <c r="AE7" s="1451"/>
      <c r="AF7" s="1451"/>
      <c r="AG7" s="1451"/>
      <c r="AH7" s="1451"/>
      <c r="AI7" s="1451"/>
      <c r="AJ7" s="1451"/>
      <c r="AK7" s="1451"/>
      <c r="AL7" s="1451"/>
      <c r="AM7" s="1452"/>
    </row>
    <row r="8" spans="1:48" ht="30">
      <c r="B8" s="433" t="s">
        <v>1367</v>
      </c>
      <c r="C8" s="433" t="s">
        <v>1368</v>
      </c>
      <c r="D8" s="435" t="s">
        <v>1369</v>
      </c>
      <c r="E8" s="435" t="s">
        <v>1370</v>
      </c>
      <c r="F8" s="433" t="s">
        <v>1371</v>
      </c>
      <c r="G8" s="433" t="s">
        <v>1372</v>
      </c>
      <c r="H8" s="435" t="s">
        <v>1373</v>
      </c>
      <c r="I8" s="435" t="s">
        <v>1374</v>
      </c>
      <c r="J8" s="1453" t="s">
        <v>1360</v>
      </c>
      <c r="K8" s="1453"/>
      <c r="L8" s="1453" t="s">
        <v>1361</v>
      </c>
      <c r="M8" s="1453"/>
      <c r="N8" s="419"/>
      <c r="O8" s="433" t="s">
        <v>1367</v>
      </c>
      <c r="P8" s="433" t="s">
        <v>1368</v>
      </c>
      <c r="Q8" s="435" t="s">
        <v>1369</v>
      </c>
      <c r="R8" s="435" t="s">
        <v>1370</v>
      </c>
      <c r="S8" s="433" t="s">
        <v>1371</v>
      </c>
      <c r="T8" s="433" t="s">
        <v>1372</v>
      </c>
      <c r="U8" s="435" t="s">
        <v>1373</v>
      </c>
      <c r="V8" s="435" t="s">
        <v>1374</v>
      </c>
      <c r="W8" s="1453" t="s">
        <v>1360</v>
      </c>
      <c r="X8" s="1453"/>
      <c r="Y8" s="1453" t="s">
        <v>1361</v>
      </c>
      <c r="Z8" s="1453"/>
      <c r="AA8" s="419"/>
      <c r="AB8" s="433" t="s">
        <v>1367</v>
      </c>
      <c r="AC8" s="433" t="s">
        <v>1368</v>
      </c>
      <c r="AD8" s="435" t="s">
        <v>1369</v>
      </c>
      <c r="AE8" s="435" t="s">
        <v>1370</v>
      </c>
      <c r="AF8" s="433" t="s">
        <v>1371</v>
      </c>
      <c r="AG8" s="433" t="s">
        <v>1372</v>
      </c>
      <c r="AH8" s="435" t="s">
        <v>1373</v>
      </c>
      <c r="AI8" s="435" t="s">
        <v>1374</v>
      </c>
      <c r="AJ8" s="1453" t="s">
        <v>1360</v>
      </c>
      <c r="AK8" s="1453"/>
      <c r="AL8" s="1453" t="s">
        <v>1361</v>
      </c>
      <c r="AM8" s="1453"/>
      <c r="AO8" s="236"/>
      <c r="AP8" s="236"/>
      <c r="AT8" s="455"/>
      <c r="AU8" s="455"/>
      <c r="AV8" s="455"/>
    </row>
    <row r="9" spans="1:48">
      <c r="B9" s="410"/>
      <c r="C9" s="410"/>
      <c r="D9" s="410"/>
      <c r="E9" s="410"/>
      <c r="F9" s="410"/>
      <c r="G9" s="410"/>
      <c r="H9" s="410"/>
      <c r="I9" s="410"/>
      <c r="J9" s="236"/>
      <c r="K9" s="236"/>
      <c r="L9" s="236"/>
      <c r="M9" s="236"/>
      <c r="N9" s="419"/>
      <c r="O9" s="410"/>
      <c r="P9" s="410"/>
      <c r="Q9" s="410"/>
      <c r="R9" s="410"/>
      <c r="S9" s="410"/>
      <c r="T9" s="410"/>
      <c r="U9" s="410"/>
      <c r="V9" s="410"/>
      <c r="W9" s="236"/>
      <c r="X9" s="236"/>
      <c r="Y9" s="236"/>
      <c r="Z9" s="236"/>
      <c r="AA9" s="419"/>
      <c r="AB9" s="410"/>
      <c r="AC9" s="410"/>
      <c r="AD9" s="410"/>
      <c r="AE9" s="410"/>
      <c r="AF9" s="410"/>
      <c r="AG9" s="410"/>
      <c r="AH9" s="410"/>
      <c r="AI9" s="410"/>
      <c r="AJ9" s="236"/>
      <c r="AK9" s="236"/>
      <c r="AL9" s="236"/>
      <c r="AM9" s="236"/>
    </row>
    <row r="10" spans="1:48">
      <c r="A10" s="420">
        <v>42552</v>
      </c>
      <c r="B10" s="424">
        <v>3635.19</v>
      </c>
      <c r="C10" s="354">
        <v>111832.07</v>
      </c>
      <c r="D10" s="424">
        <v>113.66</v>
      </c>
      <c r="E10" s="354">
        <v>3510.96</v>
      </c>
      <c r="F10" s="424">
        <v>2783.67</v>
      </c>
      <c r="G10" s="354">
        <v>85989.07</v>
      </c>
      <c r="H10" s="424">
        <v>262.02999999999997</v>
      </c>
      <c r="I10" s="354">
        <v>8961.59</v>
      </c>
      <c r="J10" s="424">
        <f t="shared" ref="J10:K15" si="0">B10+D10</f>
        <v>3748.85</v>
      </c>
      <c r="K10" s="354">
        <f t="shared" si="0"/>
        <v>115343.03000000001</v>
      </c>
      <c r="L10" s="424">
        <f t="shared" ref="L10:M15" si="1">F10+H10</f>
        <v>3045.7</v>
      </c>
      <c r="M10" s="354">
        <f t="shared" si="1"/>
        <v>94950.66</v>
      </c>
      <c r="N10" s="421"/>
      <c r="O10" s="424">
        <v>70.09</v>
      </c>
      <c r="P10" s="354">
        <v>2165.08</v>
      </c>
      <c r="Q10" s="424">
        <v>443.01</v>
      </c>
      <c r="R10" s="354">
        <v>13570.96</v>
      </c>
      <c r="S10" s="424">
        <v>146.9</v>
      </c>
      <c r="T10" s="354">
        <v>4538.05</v>
      </c>
      <c r="U10" s="424">
        <v>685.89</v>
      </c>
      <c r="V10" s="354">
        <v>21430.69</v>
      </c>
      <c r="W10" s="424">
        <f t="shared" ref="W10:X15" si="2">O10+Q10</f>
        <v>513.1</v>
      </c>
      <c r="X10" s="354">
        <f t="shared" si="2"/>
        <v>15736.039999999999</v>
      </c>
      <c r="Y10" s="424">
        <f t="shared" ref="Y10:Z15" si="3">S10+U10</f>
        <v>832.79</v>
      </c>
      <c r="Z10" s="354">
        <f t="shared" si="3"/>
        <v>25968.739999999998</v>
      </c>
      <c r="AA10" s="421"/>
      <c r="AB10" s="424">
        <v>232.78</v>
      </c>
      <c r="AC10" s="354">
        <v>7190.56</v>
      </c>
      <c r="AD10" s="424">
        <v>1088.93</v>
      </c>
      <c r="AE10" s="354">
        <v>33650.089999999997</v>
      </c>
      <c r="AF10" s="424">
        <v>106.58</v>
      </c>
      <c r="AG10" s="354">
        <v>3293.75</v>
      </c>
      <c r="AH10" s="424">
        <v>189.76</v>
      </c>
      <c r="AI10" s="354">
        <v>5869.12</v>
      </c>
      <c r="AJ10" s="424">
        <f t="shared" ref="AJ10:AK15" si="4">AB10+AD10</f>
        <v>1321.71</v>
      </c>
      <c r="AK10" s="354">
        <f t="shared" si="4"/>
        <v>40840.649999999994</v>
      </c>
      <c r="AL10" s="424">
        <f t="shared" ref="AL10:AM15" si="5">AF10+AH10</f>
        <v>296.33999999999997</v>
      </c>
      <c r="AM10" s="354">
        <f t="shared" si="5"/>
        <v>9162.869999999999</v>
      </c>
      <c r="AO10" s="245"/>
      <c r="AS10" s="420"/>
      <c r="AT10" s="245"/>
      <c r="AV10" s="222"/>
    </row>
    <row r="11" spans="1:48">
      <c r="A11" s="420">
        <v>42583</v>
      </c>
      <c r="B11" s="424">
        <v>4128.5600000000004</v>
      </c>
      <c r="C11" s="354">
        <v>127028.68</v>
      </c>
      <c r="D11" s="424">
        <v>98.76</v>
      </c>
      <c r="E11" s="354">
        <v>3056.58</v>
      </c>
      <c r="F11" s="424">
        <v>3200.73</v>
      </c>
      <c r="G11" s="354">
        <v>98842.89</v>
      </c>
      <c r="H11" s="424">
        <v>279.83999999999997</v>
      </c>
      <c r="I11" s="354">
        <v>8991.5400000000009</v>
      </c>
      <c r="J11" s="424">
        <f t="shared" si="0"/>
        <v>4227.3200000000006</v>
      </c>
      <c r="K11" s="354">
        <f t="shared" si="0"/>
        <v>130085.26</v>
      </c>
      <c r="L11" s="424">
        <f t="shared" si="1"/>
        <v>3480.57</v>
      </c>
      <c r="M11" s="354">
        <f t="shared" si="1"/>
        <v>107834.43</v>
      </c>
      <c r="N11" s="432"/>
      <c r="O11" s="424">
        <v>115.64</v>
      </c>
      <c r="P11" s="354">
        <v>3572.12</v>
      </c>
      <c r="Q11" s="424">
        <v>444.14</v>
      </c>
      <c r="R11" s="354">
        <v>13628.38</v>
      </c>
      <c r="S11" s="424">
        <v>242.78</v>
      </c>
      <c r="T11" s="354">
        <v>7510.97</v>
      </c>
      <c r="U11" s="424">
        <v>734.35</v>
      </c>
      <c r="V11" s="354">
        <v>22991.25</v>
      </c>
      <c r="W11" s="424">
        <f t="shared" si="2"/>
        <v>559.78</v>
      </c>
      <c r="X11" s="354">
        <f t="shared" si="2"/>
        <v>17200.5</v>
      </c>
      <c r="Y11" s="424">
        <f t="shared" si="3"/>
        <v>977.13</v>
      </c>
      <c r="Z11" s="354">
        <f t="shared" si="3"/>
        <v>30502.22</v>
      </c>
      <c r="AA11" s="421"/>
      <c r="AB11" s="424">
        <v>205.58</v>
      </c>
      <c r="AC11" s="354">
        <v>6350.33</v>
      </c>
      <c r="AD11" s="424">
        <v>1326.71</v>
      </c>
      <c r="AE11" s="354">
        <v>40987.120000000003</v>
      </c>
      <c r="AF11" s="424">
        <v>130.66</v>
      </c>
      <c r="AG11" s="354">
        <v>4036.08</v>
      </c>
      <c r="AH11" s="424">
        <v>263.77999999999997</v>
      </c>
      <c r="AI11" s="354">
        <v>8153.1</v>
      </c>
      <c r="AJ11" s="424">
        <f t="shared" si="4"/>
        <v>1532.29</v>
      </c>
      <c r="AK11" s="354">
        <f t="shared" si="4"/>
        <v>47337.450000000004</v>
      </c>
      <c r="AL11" s="424">
        <f t="shared" si="5"/>
        <v>394.43999999999994</v>
      </c>
      <c r="AM11" s="354">
        <f t="shared" si="5"/>
        <v>12189.18</v>
      </c>
      <c r="AO11" s="245"/>
      <c r="AS11" s="420"/>
      <c r="AT11" s="245"/>
      <c r="AV11" s="222"/>
    </row>
    <row r="12" spans="1:48">
      <c r="A12" s="420">
        <v>42614</v>
      </c>
      <c r="B12" s="424">
        <v>4031.26</v>
      </c>
      <c r="C12" s="354">
        <v>123970.97</v>
      </c>
      <c r="D12" s="424">
        <v>141.63999999999999</v>
      </c>
      <c r="E12" s="354">
        <v>4375.26</v>
      </c>
      <c r="F12" s="424">
        <v>3067.69</v>
      </c>
      <c r="G12" s="354">
        <v>95405.91</v>
      </c>
      <c r="H12" s="424">
        <v>283.74</v>
      </c>
      <c r="I12" s="354">
        <v>8705.61</v>
      </c>
      <c r="J12" s="424">
        <f t="shared" si="0"/>
        <v>4172.9000000000005</v>
      </c>
      <c r="K12" s="354">
        <f t="shared" si="0"/>
        <v>128346.23</v>
      </c>
      <c r="L12" s="424">
        <f t="shared" si="1"/>
        <v>3351.4300000000003</v>
      </c>
      <c r="M12" s="354">
        <f t="shared" si="1"/>
        <v>104111.52</v>
      </c>
      <c r="N12" s="432"/>
      <c r="O12" s="424">
        <v>79.489999999999995</v>
      </c>
      <c r="P12" s="354">
        <v>2455.4499999999998</v>
      </c>
      <c r="Q12" s="424">
        <v>436.99</v>
      </c>
      <c r="R12" s="354">
        <v>13286.9</v>
      </c>
      <c r="S12" s="424">
        <v>246.42</v>
      </c>
      <c r="T12" s="354">
        <v>7611.93</v>
      </c>
      <c r="U12" s="424">
        <v>881.17</v>
      </c>
      <c r="V12" s="354">
        <v>27510.48</v>
      </c>
      <c r="W12" s="424">
        <f t="shared" si="2"/>
        <v>516.48</v>
      </c>
      <c r="X12" s="354">
        <f t="shared" si="2"/>
        <v>15742.349999999999</v>
      </c>
      <c r="Y12" s="424">
        <f t="shared" si="3"/>
        <v>1127.5899999999999</v>
      </c>
      <c r="Z12" s="354">
        <f t="shared" si="3"/>
        <v>35122.410000000003</v>
      </c>
      <c r="AA12" s="421"/>
      <c r="AB12" s="424">
        <v>230.16</v>
      </c>
      <c r="AC12" s="354">
        <v>7109.65</v>
      </c>
      <c r="AD12" s="424">
        <v>1175.8699999999999</v>
      </c>
      <c r="AE12" s="354">
        <v>36330.089999999997</v>
      </c>
      <c r="AF12" s="424">
        <v>119.76</v>
      </c>
      <c r="AG12" s="354">
        <v>3706.16</v>
      </c>
      <c r="AH12" s="424">
        <v>307.97000000000003</v>
      </c>
      <c r="AI12" s="354">
        <v>9513.19</v>
      </c>
      <c r="AJ12" s="424">
        <f t="shared" si="4"/>
        <v>1406.03</v>
      </c>
      <c r="AK12" s="354">
        <f t="shared" si="4"/>
        <v>43439.74</v>
      </c>
      <c r="AL12" s="424">
        <f t="shared" si="5"/>
        <v>427.73</v>
      </c>
      <c r="AM12" s="354">
        <f t="shared" si="5"/>
        <v>13219.35</v>
      </c>
      <c r="AO12" s="245"/>
      <c r="AS12" s="420"/>
      <c r="AT12" s="245"/>
      <c r="AV12" s="222"/>
    </row>
    <row r="13" spans="1:48">
      <c r="A13" s="420">
        <v>42644</v>
      </c>
      <c r="B13" s="424">
        <v>3821.11</v>
      </c>
      <c r="C13" s="354">
        <v>117619.46</v>
      </c>
      <c r="D13" s="424">
        <v>72.11</v>
      </c>
      <c r="E13" s="354">
        <v>2227.4699999999998</v>
      </c>
      <c r="F13" s="424">
        <v>3255.53</v>
      </c>
      <c r="G13" s="354">
        <v>100707.79</v>
      </c>
      <c r="H13" s="424">
        <v>234.35</v>
      </c>
      <c r="I13" s="354">
        <v>7239.02</v>
      </c>
      <c r="J13" s="424">
        <f t="shared" si="0"/>
        <v>3893.2200000000003</v>
      </c>
      <c r="K13" s="354">
        <f t="shared" si="0"/>
        <v>119846.93000000001</v>
      </c>
      <c r="L13" s="424">
        <f t="shared" si="1"/>
        <v>3489.88</v>
      </c>
      <c r="M13" s="354">
        <f t="shared" si="1"/>
        <v>107946.81</v>
      </c>
      <c r="N13" s="432"/>
      <c r="O13" s="424">
        <v>74.16</v>
      </c>
      <c r="P13" s="354">
        <v>2290.79</v>
      </c>
      <c r="Q13" s="424">
        <v>448.03</v>
      </c>
      <c r="R13" s="354">
        <v>13729.5</v>
      </c>
      <c r="S13" s="424">
        <v>315.41000000000003</v>
      </c>
      <c r="T13" s="354">
        <v>9748.0400000000009</v>
      </c>
      <c r="U13" s="424">
        <v>891.46</v>
      </c>
      <c r="V13" s="354">
        <v>27860.06</v>
      </c>
      <c r="W13" s="424">
        <f t="shared" si="2"/>
        <v>522.18999999999994</v>
      </c>
      <c r="X13" s="354">
        <f t="shared" si="2"/>
        <v>16020.29</v>
      </c>
      <c r="Y13" s="424">
        <f t="shared" si="3"/>
        <v>1206.8700000000001</v>
      </c>
      <c r="Z13" s="354">
        <f t="shared" si="3"/>
        <v>37608.100000000006</v>
      </c>
      <c r="AA13" s="421"/>
      <c r="AB13" s="424">
        <v>200.72</v>
      </c>
      <c r="AC13" s="354">
        <v>6200.23</v>
      </c>
      <c r="AD13" s="424">
        <v>1145.5899999999999</v>
      </c>
      <c r="AE13" s="354">
        <v>35392.29</v>
      </c>
      <c r="AF13" s="424">
        <v>147.66999999999999</v>
      </c>
      <c r="AG13" s="354">
        <v>4561.49</v>
      </c>
      <c r="AH13" s="424">
        <v>280.05</v>
      </c>
      <c r="AI13" s="354">
        <v>8655.7900000000009</v>
      </c>
      <c r="AJ13" s="424">
        <f t="shared" si="4"/>
        <v>1346.31</v>
      </c>
      <c r="AK13" s="354">
        <f t="shared" si="4"/>
        <v>41592.520000000004</v>
      </c>
      <c r="AL13" s="424">
        <f t="shared" si="5"/>
        <v>427.72</v>
      </c>
      <c r="AM13" s="354">
        <f t="shared" si="5"/>
        <v>13217.28</v>
      </c>
      <c r="AO13" s="245"/>
      <c r="AS13" s="420"/>
      <c r="AT13" s="245"/>
      <c r="AV13" s="222"/>
    </row>
    <row r="14" spans="1:48">
      <c r="A14" s="420">
        <v>42675</v>
      </c>
      <c r="B14" s="424">
        <v>3914</v>
      </c>
      <c r="C14" s="354">
        <v>120515.8</v>
      </c>
      <c r="D14" s="424">
        <v>111.16</v>
      </c>
      <c r="E14" s="354">
        <v>3433.76</v>
      </c>
      <c r="F14" s="424">
        <v>3147.02</v>
      </c>
      <c r="G14" s="354">
        <v>98362.87</v>
      </c>
      <c r="H14" s="424">
        <v>300.52999999999997</v>
      </c>
      <c r="I14" s="354">
        <v>9288.4</v>
      </c>
      <c r="J14" s="424">
        <f t="shared" si="0"/>
        <v>4025.16</v>
      </c>
      <c r="K14" s="354">
        <f t="shared" si="0"/>
        <v>123949.56</v>
      </c>
      <c r="L14" s="424">
        <f t="shared" si="1"/>
        <v>3447.55</v>
      </c>
      <c r="M14" s="354">
        <f t="shared" si="1"/>
        <v>107651.26999999999</v>
      </c>
      <c r="N14" s="432"/>
      <c r="O14" s="424">
        <v>86.21</v>
      </c>
      <c r="P14" s="354">
        <v>2663.02</v>
      </c>
      <c r="Q14" s="424">
        <v>426.94</v>
      </c>
      <c r="R14" s="354">
        <v>13136.98</v>
      </c>
      <c r="S14" s="424">
        <v>347.24</v>
      </c>
      <c r="T14" s="354">
        <v>10770.24</v>
      </c>
      <c r="U14" s="424">
        <v>909.5</v>
      </c>
      <c r="V14" s="354">
        <v>28296.05</v>
      </c>
      <c r="W14" s="424">
        <f t="shared" si="2"/>
        <v>513.15</v>
      </c>
      <c r="X14" s="354">
        <f t="shared" si="2"/>
        <v>15800</v>
      </c>
      <c r="Y14" s="424">
        <f t="shared" si="3"/>
        <v>1256.74</v>
      </c>
      <c r="Z14" s="354">
        <f t="shared" si="3"/>
        <v>39066.29</v>
      </c>
      <c r="AA14" s="421"/>
      <c r="AB14" s="424">
        <v>180.7</v>
      </c>
      <c r="AC14" s="354">
        <v>5581.8</v>
      </c>
      <c r="AD14" s="424">
        <v>1277.51</v>
      </c>
      <c r="AE14" s="354">
        <v>39462.300000000003</v>
      </c>
      <c r="AF14" s="424">
        <v>124.52</v>
      </c>
      <c r="AG14" s="354">
        <v>3846.45</v>
      </c>
      <c r="AH14" s="424">
        <v>217.18</v>
      </c>
      <c r="AI14" s="354">
        <v>6743.23</v>
      </c>
      <c r="AJ14" s="424">
        <f t="shared" si="4"/>
        <v>1458.21</v>
      </c>
      <c r="AK14" s="354">
        <f t="shared" si="4"/>
        <v>45044.100000000006</v>
      </c>
      <c r="AL14" s="424">
        <f t="shared" si="5"/>
        <v>341.7</v>
      </c>
      <c r="AM14" s="354">
        <f t="shared" si="5"/>
        <v>10589.68</v>
      </c>
      <c r="AO14" s="245"/>
      <c r="AS14" s="420"/>
      <c r="AT14" s="245"/>
      <c r="AV14" s="222"/>
    </row>
    <row r="15" spans="1:48">
      <c r="A15" s="420">
        <v>42705</v>
      </c>
      <c r="B15" s="424">
        <v>3303.1</v>
      </c>
      <c r="C15" s="354">
        <v>102009.79</v>
      </c>
      <c r="D15" s="424">
        <v>103.36</v>
      </c>
      <c r="E15" s="354">
        <v>3192.81</v>
      </c>
      <c r="F15" s="424">
        <v>2828.53</v>
      </c>
      <c r="G15" s="354">
        <v>87419.08</v>
      </c>
      <c r="H15" s="424">
        <v>321.7</v>
      </c>
      <c r="I15" s="354">
        <v>9937.2800000000007</v>
      </c>
      <c r="J15" s="424">
        <f t="shared" si="0"/>
        <v>3406.46</v>
      </c>
      <c r="K15" s="354">
        <f t="shared" si="0"/>
        <v>105202.59999999999</v>
      </c>
      <c r="L15" s="424">
        <f t="shared" si="1"/>
        <v>3150.23</v>
      </c>
      <c r="M15" s="354">
        <f t="shared" si="1"/>
        <v>97356.36</v>
      </c>
      <c r="N15" s="432"/>
      <c r="O15" s="424">
        <v>56.59</v>
      </c>
      <c r="P15" s="354">
        <v>1748.06</v>
      </c>
      <c r="Q15" s="424">
        <v>361.57</v>
      </c>
      <c r="R15" s="354">
        <v>11168.89</v>
      </c>
      <c r="S15" s="424">
        <v>151.16999999999999</v>
      </c>
      <c r="T15" s="354">
        <v>4674.66</v>
      </c>
      <c r="U15" s="424">
        <v>740.49</v>
      </c>
      <c r="V15" s="354">
        <v>23070.35</v>
      </c>
      <c r="W15" s="424">
        <f t="shared" si="2"/>
        <v>418.15999999999997</v>
      </c>
      <c r="X15" s="354">
        <f t="shared" si="2"/>
        <v>12916.949999999999</v>
      </c>
      <c r="Y15" s="424">
        <f t="shared" si="3"/>
        <v>891.66</v>
      </c>
      <c r="Z15" s="354">
        <f t="shared" si="3"/>
        <v>27745.01</v>
      </c>
      <c r="AA15" s="421"/>
      <c r="AB15" s="424">
        <v>208.57</v>
      </c>
      <c r="AC15" s="354">
        <v>6442.73</v>
      </c>
      <c r="AD15" s="424">
        <v>930.54</v>
      </c>
      <c r="AE15" s="354">
        <v>28744.44</v>
      </c>
      <c r="AF15" s="424">
        <v>90.35</v>
      </c>
      <c r="AG15" s="354">
        <v>2793.91</v>
      </c>
      <c r="AH15" s="424">
        <v>160.65</v>
      </c>
      <c r="AI15" s="354">
        <v>4967.33</v>
      </c>
      <c r="AJ15" s="424">
        <f t="shared" si="4"/>
        <v>1139.1099999999999</v>
      </c>
      <c r="AK15" s="354">
        <f t="shared" si="4"/>
        <v>35187.17</v>
      </c>
      <c r="AL15" s="424">
        <f t="shared" si="5"/>
        <v>251</v>
      </c>
      <c r="AM15" s="354">
        <f t="shared" si="5"/>
        <v>7761.24</v>
      </c>
      <c r="AO15" s="245"/>
      <c r="AS15" s="420"/>
      <c r="AT15" s="245"/>
      <c r="AV15" s="222"/>
    </row>
    <row r="16" spans="1:48">
      <c r="A16" s="420">
        <v>42766</v>
      </c>
      <c r="B16" s="424">
        <v>3235.06</v>
      </c>
      <c r="C16" s="354">
        <v>99930.96</v>
      </c>
      <c r="D16" s="424">
        <v>77.06</v>
      </c>
      <c r="E16" s="354">
        <v>2380.38</v>
      </c>
      <c r="F16" s="424">
        <v>2712.75</v>
      </c>
      <c r="G16" s="354">
        <v>84142.33</v>
      </c>
      <c r="H16" s="424">
        <v>183.34</v>
      </c>
      <c r="I16" s="354">
        <v>5663.37</v>
      </c>
      <c r="J16" s="424">
        <f t="shared" ref="J16:K19" si="6">B16+D16</f>
        <v>3312.12</v>
      </c>
      <c r="K16" s="354">
        <f t="shared" si="6"/>
        <v>102311.34000000001</v>
      </c>
      <c r="L16" s="424">
        <f t="shared" ref="L16:M19" si="7">F16+H16</f>
        <v>2896.09</v>
      </c>
      <c r="M16" s="354">
        <f t="shared" si="7"/>
        <v>89805.7</v>
      </c>
      <c r="N16" s="421"/>
      <c r="O16" s="424">
        <v>71.47</v>
      </c>
      <c r="P16" s="354">
        <v>2207.6799999999998</v>
      </c>
      <c r="Q16" s="424">
        <v>392.44</v>
      </c>
      <c r="R16" s="354">
        <v>12122.49</v>
      </c>
      <c r="S16" s="424">
        <v>144.72999999999999</v>
      </c>
      <c r="T16" s="354">
        <v>4506.3500000000004</v>
      </c>
      <c r="U16" s="424">
        <v>586.9</v>
      </c>
      <c r="V16" s="354">
        <v>18432.32</v>
      </c>
      <c r="W16" s="424">
        <f t="shared" ref="W16:X20" si="8">O16+Q16</f>
        <v>463.90999999999997</v>
      </c>
      <c r="X16" s="354">
        <f t="shared" si="8"/>
        <v>14330.17</v>
      </c>
      <c r="Y16" s="424">
        <f t="shared" ref="Y16:Z20" si="9">S16+U16</f>
        <v>731.63</v>
      </c>
      <c r="Z16" s="354">
        <f t="shared" si="9"/>
        <v>22938.67</v>
      </c>
      <c r="AA16" s="421"/>
      <c r="AB16" s="424">
        <v>164.76</v>
      </c>
      <c r="AC16" s="354">
        <v>5089.43</v>
      </c>
      <c r="AD16" s="424">
        <v>818.26</v>
      </c>
      <c r="AE16" s="354">
        <v>25276.09</v>
      </c>
      <c r="AF16" s="424">
        <v>58.22</v>
      </c>
      <c r="AG16" s="354">
        <v>1808.42</v>
      </c>
      <c r="AH16" s="424">
        <v>145.56</v>
      </c>
      <c r="AI16" s="354">
        <v>4496.3599999999997</v>
      </c>
      <c r="AJ16" s="424">
        <f t="shared" ref="AJ16:AK20" si="10">AB16+AD16</f>
        <v>983.02</v>
      </c>
      <c r="AK16" s="354">
        <f t="shared" si="10"/>
        <v>30365.52</v>
      </c>
      <c r="AL16" s="424">
        <f t="shared" ref="AL16:AM20" si="11">AF16+AH16</f>
        <v>203.78</v>
      </c>
      <c r="AM16" s="354">
        <f t="shared" si="11"/>
        <v>6304.78</v>
      </c>
      <c r="AO16" s="245"/>
      <c r="AP16" s="248"/>
      <c r="AQ16" s="245"/>
      <c r="AR16" s="420"/>
      <c r="AS16" s="420"/>
      <c r="AT16" s="245"/>
      <c r="AU16" s="257"/>
      <c r="AV16" s="222"/>
    </row>
    <row r="17" spans="1:48">
      <c r="A17" s="420">
        <f>A16+25</f>
        <v>42791</v>
      </c>
      <c r="B17" s="424">
        <v>3096.16</v>
      </c>
      <c r="C17" s="354">
        <v>101489.55</v>
      </c>
      <c r="D17" s="424">
        <v>87.68</v>
      </c>
      <c r="E17" s="354">
        <v>2877.66</v>
      </c>
      <c r="F17" s="424">
        <v>2927.8</v>
      </c>
      <c r="G17" s="354">
        <v>96421.56</v>
      </c>
      <c r="H17" s="424">
        <v>253.88</v>
      </c>
      <c r="I17" s="354">
        <v>8406.57</v>
      </c>
      <c r="J17" s="424">
        <f t="shared" si="6"/>
        <v>3183.8399999999997</v>
      </c>
      <c r="K17" s="354">
        <f t="shared" si="6"/>
        <v>104367.21</v>
      </c>
      <c r="L17" s="424">
        <f t="shared" si="7"/>
        <v>3181.6800000000003</v>
      </c>
      <c r="M17" s="354">
        <f t="shared" si="7"/>
        <v>104828.13</v>
      </c>
      <c r="N17" s="421"/>
      <c r="O17" s="424">
        <v>66.72</v>
      </c>
      <c r="P17" s="354">
        <v>2189.7600000000002</v>
      </c>
      <c r="Q17" s="424">
        <v>392.62</v>
      </c>
      <c r="R17" s="354">
        <v>12885.8</v>
      </c>
      <c r="S17" s="424">
        <v>151.57</v>
      </c>
      <c r="T17" s="354">
        <v>4990.57</v>
      </c>
      <c r="U17" s="424">
        <v>893.5</v>
      </c>
      <c r="V17" s="354">
        <v>29618.67</v>
      </c>
      <c r="W17" s="424">
        <f t="shared" si="8"/>
        <v>459.34000000000003</v>
      </c>
      <c r="X17" s="354">
        <f t="shared" si="8"/>
        <v>15075.56</v>
      </c>
      <c r="Y17" s="424">
        <f t="shared" si="9"/>
        <v>1045.07</v>
      </c>
      <c r="Z17" s="354">
        <f t="shared" si="9"/>
        <v>34609.24</v>
      </c>
      <c r="AA17" s="421"/>
      <c r="AB17" s="424">
        <v>172.41</v>
      </c>
      <c r="AC17" s="354">
        <v>5658.52</v>
      </c>
      <c r="AD17" s="424">
        <v>824.06</v>
      </c>
      <c r="AE17" s="354">
        <v>27045.61</v>
      </c>
      <c r="AF17" s="424">
        <v>92.35</v>
      </c>
      <c r="AG17" s="354">
        <v>3030.96</v>
      </c>
      <c r="AH17" s="424">
        <v>126.43</v>
      </c>
      <c r="AI17" s="354">
        <v>4149.45</v>
      </c>
      <c r="AJ17" s="424">
        <f t="shared" si="10"/>
        <v>996.46999999999991</v>
      </c>
      <c r="AK17" s="354">
        <f t="shared" si="10"/>
        <v>32704.13</v>
      </c>
      <c r="AL17" s="424">
        <f t="shared" si="11"/>
        <v>218.78</v>
      </c>
      <c r="AM17" s="354">
        <f t="shared" si="11"/>
        <v>7180.41</v>
      </c>
      <c r="AO17" s="245"/>
      <c r="AP17" s="248"/>
      <c r="AQ17" s="245"/>
      <c r="AR17" s="420"/>
      <c r="AS17" s="420"/>
      <c r="AT17" s="245"/>
      <c r="AU17" s="257"/>
      <c r="AV17" s="222"/>
    </row>
    <row r="18" spans="1:48">
      <c r="A18" s="420">
        <f>A17+30</f>
        <v>42821</v>
      </c>
      <c r="B18" s="424">
        <v>4114.9799999999996</v>
      </c>
      <c r="C18" s="354">
        <v>134923.03</v>
      </c>
      <c r="D18" s="424">
        <v>114.49</v>
      </c>
      <c r="E18" s="354">
        <v>3757.55</v>
      </c>
      <c r="F18" s="424">
        <v>4043.86</v>
      </c>
      <c r="G18" s="354">
        <v>133114.44</v>
      </c>
      <c r="H18" s="424">
        <v>258.44</v>
      </c>
      <c r="I18" s="354">
        <v>8482.02</v>
      </c>
      <c r="J18" s="424">
        <f t="shared" si="6"/>
        <v>4229.4699999999993</v>
      </c>
      <c r="K18" s="354">
        <f t="shared" si="6"/>
        <v>138680.57999999999</v>
      </c>
      <c r="L18" s="424">
        <f t="shared" si="7"/>
        <v>4302.3</v>
      </c>
      <c r="M18" s="354">
        <f t="shared" si="7"/>
        <v>141596.46</v>
      </c>
      <c r="N18" s="421"/>
      <c r="O18" s="424">
        <v>110.92</v>
      </c>
      <c r="P18" s="354">
        <v>3640.4</v>
      </c>
      <c r="Q18" s="424">
        <v>461.54</v>
      </c>
      <c r="R18" s="354">
        <v>15125.45</v>
      </c>
      <c r="S18" s="424">
        <v>378.06</v>
      </c>
      <c r="T18" s="354">
        <v>12438.09</v>
      </c>
      <c r="U18" s="424">
        <v>1007.14</v>
      </c>
      <c r="V18" s="354">
        <v>33357.89</v>
      </c>
      <c r="W18" s="424">
        <f t="shared" si="8"/>
        <v>572.46</v>
      </c>
      <c r="X18" s="354">
        <f t="shared" si="8"/>
        <v>18765.850000000002</v>
      </c>
      <c r="Y18" s="424">
        <f t="shared" si="9"/>
        <v>1385.2</v>
      </c>
      <c r="Z18" s="354">
        <f t="shared" si="9"/>
        <v>45795.979999999996</v>
      </c>
      <c r="AA18" s="421"/>
      <c r="AB18" s="424">
        <v>253.3</v>
      </c>
      <c r="AC18" s="354">
        <v>8313.34</v>
      </c>
      <c r="AD18" s="424">
        <v>1107.1600000000001</v>
      </c>
      <c r="AE18" s="354">
        <v>36337.040000000001</v>
      </c>
      <c r="AF18" s="424">
        <v>65.12</v>
      </c>
      <c r="AG18" s="354">
        <v>2149.73</v>
      </c>
      <c r="AH18" s="424">
        <v>144.6</v>
      </c>
      <c r="AI18" s="354">
        <v>4752.3999999999996</v>
      </c>
      <c r="AJ18" s="424">
        <f t="shared" si="10"/>
        <v>1360.46</v>
      </c>
      <c r="AK18" s="354">
        <f t="shared" si="10"/>
        <v>44650.380000000005</v>
      </c>
      <c r="AL18" s="424">
        <f t="shared" si="11"/>
        <v>209.72</v>
      </c>
      <c r="AM18" s="354">
        <f t="shared" si="11"/>
        <v>6902.1299999999992</v>
      </c>
      <c r="AO18" s="245"/>
      <c r="AP18" s="248"/>
      <c r="AQ18" s="245"/>
      <c r="AR18" s="420"/>
      <c r="AS18" s="420"/>
      <c r="AT18" s="245"/>
      <c r="AU18" s="257"/>
      <c r="AV18" s="222"/>
    </row>
    <row r="19" spans="1:48">
      <c r="A19" s="420">
        <f t="shared" ref="A19:A21" si="12">A18+30</f>
        <v>42851</v>
      </c>
      <c r="B19" s="424">
        <v>3775.83</v>
      </c>
      <c r="C19" s="354">
        <v>123443.82</v>
      </c>
      <c r="D19" s="424">
        <v>86.81</v>
      </c>
      <c r="E19" s="354">
        <v>2849.11</v>
      </c>
      <c r="F19" s="424">
        <v>3416.1</v>
      </c>
      <c r="G19" s="354">
        <v>112081.25</v>
      </c>
      <c r="H19" s="424">
        <v>263.63</v>
      </c>
      <c r="I19" s="354">
        <v>8659.35</v>
      </c>
      <c r="J19" s="424">
        <f t="shared" si="6"/>
        <v>3862.64</v>
      </c>
      <c r="K19" s="354">
        <f t="shared" si="6"/>
        <v>126292.93000000001</v>
      </c>
      <c r="L19" s="424">
        <f t="shared" si="7"/>
        <v>3679.73</v>
      </c>
      <c r="M19" s="354">
        <f t="shared" si="7"/>
        <v>120740.6</v>
      </c>
      <c r="N19" s="421"/>
      <c r="O19" s="424">
        <v>79.069999999999993</v>
      </c>
      <c r="P19" s="354">
        <v>2595.0700000000002</v>
      </c>
      <c r="Q19" s="424">
        <v>471.44</v>
      </c>
      <c r="R19" s="354">
        <v>15444.74</v>
      </c>
      <c r="S19" s="424">
        <v>319.16000000000003</v>
      </c>
      <c r="T19" s="354">
        <v>10585.59</v>
      </c>
      <c r="U19" s="424">
        <v>748.9</v>
      </c>
      <c r="V19" s="354">
        <v>24766.12</v>
      </c>
      <c r="W19" s="424">
        <f t="shared" si="8"/>
        <v>550.51</v>
      </c>
      <c r="X19" s="354">
        <f t="shared" si="8"/>
        <v>18039.810000000001</v>
      </c>
      <c r="Y19" s="424">
        <f t="shared" si="9"/>
        <v>1068.06</v>
      </c>
      <c r="Z19" s="354">
        <f t="shared" si="9"/>
        <v>35351.71</v>
      </c>
      <c r="AA19" s="421"/>
      <c r="AB19" s="424">
        <v>219.33</v>
      </c>
      <c r="AC19" s="354">
        <v>7198.42</v>
      </c>
      <c r="AD19" s="424">
        <v>1047.8399999999999</v>
      </c>
      <c r="AE19" s="354">
        <v>34407.11</v>
      </c>
      <c r="AF19" s="424">
        <v>51.14</v>
      </c>
      <c r="AG19" s="354">
        <v>1679.9</v>
      </c>
      <c r="AH19" s="424">
        <v>121.88</v>
      </c>
      <c r="AI19" s="354">
        <v>4014.44</v>
      </c>
      <c r="AJ19" s="424">
        <f t="shared" si="10"/>
        <v>1267.1699999999998</v>
      </c>
      <c r="AK19" s="354">
        <f t="shared" si="10"/>
        <v>41605.53</v>
      </c>
      <c r="AL19" s="424">
        <f t="shared" si="11"/>
        <v>173.01999999999998</v>
      </c>
      <c r="AM19" s="354">
        <f t="shared" si="11"/>
        <v>5694.34</v>
      </c>
      <c r="AO19" s="245"/>
      <c r="AP19" s="248"/>
      <c r="AQ19" s="245"/>
      <c r="AR19" s="420"/>
      <c r="AS19" s="420"/>
      <c r="AT19" s="245"/>
      <c r="AU19" s="257"/>
      <c r="AV19" s="222"/>
    </row>
    <row r="20" spans="1:48">
      <c r="A20" s="422">
        <f t="shared" si="12"/>
        <v>42881</v>
      </c>
      <c r="B20" s="424">
        <v>4347.2299999999996</v>
      </c>
      <c r="C20" s="354">
        <v>141845.57</v>
      </c>
      <c r="D20" s="424">
        <v>103.19</v>
      </c>
      <c r="E20" s="354">
        <v>3386.69</v>
      </c>
      <c r="F20" s="424">
        <v>3485.75</v>
      </c>
      <c r="G20" s="354">
        <v>114410.26</v>
      </c>
      <c r="H20" s="424">
        <v>241.99</v>
      </c>
      <c r="I20" s="354">
        <v>7942.09</v>
      </c>
      <c r="J20" s="424">
        <f t="shared" ref="J20:K21" si="13">B20+D20</f>
        <v>4450.4199999999992</v>
      </c>
      <c r="K20" s="354">
        <f t="shared" si="13"/>
        <v>145232.26</v>
      </c>
      <c r="L20" s="424">
        <f t="shared" ref="L20:M21" si="14">F20+H20</f>
        <v>3727.74</v>
      </c>
      <c r="M20" s="354">
        <f t="shared" si="14"/>
        <v>122352.34999999999</v>
      </c>
      <c r="N20" s="421"/>
      <c r="O20" s="424">
        <v>88.89</v>
      </c>
      <c r="P20" s="354">
        <v>2917.36</v>
      </c>
      <c r="Q20" s="424">
        <v>528.19000000000005</v>
      </c>
      <c r="R20" s="354">
        <v>17290.900000000001</v>
      </c>
      <c r="S20" s="424">
        <v>464.86</v>
      </c>
      <c r="T20" s="354">
        <v>15365.18</v>
      </c>
      <c r="U20" s="424">
        <v>874.15</v>
      </c>
      <c r="V20" s="354">
        <v>29025.439999999999</v>
      </c>
      <c r="W20" s="424">
        <f t="shared" si="8"/>
        <v>617.08000000000004</v>
      </c>
      <c r="X20" s="354">
        <f t="shared" si="8"/>
        <v>20208.260000000002</v>
      </c>
      <c r="Y20" s="424">
        <f t="shared" si="9"/>
        <v>1339.01</v>
      </c>
      <c r="Z20" s="354">
        <f t="shared" si="9"/>
        <v>44390.619999999995</v>
      </c>
      <c r="AA20" s="421"/>
      <c r="AB20" s="424">
        <v>225.8</v>
      </c>
      <c r="AC20" s="354">
        <v>7410.78</v>
      </c>
      <c r="AD20" s="424">
        <v>1239.8900000000001</v>
      </c>
      <c r="AE20" s="354">
        <v>40696.660000000003</v>
      </c>
      <c r="AF20" s="424">
        <v>85.59</v>
      </c>
      <c r="AG20" s="354">
        <v>2814.56</v>
      </c>
      <c r="AH20" s="424">
        <v>121.1</v>
      </c>
      <c r="AI20" s="354">
        <v>3996.49</v>
      </c>
      <c r="AJ20" s="424">
        <f t="shared" si="10"/>
        <v>1465.69</v>
      </c>
      <c r="AK20" s="354">
        <f t="shared" si="10"/>
        <v>48107.44</v>
      </c>
      <c r="AL20" s="424">
        <f t="shared" si="11"/>
        <v>206.69</v>
      </c>
      <c r="AM20" s="354">
        <f t="shared" si="11"/>
        <v>6811.0499999999993</v>
      </c>
      <c r="AO20" s="245"/>
      <c r="AP20" s="248"/>
      <c r="AQ20" s="245"/>
      <c r="AR20" s="420"/>
      <c r="AS20" s="422"/>
      <c r="AT20" s="245"/>
      <c r="AU20" s="257"/>
      <c r="AV20" s="222"/>
    </row>
    <row r="21" spans="1:48">
      <c r="A21" s="420">
        <f t="shared" si="12"/>
        <v>42911</v>
      </c>
      <c r="B21" s="424">
        <v>4356.37</v>
      </c>
      <c r="C21" s="354">
        <v>141979.71</v>
      </c>
      <c r="D21" s="424">
        <v>113.77</v>
      </c>
      <c r="E21" s="354">
        <v>3733.94</v>
      </c>
      <c r="F21" s="424">
        <v>4092.31</v>
      </c>
      <c r="G21" s="354">
        <v>137971.07999999999</v>
      </c>
      <c r="H21" s="424">
        <v>320.35000000000002</v>
      </c>
      <c r="I21" s="354">
        <v>10911.39</v>
      </c>
      <c r="J21" s="424">
        <f t="shared" si="13"/>
        <v>4470.1400000000003</v>
      </c>
      <c r="K21" s="354">
        <f t="shared" si="13"/>
        <v>145713.65</v>
      </c>
      <c r="L21" s="424">
        <f t="shared" si="14"/>
        <v>4412.66</v>
      </c>
      <c r="M21" s="354">
        <f t="shared" si="14"/>
        <v>148882.46999999997</v>
      </c>
      <c r="N21" s="421"/>
      <c r="O21" s="424">
        <v>79.56</v>
      </c>
      <c r="P21" s="354">
        <v>2611.14</v>
      </c>
      <c r="Q21" s="424">
        <v>505.14</v>
      </c>
      <c r="R21" s="354">
        <v>16458.009999999998</v>
      </c>
      <c r="S21" s="424">
        <v>571.99</v>
      </c>
      <c r="T21" s="354">
        <v>18813.14</v>
      </c>
      <c r="U21" s="424">
        <v>1064.25</v>
      </c>
      <c r="V21" s="354">
        <v>35204.589999999997</v>
      </c>
      <c r="W21" s="424">
        <f t="shared" ref="W21:X21" si="15">O21+Q21</f>
        <v>584.70000000000005</v>
      </c>
      <c r="X21" s="354">
        <f t="shared" si="15"/>
        <v>19069.149999999998</v>
      </c>
      <c r="Y21" s="424">
        <f t="shared" ref="Y21:Z21" si="16">S21+U21</f>
        <v>1636.24</v>
      </c>
      <c r="Z21" s="354">
        <f t="shared" si="16"/>
        <v>54017.729999999996</v>
      </c>
      <c r="AA21" s="421"/>
      <c r="AB21" s="424">
        <v>252.96</v>
      </c>
      <c r="AC21" s="354">
        <v>8302.15</v>
      </c>
      <c r="AD21" s="424">
        <v>1194.6199999999999</v>
      </c>
      <c r="AE21" s="354">
        <v>39218.959999999999</v>
      </c>
      <c r="AF21" s="424">
        <v>57.46</v>
      </c>
      <c r="AG21" s="354">
        <v>1891.23</v>
      </c>
      <c r="AH21" s="424">
        <v>83.04</v>
      </c>
      <c r="AI21" s="354">
        <v>2732.75</v>
      </c>
      <c r="AJ21" s="424">
        <f t="shared" ref="AJ21:AK21" si="17">AB21+AD21</f>
        <v>1447.58</v>
      </c>
      <c r="AK21" s="354">
        <f t="shared" si="17"/>
        <v>47521.11</v>
      </c>
      <c r="AL21" s="424">
        <f t="shared" ref="AL21:AM21" si="18">AF21+AH21</f>
        <v>140.5</v>
      </c>
      <c r="AM21" s="354">
        <f t="shared" si="18"/>
        <v>4623.9799999999996</v>
      </c>
      <c r="AO21" s="245"/>
      <c r="AP21" s="248"/>
      <c r="AQ21" s="245"/>
      <c r="AR21" s="420"/>
      <c r="AS21" s="420"/>
      <c r="AT21" s="245"/>
      <c r="AU21" s="257"/>
      <c r="AV21" s="222"/>
    </row>
    <row r="22" spans="1:48">
      <c r="A22" s="423"/>
      <c r="B22" s="437"/>
      <c r="C22" s="438"/>
      <c r="D22" s="437"/>
      <c r="E22" s="438"/>
      <c r="F22" s="437"/>
      <c r="G22" s="438"/>
      <c r="H22" s="437"/>
      <c r="I22" s="438"/>
      <c r="J22" s="438"/>
      <c r="K22" s="438"/>
      <c r="L22" s="438"/>
      <c r="M22" s="438"/>
      <c r="N22" s="425"/>
      <c r="O22" s="437"/>
      <c r="P22" s="438"/>
      <c r="Q22" s="437"/>
      <c r="R22" s="438"/>
      <c r="S22" s="437"/>
      <c r="T22" s="438"/>
      <c r="U22" s="437"/>
      <c r="V22" s="438"/>
      <c r="W22" s="438"/>
      <c r="X22" s="438"/>
      <c r="Y22" s="438"/>
      <c r="Z22" s="438"/>
      <c r="AA22" s="425"/>
      <c r="AB22" s="437"/>
      <c r="AC22" s="438"/>
      <c r="AD22" s="437"/>
      <c r="AE22" s="438"/>
      <c r="AF22" s="437"/>
      <c r="AG22" s="438"/>
      <c r="AH22" s="437"/>
      <c r="AI22" s="438"/>
      <c r="AJ22" s="438"/>
      <c r="AK22" s="438"/>
      <c r="AL22" s="438"/>
      <c r="AM22" s="438"/>
    </row>
    <row r="23" spans="1:48" s="214" customFormat="1">
      <c r="A23" s="436" t="s">
        <v>1375</v>
      </c>
      <c r="B23" s="439">
        <f t="shared" ref="B23:M23" si="19">SUM(B10:B22)</f>
        <v>45758.85</v>
      </c>
      <c r="C23" s="440">
        <f t="shared" si="19"/>
        <v>1446589.4100000001</v>
      </c>
      <c r="D23" s="439">
        <f t="shared" si="19"/>
        <v>1223.69</v>
      </c>
      <c r="E23" s="440">
        <f t="shared" si="19"/>
        <v>38782.170000000006</v>
      </c>
      <c r="F23" s="439">
        <f t="shared" si="19"/>
        <v>38961.74</v>
      </c>
      <c r="G23" s="440">
        <f t="shared" si="19"/>
        <v>1244868.53</v>
      </c>
      <c r="H23" s="439">
        <f t="shared" si="19"/>
        <v>3203.82</v>
      </c>
      <c r="I23" s="440">
        <f t="shared" si="19"/>
        <v>103188.23000000001</v>
      </c>
      <c r="J23" s="439">
        <f t="shared" si="19"/>
        <v>46982.539999999994</v>
      </c>
      <c r="K23" s="440">
        <f t="shared" si="19"/>
        <v>1485371.5799999998</v>
      </c>
      <c r="L23" s="439">
        <f t="shared" si="19"/>
        <v>42165.56</v>
      </c>
      <c r="M23" s="440">
        <f t="shared" si="19"/>
        <v>1348056.76</v>
      </c>
      <c r="N23" s="441">
        <f>SUM(N16:N22)</f>
        <v>0</v>
      </c>
      <c r="O23" s="439">
        <f t="shared" ref="O23:Z23" si="20">SUM(O10:O22)</f>
        <v>978.81</v>
      </c>
      <c r="P23" s="440">
        <f t="shared" si="20"/>
        <v>31055.93</v>
      </c>
      <c r="Q23" s="439">
        <f t="shared" si="20"/>
        <v>5312.05</v>
      </c>
      <c r="R23" s="440">
        <f t="shared" si="20"/>
        <v>167849</v>
      </c>
      <c r="S23" s="439">
        <f t="shared" si="20"/>
        <v>3480.29</v>
      </c>
      <c r="T23" s="440">
        <f t="shared" si="20"/>
        <v>111552.80999999998</v>
      </c>
      <c r="U23" s="439">
        <f t="shared" si="20"/>
        <v>10017.699999999999</v>
      </c>
      <c r="V23" s="440">
        <f t="shared" si="20"/>
        <v>321563.91000000003</v>
      </c>
      <c r="W23" s="439">
        <f t="shared" si="20"/>
        <v>6290.86</v>
      </c>
      <c r="X23" s="440">
        <f t="shared" si="20"/>
        <v>198904.93</v>
      </c>
      <c r="Y23" s="439">
        <f t="shared" si="20"/>
        <v>13497.99</v>
      </c>
      <c r="Z23" s="440">
        <f t="shared" si="20"/>
        <v>433116.72</v>
      </c>
      <c r="AA23" s="441">
        <f>SUM(AA16:AA22)</f>
        <v>0</v>
      </c>
      <c r="AB23" s="439">
        <f t="shared" ref="AB23:AM23" si="21">SUM(AB10:AB22)</f>
        <v>2547.0700000000002</v>
      </c>
      <c r="AC23" s="440">
        <f t="shared" si="21"/>
        <v>80847.939999999988</v>
      </c>
      <c r="AD23" s="439">
        <f t="shared" si="21"/>
        <v>13176.98</v>
      </c>
      <c r="AE23" s="440">
        <f t="shared" si="21"/>
        <v>417547.8</v>
      </c>
      <c r="AF23" s="439">
        <f t="shared" si="21"/>
        <v>1129.42</v>
      </c>
      <c r="AG23" s="440">
        <f t="shared" si="21"/>
        <v>35612.640000000007</v>
      </c>
      <c r="AH23" s="439">
        <f t="shared" si="21"/>
        <v>2162</v>
      </c>
      <c r="AI23" s="440">
        <f t="shared" si="21"/>
        <v>68043.650000000009</v>
      </c>
      <c r="AJ23" s="439">
        <f t="shared" si="21"/>
        <v>15724.050000000001</v>
      </c>
      <c r="AK23" s="440">
        <f t="shared" si="21"/>
        <v>498395.74000000005</v>
      </c>
      <c r="AL23" s="439">
        <f t="shared" si="21"/>
        <v>3291.4200000000005</v>
      </c>
      <c r="AM23" s="440">
        <f t="shared" si="21"/>
        <v>103656.29000000001</v>
      </c>
      <c r="AO23" s="256"/>
      <c r="AP23" s="256"/>
      <c r="AQ23" s="251"/>
      <c r="AR23" s="269"/>
      <c r="AT23" s="251"/>
      <c r="AU23" s="251"/>
      <c r="AV23" s="456"/>
    </row>
    <row r="24" spans="1:48">
      <c r="A24" s="423"/>
      <c r="B24" s="424"/>
      <c r="C24" s="424"/>
      <c r="D24" s="424"/>
      <c r="E24" s="424"/>
      <c r="F24" s="424"/>
      <c r="G24" s="424"/>
      <c r="H24" s="424"/>
      <c r="I24" s="424"/>
      <c r="J24" s="424"/>
      <c r="K24" s="424"/>
      <c r="L24" s="424"/>
      <c r="M24" s="424"/>
      <c r="N24" s="424"/>
      <c r="O24" s="424"/>
      <c r="P24" s="424"/>
      <c r="Q24" s="424"/>
      <c r="R24" s="424"/>
      <c r="S24" s="424"/>
      <c r="T24" s="424"/>
      <c r="U24" s="424"/>
      <c r="V24" s="424"/>
      <c r="W24" s="424"/>
      <c r="X24" s="424"/>
      <c r="Y24" s="424"/>
      <c r="Z24" s="424"/>
      <c r="AA24" s="421"/>
      <c r="AB24" s="424"/>
      <c r="AC24" s="424"/>
      <c r="AD24" s="424"/>
      <c r="AE24" s="424"/>
      <c r="AF24" s="424"/>
      <c r="AG24" s="424"/>
      <c r="AH24" s="424"/>
      <c r="AI24" s="424"/>
      <c r="AJ24" s="424"/>
      <c r="AK24" s="424"/>
      <c r="AL24" s="243"/>
      <c r="AM24" s="243"/>
    </row>
    <row r="25" spans="1:48" ht="15.75" thickBot="1">
      <c r="A25" s="423"/>
    </row>
    <row r="26" spans="1:48" ht="15.75" thickBot="1">
      <c r="A26" s="442" t="s">
        <v>1363</v>
      </c>
      <c r="B26" s="1448" t="s">
        <v>1356</v>
      </c>
      <c r="C26" s="1449"/>
      <c r="E26" s="1448" t="s">
        <v>1357</v>
      </c>
      <c r="F26" s="1449"/>
      <c r="H26" s="427"/>
      <c r="I26" s="427"/>
      <c r="J26" s="427"/>
      <c r="K26" s="427"/>
      <c r="L26" s="243"/>
      <c r="M26" s="243"/>
    </row>
    <row r="27" spans="1:48" ht="30">
      <c r="A27" s="428"/>
      <c r="B27" s="434" t="s">
        <v>1367</v>
      </c>
      <c r="C27" s="434" t="s">
        <v>1368</v>
      </c>
      <c r="E27" s="434" t="s">
        <v>1369</v>
      </c>
      <c r="F27" s="434" t="s">
        <v>1376</v>
      </c>
      <c r="H27" s="419"/>
      <c r="I27" s="419"/>
      <c r="J27" s="419"/>
      <c r="K27" s="419"/>
      <c r="L27" s="419"/>
      <c r="M27" s="419"/>
    </row>
    <row r="28" spans="1:48">
      <c r="A28" s="420">
        <v>42552</v>
      </c>
      <c r="B28" s="243">
        <v>30.82</v>
      </c>
      <c r="C28" s="244">
        <v>493.12</v>
      </c>
      <c r="D28" s="243"/>
      <c r="E28" s="243">
        <v>7.63</v>
      </c>
      <c r="F28" s="244">
        <v>122.08</v>
      </c>
      <c r="H28" s="243"/>
      <c r="I28" s="243"/>
      <c r="J28" s="243"/>
      <c r="K28" s="243"/>
      <c r="L28" s="243"/>
      <c r="M28" s="243"/>
    </row>
    <row r="29" spans="1:48">
      <c r="A29" s="420">
        <v>42583</v>
      </c>
      <c r="B29" s="243">
        <v>34.42</v>
      </c>
      <c r="C29" s="244">
        <v>550.72</v>
      </c>
      <c r="D29" s="243"/>
      <c r="E29" s="243">
        <v>6.12</v>
      </c>
      <c r="F29" s="244">
        <v>97.92</v>
      </c>
      <c r="H29" s="243"/>
      <c r="I29" s="243"/>
      <c r="J29" s="243"/>
      <c r="K29" s="243"/>
      <c r="L29" s="243"/>
      <c r="M29" s="243"/>
    </row>
    <row r="30" spans="1:48">
      <c r="A30" s="420">
        <v>42614</v>
      </c>
      <c r="B30" s="243">
        <v>37.21</v>
      </c>
      <c r="C30" s="244">
        <v>595.36</v>
      </c>
      <c r="D30" s="243"/>
      <c r="E30" s="243">
        <v>14.22</v>
      </c>
      <c r="F30" s="244">
        <v>227.52</v>
      </c>
      <c r="H30" s="243"/>
      <c r="I30" s="243"/>
      <c r="J30" s="243"/>
      <c r="K30" s="243"/>
      <c r="L30" s="243"/>
      <c r="M30" s="243"/>
    </row>
    <row r="31" spans="1:48">
      <c r="A31" s="420">
        <v>42644</v>
      </c>
      <c r="B31" s="243">
        <v>29.24</v>
      </c>
      <c r="C31" s="244">
        <v>467.84</v>
      </c>
      <c r="D31" s="243"/>
      <c r="E31" s="243">
        <v>8.74</v>
      </c>
      <c r="F31" s="244">
        <v>139.84</v>
      </c>
      <c r="H31" s="243"/>
      <c r="I31" s="243"/>
      <c r="J31" s="243"/>
      <c r="K31" s="243"/>
      <c r="L31" s="243"/>
      <c r="M31" s="243"/>
    </row>
    <row r="32" spans="1:48">
      <c r="A32" s="420">
        <v>42675</v>
      </c>
      <c r="B32" s="243">
        <v>26.04</v>
      </c>
      <c r="C32" s="244">
        <v>416.64</v>
      </c>
      <c r="D32" s="243"/>
      <c r="E32" s="243">
        <v>6.15</v>
      </c>
      <c r="F32" s="244">
        <v>138.75</v>
      </c>
      <c r="H32" s="243"/>
      <c r="I32" s="243"/>
      <c r="J32" s="243"/>
      <c r="K32" s="243"/>
      <c r="L32" s="243"/>
      <c r="M32" s="243"/>
    </row>
    <row r="33" spans="1:13">
      <c r="A33" s="420">
        <v>42705</v>
      </c>
      <c r="B33" s="416">
        <v>8.6</v>
      </c>
      <c r="C33" s="432">
        <v>232.62</v>
      </c>
      <c r="D33" s="416"/>
      <c r="E33" s="416">
        <v>3.22</v>
      </c>
      <c r="F33" s="432">
        <v>99.47</v>
      </c>
      <c r="H33" s="243"/>
      <c r="I33" s="243"/>
      <c r="J33" s="243"/>
      <c r="K33" s="243"/>
      <c r="L33" s="243"/>
      <c r="M33" s="243"/>
    </row>
    <row r="34" spans="1:13">
      <c r="A34" s="420">
        <v>42736</v>
      </c>
      <c r="B34" s="243"/>
      <c r="C34" s="244"/>
      <c r="D34" s="243"/>
      <c r="E34" s="243"/>
      <c r="F34" s="244"/>
      <c r="H34" s="243"/>
      <c r="I34" s="243"/>
      <c r="J34" s="243"/>
      <c r="K34" s="243"/>
      <c r="L34" s="243"/>
      <c r="M34" s="243"/>
    </row>
    <row r="35" spans="1:13">
      <c r="A35" s="420">
        <v>42767</v>
      </c>
      <c r="B35" s="243"/>
      <c r="C35" s="244"/>
      <c r="D35" s="243"/>
      <c r="E35" s="243"/>
      <c r="F35" s="244"/>
      <c r="H35" s="243"/>
      <c r="I35" s="243"/>
      <c r="J35" s="243"/>
      <c r="K35" s="243"/>
      <c r="L35" s="243"/>
      <c r="M35" s="243"/>
    </row>
    <row r="36" spans="1:13">
      <c r="A36" s="420">
        <v>42795</v>
      </c>
      <c r="B36" s="243">
        <v>8.74</v>
      </c>
      <c r="C36" s="432">
        <v>148.58000000000001</v>
      </c>
      <c r="D36" s="243"/>
      <c r="E36" s="243">
        <v>1.41</v>
      </c>
      <c r="F36" s="243">
        <v>23.97</v>
      </c>
      <c r="H36" s="243"/>
      <c r="I36" s="243"/>
      <c r="J36" s="243"/>
      <c r="K36" s="243"/>
      <c r="L36" s="243"/>
      <c r="M36" s="243"/>
    </row>
    <row r="37" spans="1:13">
      <c r="A37" s="420">
        <v>42826</v>
      </c>
      <c r="B37" s="243">
        <v>30.27</v>
      </c>
      <c r="C37" s="432">
        <v>514.59</v>
      </c>
      <c r="D37" s="243"/>
      <c r="E37" s="243">
        <v>3.19</v>
      </c>
      <c r="F37" s="243">
        <v>54.23</v>
      </c>
      <c r="H37" s="243"/>
      <c r="I37" s="243"/>
      <c r="J37" s="243"/>
      <c r="K37" s="243"/>
      <c r="L37" s="243"/>
      <c r="M37" s="243"/>
    </row>
    <row r="38" spans="1:13">
      <c r="A38" s="420">
        <v>42856</v>
      </c>
      <c r="B38" s="243">
        <v>52.99</v>
      </c>
      <c r="C38" s="432">
        <v>900.83</v>
      </c>
      <c r="D38" s="243"/>
      <c r="E38" s="243">
        <v>2.8</v>
      </c>
      <c r="F38" s="243">
        <v>47.6</v>
      </c>
      <c r="H38" s="243"/>
      <c r="I38" s="243"/>
      <c r="J38" s="243"/>
      <c r="K38" s="243"/>
      <c r="L38" s="243"/>
      <c r="M38" s="243"/>
    </row>
    <row r="39" spans="1:13">
      <c r="A39" s="420">
        <v>42887</v>
      </c>
      <c r="B39" s="429"/>
      <c r="C39" s="444"/>
      <c r="D39" s="416"/>
      <c r="E39" s="429">
        <v>7.63</v>
      </c>
      <c r="F39" s="429">
        <v>129.71</v>
      </c>
      <c r="H39" s="416"/>
      <c r="I39" s="416"/>
      <c r="J39" s="416"/>
      <c r="K39" s="416"/>
      <c r="L39" s="416"/>
      <c r="M39" s="416"/>
    </row>
    <row r="40" spans="1:13">
      <c r="A40" s="259" t="s">
        <v>8</v>
      </c>
      <c r="B40" s="430">
        <f>SUM(B28:B39)</f>
        <v>258.33000000000004</v>
      </c>
      <c r="C40" s="445">
        <f>SUM(C28:C39)</f>
        <v>4320.3</v>
      </c>
      <c r="D40" s="430"/>
      <c r="E40" s="430">
        <f>SUM(E28:E39)</f>
        <v>61.109999999999992</v>
      </c>
      <c r="F40" s="445">
        <f>SUM(F28:F39)</f>
        <v>1081.0900000000001</v>
      </c>
      <c r="H40" s="414"/>
      <c r="I40" s="414"/>
      <c r="J40" s="414"/>
      <c r="K40" s="414"/>
      <c r="L40" s="414"/>
      <c r="M40" s="414"/>
    </row>
    <row r="41" spans="1:13">
      <c r="D41" s="426"/>
      <c r="H41" s="443"/>
      <c r="I41" s="443"/>
      <c r="J41" s="443"/>
      <c r="K41" s="443"/>
      <c r="L41" s="443"/>
      <c r="M41" s="443"/>
    </row>
    <row r="43" spans="1:13">
      <c r="B43" s="253" t="s">
        <v>1364</v>
      </c>
      <c r="C43" s="253" t="s">
        <v>1359</v>
      </c>
    </row>
    <row r="44" spans="1:13">
      <c r="A44" s="250" t="s">
        <v>1377</v>
      </c>
      <c r="B44" s="426">
        <f>B23+O23+AB23</f>
        <v>49284.729999999996</v>
      </c>
      <c r="C44" s="248">
        <f>C23+P23+AC23</f>
        <v>1558493.28</v>
      </c>
    </row>
    <row r="45" spans="1:13">
      <c r="A45" s="436" t="s">
        <v>1378</v>
      </c>
      <c r="B45" s="426">
        <f>F23+S23+AF23</f>
        <v>43571.45</v>
      </c>
      <c r="C45" s="255">
        <f>G23+T23+AG23</f>
        <v>1392033.98</v>
      </c>
    </row>
    <row r="46" spans="1:13">
      <c r="C46" s="248">
        <f>SUM(C44:C45)</f>
        <v>2950527.26</v>
      </c>
    </row>
    <row r="47" spans="1:13">
      <c r="C47" s="248"/>
    </row>
    <row r="48" spans="1:13">
      <c r="A48" s="436" t="s">
        <v>1379</v>
      </c>
      <c r="B48" s="426">
        <f>D23+Q23+AD23</f>
        <v>19712.72</v>
      </c>
      <c r="C48" s="248">
        <f>E23+R23+AE23</f>
        <v>624178.97</v>
      </c>
    </row>
    <row r="49" spans="1:4">
      <c r="A49" s="250" t="s">
        <v>1380</v>
      </c>
      <c r="B49" s="426">
        <f>H23+U23+AH23</f>
        <v>15383.519999999999</v>
      </c>
      <c r="C49" s="255">
        <f>I23+V23+AI23</f>
        <v>492795.79000000004</v>
      </c>
    </row>
    <row r="50" spans="1:4">
      <c r="A50" s="214"/>
      <c r="C50" s="245">
        <f>SUM(C48:C49)</f>
        <v>1116974.76</v>
      </c>
    </row>
    <row r="51" spans="1:4">
      <c r="A51" s="214"/>
    </row>
    <row r="52" spans="1:4">
      <c r="A52" s="250" t="s">
        <v>1362</v>
      </c>
      <c r="B52" s="289">
        <f>B44+B48</f>
        <v>68997.45</v>
      </c>
      <c r="C52" s="245">
        <f>C44+C48</f>
        <v>2182672.25</v>
      </c>
    </row>
    <row r="53" spans="1:4">
      <c r="A53" s="250" t="s">
        <v>1381</v>
      </c>
      <c r="B53" s="426">
        <f>B45+B49</f>
        <v>58954.969999999994</v>
      </c>
      <c r="C53" s="248">
        <f>C45+C49</f>
        <v>1884829.77</v>
      </c>
    </row>
    <row r="54" spans="1:4">
      <c r="C54" s="426"/>
      <c r="D54" s="245"/>
    </row>
    <row r="56" spans="1:4">
      <c r="A56" s="250" t="s">
        <v>1382</v>
      </c>
      <c r="B56">
        <f>B40</f>
        <v>258.33000000000004</v>
      </c>
      <c r="C56" s="222">
        <f>C40</f>
        <v>4320.3</v>
      </c>
      <c r="D56" s="245"/>
    </row>
    <row r="57" spans="1:4">
      <c r="A57" s="250" t="s">
        <v>1383</v>
      </c>
      <c r="B57">
        <f>E40</f>
        <v>61.109999999999992</v>
      </c>
      <c r="C57" s="222">
        <f>F40</f>
        <v>1081.0900000000001</v>
      </c>
      <c r="D57" s="245"/>
    </row>
    <row r="58" spans="1:4">
      <c r="D58" s="289"/>
    </row>
    <row r="60" spans="1:4">
      <c r="A60" s="446" t="s">
        <v>1384</v>
      </c>
      <c r="B60" s="447">
        <f>'Yakima Consolidated IS'!C15</f>
        <v>1880442.79</v>
      </c>
    </row>
    <row r="61" spans="1:4">
      <c r="A61" s="215" t="s">
        <v>508</v>
      </c>
      <c r="B61" s="245">
        <f>C53-B60</f>
        <v>4386.9799999999814</v>
      </c>
    </row>
    <row r="63" spans="1:4">
      <c r="A63" s="446" t="s">
        <v>1385</v>
      </c>
      <c r="B63" s="447">
        <f>'Yakima Consolidated IS'!C121</f>
        <v>4072411.08</v>
      </c>
    </row>
    <row r="64" spans="1:4">
      <c r="A64" s="215" t="s">
        <v>508</v>
      </c>
      <c r="B64" s="222">
        <f>SUM(C52:C57)-B63</f>
        <v>492.32999999960884</v>
      </c>
    </row>
    <row r="65" spans="2:3">
      <c r="B65" s="448">
        <f>B64/B63</f>
        <v>1.2089398401293241E-4</v>
      </c>
      <c r="C65" s="431" t="s">
        <v>1386</v>
      </c>
    </row>
  </sheetData>
  <mergeCells count="11">
    <mergeCell ref="B26:C26"/>
    <mergeCell ref="E26:F26"/>
    <mergeCell ref="B7:M7"/>
    <mergeCell ref="O7:Z7"/>
    <mergeCell ref="AB7:AM7"/>
    <mergeCell ref="J8:K8"/>
    <mergeCell ref="L8:M8"/>
    <mergeCell ref="W8:X8"/>
    <mergeCell ref="Y8:Z8"/>
    <mergeCell ref="AJ8:AK8"/>
    <mergeCell ref="AL8:AM8"/>
  </mergeCells>
  <pageMargins left="0.7" right="0.7" top="0.75" bottom="0.75" header="0.3" footer="0.3"/>
  <pageSetup scale="70" fitToWidth="2" fitToHeight="0" pageOrder="overThenDown" orientation="landscape" r:id="rId1"/>
  <rowBreaks count="1" manualBreakCount="1">
    <brk id="24" max="38" man="1"/>
  </rowBreaks>
  <colBreaks count="2" manualBreakCount="2">
    <brk id="13" max="65" man="1"/>
    <brk id="26" max="6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4"/>
  <sheetViews>
    <sheetView view="pageBreakPreview" zoomScale="130" zoomScaleNormal="115" zoomScaleSheetLayoutView="130" workbookViewId="0">
      <pane ySplit="8" topLeftCell="A10" activePane="bottomLeft" state="frozen"/>
      <selection activeCell="G20" sqref="G20"/>
      <selection pane="bottomLeft" activeCell="G20" sqref="G20"/>
    </sheetView>
  </sheetViews>
  <sheetFormatPr defaultRowHeight="11.25"/>
  <cols>
    <col min="1" max="1" width="9.140625" style="997"/>
    <col min="2" max="2" width="17.5703125" style="997" customWidth="1"/>
    <col min="3" max="4" width="9.140625" style="997"/>
    <col min="5" max="5" width="1.140625" style="997" customWidth="1"/>
    <col min="6" max="16384" width="9.140625" style="997"/>
  </cols>
  <sheetData>
    <row r="1" spans="1:6">
      <c r="A1" s="996" t="s">
        <v>2202</v>
      </c>
      <c r="B1" s="996"/>
      <c r="C1" s="1025"/>
    </row>
    <row r="2" spans="1:6" ht="18.75" customHeight="1">
      <c r="A2" s="1303" t="s">
        <v>1563</v>
      </c>
      <c r="B2" s="996"/>
    </row>
    <row r="3" spans="1:6" ht="11.25" customHeight="1">
      <c r="A3" s="1456" t="s">
        <v>2297</v>
      </c>
      <c r="B3" s="1456"/>
      <c r="C3" s="1456"/>
      <c r="D3" s="1456"/>
    </row>
    <row r="4" spans="1:6" ht="15.75" customHeight="1" thickBot="1">
      <c r="A4" s="1457"/>
      <c r="B4" s="1457"/>
      <c r="C4" s="1457"/>
      <c r="D4" s="1457"/>
      <c r="F4" s="998"/>
    </row>
    <row r="5" spans="1:6" ht="15" customHeight="1">
      <c r="A5" s="1434" t="s">
        <v>2295</v>
      </c>
      <c r="B5" s="1435"/>
      <c r="C5" s="1435"/>
      <c r="D5" s="1435"/>
      <c r="F5" s="998"/>
    </row>
    <row r="6" spans="1:6">
      <c r="A6" s="1455" t="s">
        <v>2296</v>
      </c>
      <c r="B6" s="1455"/>
      <c r="C6" s="1455"/>
      <c r="D6" s="1455"/>
      <c r="F6" s="998"/>
    </row>
    <row r="7" spans="1:6">
      <c r="A7" s="1021"/>
      <c r="B7" s="1021" t="s">
        <v>2203</v>
      </c>
      <c r="C7" s="1021" t="s">
        <v>2204</v>
      </c>
      <c r="D7" s="1021" t="s">
        <v>2205</v>
      </c>
      <c r="E7" s="999"/>
      <c r="F7" s="1000"/>
    </row>
    <row r="8" spans="1:6">
      <c r="A8" s="1022" t="s">
        <v>2294</v>
      </c>
      <c r="B8" s="1022" t="s">
        <v>2193</v>
      </c>
      <c r="C8" s="1022" t="s">
        <v>2206</v>
      </c>
      <c r="D8" s="1022" t="s">
        <v>2207</v>
      </c>
      <c r="E8" s="999"/>
      <c r="F8" s="1000"/>
    </row>
    <row r="9" spans="1:6">
      <c r="A9" s="1001">
        <v>42552</v>
      </c>
      <c r="B9" s="1002">
        <f>'Yakima IS'!H122</f>
        <v>61916.69</v>
      </c>
      <c r="C9" s="1003">
        <f>+B9/D9</f>
        <v>25289.321987746764</v>
      </c>
      <c r="D9" s="1002">
        <v>2.4483333333333337</v>
      </c>
      <c r="F9" s="1004"/>
    </row>
    <row r="10" spans="1:6">
      <c r="A10" s="1001">
        <f>A9+31</f>
        <v>42583</v>
      </c>
      <c r="B10" s="1002">
        <f>+'Yakima IS'!J122</f>
        <v>59565.45</v>
      </c>
      <c r="C10" s="1003">
        <f t="shared" ref="C10:C20" si="0">+B10/D10</f>
        <v>24146.672194582643</v>
      </c>
      <c r="D10" s="1002">
        <v>2.4668181818181818</v>
      </c>
      <c r="F10" s="1004"/>
    </row>
    <row r="11" spans="1:6">
      <c r="A11" s="1001">
        <f>A10+31</f>
        <v>42614</v>
      </c>
      <c r="B11" s="1002">
        <f>+'Yakima IS'!L122</f>
        <v>65816.990000000005</v>
      </c>
      <c r="C11" s="1003">
        <f t="shared" si="0"/>
        <v>25912.200787401576</v>
      </c>
      <c r="D11" s="1002">
        <v>2.54</v>
      </c>
      <c r="F11" s="1004"/>
    </row>
    <row r="12" spans="1:6">
      <c r="A12" s="1001">
        <f>A11+30</f>
        <v>42644</v>
      </c>
      <c r="B12" s="1002">
        <f>+'Yakima IS'!N122</f>
        <v>63130.07</v>
      </c>
      <c r="C12" s="1003">
        <f t="shared" si="0"/>
        <v>24046.496952767895</v>
      </c>
      <c r="D12" s="1002">
        <v>2.6253333333333342</v>
      </c>
      <c r="F12" s="1004"/>
    </row>
    <row r="13" spans="1:6">
      <c r="A13" s="1001">
        <f>A12+31</f>
        <v>42675</v>
      </c>
      <c r="B13" s="1002">
        <f>+'Yakima IS'!P122</f>
        <v>63875.53</v>
      </c>
      <c r="C13" s="1003">
        <f t="shared" si="0"/>
        <v>24622.338608236962</v>
      </c>
      <c r="D13" s="1002">
        <v>2.59421052631579</v>
      </c>
      <c r="F13" s="1004"/>
    </row>
    <row r="14" spans="1:6">
      <c r="A14" s="1001">
        <f t="shared" ref="A14:A20" si="1">A13+30</f>
        <v>42705</v>
      </c>
      <c r="B14" s="1002">
        <f>+'Yakima IS'!R122</f>
        <v>66138.19</v>
      </c>
      <c r="C14" s="1003">
        <f t="shared" si="0"/>
        <v>27000.689936721785</v>
      </c>
      <c r="D14" s="1002">
        <v>2.4494999999999996</v>
      </c>
      <c r="F14" s="1004"/>
    </row>
    <row r="15" spans="1:6">
      <c r="A15" s="1001">
        <f>A14+31</f>
        <v>42736</v>
      </c>
      <c r="B15" s="1002">
        <f>+'Yakima IS'!T122</f>
        <v>61972.31</v>
      </c>
      <c r="C15" s="1003">
        <f t="shared" si="0"/>
        <v>23810.240990990991</v>
      </c>
      <c r="D15" s="1002">
        <v>2.6027586206896549</v>
      </c>
      <c r="F15" s="1004"/>
    </row>
    <row r="16" spans="1:6">
      <c r="A16" s="1001">
        <f>A15+31</f>
        <v>42767</v>
      </c>
      <c r="B16" s="1002">
        <f>+'Yakima IS'!V122</f>
        <v>60140.62</v>
      </c>
      <c r="C16" s="1003">
        <f t="shared" si="0"/>
        <v>23088.942816730658</v>
      </c>
      <c r="D16" s="1002">
        <v>2.6047368421052628</v>
      </c>
      <c r="E16" s="997">
        <v>94404</v>
      </c>
      <c r="F16" s="1004"/>
    </row>
    <row r="17" spans="1:6">
      <c r="A17" s="1001">
        <f t="shared" si="1"/>
        <v>42797</v>
      </c>
      <c r="B17" s="1002">
        <f>+'Yakima IS'!X122</f>
        <v>76431.070000000007</v>
      </c>
      <c r="C17" s="1003">
        <f t="shared" si="0"/>
        <v>28151.406998158382</v>
      </c>
      <c r="D17" s="1002">
        <v>2.7149999999999999</v>
      </c>
      <c r="F17" s="1004"/>
    </row>
    <row r="18" spans="1:6">
      <c r="A18" s="1001">
        <f t="shared" si="1"/>
        <v>42827</v>
      </c>
      <c r="B18" s="1002">
        <f>+'Yakima IS'!Z122</f>
        <v>66732.86</v>
      </c>
      <c r="C18" s="1003">
        <f t="shared" si="0"/>
        <v>23880.071569153701</v>
      </c>
      <c r="D18" s="1002">
        <v>2.7944999999999993</v>
      </c>
      <c r="F18" s="1004"/>
    </row>
    <row r="19" spans="1:6">
      <c r="A19" s="1001">
        <f t="shared" si="1"/>
        <v>42857</v>
      </c>
      <c r="B19" s="1002">
        <f>+'Yakima IS'!AB122</f>
        <v>75008.3</v>
      </c>
      <c r="C19" s="1003">
        <f t="shared" si="0"/>
        <v>27849.616336633655</v>
      </c>
      <c r="D19" s="1002">
        <v>2.6933333333333342</v>
      </c>
      <c r="F19" s="1004"/>
    </row>
    <row r="20" spans="1:6">
      <c r="A20" s="1001">
        <f t="shared" si="1"/>
        <v>42887</v>
      </c>
      <c r="B20" s="1002">
        <f>+'Yakima IS'!AD122</f>
        <v>75172.149999999994</v>
      </c>
      <c r="C20" s="1003">
        <f t="shared" si="0"/>
        <v>28241.742077752358</v>
      </c>
      <c r="D20" s="1002">
        <v>2.6617391304347833</v>
      </c>
      <c r="F20" s="1004"/>
    </row>
    <row r="21" spans="1:6">
      <c r="B21" s="1005"/>
      <c r="C21" s="1006"/>
      <c r="D21" s="1005"/>
      <c r="F21" s="998"/>
    </row>
    <row r="22" spans="1:6">
      <c r="A22" s="997" t="s">
        <v>34</v>
      </c>
      <c r="B22" s="1002">
        <f>SUM(B9:B21)</f>
        <v>795900.23</v>
      </c>
      <c r="C22" s="1007">
        <f>SUM(C9:C21)</f>
        <v>306039.74125687731</v>
      </c>
      <c r="D22" s="1008">
        <f>B22/C22</f>
        <v>2.6006433894216165</v>
      </c>
      <c r="F22" s="998"/>
    </row>
    <row r="23" spans="1:6">
      <c r="B23" s="1002"/>
      <c r="C23" s="1003"/>
      <c r="D23" s="1009"/>
    </row>
    <row r="24" spans="1:6" ht="13.5">
      <c r="A24" s="997" t="s">
        <v>1574</v>
      </c>
      <c r="B24" s="1010">
        <f>'Yakima Consolidated IS'!C99</f>
        <v>795900.23</v>
      </c>
      <c r="C24" s="1011"/>
      <c r="D24" s="1012"/>
    </row>
    <row r="25" spans="1:6">
      <c r="A25" s="998"/>
      <c r="B25" s="1024">
        <f>B22-B24</f>
        <v>0</v>
      </c>
      <c r="C25" s="1014"/>
      <c r="D25" s="1015"/>
    </row>
    <row r="26" spans="1:6">
      <c r="A26" s="1016"/>
      <c r="B26" s="1013"/>
      <c r="C26" s="1014"/>
      <c r="D26" s="1015"/>
    </row>
    <row r="27" spans="1:6">
      <c r="A27" s="1454" t="s">
        <v>2208</v>
      </c>
      <c r="B27" s="1454"/>
      <c r="C27" s="1454"/>
      <c r="D27" s="1454"/>
    </row>
    <row r="28" spans="1:6">
      <c r="A28" s="1021"/>
      <c r="B28" s="1021" t="s">
        <v>2203</v>
      </c>
      <c r="C28" s="1021" t="s">
        <v>2204</v>
      </c>
      <c r="D28" s="1021" t="s">
        <v>2205</v>
      </c>
    </row>
    <row r="29" spans="1:6">
      <c r="A29" s="1022" t="s">
        <v>2294</v>
      </c>
      <c r="B29" s="1022" t="s">
        <v>2193</v>
      </c>
      <c r="C29" s="1022" t="s">
        <v>2206</v>
      </c>
      <c r="D29" s="1022" t="s">
        <v>2207</v>
      </c>
    </row>
    <row r="30" spans="1:6">
      <c r="A30" s="1001">
        <v>42917</v>
      </c>
      <c r="B30" s="1002">
        <f>'July Fuel'!D16</f>
        <v>64029.689999999988</v>
      </c>
      <c r="C30" s="1003">
        <f>+B30/D30</f>
        <v>25196.139695031969</v>
      </c>
      <c r="D30" s="1002">
        <v>2.5412499999999998</v>
      </c>
    </row>
    <row r="31" spans="1:6">
      <c r="A31" s="1001"/>
      <c r="B31" s="1002"/>
      <c r="C31" s="1003"/>
      <c r="D31" s="1002"/>
    </row>
    <row r="32" spans="1:6">
      <c r="A32" s="1016"/>
      <c r="B32" s="1013"/>
      <c r="C32" s="1014"/>
      <c r="D32" s="1015"/>
    </row>
    <row r="33" spans="1:4">
      <c r="A33" s="998"/>
      <c r="B33" s="1013"/>
      <c r="C33" s="1014"/>
      <c r="D33" s="1015"/>
    </row>
    <row r="34" spans="1:4">
      <c r="A34" s="998"/>
      <c r="B34" s="1013"/>
      <c r="C34" s="1014"/>
      <c r="D34" s="1017"/>
    </row>
    <row r="35" spans="1:4">
      <c r="A35" s="1454" t="s">
        <v>2209</v>
      </c>
      <c r="B35" s="1454"/>
      <c r="C35" s="1454"/>
      <c r="D35" s="1454"/>
    </row>
    <row r="36" spans="1:4" s="996" customFormat="1">
      <c r="A36" s="1023" t="s">
        <v>2294</v>
      </c>
      <c r="B36" s="1023" t="s">
        <v>534</v>
      </c>
      <c r="C36" s="1023"/>
      <c r="D36" s="1023"/>
    </row>
    <row r="37" spans="1:4">
      <c r="A37" s="1001">
        <v>42917</v>
      </c>
      <c r="B37" s="1002">
        <f>(C9*D30)-B9</f>
        <v>2349.7995013614564</v>
      </c>
      <c r="C37" s="1003"/>
      <c r="D37" s="1002"/>
    </row>
    <row r="38" spans="1:4">
      <c r="A38" s="1001"/>
      <c r="B38" s="1005"/>
      <c r="C38" s="1003"/>
      <c r="D38" s="1002"/>
    </row>
    <row r="39" spans="1:4">
      <c r="A39" s="998"/>
      <c r="B39" s="1018">
        <f>SUM(B37:B38)</f>
        <v>2349.7995013614564</v>
      </c>
      <c r="C39" s="998"/>
      <c r="D39" s="998"/>
    </row>
    <row r="40" spans="1:4">
      <c r="A40" s="1019"/>
      <c r="B40" s="1020"/>
      <c r="C40" s="1019"/>
      <c r="D40" s="1019"/>
    </row>
    <row r="41" spans="1:4">
      <c r="A41" s="998"/>
      <c r="B41" s="998"/>
      <c r="C41" s="998"/>
      <c r="D41" s="998"/>
    </row>
    <row r="42" spans="1:4">
      <c r="A42" s="998"/>
      <c r="B42" s="998"/>
      <c r="C42" s="998"/>
      <c r="D42" s="998"/>
    </row>
    <row r="43" spans="1:4">
      <c r="A43" s="998"/>
      <c r="B43" s="998"/>
      <c r="C43" s="998"/>
      <c r="D43" s="998"/>
    </row>
    <row r="44" spans="1:4">
      <c r="A44" s="998"/>
      <c r="B44" s="998"/>
      <c r="C44" s="998"/>
      <c r="D44" s="998"/>
    </row>
  </sheetData>
  <mergeCells count="5">
    <mergeCell ref="A27:D27"/>
    <mergeCell ref="A35:D35"/>
    <mergeCell ref="A5:D5"/>
    <mergeCell ref="A6:D6"/>
    <mergeCell ref="A3:D4"/>
  </mergeCells>
  <pageMargins left="0.75" right="0.75" top="1" bottom="1" header="0.5" footer="0.5"/>
  <pageSetup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0"/>
  <sheetViews>
    <sheetView view="pageBreakPreview" zoomScaleNormal="90" zoomScaleSheetLayoutView="100" workbookViewId="0">
      <selection activeCell="G20" sqref="G20"/>
    </sheetView>
  </sheetViews>
  <sheetFormatPr defaultRowHeight="15"/>
  <cols>
    <col min="1" max="1" width="16.28515625" style="787" bestFit="1" customWidth="1"/>
    <col min="2" max="2" width="19.140625" style="787" bestFit="1" customWidth="1"/>
    <col min="3" max="3" width="19.7109375" style="787" bestFit="1" customWidth="1"/>
    <col min="4" max="4" width="9.85546875" style="787" bestFit="1" customWidth="1"/>
    <col min="5" max="5" width="11.5703125" style="787" bestFit="1" customWidth="1"/>
    <col min="6" max="6" width="9" style="787" customWidth="1"/>
    <col min="7" max="7" width="9.85546875" style="787" bestFit="1" customWidth="1"/>
    <col min="8" max="8" width="11.5703125" style="787" bestFit="1" customWidth="1"/>
    <col min="9" max="9" width="9.5703125" style="787" customWidth="1"/>
    <col min="10" max="10" width="9.85546875" style="787" bestFit="1" customWidth="1"/>
    <col min="11" max="11" width="11.5703125" style="787" bestFit="1" customWidth="1"/>
    <col min="12" max="12" width="12.140625" style="787" bestFit="1" customWidth="1"/>
    <col min="13" max="13" width="38.5703125" style="787" bestFit="1" customWidth="1"/>
    <col min="14" max="15" width="9.140625" style="787"/>
    <col min="16" max="16" width="11.140625" style="787" bestFit="1" customWidth="1"/>
    <col min="17" max="16384" width="9.140625" style="787"/>
  </cols>
  <sheetData>
    <row r="2" spans="1:17" ht="15" customHeight="1">
      <c r="A2" s="1458" t="s">
        <v>2320</v>
      </c>
      <c r="B2" s="1458"/>
      <c r="C2" s="1458"/>
      <c r="D2" s="1458"/>
      <c r="E2" s="1458"/>
      <c r="F2" s="1458"/>
      <c r="G2" s="1458"/>
      <c r="H2" s="1458"/>
      <c r="I2" s="1458"/>
      <c r="J2" s="1458"/>
      <c r="K2" s="1458"/>
      <c r="L2" s="1458"/>
      <c r="M2" s="1458"/>
    </row>
    <row r="3" spans="1:17" ht="15" customHeight="1">
      <c r="A3" s="1458"/>
      <c r="B3" s="1458"/>
      <c r="C3" s="1458"/>
      <c r="D3" s="1458"/>
      <c r="E3" s="1458"/>
      <c r="F3" s="1458"/>
      <c r="G3" s="1458"/>
      <c r="H3" s="1458"/>
      <c r="I3" s="1458"/>
      <c r="J3" s="1458"/>
      <c r="K3" s="1458"/>
      <c r="L3" s="1458"/>
      <c r="M3" s="1458"/>
    </row>
    <row r="4" spans="1:17" ht="29.25" customHeight="1">
      <c r="A4" s="1040" t="s">
        <v>2319</v>
      </c>
      <c r="B4" s="1040" t="s">
        <v>2318</v>
      </c>
      <c r="C4" s="1040" t="s">
        <v>2317</v>
      </c>
      <c r="D4" s="1040" t="s">
        <v>2316</v>
      </c>
      <c r="E4" s="1040" t="s">
        <v>2315</v>
      </c>
      <c r="F4" s="1304" t="s">
        <v>2314</v>
      </c>
      <c r="G4" s="1304" t="s">
        <v>2313</v>
      </c>
      <c r="H4" s="1304" t="s">
        <v>2312</v>
      </c>
      <c r="I4" s="1304" t="s">
        <v>2311</v>
      </c>
      <c r="J4" s="1040" t="s">
        <v>2310</v>
      </c>
      <c r="K4" s="1040" t="s">
        <v>530</v>
      </c>
      <c r="L4" s="1040" t="s">
        <v>34</v>
      </c>
      <c r="M4" s="1040" t="s">
        <v>1553</v>
      </c>
    </row>
    <row r="5" spans="1:17">
      <c r="A5" s="1034" t="s">
        <v>2309</v>
      </c>
      <c r="B5" s="1033"/>
      <c r="C5" s="1033"/>
      <c r="D5" s="1033"/>
      <c r="E5" s="1033"/>
      <c r="F5" s="1033"/>
      <c r="G5" s="1033"/>
      <c r="H5" s="1033"/>
      <c r="I5" s="1033"/>
      <c r="J5" s="1033"/>
      <c r="K5" s="1033"/>
      <c r="L5" s="1033"/>
      <c r="M5" s="1032"/>
    </row>
    <row r="6" spans="1:17" ht="15.75">
      <c r="A6" s="1037" t="s">
        <v>2307</v>
      </c>
      <c r="B6" s="1037" t="s">
        <v>2308</v>
      </c>
      <c r="C6" s="1038" t="s">
        <v>2300</v>
      </c>
      <c r="D6" s="1036">
        <v>175</v>
      </c>
      <c r="E6" s="1036">
        <v>405.93</v>
      </c>
      <c r="F6" s="1036">
        <v>0</v>
      </c>
      <c r="G6" s="1036">
        <v>0</v>
      </c>
      <c r="H6" s="1036">
        <v>0</v>
      </c>
      <c r="I6" s="1036">
        <v>0</v>
      </c>
      <c r="J6" s="1036">
        <v>0</v>
      </c>
      <c r="K6" s="1036">
        <f>10*5*27.65</f>
        <v>1382.5</v>
      </c>
      <c r="L6" s="1036">
        <f>SUM(D6:K6)</f>
        <v>1963.43</v>
      </c>
      <c r="M6" s="1035"/>
      <c r="N6" s="795"/>
      <c r="O6" s="795"/>
      <c r="P6" s="1039"/>
      <c r="Q6" s="754"/>
    </row>
    <row r="7" spans="1:17">
      <c r="A7" s="1034" t="s">
        <v>2306</v>
      </c>
      <c r="B7" s="1033"/>
      <c r="C7" s="1033"/>
      <c r="D7" s="1033"/>
      <c r="E7" s="1033"/>
      <c r="F7" s="1033"/>
      <c r="G7" s="1033"/>
      <c r="H7" s="1033"/>
      <c r="I7" s="1033"/>
      <c r="J7" s="1033"/>
      <c r="K7" s="1033"/>
      <c r="L7" s="1033"/>
      <c r="M7" s="1032"/>
      <c r="N7" s="795"/>
      <c r="O7" s="795"/>
    </row>
    <row r="8" spans="1:17">
      <c r="A8" s="1034" t="s">
        <v>2305</v>
      </c>
      <c r="B8" s="1033"/>
      <c r="C8" s="1033"/>
      <c r="D8" s="1033"/>
      <c r="E8" s="1033"/>
      <c r="F8" s="1033"/>
      <c r="G8" s="1033"/>
      <c r="H8" s="1033"/>
      <c r="I8" s="1033"/>
      <c r="J8" s="1033"/>
      <c r="K8" s="1033"/>
      <c r="L8" s="1033"/>
      <c r="M8" s="1032"/>
      <c r="N8" s="795"/>
      <c r="O8" s="795"/>
    </row>
    <row r="9" spans="1:17">
      <c r="A9" s="1034" t="s">
        <v>2304</v>
      </c>
      <c r="B9" s="1033"/>
      <c r="C9" s="1033"/>
      <c r="D9" s="1033"/>
      <c r="E9" s="1033"/>
      <c r="F9" s="1033"/>
      <c r="G9" s="1033"/>
      <c r="H9" s="1033"/>
      <c r="I9" s="1033"/>
      <c r="J9" s="1033"/>
      <c r="K9" s="1033"/>
      <c r="L9" s="1033"/>
      <c r="M9" s="1032"/>
      <c r="N9" s="795"/>
      <c r="O9" s="795"/>
    </row>
    <row r="10" spans="1:17">
      <c r="A10" s="1034" t="s">
        <v>2303</v>
      </c>
      <c r="B10" s="1033"/>
      <c r="C10" s="1033"/>
      <c r="D10" s="1033"/>
      <c r="E10" s="1033"/>
      <c r="F10" s="1033"/>
      <c r="G10" s="1033"/>
      <c r="H10" s="1033"/>
      <c r="I10" s="1033"/>
      <c r="J10" s="1033"/>
      <c r="K10" s="1033"/>
      <c r="L10" s="1033"/>
      <c r="M10" s="1032"/>
      <c r="N10" s="795"/>
      <c r="O10" s="795"/>
    </row>
    <row r="11" spans="1:17" ht="15.75">
      <c r="A11" s="1037" t="s">
        <v>2302</v>
      </c>
      <c r="B11" s="1037" t="s">
        <v>2301</v>
      </c>
      <c r="C11" s="1037" t="s">
        <v>2300</v>
      </c>
      <c r="D11" s="1036">
        <v>175</v>
      </c>
      <c r="E11" s="1036">
        <v>396.09</v>
      </c>
      <c r="F11" s="1036">
        <v>0</v>
      </c>
      <c r="G11" s="1036">
        <v>0</v>
      </c>
      <c r="H11" s="1036">
        <v>0</v>
      </c>
      <c r="I11" s="1036">
        <v>0</v>
      </c>
      <c r="J11" s="1036">
        <v>0</v>
      </c>
      <c r="K11" s="1036">
        <f>10*28.29*5</f>
        <v>1414.5</v>
      </c>
      <c r="L11" s="1036">
        <f>SUM(D11:K11)</f>
        <v>1985.59</v>
      </c>
      <c r="M11" s="1035"/>
      <c r="N11" s="795"/>
      <c r="O11" s="795"/>
    </row>
    <row r="12" spans="1:17" ht="15.75" thickBot="1">
      <c r="A12" s="1034" t="s">
        <v>592</v>
      </c>
      <c r="B12" s="1033"/>
      <c r="C12" s="1033"/>
      <c r="D12" s="1033"/>
      <c r="E12" s="1033"/>
      <c r="F12" s="1033"/>
      <c r="G12" s="1033"/>
      <c r="H12" s="1033"/>
      <c r="I12" s="1033"/>
      <c r="J12" s="1033"/>
      <c r="K12" s="1033"/>
      <c r="L12" s="1033"/>
      <c r="M12" s="1032"/>
      <c r="N12" s="795"/>
      <c r="O12" s="795"/>
    </row>
    <row r="13" spans="1:17" ht="15.75" thickBot="1">
      <c r="L13" s="1031">
        <f>SUM(,L6:L6,L11:L11)</f>
        <v>3949.02</v>
      </c>
      <c r="M13" s="1041" t="s">
        <v>1575</v>
      </c>
      <c r="N13" s="795"/>
      <c r="O13" s="795"/>
    </row>
    <row r="14" spans="1:17">
      <c r="N14" s="795"/>
      <c r="O14" s="795"/>
    </row>
    <row r="15" spans="1:17">
      <c r="N15" s="795"/>
      <c r="O15" s="795"/>
    </row>
    <row r="16" spans="1:17" ht="15" customHeight="1">
      <c r="A16" s="1459" t="s">
        <v>2288</v>
      </c>
      <c r="B16" s="1459"/>
      <c r="C16" s="1459"/>
      <c r="D16" s="1459"/>
      <c r="E16" s="1459"/>
      <c r="F16" s="1459"/>
      <c r="G16" s="1459"/>
      <c r="N16" s="795"/>
      <c r="O16" s="795"/>
    </row>
    <row r="17" spans="1:15">
      <c r="A17" s="1459"/>
      <c r="B17" s="1459"/>
      <c r="C17" s="1459"/>
      <c r="D17" s="1459"/>
      <c r="E17" s="1459"/>
      <c r="F17" s="1459"/>
      <c r="G17" s="1459"/>
      <c r="N17" s="795"/>
      <c r="O17" s="795"/>
    </row>
    <row r="18" spans="1:15">
      <c r="A18" s="1459"/>
      <c r="B18" s="1459"/>
      <c r="C18" s="1459"/>
      <c r="D18" s="1459"/>
      <c r="E18" s="1459"/>
      <c r="F18" s="1459"/>
      <c r="G18" s="1459"/>
      <c r="N18" s="795"/>
      <c r="O18" s="795"/>
    </row>
    <row r="19" spans="1:15">
      <c r="N19" s="795"/>
      <c r="O19" s="795"/>
    </row>
    <row r="20" spans="1:15">
      <c r="N20" s="795"/>
      <c r="O20" s="795"/>
    </row>
  </sheetData>
  <mergeCells count="2">
    <mergeCell ref="A2:M3"/>
    <mergeCell ref="A16:G18"/>
  </mergeCells>
  <pageMargins left="0.25" right="0.25" top="0.75" bottom="0.75" header="0.3" footer="0.3"/>
  <pageSetup scale="7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37"/>
  <sheetViews>
    <sheetView showGridLines="0" view="pageBreakPreview" topLeftCell="B1" zoomScale="60" zoomScaleNormal="85" workbookViewId="0">
      <selection activeCell="G20" sqref="G20"/>
    </sheetView>
  </sheetViews>
  <sheetFormatPr defaultColWidth="13.85546875" defaultRowHeight="12.75" outlineLevelRow="1"/>
  <cols>
    <col min="1" max="1" width="13.85546875" style="123"/>
    <col min="2" max="2" width="7.85546875" style="123" customWidth="1"/>
    <col min="3" max="4" width="2.28515625" style="123" customWidth="1"/>
    <col min="5" max="5" width="31.42578125" style="123" customWidth="1"/>
    <col min="6" max="6" width="2.28515625" style="123" customWidth="1"/>
    <col min="7" max="7" width="2.140625" style="123" customWidth="1"/>
    <col min="8" max="8" width="12.28515625" style="182" customWidth="1"/>
    <col min="9" max="9" width="1.5703125" style="123" customWidth="1"/>
    <col min="10" max="10" width="12.28515625" style="182" customWidth="1"/>
    <col min="11" max="11" width="1.5703125" style="123" customWidth="1"/>
    <col min="12" max="12" width="12.28515625" style="182" customWidth="1"/>
    <col min="13" max="13" width="1.5703125" style="123" customWidth="1"/>
    <col min="14" max="14" width="13.5703125" style="182" customWidth="1"/>
    <col min="15" max="15" width="0.85546875" style="123" customWidth="1"/>
    <col min="16" max="16" width="12.28515625" style="182" customWidth="1"/>
    <col min="17" max="17" width="1.5703125" style="123" customWidth="1"/>
    <col min="18" max="18" width="12.28515625" style="182" customWidth="1"/>
    <col min="19" max="19" width="1.5703125" style="123" customWidth="1"/>
    <col min="20" max="20" width="12.28515625" style="182" customWidth="1"/>
    <col min="21" max="21" width="0.85546875" style="123" customWidth="1"/>
    <col min="22" max="22" width="12.28515625" style="182" customWidth="1"/>
    <col min="23" max="23" width="1.5703125" style="123" customWidth="1"/>
    <col min="24" max="24" width="12.28515625" style="182" customWidth="1"/>
    <col min="25" max="25" width="1.5703125" style="123" customWidth="1"/>
    <col min="26" max="26" width="12.28515625" style="182" customWidth="1"/>
    <col min="27" max="27" width="0.85546875" style="123" customWidth="1"/>
    <col min="28" max="28" width="12.28515625" style="182" customWidth="1"/>
    <col min="29" max="29" width="1.5703125" style="123" customWidth="1"/>
    <col min="30" max="30" width="12.28515625" style="182" customWidth="1"/>
    <col min="31" max="31" width="1.5703125" style="123" customWidth="1"/>
    <col min="32" max="32" width="12.28515625" style="182" customWidth="1"/>
    <col min="33" max="33" width="1.42578125" style="123" customWidth="1"/>
    <col min="34" max="16384" width="13.85546875" style="123"/>
  </cols>
  <sheetData>
    <row r="1" spans="1:33" s="136" customFormat="1" ht="15.75">
      <c r="A1" s="123"/>
      <c r="B1" s="194" t="s">
        <v>0</v>
      </c>
      <c r="H1" s="1416" t="s">
        <v>493</v>
      </c>
      <c r="I1" s="1416"/>
      <c r="J1" s="1416"/>
      <c r="K1" s="1416"/>
      <c r="L1" s="1416"/>
      <c r="M1" s="1416"/>
      <c r="N1" s="1416"/>
      <c r="O1" s="1416"/>
      <c r="P1" s="1416"/>
      <c r="Q1" s="1416"/>
      <c r="R1" s="1416"/>
      <c r="W1" s="137"/>
      <c r="X1" s="138"/>
      <c r="AC1" s="137"/>
      <c r="AD1" s="138"/>
      <c r="AF1" s="140"/>
    </row>
    <row r="2" spans="1:33" s="136" customFormat="1" ht="15.75">
      <c r="A2" s="123"/>
      <c r="B2" s="135" t="s">
        <v>334</v>
      </c>
      <c r="H2" s="1416"/>
      <c r="I2" s="1416"/>
      <c r="J2" s="1416"/>
      <c r="K2" s="1416"/>
      <c r="L2" s="1416"/>
      <c r="M2" s="1416"/>
      <c r="N2" s="1416"/>
      <c r="O2" s="1416"/>
      <c r="P2" s="1416"/>
      <c r="Q2" s="1416"/>
      <c r="R2" s="1416"/>
      <c r="X2" s="141"/>
      <c r="AD2" s="141"/>
    </row>
    <row r="3" spans="1:33" s="136" customFormat="1" ht="15.75">
      <c r="A3" s="123"/>
      <c r="B3" s="142" t="s">
        <v>1563</v>
      </c>
    </row>
    <row r="4" spans="1:33" s="136" customFormat="1" ht="15.75">
      <c r="A4" s="123"/>
      <c r="B4" s="630"/>
    </row>
    <row r="5" spans="1:33" s="136" customFormat="1" ht="15">
      <c r="A5" s="123"/>
      <c r="B5" s="629"/>
    </row>
    <row r="6" spans="1:33" s="136" customFormat="1" ht="15">
      <c r="A6" s="123"/>
      <c r="B6" s="143"/>
      <c r="C6" s="143"/>
      <c r="D6" s="143"/>
      <c r="E6" s="143"/>
      <c r="F6" s="143"/>
      <c r="G6" s="143"/>
      <c r="H6" s="144"/>
      <c r="I6" s="145"/>
      <c r="J6" s="144"/>
      <c r="K6" s="145"/>
      <c r="L6" s="146"/>
      <c r="M6" s="145"/>
      <c r="N6" s="144"/>
      <c r="O6" s="145"/>
      <c r="P6" s="144"/>
      <c r="Q6" s="145"/>
      <c r="R6" s="146"/>
      <c r="S6" s="145"/>
      <c r="T6" s="144"/>
      <c r="U6" s="145"/>
      <c r="V6" s="144"/>
      <c r="W6" s="145"/>
      <c r="X6" s="146"/>
      <c r="Y6" s="145"/>
      <c r="Z6" s="144"/>
      <c r="AA6" s="145"/>
      <c r="AB6" s="144"/>
      <c r="AC6" s="145"/>
      <c r="AD6" s="146"/>
      <c r="AE6" s="145"/>
      <c r="AF6" s="144"/>
    </row>
    <row r="7" spans="1:33" s="136" customFormat="1" ht="15.75" thickBot="1">
      <c r="A7" s="123"/>
      <c r="B7" s="143"/>
      <c r="C7" s="143"/>
      <c r="D7" s="143"/>
      <c r="E7" s="143"/>
      <c r="F7" s="143"/>
      <c r="G7" s="143"/>
      <c r="H7" s="147">
        <v>42552</v>
      </c>
      <c r="I7" s="148"/>
      <c r="J7" s="147">
        <f>+H7+31</f>
        <v>42583</v>
      </c>
      <c r="K7" s="147"/>
      <c r="L7" s="147">
        <f>+J7+31</f>
        <v>42614</v>
      </c>
      <c r="M7" s="149"/>
      <c r="N7" s="147">
        <f>+L7+31</f>
        <v>42645</v>
      </c>
      <c r="O7" s="148"/>
      <c r="P7" s="147">
        <f>+N7+31</f>
        <v>42676</v>
      </c>
      <c r="Q7" s="148"/>
      <c r="R7" s="147">
        <f>+P7+31</f>
        <v>42707</v>
      </c>
      <c r="S7" s="149"/>
      <c r="T7" s="147">
        <f>+R7+31</f>
        <v>42738</v>
      </c>
      <c r="U7" s="148"/>
      <c r="V7" s="147">
        <f>+T7+31</f>
        <v>42769</v>
      </c>
      <c r="W7" s="148"/>
      <c r="X7" s="147">
        <f>+V7+31</f>
        <v>42800</v>
      </c>
      <c r="Y7" s="149"/>
      <c r="Z7" s="147">
        <f>+X7+31</f>
        <v>42831</v>
      </c>
      <c r="AA7" s="148"/>
      <c r="AB7" s="147">
        <f>+Z7+31</f>
        <v>42862</v>
      </c>
      <c r="AC7" s="148"/>
      <c r="AD7" s="147">
        <f>+AB7+31</f>
        <v>42893</v>
      </c>
      <c r="AE7" s="149"/>
      <c r="AF7" s="150" t="s">
        <v>34</v>
      </c>
    </row>
    <row r="8" spans="1:33" customFormat="1" ht="15"/>
    <row r="9" spans="1:33" s="129" customFormat="1" ht="4.5" customHeight="1">
      <c r="H9" s="130"/>
      <c r="I9" s="136"/>
      <c r="J9" s="130"/>
      <c r="K9" s="136"/>
      <c r="L9" s="130"/>
      <c r="M9" s="136"/>
      <c r="N9" s="130"/>
      <c r="O9" s="136"/>
      <c r="P9" s="130"/>
      <c r="Q9" s="136"/>
      <c r="R9" s="130"/>
      <c r="S9" s="136"/>
      <c r="T9" s="130"/>
      <c r="U9" s="136"/>
      <c r="V9" s="130"/>
      <c r="W9" s="136"/>
      <c r="X9" s="130"/>
      <c r="Y9" s="136"/>
      <c r="Z9" s="130"/>
      <c r="AA9" s="136"/>
      <c r="AB9" s="130"/>
      <c r="AC9" s="136"/>
      <c r="AD9" s="130"/>
      <c r="AE9" s="136"/>
      <c r="AF9" s="130"/>
      <c r="AG9" s="136"/>
    </row>
    <row r="10" spans="1:33" s="129" customFormat="1" ht="15" outlineLevel="1">
      <c r="H10" s="130"/>
      <c r="I10" s="136"/>
      <c r="J10" s="130"/>
      <c r="K10" s="136"/>
      <c r="L10" s="130"/>
      <c r="M10" s="136"/>
      <c r="N10" s="130"/>
      <c r="O10" s="136"/>
      <c r="P10" s="130"/>
      <c r="Q10" s="136"/>
      <c r="R10" s="130"/>
      <c r="S10" s="136"/>
      <c r="T10" s="130"/>
      <c r="U10" s="136"/>
      <c r="V10" s="130"/>
      <c r="W10" s="136"/>
      <c r="X10" s="130"/>
      <c r="Y10" s="136"/>
      <c r="Z10" s="130"/>
      <c r="AA10" s="136"/>
      <c r="AB10" s="130"/>
      <c r="AC10" s="136"/>
      <c r="AD10" s="130"/>
      <c r="AE10" s="136"/>
      <c r="AF10" s="130"/>
      <c r="AG10" s="136"/>
    </row>
    <row r="11" spans="1:33" outlineLevel="1">
      <c r="B11" s="127">
        <v>31000</v>
      </c>
      <c r="C11" s="127" t="s">
        <v>223</v>
      </c>
      <c r="D11" s="128"/>
      <c r="E11" s="125"/>
      <c r="F11" s="129"/>
      <c r="G11" s="130"/>
      <c r="H11" s="131">
        <v>151609.17000000001</v>
      </c>
      <c r="I11" s="130"/>
      <c r="J11" s="131">
        <v>174663.76</v>
      </c>
      <c r="K11" s="130"/>
      <c r="L11" s="131">
        <v>171292.85</v>
      </c>
      <c r="M11" s="130"/>
      <c r="N11" s="131">
        <v>161832.42000000001</v>
      </c>
      <c r="O11" s="130"/>
      <c r="P11" s="131">
        <v>164710.45000000001</v>
      </c>
      <c r="Q11" s="130"/>
      <c r="R11" s="131">
        <v>148061.87</v>
      </c>
      <c r="S11" s="130"/>
      <c r="T11" s="131">
        <v>135415.96</v>
      </c>
      <c r="U11" s="130"/>
      <c r="V11" s="131">
        <v>139758.82999999999</v>
      </c>
      <c r="W11" s="130"/>
      <c r="X11" s="131">
        <v>188173.07</v>
      </c>
      <c r="Y11" s="130"/>
      <c r="Z11" s="131">
        <v>161061.28</v>
      </c>
      <c r="AA11" s="130"/>
      <c r="AB11" s="131">
        <v>182427.75</v>
      </c>
      <c r="AC11" s="130"/>
      <c r="AD11" s="131">
        <v>196533.01</v>
      </c>
      <c r="AE11" s="130"/>
      <c r="AF11" s="131">
        <f t="shared" ref="AF11:AF22" si="0">AD11+AB11+Z11+X11+V11+T11+R11+P11+N11+L11+J11+H11</f>
        <v>1975540.42</v>
      </c>
      <c r="AG11" s="133"/>
    </row>
    <row r="12" spans="1:33" outlineLevel="1">
      <c r="B12" s="127">
        <v>31002</v>
      </c>
      <c r="C12" s="127" t="s">
        <v>225</v>
      </c>
      <c r="D12" s="128"/>
      <c r="E12" s="125"/>
      <c r="F12" s="129"/>
      <c r="G12" s="130"/>
      <c r="H12" s="131">
        <v>51131.95</v>
      </c>
      <c r="I12" s="130"/>
      <c r="J12" s="131">
        <v>51004.38</v>
      </c>
      <c r="K12" s="130"/>
      <c r="L12" s="131">
        <v>49030.36</v>
      </c>
      <c r="M12" s="130"/>
      <c r="N12" s="131">
        <v>50454.97</v>
      </c>
      <c r="O12" s="130"/>
      <c r="P12" s="131">
        <v>51238.64</v>
      </c>
      <c r="Q12" s="130"/>
      <c r="R12" s="131">
        <v>46802.38</v>
      </c>
      <c r="S12" s="130"/>
      <c r="T12" s="131">
        <v>44293.73</v>
      </c>
      <c r="U12" s="130"/>
      <c r="V12" s="131">
        <v>44596.27</v>
      </c>
      <c r="W12" s="130"/>
      <c r="X12" s="131">
        <v>47041.31</v>
      </c>
      <c r="Y12" s="130"/>
      <c r="Z12" s="131">
        <v>53181.91</v>
      </c>
      <c r="AA12" s="130"/>
      <c r="AB12" s="131">
        <v>55344.37</v>
      </c>
      <c r="AC12" s="130"/>
      <c r="AD12" s="131">
        <v>56348.800000000003</v>
      </c>
      <c r="AE12" s="130"/>
      <c r="AF12" s="131">
        <f t="shared" si="0"/>
        <v>600469.06999999995</v>
      </c>
      <c r="AG12" s="133"/>
    </row>
    <row r="13" spans="1:33" outlineLevel="1">
      <c r="B13" s="127">
        <v>31005</v>
      </c>
      <c r="C13" s="127" t="s">
        <v>226</v>
      </c>
      <c r="D13" s="128"/>
      <c r="E13" s="125"/>
      <c r="F13" s="129"/>
      <c r="G13" s="130"/>
      <c r="H13" s="131">
        <v>129604.71</v>
      </c>
      <c r="I13" s="130"/>
      <c r="J13" s="131">
        <v>149785.82999999999</v>
      </c>
      <c r="K13" s="130"/>
      <c r="L13" s="131">
        <v>151459.13</v>
      </c>
      <c r="M13" s="130"/>
      <c r="N13" s="131">
        <v>158570.68</v>
      </c>
      <c r="O13" s="130"/>
      <c r="P13" s="131">
        <v>157212.01</v>
      </c>
      <c r="Q13" s="130"/>
      <c r="R13" s="131">
        <v>132390.20000000001</v>
      </c>
      <c r="S13" s="130"/>
      <c r="T13" s="131">
        <v>121610.28</v>
      </c>
      <c r="U13" s="130"/>
      <c r="V13" s="131">
        <v>146355.47</v>
      </c>
      <c r="W13" s="130"/>
      <c r="X13" s="131">
        <v>194860.63</v>
      </c>
      <c r="Y13" s="130"/>
      <c r="Z13" s="131">
        <v>160537.42000000001</v>
      </c>
      <c r="AA13" s="130"/>
      <c r="AB13" s="131">
        <v>172548.97</v>
      </c>
      <c r="AC13" s="130"/>
      <c r="AD13" s="131">
        <v>205507.46</v>
      </c>
      <c r="AE13" s="130"/>
      <c r="AF13" s="131">
        <f t="shared" si="0"/>
        <v>1880442.79</v>
      </c>
      <c r="AG13" s="133"/>
    </row>
    <row r="14" spans="1:33" outlineLevel="1">
      <c r="B14" s="127">
        <v>31010</v>
      </c>
      <c r="C14" s="127" t="s">
        <v>227</v>
      </c>
      <c r="D14" s="128"/>
      <c r="E14" s="125"/>
      <c r="F14" s="129"/>
      <c r="G14" s="130"/>
      <c r="H14" s="131">
        <v>19636.04</v>
      </c>
      <c r="I14" s="130"/>
      <c r="J14" s="131">
        <v>23278.76</v>
      </c>
      <c r="K14" s="130"/>
      <c r="L14" s="131">
        <v>21332.62</v>
      </c>
      <c r="M14" s="130"/>
      <c r="N14" s="131">
        <v>21980.400000000001</v>
      </c>
      <c r="O14" s="130"/>
      <c r="P14" s="131">
        <v>19884.55</v>
      </c>
      <c r="Q14" s="130"/>
      <c r="R14" s="131">
        <v>15460.47</v>
      </c>
      <c r="S14" s="130"/>
      <c r="T14" s="131">
        <v>13516.94</v>
      </c>
      <c r="U14" s="130"/>
      <c r="V14" s="131">
        <v>15373.22</v>
      </c>
      <c r="W14" s="130"/>
      <c r="X14" s="131">
        <v>22315.54</v>
      </c>
      <c r="Y14" s="130"/>
      <c r="Z14" s="131">
        <v>20064.900000000001</v>
      </c>
      <c r="AA14" s="130"/>
      <c r="AB14" s="131">
        <v>22299.439999999999</v>
      </c>
      <c r="AC14" s="130"/>
      <c r="AD14" s="131">
        <v>23261.95</v>
      </c>
      <c r="AE14" s="130"/>
      <c r="AF14" s="131">
        <f t="shared" si="0"/>
        <v>238404.83000000002</v>
      </c>
      <c r="AG14" s="133"/>
    </row>
    <row r="15" spans="1:33" outlineLevel="1">
      <c r="B15" s="127">
        <v>32000</v>
      </c>
      <c r="C15" s="127" t="s">
        <v>228</v>
      </c>
      <c r="D15" s="128"/>
      <c r="E15" s="125"/>
      <c r="F15" s="129"/>
      <c r="G15" s="130"/>
      <c r="H15" s="131">
        <v>236105.52</v>
      </c>
      <c r="I15" s="130"/>
      <c r="J15" s="131">
        <v>237108.47</v>
      </c>
      <c r="K15" s="130"/>
      <c r="L15" s="131">
        <v>237395.75</v>
      </c>
      <c r="M15" s="130"/>
      <c r="N15" s="131">
        <v>237321.06</v>
      </c>
      <c r="O15" s="130"/>
      <c r="P15" s="131">
        <v>236327.71</v>
      </c>
      <c r="Q15" s="130"/>
      <c r="R15" s="131">
        <v>236131.18</v>
      </c>
      <c r="S15" s="130"/>
      <c r="T15" s="131">
        <v>236847.02</v>
      </c>
      <c r="U15" s="130"/>
      <c r="V15" s="131">
        <v>239345.81</v>
      </c>
      <c r="W15" s="130"/>
      <c r="X15" s="131">
        <v>243086.75</v>
      </c>
      <c r="Y15" s="130"/>
      <c r="Z15" s="131">
        <v>246276.29</v>
      </c>
      <c r="AA15" s="130"/>
      <c r="AB15" s="131">
        <v>245310.82</v>
      </c>
      <c r="AC15" s="130"/>
      <c r="AD15" s="131">
        <v>245253.53</v>
      </c>
      <c r="AE15" s="130"/>
      <c r="AF15" s="131">
        <f t="shared" si="0"/>
        <v>2876509.91</v>
      </c>
      <c r="AG15" s="133"/>
    </row>
    <row r="16" spans="1:33" outlineLevel="1">
      <c r="B16" s="127">
        <v>32001</v>
      </c>
      <c r="C16" s="127" t="s">
        <v>229</v>
      </c>
      <c r="D16" s="128"/>
      <c r="E16" s="125"/>
      <c r="F16" s="129"/>
      <c r="G16" s="130"/>
      <c r="H16" s="131">
        <v>14766.78</v>
      </c>
      <c r="I16" s="130"/>
      <c r="J16" s="131">
        <v>17304.87</v>
      </c>
      <c r="K16" s="130"/>
      <c r="L16" s="131">
        <v>13375.93</v>
      </c>
      <c r="M16" s="130"/>
      <c r="N16" s="131">
        <v>16914.23</v>
      </c>
      <c r="O16" s="130"/>
      <c r="P16" s="131">
        <v>15427.19</v>
      </c>
      <c r="Q16" s="130"/>
      <c r="R16" s="131">
        <v>18541.03</v>
      </c>
      <c r="S16" s="130"/>
      <c r="T16" s="131">
        <v>12266.78</v>
      </c>
      <c r="U16" s="130"/>
      <c r="V16" s="131">
        <v>13097.76</v>
      </c>
      <c r="W16" s="130"/>
      <c r="X16" s="131">
        <v>17190.009999999998</v>
      </c>
      <c r="Y16" s="130"/>
      <c r="Z16" s="131">
        <v>29379.11</v>
      </c>
      <c r="AA16" s="130"/>
      <c r="AB16" s="131">
        <v>28004.11</v>
      </c>
      <c r="AC16" s="130"/>
      <c r="AD16" s="131">
        <v>29956.13</v>
      </c>
      <c r="AE16" s="130"/>
      <c r="AF16" s="131">
        <f t="shared" si="0"/>
        <v>226223.93</v>
      </c>
      <c r="AG16" s="133"/>
    </row>
    <row r="17" spans="2:33" outlineLevel="1">
      <c r="B17" s="127">
        <v>32100</v>
      </c>
      <c r="C17" s="127" t="s">
        <v>230</v>
      </c>
      <c r="D17" s="128"/>
      <c r="E17" s="125"/>
      <c r="F17" s="129"/>
      <c r="G17" s="130"/>
      <c r="H17" s="131">
        <v>24878.44</v>
      </c>
      <c r="I17" s="130"/>
      <c r="J17" s="131">
        <v>25091.15</v>
      </c>
      <c r="K17" s="130"/>
      <c r="L17" s="131">
        <v>25269.47</v>
      </c>
      <c r="M17" s="130"/>
      <c r="N17" s="131">
        <v>25406.9</v>
      </c>
      <c r="O17" s="130"/>
      <c r="P17" s="131">
        <v>25383</v>
      </c>
      <c r="Q17" s="130"/>
      <c r="R17" s="131">
        <v>25305.79</v>
      </c>
      <c r="S17" s="130"/>
      <c r="T17" s="131">
        <v>25246.04</v>
      </c>
      <c r="U17" s="130"/>
      <c r="V17" s="131">
        <v>25326.28</v>
      </c>
      <c r="W17" s="130"/>
      <c r="X17" s="131">
        <v>25514.45</v>
      </c>
      <c r="Y17" s="130"/>
      <c r="Z17" s="131">
        <v>25590.93</v>
      </c>
      <c r="AA17" s="130"/>
      <c r="AB17" s="131">
        <v>25789.3</v>
      </c>
      <c r="AC17" s="130"/>
      <c r="AD17" s="131">
        <v>25829.93</v>
      </c>
      <c r="AE17" s="130"/>
      <c r="AF17" s="131">
        <f t="shared" si="0"/>
        <v>304631.67999999999</v>
      </c>
      <c r="AG17" s="133"/>
    </row>
    <row r="18" spans="2:33" outlineLevel="1">
      <c r="B18" s="127">
        <v>32110</v>
      </c>
      <c r="C18" s="127" t="s">
        <v>231</v>
      </c>
      <c r="D18" s="128"/>
      <c r="E18" s="125"/>
      <c r="F18" s="129"/>
      <c r="G18" s="130"/>
      <c r="H18" s="131">
        <v>9551.7199999999993</v>
      </c>
      <c r="I18" s="130"/>
      <c r="J18" s="131">
        <v>9568.57</v>
      </c>
      <c r="K18" s="130"/>
      <c r="L18" s="131">
        <v>9580.08</v>
      </c>
      <c r="M18" s="130"/>
      <c r="N18" s="131">
        <v>9449.43</v>
      </c>
      <c r="O18" s="130"/>
      <c r="P18" s="131">
        <v>9004.7999999999993</v>
      </c>
      <c r="Q18" s="130"/>
      <c r="R18" s="131">
        <v>7769.34</v>
      </c>
      <c r="S18" s="130"/>
      <c r="T18" s="131">
        <v>7198.39</v>
      </c>
      <c r="U18" s="130"/>
      <c r="V18" s="131">
        <v>6977.89</v>
      </c>
      <c r="W18" s="130"/>
      <c r="X18" s="131">
        <v>7291.99</v>
      </c>
      <c r="Y18" s="130"/>
      <c r="Z18" s="131">
        <v>8474.9599999999991</v>
      </c>
      <c r="AA18" s="130"/>
      <c r="AB18" s="131">
        <v>9597.9</v>
      </c>
      <c r="AC18" s="130"/>
      <c r="AD18" s="131">
        <v>9789.76</v>
      </c>
      <c r="AE18" s="130"/>
      <c r="AF18" s="131">
        <f t="shared" si="0"/>
        <v>104254.82999999999</v>
      </c>
      <c r="AG18" s="133"/>
    </row>
    <row r="19" spans="2:33" outlineLevel="1">
      <c r="B19" s="127">
        <v>33000</v>
      </c>
      <c r="C19" s="127" t="s">
        <v>232</v>
      </c>
      <c r="D19" s="128"/>
      <c r="E19" s="125"/>
      <c r="F19" s="129"/>
      <c r="G19" s="130"/>
      <c r="H19" s="131">
        <v>513932.74</v>
      </c>
      <c r="I19" s="130"/>
      <c r="J19" s="131">
        <v>517397.9</v>
      </c>
      <c r="K19" s="130"/>
      <c r="L19" s="131">
        <v>521600.61</v>
      </c>
      <c r="M19" s="130"/>
      <c r="N19" s="131">
        <v>516325.66</v>
      </c>
      <c r="O19" s="130"/>
      <c r="P19" s="131">
        <v>509862.75</v>
      </c>
      <c r="Q19" s="130"/>
      <c r="R19" s="131">
        <v>506743.94</v>
      </c>
      <c r="S19" s="130"/>
      <c r="T19" s="131">
        <v>502011.23</v>
      </c>
      <c r="U19" s="130"/>
      <c r="V19" s="131">
        <v>509928.33</v>
      </c>
      <c r="W19" s="130"/>
      <c r="X19" s="131">
        <v>516174.77</v>
      </c>
      <c r="Y19" s="130"/>
      <c r="Z19" s="131">
        <v>515508.64</v>
      </c>
      <c r="AA19" s="130"/>
      <c r="AB19" s="131">
        <v>525045.88</v>
      </c>
      <c r="AC19" s="130"/>
      <c r="AD19" s="131">
        <v>535279.6</v>
      </c>
      <c r="AE19" s="130"/>
      <c r="AF19" s="131">
        <f t="shared" si="0"/>
        <v>6189812.0500000007</v>
      </c>
      <c r="AG19" s="133"/>
    </row>
    <row r="20" spans="2:33" outlineLevel="1">
      <c r="B20" s="127">
        <v>33001</v>
      </c>
      <c r="C20" s="127" t="s">
        <v>233</v>
      </c>
      <c r="D20" s="128"/>
      <c r="E20" s="125"/>
      <c r="F20" s="129"/>
      <c r="G20" s="130"/>
      <c r="H20" s="131">
        <v>63.18</v>
      </c>
      <c r="I20" s="130"/>
      <c r="J20" s="131">
        <v>423.18</v>
      </c>
      <c r="K20" s="130"/>
      <c r="L20" s="131">
        <v>104.67</v>
      </c>
      <c r="M20" s="130"/>
      <c r="N20" s="131">
        <v>464.67</v>
      </c>
      <c r="O20" s="130"/>
      <c r="P20" s="131">
        <v>404.91</v>
      </c>
      <c r="Q20" s="130"/>
      <c r="R20" s="131">
        <v>149.66999999999999</v>
      </c>
      <c r="S20" s="130"/>
      <c r="T20" s="131">
        <v>468.18</v>
      </c>
      <c r="U20" s="130"/>
      <c r="V20" s="131">
        <v>378.18</v>
      </c>
      <c r="W20" s="130"/>
      <c r="X20" s="131">
        <v>423.18</v>
      </c>
      <c r="Y20" s="130"/>
      <c r="Z20" s="131">
        <v>153.18</v>
      </c>
      <c r="AA20" s="130"/>
      <c r="AB20" s="131">
        <v>62.3</v>
      </c>
      <c r="AC20" s="130"/>
      <c r="AD20" s="131">
        <v>284.67</v>
      </c>
      <c r="AE20" s="130"/>
      <c r="AF20" s="131">
        <f t="shared" si="0"/>
        <v>3379.97</v>
      </c>
      <c r="AG20" s="133"/>
    </row>
    <row r="21" spans="2:33" outlineLevel="1">
      <c r="B21" s="127">
        <v>33011</v>
      </c>
      <c r="C21" s="127" t="s">
        <v>234</v>
      </c>
      <c r="D21" s="128"/>
      <c r="E21" s="125"/>
      <c r="F21" s="129"/>
      <c r="G21" s="130"/>
      <c r="H21" s="131">
        <v>11210.03</v>
      </c>
      <c r="I21" s="130"/>
      <c r="J21" s="131">
        <v>12627.95</v>
      </c>
      <c r="K21" s="130"/>
      <c r="L21" s="131">
        <v>9692.23</v>
      </c>
      <c r="M21" s="130"/>
      <c r="N21" s="131">
        <v>11257.44</v>
      </c>
      <c r="O21" s="130"/>
      <c r="P21" s="131">
        <v>13239.42</v>
      </c>
      <c r="Q21" s="130"/>
      <c r="R21" s="131">
        <v>15811.75</v>
      </c>
      <c r="S21" s="130"/>
      <c r="T21" s="131">
        <v>11516.83</v>
      </c>
      <c r="U21" s="130"/>
      <c r="V21" s="131">
        <v>13609.85</v>
      </c>
      <c r="W21" s="130"/>
      <c r="X21" s="131">
        <v>21487.84</v>
      </c>
      <c r="Y21" s="130"/>
      <c r="Z21" s="131">
        <v>27525.15</v>
      </c>
      <c r="AA21" s="130"/>
      <c r="AB21" s="131">
        <v>24956.51</v>
      </c>
      <c r="AC21" s="130"/>
      <c r="AD21" s="131">
        <v>24041.67</v>
      </c>
      <c r="AE21" s="130"/>
      <c r="AF21" s="131">
        <f t="shared" si="0"/>
        <v>196976.67</v>
      </c>
      <c r="AG21" s="133"/>
    </row>
    <row r="22" spans="2:33" outlineLevel="1">
      <c r="B22" s="127">
        <v>33020</v>
      </c>
      <c r="C22" s="127" t="s">
        <v>235</v>
      </c>
      <c r="D22" s="128"/>
      <c r="E22" s="125"/>
      <c r="F22" s="129"/>
      <c r="G22" s="130"/>
      <c r="H22" s="131">
        <v>44554.59</v>
      </c>
      <c r="I22" s="130"/>
      <c r="J22" s="131">
        <v>45663.47</v>
      </c>
      <c r="K22" s="130"/>
      <c r="L22" s="131">
        <v>45923.66</v>
      </c>
      <c r="M22" s="130"/>
      <c r="N22" s="131">
        <v>46031.18</v>
      </c>
      <c r="O22" s="130"/>
      <c r="P22" s="131">
        <v>47257.21</v>
      </c>
      <c r="Q22" s="130"/>
      <c r="R22" s="131">
        <v>47143.8</v>
      </c>
      <c r="S22" s="130"/>
      <c r="T22" s="131">
        <v>46766.65</v>
      </c>
      <c r="U22" s="130"/>
      <c r="V22" s="131">
        <v>46755.6</v>
      </c>
      <c r="W22" s="130"/>
      <c r="X22" s="131">
        <v>47800.15</v>
      </c>
      <c r="Y22" s="130"/>
      <c r="Z22" s="131">
        <v>48303.03</v>
      </c>
      <c r="AA22" s="130"/>
      <c r="AB22" s="131">
        <v>49256.52</v>
      </c>
      <c r="AC22" s="130"/>
      <c r="AD22" s="131">
        <v>48909.37</v>
      </c>
      <c r="AE22" s="130"/>
      <c r="AF22" s="131">
        <f t="shared" si="0"/>
        <v>564365.23</v>
      </c>
      <c r="AG22" s="133"/>
    </row>
    <row r="23" spans="2:33" s="129" customFormat="1" ht="4.5" customHeight="1" outlineLevel="1">
      <c r="H23" s="154"/>
      <c r="I23" s="136"/>
      <c r="J23" s="154"/>
      <c r="K23" s="136"/>
      <c r="L23" s="154"/>
      <c r="M23" s="136"/>
      <c r="N23" s="154"/>
      <c r="O23" s="136"/>
      <c r="P23" s="154"/>
      <c r="Q23" s="136"/>
      <c r="R23" s="154"/>
      <c r="S23" s="136"/>
      <c r="T23" s="154"/>
      <c r="U23" s="136"/>
      <c r="V23" s="154"/>
      <c r="W23" s="136"/>
      <c r="X23" s="154"/>
      <c r="Y23" s="136"/>
      <c r="Z23" s="154"/>
      <c r="AA23" s="136"/>
      <c r="AB23" s="154"/>
      <c r="AC23" s="136"/>
      <c r="AD23" s="154"/>
      <c r="AE23" s="136"/>
      <c r="AF23" s="154"/>
      <c r="AG23" s="136"/>
    </row>
    <row r="24" spans="2:33" s="129" customFormat="1" ht="15">
      <c r="D24" s="129" t="s">
        <v>236</v>
      </c>
      <c r="H24" s="155">
        <f>SUM(H10:H23)</f>
        <v>1207044.8699999999</v>
      </c>
      <c r="I24" s="156"/>
      <c r="J24" s="155">
        <f>SUM(J10:J23)</f>
        <v>1263918.2899999998</v>
      </c>
      <c r="K24" s="156"/>
      <c r="L24" s="155">
        <f>SUM(L10:L23)</f>
        <v>1256057.3599999996</v>
      </c>
      <c r="M24" s="156"/>
      <c r="N24" s="155">
        <f>SUM(N10:N23)</f>
        <v>1256009.0399999998</v>
      </c>
      <c r="O24" s="156"/>
      <c r="P24" s="155">
        <f>SUM(P10:P23)</f>
        <v>1249952.6399999999</v>
      </c>
      <c r="Q24" s="156"/>
      <c r="R24" s="155">
        <f>SUM(R10:R23)</f>
        <v>1200311.42</v>
      </c>
      <c r="S24" s="156"/>
      <c r="T24" s="155">
        <f>SUM(T10:T23)</f>
        <v>1157158.03</v>
      </c>
      <c r="U24" s="156"/>
      <c r="V24" s="155">
        <f>SUM(V10:V23)</f>
        <v>1201503.49</v>
      </c>
      <c r="W24" s="156"/>
      <c r="X24" s="155">
        <f>SUM(X10:X23)</f>
        <v>1331359.69</v>
      </c>
      <c r="Y24" s="156"/>
      <c r="Z24" s="155">
        <f>SUM(Z10:Z23)</f>
        <v>1296056.7999999998</v>
      </c>
      <c r="AA24" s="156"/>
      <c r="AB24" s="155">
        <f>SUM(AB10:AB23)</f>
        <v>1340643.8700000001</v>
      </c>
      <c r="AC24" s="156"/>
      <c r="AD24" s="155">
        <f>SUM(AD10:AD23)</f>
        <v>1400995.88</v>
      </c>
      <c r="AE24" s="156"/>
      <c r="AF24" s="155">
        <f>SUM(AF10:AF23)</f>
        <v>15161011.380000001</v>
      </c>
      <c r="AG24" s="136"/>
    </row>
    <row r="25" spans="2:33" s="129" customFormat="1" ht="15" outlineLevel="1">
      <c r="H25" s="157"/>
      <c r="I25" s="156"/>
      <c r="J25" s="157"/>
      <c r="K25" s="156"/>
      <c r="L25" s="157"/>
      <c r="M25" s="156"/>
      <c r="N25" s="157"/>
      <c r="O25" s="156"/>
      <c r="P25" s="157"/>
      <c r="Q25" s="156"/>
      <c r="R25" s="157"/>
      <c r="S25" s="156"/>
      <c r="T25" s="157"/>
      <c r="U25" s="156"/>
      <c r="V25" s="157"/>
      <c r="W25" s="156"/>
      <c r="X25" s="157"/>
      <c r="Y25" s="156"/>
      <c r="Z25" s="157"/>
      <c r="AA25" s="156"/>
      <c r="AB25" s="157"/>
      <c r="AC25" s="156"/>
      <c r="AD25" s="157"/>
      <c r="AE25" s="156"/>
      <c r="AF25" s="157"/>
      <c r="AG25" s="136"/>
    </row>
    <row r="26" spans="2:33" outlineLevel="1">
      <c r="B26" s="127"/>
      <c r="C26" s="127"/>
      <c r="D26" s="128"/>
      <c r="E26" s="125"/>
      <c r="F26" s="129"/>
      <c r="G26" s="130"/>
      <c r="H26" s="131"/>
      <c r="I26" s="130"/>
      <c r="J26" s="131"/>
      <c r="K26" s="130"/>
      <c r="L26" s="131"/>
      <c r="M26" s="130"/>
      <c r="N26" s="131"/>
      <c r="O26" s="130"/>
      <c r="P26" s="131"/>
      <c r="Q26" s="130"/>
      <c r="R26" s="131"/>
      <c r="S26" s="130"/>
      <c r="T26" s="131"/>
      <c r="U26" s="130"/>
      <c r="V26" s="131"/>
      <c r="W26" s="130"/>
      <c r="X26" s="131"/>
      <c r="Y26" s="130"/>
      <c r="Z26" s="131"/>
      <c r="AA26" s="130"/>
      <c r="AB26" s="131"/>
      <c r="AC26" s="130"/>
      <c r="AD26" s="131"/>
      <c r="AE26" s="130"/>
      <c r="AF26" s="131"/>
      <c r="AG26" s="133"/>
    </row>
    <row r="27" spans="2:33" s="129" customFormat="1" ht="5.0999999999999996" customHeight="1" outlineLevel="1">
      <c r="B27" s="128"/>
      <c r="C27" s="128"/>
      <c r="D27" s="128"/>
      <c r="E27" s="128"/>
      <c r="H27" s="158"/>
      <c r="I27" s="156"/>
      <c r="J27" s="158"/>
      <c r="K27" s="156"/>
      <c r="L27" s="158"/>
      <c r="M27" s="156"/>
      <c r="N27" s="158"/>
      <c r="O27" s="156"/>
      <c r="P27" s="158"/>
      <c r="Q27" s="156"/>
      <c r="R27" s="158"/>
      <c r="S27" s="156"/>
      <c r="T27" s="158"/>
      <c r="U27" s="156"/>
      <c r="V27" s="158"/>
      <c r="W27" s="156"/>
      <c r="X27" s="158"/>
      <c r="Y27" s="156"/>
      <c r="Z27" s="158"/>
      <c r="AA27" s="156"/>
      <c r="AB27" s="158"/>
      <c r="AC27" s="156"/>
      <c r="AD27" s="158"/>
      <c r="AE27" s="156"/>
      <c r="AF27" s="158"/>
      <c r="AG27" s="136"/>
    </row>
    <row r="28" spans="2:33" s="129" customFormat="1" ht="15">
      <c r="D28" s="128" t="s">
        <v>237</v>
      </c>
      <c r="H28" s="155">
        <f>SUM(H26:H27)</f>
        <v>0</v>
      </c>
      <c r="I28" s="156"/>
      <c r="J28" s="155">
        <f>SUM(J26:J27)</f>
        <v>0</v>
      </c>
      <c r="K28" s="156"/>
      <c r="L28" s="155">
        <f>SUM(L26:L27)</f>
        <v>0</v>
      </c>
      <c r="M28" s="156"/>
      <c r="N28" s="155">
        <f>SUM(N26:N27)</f>
        <v>0</v>
      </c>
      <c r="O28" s="156"/>
      <c r="P28" s="155">
        <f>SUM(P26:P27)</f>
        <v>0</v>
      </c>
      <c r="Q28" s="156"/>
      <c r="R28" s="155">
        <f>SUM(R26:R27)</f>
        <v>0</v>
      </c>
      <c r="S28" s="156"/>
      <c r="T28" s="155">
        <f>SUM(T26:T27)</f>
        <v>0</v>
      </c>
      <c r="U28" s="156"/>
      <c r="V28" s="155">
        <f>SUM(V26:V27)</f>
        <v>0</v>
      </c>
      <c r="W28" s="156"/>
      <c r="X28" s="155">
        <f>SUM(X26:X27)</f>
        <v>0</v>
      </c>
      <c r="Y28" s="156"/>
      <c r="Z28" s="155">
        <f>SUM(Z26:Z27)</f>
        <v>0</v>
      </c>
      <c r="AA28" s="156"/>
      <c r="AB28" s="155">
        <f>SUM(AB26:AB27)</f>
        <v>0</v>
      </c>
      <c r="AC28" s="156"/>
      <c r="AD28" s="155">
        <f>SUM(AD26:AD27)</f>
        <v>0</v>
      </c>
      <c r="AE28" s="156"/>
      <c r="AF28" s="155">
        <f>SUM(AF26:AF27)</f>
        <v>0</v>
      </c>
      <c r="AG28" s="136"/>
    </row>
    <row r="29" spans="2:33" s="129" customFormat="1" ht="15" outlineLevel="1">
      <c r="H29" s="157"/>
      <c r="I29" s="156"/>
      <c r="J29" s="157"/>
      <c r="K29" s="156"/>
      <c r="L29" s="157"/>
      <c r="M29" s="156"/>
      <c r="N29" s="157"/>
      <c r="O29" s="156"/>
      <c r="P29" s="157"/>
      <c r="Q29" s="156"/>
      <c r="R29" s="157"/>
      <c r="S29" s="156"/>
      <c r="T29" s="157"/>
      <c r="U29" s="156"/>
      <c r="V29" s="157"/>
      <c r="W29" s="156"/>
      <c r="X29" s="157"/>
      <c r="Y29" s="156"/>
      <c r="Z29" s="157"/>
      <c r="AA29" s="156"/>
      <c r="AB29" s="157"/>
      <c r="AC29" s="156"/>
      <c r="AD29" s="157"/>
      <c r="AE29" s="156"/>
      <c r="AF29" s="157"/>
      <c r="AG29" s="136"/>
    </row>
    <row r="30" spans="2:33" s="129" customFormat="1" ht="15" outlineLevel="1">
      <c r="H30" s="157"/>
      <c r="I30" s="156"/>
      <c r="J30" s="157"/>
      <c r="K30" s="156"/>
      <c r="L30" s="157"/>
      <c r="M30" s="156"/>
      <c r="N30" s="157"/>
      <c r="O30" s="156"/>
      <c r="P30" s="157"/>
      <c r="Q30" s="156"/>
      <c r="R30" s="157"/>
      <c r="S30" s="156"/>
      <c r="T30" s="157"/>
      <c r="U30" s="156"/>
      <c r="V30" s="157"/>
      <c r="W30" s="156"/>
      <c r="X30" s="157"/>
      <c r="Y30" s="156"/>
      <c r="Z30" s="157"/>
      <c r="AA30" s="156"/>
      <c r="AB30" s="157"/>
      <c r="AC30" s="156"/>
      <c r="AD30" s="157"/>
      <c r="AE30" s="156"/>
      <c r="AF30" s="157"/>
      <c r="AG30" s="136"/>
    </row>
    <row r="31" spans="2:33" outlineLevel="1">
      <c r="B31" s="127">
        <v>35514</v>
      </c>
      <c r="C31" s="127" t="s">
        <v>238</v>
      </c>
      <c r="D31" s="128"/>
      <c r="E31" s="125"/>
      <c r="F31" s="129"/>
      <c r="G31" s="130"/>
      <c r="H31" s="131">
        <v>471.2</v>
      </c>
      <c r="I31" s="130"/>
      <c r="J31" s="131">
        <v>208.7</v>
      </c>
      <c r="K31" s="130"/>
      <c r="L31" s="131">
        <v>785.2</v>
      </c>
      <c r="M31" s="130"/>
      <c r="N31" s="131">
        <v>172.4</v>
      </c>
      <c r="O31" s="130"/>
      <c r="P31" s="131">
        <v>0</v>
      </c>
      <c r="Q31" s="130"/>
      <c r="R31" s="131">
        <v>0</v>
      </c>
      <c r="S31" s="130"/>
      <c r="T31" s="131">
        <v>305.55</v>
      </c>
      <c r="U31" s="130"/>
      <c r="V31" s="131">
        <v>245.09</v>
      </c>
      <c r="W31" s="130"/>
      <c r="X31" s="131">
        <v>139.81</v>
      </c>
      <c r="Y31" s="130"/>
      <c r="Z31" s="131">
        <v>542.75</v>
      </c>
      <c r="AA31" s="130"/>
      <c r="AB31" s="131">
        <v>200.8</v>
      </c>
      <c r="AC31" s="130"/>
      <c r="AD31" s="131">
        <v>423.6</v>
      </c>
      <c r="AE31" s="130"/>
      <c r="AF31" s="131">
        <f t="shared" ref="AF31:AF33" si="1">AD31+AB31+Z31+X31+V31+T31+R31+P31+N31+L31+J31+H31</f>
        <v>3495.0999999999995</v>
      </c>
      <c r="AG31" s="133"/>
    </row>
    <row r="32" spans="2:33" outlineLevel="1">
      <c r="B32" s="127">
        <v>35517</v>
      </c>
      <c r="C32" s="127" t="s">
        <v>239</v>
      </c>
      <c r="D32" s="128"/>
      <c r="E32" s="125"/>
      <c r="F32" s="129"/>
      <c r="G32" s="130"/>
      <c r="H32" s="131">
        <v>447.86</v>
      </c>
      <c r="I32" s="130"/>
      <c r="J32" s="131">
        <v>554.4</v>
      </c>
      <c r="K32" s="130"/>
      <c r="L32" s="131">
        <v>0</v>
      </c>
      <c r="M32" s="130"/>
      <c r="N32" s="131">
        <v>347.27</v>
      </c>
      <c r="O32" s="130"/>
      <c r="P32" s="131">
        <v>477.75</v>
      </c>
      <c r="Q32" s="130"/>
      <c r="R32" s="131">
        <v>469.7</v>
      </c>
      <c r="S32" s="130"/>
      <c r="T32" s="131">
        <v>0</v>
      </c>
      <c r="U32" s="130"/>
      <c r="V32" s="131">
        <v>871.71</v>
      </c>
      <c r="W32" s="130"/>
      <c r="X32" s="131">
        <v>0</v>
      </c>
      <c r="Y32" s="130"/>
      <c r="Z32" s="131">
        <v>443.24</v>
      </c>
      <c r="AA32" s="130"/>
      <c r="AB32" s="131">
        <v>898.66</v>
      </c>
      <c r="AC32" s="130"/>
      <c r="AD32" s="131">
        <v>568.26</v>
      </c>
      <c r="AE32" s="130"/>
      <c r="AF32" s="131">
        <f t="shared" si="1"/>
        <v>5078.8499999999995</v>
      </c>
      <c r="AG32" s="133"/>
    </row>
    <row r="33" spans="2:33" outlineLevel="1">
      <c r="B33" s="127">
        <v>35518</v>
      </c>
      <c r="C33" s="127" t="s">
        <v>240</v>
      </c>
      <c r="D33" s="128"/>
      <c r="E33" s="125"/>
      <c r="F33" s="129"/>
      <c r="G33" s="130"/>
      <c r="H33" s="131">
        <v>18436</v>
      </c>
      <c r="I33" s="130"/>
      <c r="J33" s="131">
        <v>20105.150000000001</v>
      </c>
      <c r="K33" s="130"/>
      <c r="L33" s="131">
        <v>18451.8</v>
      </c>
      <c r="M33" s="130"/>
      <c r="N33" s="131">
        <v>18804</v>
      </c>
      <c r="O33" s="130"/>
      <c r="P33" s="131">
        <v>21558</v>
      </c>
      <c r="Q33" s="130"/>
      <c r="R33" s="131">
        <v>18036.849999999999</v>
      </c>
      <c r="S33" s="130"/>
      <c r="T33" s="131">
        <v>27238.44</v>
      </c>
      <c r="U33" s="130"/>
      <c r="V33" s="131">
        <v>25438.86</v>
      </c>
      <c r="W33" s="130"/>
      <c r="X33" s="131">
        <v>31487.040000000001</v>
      </c>
      <c r="Y33" s="130"/>
      <c r="Z33" s="131">
        <v>18754.45</v>
      </c>
      <c r="AA33" s="130"/>
      <c r="AB33" s="131">
        <v>28206.75</v>
      </c>
      <c r="AC33" s="130"/>
      <c r="AD33" s="131">
        <v>31354.2</v>
      </c>
      <c r="AE33" s="130"/>
      <c r="AF33" s="131">
        <f t="shared" si="1"/>
        <v>277871.53999999998</v>
      </c>
      <c r="AG33" s="133"/>
    </row>
    <row r="34" spans="2:33" s="129" customFormat="1" ht="5.0999999999999996" customHeight="1" outlineLevel="1">
      <c r="B34" s="128"/>
      <c r="C34" s="128"/>
      <c r="D34" s="128"/>
      <c r="E34" s="128"/>
      <c r="H34" s="158"/>
      <c r="I34" s="156"/>
      <c r="J34" s="158"/>
      <c r="K34" s="156"/>
      <c r="L34" s="158"/>
      <c r="M34" s="156"/>
      <c r="N34" s="158"/>
      <c r="O34" s="156"/>
      <c r="P34" s="158"/>
      <c r="Q34" s="156"/>
      <c r="R34" s="158"/>
      <c r="S34" s="156"/>
      <c r="T34" s="158"/>
      <c r="U34" s="156"/>
      <c r="V34" s="158"/>
      <c r="W34" s="156"/>
      <c r="X34" s="158"/>
      <c r="Y34" s="156"/>
      <c r="Z34" s="158"/>
      <c r="AA34" s="156"/>
      <c r="AB34" s="158"/>
      <c r="AC34" s="156"/>
      <c r="AD34" s="158"/>
      <c r="AE34" s="156"/>
      <c r="AF34" s="158"/>
      <c r="AG34" s="136"/>
    </row>
    <row r="35" spans="2:33" s="129" customFormat="1" ht="15">
      <c r="D35" s="128" t="s">
        <v>241</v>
      </c>
      <c r="H35" s="155">
        <f>SUM(H30:H34)</f>
        <v>19355.060000000001</v>
      </c>
      <c r="I35" s="156"/>
      <c r="J35" s="155">
        <f>SUM(J30:J34)</f>
        <v>20868.25</v>
      </c>
      <c r="K35" s="156"/>
      <c r="L35" s="155">
        <f>SUM(L30:L34)</f>
        <v>19237</v>
      </c>
      <c r="M35" s="156"/>
      <c r="N35" s="155">
        <f>SUM(N30:N34)</f>
        <v>19323.669999999998</v>
      </c>
      <c r="O35" s="156"/>
      <c r="P35" s="155">
        <f>SUM(P30:P34)</f>
        <v>22035.75</v>
      </c>
      <c r="Q35" s="156"/>
      <c r="R35" s="155">
        <f>SUM(R30:R34)</f>
        <v>18506.55</v>
      </c>
      <c r="S35" s="156"/>
      <c r="T35" s="155">
        <f>SUM(T30:T34)</f>
        <v>27543.989999999998</v>
      </c>
      <c r="U35" s="156"/>
      <c r="V35" s="155">
        <f>SUM(V30:V34)</f>
        <v>26555.66</v>
      </c>
      <c r="W35" s="156"/>
      <c r="X35" s="155">
        <f>SUM(X30:X34)</f>
        <v>31626.850000000002</v>
      </c>
      <c r="Y35" s="156"/>
      <c r="Z35" s="155">
        <f>SUM(Z30:Z34)</f>
        <v>19740.440000000002</v>
      </c>
      <c r="AA35" s="156"/>
      <c r="AB35" s="155">
        <f>SUM(AB30:AB34)</f>
        <v>29306.21</v>
      </c>
      <c r="AC35" s="156"/>
      <c r="AD35" s="155">
        <f>SUM(AD30:AD34)</f>
        <v>32346.06</v>
      </c>
      <c r="AE35" s="156"/>
      <c r="AF35" s="155">
        <f>SUM(AF30:AF34)</f>
        <v>286445.49</v>
      </c>
      <c r="AG35" s="136"/>
    </row>
    <row r="36" spans="2:33" s="129" customFormat="1" ht="15" outlineLevel="1">
      <c r="B36" s="128"/>
      <c r="C36" s="128"/>
      <c r="D36" s="128"/>
      <c r="E36" s="128"/>
      <c r="H36" s="157"/>
      <c r="I36" s="156"/>
      <c r="J36" s="157"/>
      <c r="K36" s="156"/>
      <c r="L36" s="157"/>
      <c r="M36" s="156"/>
      <c r="N36" s="157"/>
      <c r="O36" s="156"/>
      <c r="P36" s="157"/>
      <c r="Q36" s="156"/>
      <c r="R36" s="157"/>
      <c r="S36" s="156"/>
      <c r="T36" s="157"/>
      <c r="U36" s="156"/>
      <c r="V36" s="157"/>
      <c r="W36" s="156"/>
      <c r="X36" s="157"/>
      <c r="Y36" s="156"/>
      <c r="Z36" s="157"/>
      <c r="AA36" s="156"/>
      <c r="AB36" s="157"/>
      <c r="AC36" s="156"/>
      <c r="AD36" s="157"/>
      <c r="AE36" s="156"/>
      <c r="AF36" s="157"/>
      <c r="AG36" s="136"/>
    </row>
    <row r="37" spans="2:33" s="129" customFormat="1" ht="15" outlineLevel="1">
      <c r="H37" s="157"/>
      <c r="I37" s="156"/>
      <c r="J37" s="157"/>
      <c r="K37" s="156"/>
      <c r="L37" s="157"/>
      <c r="M37" s="156"/>
      <c r="N37" s="157"/>
      <c r="O37" s="156"/>
      <c r="P37" s="157"/>
      <c r="Q37" s="156"/>
      <c r="R37" s="157"/>
      <c r="S37" s="156"/>
      <c r="T37" s="157"/>
      <c r="U37" s="156"/>
      <c r="V37" s="157"/>
      <c r="W37" s="156"/>
      <c r="X37" s="157"/>
      <c r="Y37" s="156"/>
      <c r="Z37" s="157"/>
      <c r="AA37" s="156"/>
      <c r="AB37" s="157"/>
      <c r="AC37" s="156"/>
      <c r="AD37" s="157"/>
      <c r="AE37" s="156"/>
      <c r="AF37" s="157"/>
      <c r="AG37" s="136"/>
    </row>
    <row r="38" spans="2:33" customFormat="1" ht="15" outlineLevel="1"/>
    <row r="39" spans="2:33" s="129" customFormat="1" ht="3.75" customHeight="1" outlineLevel="1">
      <c r="B39" s="128"/>
      <c r="C39" s="128"/>
      <c r="D39" s="128"/>
      <c r="E39" s="128"/>
      <c r="H39" s="158"/>
      <c r="I39" s="156"/>
      <c r="J39" s="158"/>
      <c r="K39" s="156"/>
      <c r="L39" s="158"/>
      <c r="M39" s="156"/>
      <c r="N39" s="158"/>
      <c r="O39" s="156"/>
      <c r="P39" s="158"/>
      <c r="Q39" s="156"/>
      <c r="R39" s="158"/>
      <c r="S39" s="156"/>
      <c r="T39" s="158"/>
      <c r="U39" s="156"/>
      <c r="V39" s="158"/>
      <c r="W39" s="156"/>
      <c r="X39" s="158"/>
      <c r="Y39" s="156"/>
      <c r="Z39" s="158"/>
      <c r="AA39" s="156"/>
      <c r="AB39" s="158"/>
      <c r="AC39" s="156"/>
      <c r="AD39" s="158"/>
      <c r="AE39" s="156"/>
      <c r="AF39" s="158"/>
      <c r="AG39" s="136"/>
    </row>
    <row r="40" spans="2:33" s="129" customFormat="1" ht="15">
      <c r="D40" s="128" t="s">
        <v>242</v>
      </c>
      <c r="H40" s="155">
        <f>SUM(H37:H39)</f>
        <v>0</v>
      </c>
      <c r="I40" s="156"/>
      <c r="J40" s="155">
        <f>SUM(J37:J39)</f>
        <v>0</v>
      </c>
      <c r="K40" s="156"/>
      <c r="L40" s="155">
        <f>SUM(L37:L39)</f>
        <v>0</v>
      </c>
      <c r="M40" s="156"/>
      <c r="N40" s="155">
        <f>SUM(N37:N39)</f>
        <v>0</v>
      </c>
      <c r="O40" s="156"/>
      <c r="P40" s="155">
        <f>SUM(P37:P39)</f>
        <v>0</v>
      </c>
      <c r="Q40" s="156"/>
      <c r="R40" s="155">
        <f>SUM(R37:R39)</f>
        <v>0</v>
      </c>
      <c r="S40" s="156"/>
      <c r="T40" s="155">
        <f>SUM(T37:T39)</f>
        <v>0</v>
      </c>
      <c r="U40" s="156"/>
      <c r="V40" s="155">
        <f>SUM(V37:V39)</f>
        <v>0</v>
      </c>
      <c r="W40" s="156"/>
      <c r="X40" s="155">
        <f>SUM(X37:X39)</f>
        <v>0</v>
      </c>
      <c r="Y40" s="156"/>
      <c r="Z40" s="155">
        <f>SUM(Z37:Z39)</f>
        <v>0</v>
      </c>
      <c r="AA40" s="156"/>
      <c r="AB40" s="155">
        <f>SUM(AB37:AB39)</f>
        <v>0</v>
      </c>
      <c r="AC40" s="156"/>
      <c r="AD40" s="155">
        <f>SUM(AD37:AD39)</f>
        <v>0</v>
      </c>
      <c r="AE40" s="156"/>
      <c r="AF40" s="155">
        <f>SUM(AF37:AF39)</f>
        <v>0</v>
      </c>
      <c r="AG40" s="136"/>
    </row>
    <row r="41" spans="2:33" s="129" customFormat="1" ht="15" outlineLevel="1">
      <c r="H41" s="157"/>
      <c r="I41" s="156"/>
      <c r="J41" s="157"/>
      <c r="K41" s="156"/>
      <c r="L41" s="157"/>
      <c r="M41" s="156"/>
      <c r="N41" s="157"/>
      <c r="O41" s="156"/>
      <c r="P41" s="157"/>
      <c r="Q41" s="156"/>
      <c r="R41" s="157"/>
      <c r="S41" s="156"/>
      <c r="T41" s="157"/>
      <c r="U41" s="156"/>
      <c r="V41" s="157"/>
      <c r="W41" s="156"/>
      <c r="X41" s="157"/>
      <c r="Y41" s="156"/>
      <c r="Z41" s="157"/>
      <c r="AA41" s="156"/>
      <c r="AB41" s="157"/>
      <c r="AC41" s="156"/>
      <c r="AD41" s="157"/>
      <c r="AE41" s="156"/>
      <c r="AF41" s="157"/>
      <c r="AG41" s="136"/>
    </row>
    <row r="42" spans="2:33" customFormat="1" ht="15" outlineLevel="1"/>
    <row r="43" spans="2:33" s="129" customFormat="1" ht="3.75" customHeight="1" outlineLevel="1">
      <c r="B43" s="128"/>
      <c r="C43" s="128"/>
      <c r="D43" s="128"/>
      <c r="E43" s="128"/>
      <c r="H43" s="158"/>
      <c r="I43" s="156"/>
      <c r="J43" s="158"/>
      <c r="K43" s="156"/>
      <c r="L43" s="158"/>
      <c r="M43" s="156"/>
      <c r="N43" s="158"/>
      <c r="O43" s="156"/>
      <c r="P43" s="158"/>
      <c r="Q43" s="156"/>
      <c r="R43" s="158"/>
      <c r="S43" s="156"/>
      <c r="T43" s="158"/>
      <c r="U43" s="156"/>
      <c r="V43" s="158"/>
      <c r="W43" s="156"/>
      <c r="X43" s="158"/>
      <c r="Y43" s="156"/>
      <c r="Z43" s="158"/>
      <c r="AA43" s="156"/>
      <c r="AB43" s="158"/>
      <c r="AC43" s="156"/>
      <c r="AD43" s="158"/>
      <c r="AE43" s="156"/>
      <c r="AF43" s="158"/>
      <c r="AG43" s="136"/>
    </row>
    <row r="44" spans="2:33" s="129" customFormat="1" ht="15">
      <c r="D44" s="128" t="s">
        <v>243</v>
      </c>
      <c r="H44" s="155">
        <f>SUM(H42:H43)</f>
        <v>0</v>
      </c>
      <c r="I44" s="156"/>
      <c r="J44" s="155">
        <f>SUM(J42:J43)</f>
        <v>0</v>
      </c>
      <c r="K44" s="156"/>
      <c r="L44" s="155">
        <f>SUM(L42:L43)</f>
        <v>0</v>
      </c>
      <c r="M44" s="156"/>
      <c r="N44" s="155">
        <f>SUM(N42:N43)</f>
        <v>0</v>
      </c>
      <c r="O44" s="156"/>
      <c r="P44" s="155">
        <f>SUM(P42:P43)</f>
        <v>0</v>
      </c>
      <c r="Q44" s="156"/>
      <c r="R44" s="155">
        <f>SUM(R42:R43)</f>
        <v>0</v>
      </c>
      <c r="S44" s="156"/>
      <c r="T44" s="155">
        <f>SUM(T42:T43)</f>
        <v>0</v>
      </c>
      <c r="U44" s="156"/>
      <c r="V44" s="155">
        <f>SUM(V42:V43)</f>
        <v>0</v>
      </c>
      <c r="W44" s="156"/>
      <c r="X44" s="155">
        <f>SUM(X42:X43)</f>
        <v>0</v>
      </c>
      <c r="Y44" s="156"/>
      <c r="Z44" s="155">
        <f>SUM(Z42:Z43)</f>
        <v>0</v>
      </c>
      <c r="AA44" s="156"/>
      <c r="AB44" s="155">
        <f>SUM(AB42:AB43)</f>
        <v>0</v>
      </c>
      <c r="AC44" s="156"/>
      <c r="AD44" s="155">
        <f>SUM(AD42:AD43)</f>
        <v>0</v>
      </c>
      <c r="AE44" s="156"/>
      <c r="AF44" s="155">
        <f>SUM(AF42:AF43)</f>
        <v>0</v>
      </c>
      <c r="AG44" s="136"/>
    </row>
    <row r="45" spans="2:33" s="129" customFormat="1" ht="15" outlineLevel="1">
      <c r="H45" s="157"/>
      <c r="I45" s="156"/>
      <c r="J45" s="157"/>
      <c r="K45" s="156"/>
      <c r="L45" s="157"/>
      <c r="M45" s="156"/>
      <c r="N45" s="157"/>
      <c r="O45" s="156"/>
      <c r="P45" s="157"/>
      <c r="Q45" s="156"/>
      <c r="R45" s="157"/>
      <c r="S45" s="156"/>
      <c r="T45" s="157"/>
      <c r="U45" s="156"/>
      <c r="V45" s="157"/>
      <c r="W45" s="156"/>
      <c r="X45" s="157"/>
      <c r="Y45" s="156"/>
      <c r="Z45" s="157"/>
      <c r="AA45" s="156"/>
      <c r="AB45" s="157"/>
      <c r="AC45" s="156"/>
      <c r="AD45" s="157"/>
      <c r="AE45" s="156"/>
      <c r="AF45" s="157"/>
      <c r="AG45" s="136"/>
    </row>
    <row r="46" spans="2:33" s="129" customFormat="1" ht="15" outlineLevel="1">
      <c r="H46" s="157"/>
      <c r="I46" s="156"/>
      <c r="J46" s="157"/>
      <c r="K46" s="156"/>
      <c r="L46" s="157"/>
      <c r="M46" s="156"/>
      <c r="N46" s="157"/>
      <c r="O46" s="156"/>
      <c r="P46" s="157"/>
      <c r="Q46" s="156"/>
      <c r="R46" s="157"/>
      <c r="S46" s="156"/>
      <c r="T46" s="157"/>
      <c r="U46" s="156"/>
      <c r="V46" s="157"/>
      <c r="W46" s="156"/>
      <c r="X46" s="157"/>
      <c r="Y46" s="156"/>
      <c r="Z46" s="157"/>
      <c r="AA46" s="156"/>
      <c r="AB46" s="157"/>
      <c r="AC46" s="156"/>
      <c r="AD46" s="157"/>
      <c r="AE46" s="156"/>
      <c r="AF46" s="157"/>
      <c r="AG46" s="136"/>
    </row>
    <row r="47" spans="2:33" outlineLevel="1">
      <c r="B47" s="127">
        <v>38000</v>
      </c>
      <c r="C47" s="127" t="s">
        <v>244</v>
      </c>
      <c r="D47" s="128"/>
      <c r="E47" s="125"/>
      <c r="F47" s="129"/>
      <c r="G47" s="130"/>
      <c r="H47" s="131">
        <v>2692.8</v>
      </c>
      <c r="I47" s="130"/>
      <c r="J47" s="131">
        <v>3736.48</v>
      </c>
      <c r="K47" s="130"/>
      <c r="L47" s="131">
        <v>2911.97</v>
      </c>
      <c r="M47" s="130"/>
      <c r="N47" s="131">
        <v>2499.89</v>
      </c>
      <c r="O47" s="130"/>
      <c r="P47" s="131">
        <v>4902.67</v>
      </c>
      <c r="Q47" s="130"/>
      <c r="R47" s="131">
        <v>3129.06</v>
      </c>
      <c r="S47" s="130"/>
      <c r="T47" s="131">
        <v>3699.74</v>
      </c>
      <c r="U47" s="130"/>
      <c r="V47" s="131">
        <v>3233.15</v>
      </c>
      <c r="W47" s="130"/>
      <c r="X47" s="131">
        <v>3031.79</v>
      </c>
      <c r="Y47" s="130"/>
      <c r="Z47" s="131">
        <v>3624.2</v>
      </c>
      <c r="AA47" s="130"/>
      <c r="AB47" s="131">
        <v>3169.94</v>
      </c>
      <c r="AC47" s="130"/>
      <c r="AD47" s="131">
        <v>2820.91</v>
      </c>
      <c r="AE47" s="130"/>
      <c r="AF47" s="131">
        <f t="shared" ref="AF47:AF48" si="2">AD47+AB47+Z47+X47+V47+T47+R47+P47+N47+L47+J47+H47</f>
        <v>39452.600000000006</v>
      </c>
      <c r="AG47" s="133"/>
    </row>
    <row r="48" spans="2:33" outlineLevel="1">
      <c r="B48" s="127">
        <v>38001</v>
      </c>
      <c r="C48" s="127" t="s">
        <v>245</v>
      </c>
      <c r="D48" s="128"/>
      <c r="E48" s="125"/>
      <c r="F48" s="129"/>
      <c r="G48" s="130"/>
      <c r="H48" s="131">
        <v>1439.65</v>
      </c>
      <c r="I48" s="130"/>
      <c r="J48" s="131">
        <v>2286.2600000000002</v>
      </c>
      <c r="K48" s="130"/>
      <c r="L48" s="131">
        <v>1722.37</v>
      </c>
      <c r="M48" s="130"/>
      <c r="N48" s="131">
        <v>1510.58</v>
      </c>
      <c r="O48" s="130"/>
      <c r="P48" s="131">
        <v>1664.89</v>
      </c>
      <c r="Q48" s="130"/>
      <c r="R48" s="131">
        <v>1267.3499999999999</v>
      </c>
      <c r="S48" s="130"/>
      <c r="T48" s="131">
        <v>1146.71</v>
      </c>
      <c r="U48" s="130"/>
      <c r="V48" s="131">
        <v>904.62</v>
      </c>
      <c r="W48" s="130"/>
      <c r="X48" s="131">
        <v>1018.64</v>
      </c>
      <c r="Y48" s="130"/>
      <c r="Z48" s="131">
        <v>1000.48</v>
      </c>
      <c r="AA48" s="130"/>
      <c r="AB48" s="131">
        <v>927.92</v>
      </c>
      <c r="AC48" s="130"/>
      <c r="AD48" s="131">
        <v>840.79</v>
      </c>
      <c r="AE48" s="130"/>
      <c r="AF48" s="131">
        <f t="shared" si="2"/>
        <v>15730.259999999998</v>
      </c>
      <c r="AG48" s="133"/>
    </row>
    <row r="49" spans="2:33" s="129" customFormat="1" ht="4.5" customHeight="1" outlineLevel="1">
      <c r="B49" s="159"/>
      <c r="H49" s="158"/>
      <c r="I49" s="156"/>
      <c r="J49" s="158"/>
      <c r="K49" s="156"/>
      <c r="L49" s="158"/>
      <c r="M49" s="156"/>
      <c r="N49" s="158"/>
      <c r="O49" s="156"/>
      <c r="P49" s="158"/>
      <c r="Q49" s="156"/>
      <c r="R49" s="158"/>
      <c r="S49" s="156"/>
      <c r="T49" s="158"/>
      <c r="U49" s="156"/>
      <c r="V49" s="158"/>
      <c r="W49" s="156"/>
      <c r="X49" s="158"/>
      <c r="Y49" s="156"/>
      <c r="Z49" s="158"/>
      <c r="AA49" s="156"/>
      <c r="AB49" s="158"/>
      <c r="AC49" s="156"/>
      <c r="AD49" s="158"/>
      <c r="AE49" s="156"/>
      <c r="AF49" s="158"/>
      <c r="AG49" s="136"/>
    </row>
    <row r="50" spans="2:33" s="129" customFormat="1" ht="15">
      <c r="D50" s="129" t="s">
        <v>244</v>
      </c>
      <c r="H50" s="155">
        <f>SUM(H46:H49)</f>
        <v>4132.4500000000007</v>
      </c>
      <c r="I50" s="156"/>
      <c r="J50" s="155">
        <f>SUM(J46:J49)</f>
        <v>6022.74</v>
      </c>
      <c r="K50" s="156"/>
      <c r="L50" s="155">
        <f>SUM(L46:L49)</f>
        <v>4634.34</v>
      </c>
      <c r="M50" s="156"/>
      <c r="N50" s="155">
        <f>SUM(N46:N49)</f>
        <v>4010.47</v>
      </c>
      <c r="O50" s="156"/>
      <c r="P50" s="155">
        <f>SUM(P46:P49)</f>
        <v>6567.56</v>
      </c>
      <c r="Q50" s="156"/>
      <c r="R50" s="155">
        <f>SUM(R46:R49)</f>
        <v>4396.41</v>
      </c>
      <c r="S50" s="156"/>
      <c r="T50" s="155">
        <f>SUM(T46:T49)</f>
        <v>4846.45</v>
      </c>
      <c r="U50" s="156"/>
      <c r="V50" s="155">
        <f>SUM(V46:V49)</f>
        <v>4137.7700000000004</v>
      </c>
      <c r="W50" s="156"/>
      <c r="X50" s="155">
        <f>SUM(X46:X49)</f>
        <v>4050.43</v>
      </c>
      <c r="Y50" s="156"/>
      <c r="Z50" s="155">
        <f>SUM(Z46:Z49)</f>
        <v>4624.68</v>
      </c>
      <c r="AA50" s="156"/>
      <c r="AB50" s="155">
        <f>SUM(AB46:AB49)</f>
        <v>4097.8599999999997</v>
      </c>
      <c r="AC50" s="156"/>
      <c r="AD50" s="155">
        <f>SUM(AD46:AD49)</f>
        <v>3661.7</v>
      </c>
      <c r="AE50" s="156"/>
      <c r="AF50" s="155">
        <f>SUM(AF46:AF49)</f>
        <v>55182.86</v>
      </c>
      <c r="AG50" s="136"/>
    </row>
    <row r="51" spans="2:33" s="129" customFormat="1" ht="7.5" customHeight="1">
      <c r="H51" s="157"/>
      <c r="I51" s="156"/>
      <c r="J51" s="157"/>
      <c r="K51" s="156"/>
      <c r="L51" s="157"/>
      <c r="M51" s="156"/>
      <c r="N51" s="157"/>
      <c r="O51" s="156"/>
      <c r="P51" s="157"/>
      <c r="Q51" s="156"/>
      <c r="R51" s="157"/>
      <c r="S51" s="156"/>
      <c r="T51" s="157"/>
      <c r="U51" s="156"/>
      <c r="V51" s="157"/>
      <c r="W51" s="156"/>
      <c r="X51" s="157"/>
      <c r="Y51" s="156"/>
      <c r="Z51" s="157"/>
      <c r="AA51" s="156"/>
      <c r="AB51" s="157"/>
      <c r="AC51" s="156"/>
      <c r="AD51" s="157"/>
      <c r="AE51" s="156"/>
      <c r="AF51" s="157"/>
      <c r="AG51" s="136"/>
    </row>
    <row r="52" spans="2:33" s="129" customFormat="1" ht="15">
      <c r="C52" s="160" t="s">
        <v>105</v>
      </c>
      <c r="H52" s="161">
        <f>+H28+H35+H40+H50+H24+H44</f>
        <v>1230532.3799999999</v>
      </c>
      <c r="I52" s="156"/>
      <c r="J52" s="161">
        <f>+J28+J35+J40+J50+J24+J44</f>
        <v>1290809.2799999998</v>
      </c>
      <c r="K52" s="156"/>
      <c r="L52" s="161">
        <f>+L28+L35+L40+L50+L24+L44</f>
        <v>1279928.6999999997</v>
      </c>
      <c r="M52" s="156"/>
      <c r="N52" s="161">
        <f>+N28+N35+N40+N50+N24+N44</f>
        <v>1279343.1799999997</v>
      </c>
      <c r="O52" s="156"/>
      <c r="P52" s="161">
        <f>+P28+P35+P40+P50+P24+P44</f>
        <v>1278555.95</v>
      </c>
      <c r="Q52" s="156"/>
      <c r="R52" s="161">
        <f>+R28+R35+R40+R50+R24+R44</f>
        <v>1223214.3799999999</v>
      </c>
      <c r="S52" s="156"/>
      <c r="T52" s="161">
        <f>+T28+T35+T40+T50+T24+T44</f>
        <v>1189548.47</v>
      </c>
      <c r="U52" s="156"/>
      <c r="V52" s="161">
        <f>+V28+V35+V40+V50+V24+V44</f>
        <v>1232196.92</v>
      </c>
      <c r="W52" s="156"/>
      <c r="X52" s="161">
        <f>+X28+X35+X40+X50+X24+X44</f>
        <v>1367036.97</v>
      </c>
      <c r="Y52" s="156"/>
      <c r="Z52" s="161">
        <f>+Z28+Z35+Z40+Z50+Z24+Z44</f>
        <v>1320421.92</v>
      </c>
      <c r="AA52" s="156"/>
      <c r="AB52" s="161">
        <f>+AB28+AB35+AB40+AB50+AB24+AB44</f>
        <v>1374047.9400000002</v>
      </c>
      <c r="AC52" s="156"/>
      <c r="AD52" s="161">
        <f>+AD28+AD35+AD40+AD50+AD24+AD44</f>
        <v>1437003.64</v>
      </c>
      <c r="AE52" s="156"/>
      <c r="AF52" s="161">
        <f>+AF28+AF35+AF40+AF50+AF24+AF44</f>
        <v>15502639.73</v>
      </c>
      <c r="AG52" s="136"/>
    </row>
    <row r="53" spans="2:33" s="129" customFormat="1" ht="7.5" customHeight="1">
      <c r="H53" s="157"/>
      <c r="I53" s="156"/>
      <c r="J53" s="157"/>
      <c r="K53" s="156"/>
      <c r="L53" s="157"/>
      <c r="M53" s="156"/>
      <c r="N53" s="157"/>
      <c r="O53" s="156"/>
      <c r="P53" s="157"/>
      <c r="Q53" s="156"/>
      <c r="R53" s="157"/>
      <c r="S53" s="156"/>
      <c r="T53" s="157"/>
      <c r="U53" s="156"/>
      <c r="V53" s="157"/>
      <c r="W53" s="156"/>
      <c r="X53" s="157"/>
      <c r="Y53" s="156"/>
      <c r="Z53" s="157"/>
      <c r="AA53" s="156"/>
      <c r="AB53" s="157"/>
      <c r="AC53" s="156"/>
      <c r="AD53" s="157"/>
      <c r="AE53" s="156"/>
      <c r="AF53" s="157"/>
      <c r="AG53" s="136"/>
    </row>
    <row r="54" spans="2:33" s="129" customFormat="1" ht="15" outlineLevel="1">
      <c r="H54" s="157"/>
      <c r="I54" s="156"/>
      <c r="J54" s="157"/>
      <c r="K54" s="156"/>
      <c r="L54" s="157"/>
      <c r="M54" s="156"/>
      <c r="N54" s="157"/>
      <c r="O54" s="156"/>
      <c r="P54" s="157"/>
      <c r="Q54" s="156"/>
      <c r="R54" s="157"/>
      <c r="S54" s="156"/>
      <c r="T54" s="157"/>
      <c r="U54" s="156"/>
      <c r="V54" s="157"/>
      <c r="W54" s="156"/>
      <c r="X54" s="157"/>
      <c r="Y54" s="156"/>
      <c r="Z54" s="157"/>
      <c r="AA54" s="156"/>
      <c r="AB54" s="157"/>
      <c r="AC54" s="156"/>
      <c r="AD54" s="157"/>
      <c r="AE54" s="156"/>
      <c r="AF54" s="157"/>
      <c r="AG54" s="136"/>
    </row>
    <row r="55" spans="2:33" outlineLevel="1">
      <c r="B55" s="127">
        <v>40101</v>
      </c>
      <c r="C55" s="127" t="s">
        <v>96</v>
      </c>
      <c r="D55" s="128"/>
      <c r="E55" s="125"/>
      <c r="F55" s="129"/>
      <c r="G55" s="130"/>
      <c r="H55" s="131">
        <v>302549.38</v>
      </c>
      <c r="I55" s="130"/>
      <c r="J55" s="131">
        <v>344833.97</v>
      </c>
      <c r="K55" s="130"/>
      <c r="L55" s="131">
        <v>339997.54</v>
      </c>
      <c r="M55" s="130"/>
      <c r="N55" s="131">
        <v>338321.66</v>
      </c>
      <c r="O55" s="130"/>
      <c r="P55" s="131">
        <v>345064.15</v>
      </c>
      <c r="Q55" s="130"/>
      <c r="R55" s="131">
        <v>286193.12</v>
      </c>
      <c r="S55" s="130"/>
      <c r="T55" s="131">
        <v>266056.18</v>
      </c>
      <c r="U55" s="130"/>
      <c r="V55" s="131">
        <v>298832.34999999998</v>
      </c>
      <c r="W55" s="130"/>
      <c r="X55" s="131">
        <v>396864.83</v>
      </c>
      <c r="Y55" s="130"/>
      <c r="Z55" s="131">
        <v>347724.92</v>
      </c>
      <c r="AA55" s="130"/>
      <c r="AB55" s="131">
        <v>386701.25</v>
      </c>
      <c r="AC55" s="130"/>
      <c r="AD55" s="131">
        <v>419271.73</v>
      </c>
      <c r="AE55" s="130"/>
      <c r="AF55" s="131">
        <f>AD55+AB55+Z55+X55+V55+T55+R55+P55+N55+L55+J55+H55</f>
        <v>4072411.08</v>
      </c>
      <c r="AG55" s="133"/>
    </row>
    <row r="56" spans="2:33" s="129" customFormat="1" ht="5.0999999999999996" customHeight="1" outlineLevel="1">
      <c r="B56" s="128"/>
      <c r="C56" s="128"/>
      <c r="D56" s="128"/>
      <c r="E56" s="128"/>
      <c r="H56" s="158"/>
      <c r="I56" s="156"/>
      <c r="J56" s="158"/>
      <c r="K56" s="156"/>
      <c r="L56" s="158"/>
      <c r="M56" s="156"/>
      <c r="N56" s="158"/>
      <c r="O56" s="156"/>
      <c r="P56" s="158"/>
      <c r="Q56" s="156"/>
      <c r="R56" s="158"/>
      <c r="S56" s="156"/>
      <c r="T56" s="158"/>
      <c r="U56" s="156"/>
      <c r="V56" s="158"/>
      <c r="W56" s="156"/>
      <c r="X56" s="158"/>
      <c r="Y56" s="156"/>
      <c r="Z56" s="158"/>
      <c r="AA56" s="156"/>
      <c r="AB56" s="158"/>
      <c r="AC56" s="156"/>
      <c r="AD56" s="158"/>
      <c r="AE56" s="156"/>
      <c r="AF56" s="158"/>
      <c r="AG56" s="136"/>
    </row>
    <row r="57" spans="2:33" s="129" customFormat="1" ht="15">
      <c r="D57" s="128" t="s">
        <v>246</v>
      </c>
      <c r="H57" s="155">
        <f>SUM(H54:H56)</f>
        <v>302549.38</v>
      </c>
      <c r="I57" s="156"/>
      <c r="J57" s="155">
        <f>SUM(J54:J56)</f>
        <v>344833.97</v>
      </c>
      <c r="K57" s="156"/>
      <c r="L57" s="155">
        <f>SUM(L54:L56)</f>
        <v>339997.54</v>
      </c>
      <c r="M57" s="156"/>
      <c r="N57" s="155">
        <f>SUM(N54:N56)</f>
        <v>338321.66</v>
      </c>
      <c r="O57" s="156"/>
      <c r="P57" s="155">
        <f>SUM(P54:P56)</f>
        <v>345064.15</v>
      </c>
      <c r="Q57" s="156"/>
      <c r="R57" s="155">
        <f>SUM(R54:R56)</f>
        <v>286193.12</v>
      </c>
      <c r="S57" s="156"/>
      <c r="T57" s="155">
        <f>SUM(T54:T56)</f>
        <v>266056.18</v>
      </c>
      <c r="U57" s="156"/>
      <c r="V57" s="155">
        <f>SUM(V54:V56)</f>
        <v>298832.34999999998</v>
      </c>
      <c r="W57" s="156"/>
      <c r="X57" s="155">
        <f>SUM(X54:X56)</f>
        <v>396864.83</v>
      </c>
      <c r="Y57" s="156"/>
      <c r="Z57" s="155">
        <f>SUM(Z54:Z56)</f>
        <v>347724.92</v>
      </c>
      <c r="AA57" s="156"/>
      <c r="AB57" s="155">
        <f>SUM(AB54:AB56)</f>
        <v>386701.25</v>
      </c>
      <c r="AC57" s="156"/>
      <c r="AD57" s="155">
        <f>SUM(AD54:AD56)</f>
        <v>419271.73</v>
      </c>
      <c r="AE57" s="156"/>
      <c r="AF57" s="155">
        <f>SUM(AF54:AF56)</f>
        <v>4072411.08</v>
      </c>
      <c r="AG57" s="136"/>
    </row>
    <row r="58" spans="2:33" s="129" customFormat="1" ht="15" outlineLevel="1">
      <c r="H58" s="157"/>
      <c r="I58" s="156"/>
      <c r="J58" s="157"/>
      <c r="K58" s="156"/>
      <c r="L58" s="157"/>
      <c r="M58" s="156"/>
      <c r="N58" s="157"/>
      <c r="O58" s="156"/>
      <c r="P58" s="157"/>
      <c r="Q58" s="156"/>
      <c r="R58" s="157"/>
      <c r="S58" s="156"/>
      <c r="T58" s="157"/>
      <c r="U58" s="156"/>
      <c r="V58" s="157"/>
      <c r="W58" s="156"/>
      <c r="X58" s="157"/>
      <c r="Y58" s="156"/>
      <c r="Z58" s="157"/>
      <c r="AA58" s="156"/>
      <c r="AB58" s="157"/>
      <c r="AC58" s="156"/>
      <c r="AD58" s="157"/>
      <c r="AE58" s="156"/>
      <c r="AF58" s="157"/>
      <c r="AG58" s="136"/>
    </row>
    <row r="59" spans="2:33" outlineLevel="1">
      <c r="B59" s="127"/>
      <c r="C59" s="127"/>
      <c r="D59" s="128"/>
      <c r="E59" s="125"/>
      <c r="F59" s="129"/>
      <c r="G59" s="130"/>
      <c r="H59" s="131"/>
      <c r="I59" s="130"/>
      <c r="J59" s="131"/>
      <c r="K59" s="130"/>
      <c r="L59" s="131"/>
      <c r="M59" s="130"/>
      <c r="N59" s="131"/>
      <c r="O59" s="130"/>
      <c r="P59" s="131"/>
      <c r="Q59" s="130"/>
      <c r="R59" s="131"/>
      <c r="S59" s="130"/>
      <c r="T59" s="131"/>
      <c r="U59" s="130"/>
      <c r="V59" s="131"/>
      <c r="W59" s="130"/>
      <c r="X59" s="131"/>
      <c r="Y59" s="130"/>
      <c r="Z59" s="131"/>
      <c r="AA59" s="130"/>
      <c r="AB59" s="131"/>
      <c r="AC59" s="130"/>
      <c r="AD59" s="131"/>
      <c r="AE59" s="130"/>
      <c r="AF59" s="131"/>
      <c r="AG59" s="133"/>
    </row>
    <row r="60" spans="2:33" s="129" customFormat="1" ht="4.5" customHeight="1" outlineLevel="1">
      <c r="B60" s="159"/>
      <c r="H60" s="158"/>
      <c r="I60" s="156"/>
      <c r="J60" s="158"/>
      <c r="K60" s="156"/>
      <c r="L60" s="158"/>
      <c r="M60" s="156"/>
      <c r="N60" s="158"/>
      <c r="O60" s="156"/>
      <c r="P60" s="158"/>
      <c r="Q60" s="156"/>
      <c r="R60" s="158"/>
      <c r="S60" s="156"/>
      <c r="T60" s="158"/>
      <c r="U60" s="156"/>
      <c r="V60" s="158"/>
      <c r="W60" s="156"/>
      <c r="X60" s="158"/>
      <c r="Y60" s="156"/>
      <c r="Z60" s="158"/>
      <c r="AA60" s="156"/>
      <c r="AB60" s="158"/>
      <c r="AC60" s="156"/>
      <c r="AD60" s="158"/>
      <c r="AE60" s="156"/>
      <c r="AF60" s="158"/>
      <c r="AG60" s="136"/>
    </row>
    <row r="61" spans="2:33" s="129" customFormat="1" ht="15">
      <c r="D61" s="129" t="s">
        <v>247</v>
      </c>
      <c r="H61" s="155">
        <f>SUM(H59:H60)</f>
        <v>0</v>
      </c>
      <c r="I61" s="156"/>
      <c r="J61" s="155">
        <f>SUM(J59:J60)</f>
        <v>0</v>
      </c>
      <c r="K61" s="156"/>
      <c r="L61" s="155">
        <f>SUM(L59:L60)</f>
        <v>0</v>
      </c>
      <c r="M61" s="156"/>
      <c r="N61" s="155">
        <f>SUM(N59:N60)</f>
        <v>0</v>
      </c>
      <c r="O61" s="156"/>
      <c r="P61" s="155">
        <f>SUM(P59:P60)</f>
        <v>0</v>
      </c>
      <c r="Q61" s="156"/>
      <c r="R61" s="155">
        <f>SUM(R59:R60)</f>
        <v>0</v>
      </c>
      <c r="S61" s="156"/>
      <c r="T61" s="155">
        <f>SUM(T59:T60)</f>
        <v>0</v>
      </c>
      <c r="U61" s="156"/>
      <c r="V61" s="155">
        <f>SUM(V59:V60)</f>
        <v>0</v>
      </c>
      <c r="W61" s="156"/>
      <c r="X61" s="155">
        <f>SUM(X59:X60)</f>
        <v>0</v>
      </c>
      <c r="Y61" s="156"/>
      <c r="Z61" s="155">
        <f>SUM(Z59:Z60)</f>
        <v>0</v>
      </c>
      <c r="AA61" s="156"/>
      <c r="AB61" s="155">
        <f>SUM(AB59:AB60)</f>
        <v>0</v>
      </c>
      <c r="AC61" s="156"/>
      <c r="AD61" s="155">
        <f>SUM(AD59:AD60)</f>
        <v>0</v>
      </c>
      <c r="AE61" s="156"/>
      <c r="AF61" s="155">
        <f>SUM(AF59:AF60)</f>
        <v>0</v>
      </c>
      <c r="AG61" s="136"/>
    </row>
    <row r="62" spans="2:33" s="129" customFormat="1" ht="15" outlineLevel="1">
      <c r="H62" s="157"/>
      <c r="I62" s="156"/>
      <c r="J62" s="157"/>
      <c r="K62" s="156"/>
      <c r="L62" s="157"/>
      <c r="M62" s="156"/>
      <c r="N62" s="157"/>
      <c r="O62" s="156"/>
      <c r="P62" s="157"/>
      <c r="Q62" s="156"/>
      <c r="R62" s="157"/>
      <c r="S62" s="156"/>
      <c r="T62" s="157"/>
      <c r="U62" s="156"/>
      <c r="V62" s="157"/>
      <c r="W62" s="156"/>
      <c r="X62" s="157"/>
      <c r="Y62" s="156"/>
      <c r="Z62" s="157"/>
      <c r="AA62" s="156"/>
      <c r="AB62" s="157"/>
      <c r="AC62" s="156"/>
      <c r="AD62" s="157"/>
      <c r="AE62" s="156"/>
      <c r="AF62" s="157"/>
      <c r="AG62" s="136"/>
    </row>
    <row r="63" spans="2:33" s="129" customFormat="1" ht="15" outlineLevel="1">
      <c r="H63" s="157"/>
      <c r="I63" s="156"/>
      <c r="J63" s="157"/>
      <c r="K63" s="156"/>
      <c r="L63" s="157"/>
      <c r="M63" s="156"/>
      <c r="N63" s="157"/>
      <c r="O63" s="156"/>
      <c r="P63" s="157"/>
      <c r="Q63" s="156"/>
      <c r="R63" s="157"/>
      <c r="S63" s="156"/>
      <c r="T63" s="157"/>
      <c r="U63" s="156"/>
      <c r="V63" s="157"/>
      <c r="W63" s="156"/>
      <c r="X63" s="157"/>
      <c r="Y63" s="156"/>
      <c r="Z63" s="157"/>
      <c r="AA63" s="156"/>
      <c r="AB63" s="157"/>
      <c r="AC63" s="156"/>
      <c r="AD63" s="157"/>
      <c r="AE63" s="156"/>
      <c r="AF63" s="157"/>
      <c r="AG63" s="136"/>
    </row>
    <row r="64" spans="2:33" outlineLevel="1">
      <c r="B64" s="127">
        <v>41121</v>
      </c>
      <c r="C64" s="127" t="s">
        <v>248</v>
      </c>
      <c r="D64" s="128"/>
      <c r="E64" s="125"/>
      <c r="F64" s="129"/>
      <c r="G64" s="130"/>
      <c r="H64" s="131">
        <v>13125</v>
      </c>
      <c r="I64" s="130"/>
      <c r="J64" s="131">
        <v>13750</v>
      </c>
      <c r="K64" s="130"/>
      <c r="L64" s="131">
        <v>13000</v>
      </c>
      <c r="M64" s="130"/>
      <c r="N64" s="131">
        <v>12500</v>
      </c>
      <c r="O64" s="130"/>
      <c r="P64" s="131">
        <v>14375</v>
      </c>
      <c r="Q64" s="130"/>
      <c r="R64" s="131">
        <v>9500</v>
      </c>
      <c r="S64" s="130"/>
      <c r="T64" s="131">
        <v>10625</v>
      </c>
      <c r="U64" s="130"/>
      <c r="V64" s="131">
        <v>8750</v>
      </c>
      <c r="W64" s="130"/>
      <c r="X64" s="131">
        <v>14000</v>
      </c>
      <c r="Y64" s="130"/>
      <c r="Z64" s="131">
        <v>10375</v>
      </c>
      <c r="AA64" s="130"/>
      <c r="AB64" s="131">
        <v>19750</v>
      </c>
      <c r="AC64" s="130"/>
      <c r="AD64" s="131">
        <v>14375</v>
      </c>
      <c r="AE64" s="130"/>
      <c r="AF64" s="131">
        <f t="shared" ref="AF64:AF68" si="3">AD64+AB64+Z64+X64+V64+T64+R64+P64+N64+L64+J64+H64</f>
        <v>154125</v>
      </c>
      <c r="AG64" s="133"/>
    </row>
    <row r="65" spans="2:33" outlineLevel="1">
      <c r="B65" s="127">
        <v>41129</v>
      </c>
      <c r="C65" s="127" t="s">
        <v>249</v>
      </c>
      <c r="D65" s="128"/>
      <c r="E65" s="125"/>
      <c r="F65" s="129"/>
      <c r="G65" s="130"/>
      <c r="H65" s="131">
        <v>6841.68</v>
      </c>
      <c r="I65" s="130"/>
      <c r="J65" s="131">
        <v>0</v>
      </c>
      <c r="K65" s="130"/>
      <c r="L65" s="131">
        <v>0</v>
      </c>
      <c r="M65" s="130"/>
      <c r="N65" s="131">
        <v>0</v>
      </c>
      <c r="O65" s="130"/>
      <c r="P65" s="131">
        <v>0</v>
      </c>
      <c r="Q65" s="130"/>
      <c r="R65" s="131">
        <v>1053.58</v>
      </c>
      <c r="S65" s="130"/>
      <c r="T65" s="131">
        <v>5459.46</v>
      </c>
      <c r="U65" s="130"/>
      <c r="V65" s="131">
        <v>4525.6099999999997</v>
      </c>
      <c r="W65" s="130"/>
      <c r="X65" s="131">
        <v>0</v>
      </c>
      <c r="Y65" s="130"/>
      <c r="Z65" s="131">
        <v>2562.12</v>
      </c>
      <c r="AA65" s="130"/>
      <c r="AB65" s="131">
        <v>0</v>
      </c>
      <c r="AC65" s="130"/>
      <c r="AD65" s="131">
        <v>0</v>
      </c>
      <c r="AE65" s="130"/>
      <c r="AF65" s="131">
        <f t="shared" si="3"/>
        <v>20442.449999999997</v>
      </c>
      <c r="AG65" s="133"/>
    </row>
    <row r="66" spans="2:33" outlineLevel="1">
      <c r="B66" s="127">
        <v>41201</v>
      </c>
      <c r="C66" s="127" t="s">
        <v>250</v>
      </c>
      <c r="D66" s="128"/>
      <c r="E66" s="125"/>
      <c r="F66" s="129"/>
      <c r="G66" s="130"/>
      <c r="H66" s="131">
        <v>23458.799999999999</v>
      </c>
      <c r="I66" s="130"/>
      <c r="J66" s="131">
        <v>24748.41</v>
      </c>
      <c r="K66" s="130"/>
      <c r="L66" s="131">
        <v>24248.799999999999</v>
      </c>
      <c r="M66" s="130"/>
      <c r="N66" s="131">
        <v>24918.799999999999</v>
      </c>
      <c r="O66" s="130"/>
      <c r="P66" s="131">
        <v>26365.51</v>
      </c>
      <c r="Q66" s="130"/>
      <c r="R66" s="131">
        <v>25334.15</v>
      </c>
      <c r="S66" s="130"/>
      <c r="T66" s="131">
        <v>25984.49</v>
      </c>
      <c r="U66" s="130"/>
      <c r="V66" s="131">
        <v>26000</v>
      </c>
      <c r="W66" s="130"/>
      <c r="X66" s="131">
        <v>24519.86</v>
      </c>
      <c r="Y66" s="130"/>
      <c r="Z66" s="131">
        <v>27268.240000000002</v>
      </c>
      <c r="AA66" s="130"/>
      <c r="AB66" s="131">
        <v>24462.6</v>
      </c>
      <c r="AC66" s="130"/>
      <c r="AD66" s="131">
        <v>26118.93</v>
      </c>
      <c r="AE66" s="130"/>
      <c r="AF66" s="131">
        <f t="shared" si="3"/>
        <v>303428.58999999997</v>
      </c>
      <c r="AG66" s="133"/>
    </row>
    <row r="67" spans="2:33" outlineLevel="1">
      <c r="B67" s="127">
        <v>43001</v>
      </c>
      <c r="C67" s="127" t="s">
        <v>251</v>
      </c>
      <c r="D67" s="128"/>
      <c r="E67" s="125"/>
      <c r="F67" s="129"/>
      <c r="G67" s="130"/>
      <c r="H67" s="131">
        <v>17712.05</v>
      </c>
      <c r="I67" s="130"/>
      <c r="J67" s="131">
        <v>18055.05</v>
      </c>
      <c r="K67" s="130"/>
      <c r="L67" s="131">
        <v>18194.310000000001</v>
      </c>
      <c r="M67" s="130"/>
      <c r="N67" s="131">
        <v>18553.509999999998</v>
      </c>
      <c r="O67" s="130"/>
      <c r="P67" s="131">
        <v>18406.07</v>
      </c>
      <c r="Q67" s="130"/>
      <c r="R67" s="131">
        <v>17426.259999999998</v>
      </c>
      <c r="S67" s="130"/>
      <c r="T67" s="131">
        <v>16719.98</v>
      </c>
      <c r="U67" s="130"/>
      <c r="V67" s="131">
        <v>17496.89</v>
      </c>
      <c r="W67" s="130"/>
      <c r="X67" s="131">
        <v>19481.189999999999</v>
      </c>
      <c r="Y67" s="130"/>
      <c r="Z67" s="131">
        <v>18701.3</v>
      </c>
      <c r="AA67" s="130"/>
      <c r="AB67" s="131">
        <v>19433.189999999999</v>
      </c>
      <c r="AC67" s="130"/>
      <c r="AD67" s="131">
        <v>13792.55</v>
      </c>
      <c r="AE67" s="130"/>
      <c r="AF67" s="131">
        <f t="shared" si="3"/>
        <v>213972.34999999998</v>
      </c>
      <c r="AG67" s="133"/>
    </row>
    <row r="68" spans="2:33" outlineLevel="1">
      <c r="B68" s="127">
        <v>43002</v>
      </c>
      <c r="C68" s="127" t="s">
        <v>252</v>
      </c>
      <c r="D68" s="128"/>
      <c r="E68" s="125"/>
      <c r="F68" s="129"/>
      <c r="G68" s="130"/>
      <c r="H68" s="131">
        <v>3396</v>
      </c>
      <c r="I68" s="130"/>
      <c r="J68" s="131">
        <v>3716</v>
      </c>
      <c r="K68" s="130"/>
      <c r="L68" s="131">
        <v>3558</v>
      </c>
      <c r="M68" s="130"/>
      <c r="N68" s="131">
        <v>3694</v>
      </c>
      <c r="O68" s="130"/>
      <c r="P68" s="131">
        <v>3563</v>
      </c>
      <c r="Q68" s="130"/>
      <c r="R68" s="131">
        <v>3195</v>
      </c>
      <c r="S68" s="130"/>
      <c r="T68" s="131">
        <v>3639</v>
      </c>
      <c r="U68" s="130"/>
      <c r="V68" s="131">
        <v>12946</v>
      </c>
      <c r="W68" s="130"/>
      <c r="X68" s="131">
        <v>4473</v>
      </c>
      <c r="Y68" s="130"/>
      <c r="Z68" s="131">
        <v>4565</v>
      </c>
      <c r="AA68" s="130"/>
      <c r="AB68" s="131">
        <v>4590</v>
      </c>
      <c r="AC68" s="130"/>
      <c r="AD68" s="131">
        <v>4898</v>
      </c>
      <c r="AE68" s="130"/>
      <c r="AF68" s="131">
        <f t="shared" si="3"/>
        <v>56233</v>
      </c>
      <c r="AG68" s="133"/>
    </row>
    <row r="69" spans="2:33" s="129" customFormat="1" ht="5.0999999999999996" customHeight="1" outlineLevel="1">
      <c r="B69" s="128"/>
      <c r="C69" s="128"/>
      <c r="D69" s="128"/>
      <c r="E69" s="128"/>
      <c r="H69" s="158"/>
      <c r="I69" s="156"/>
      <c r="J69" s="158"/>
      <c r="K69" s="156"/>
      <c r="L69" s="158"/>
      <c r="M69" s="156"/>
      <c r="N69" s="158"/>
      <c r="O69" s="156"/>
      <c r="P69" s="158"/>
      <c r="Q69" s="156"/>
      <c r="R69" s="158"/>
      <c r="S69" s="156"/>
      <c r="T69" s="158"/>
      <c r="U69" s="156"/>
      <c r="V69" s="158"/>
      <c r="W69" s="156"/>
      <c r="X69" s="158"/>
      <c r="Y69" s="156"/>
      <c r="Z69" s="158"/>
      <c r="AA69" s="156"/>
      <c r="AB69" s="158"/>
      <c r="AC69" s="156"/>
      <c r="AD69" s="158"/>
      <c r="AE69" s="156"/>
      <c r="AF69" s="158"/>
      <c r="AG69" s="136"/>
    </row>
    <row r="70" spans="2:33" s="129" customFormat="1" ht="15">
      <c r="D70" s="128" t="s">
        <v>253</v>
      </c>
      <c r="E70" s="162"/>
      <c r="F70" s="162"/>
      <c r="G70" s="162"/>
      <c r="H70" s="155">
        <f>SUM(H63:H69)</f>
        <v>64533.53</v>
      </c>
      <c r="I70" s="156"/>
      <c r="J70" s="155">
        <f>SUM(J63:J69)</f>
        <v>60269.460000000006</v>
      </c>
      <c r="K70" s="156"/>
      <c r="L70" s="155">
        <f>SUM(L63:L69)</f>
        <v>59001.11</v>
      </c>
      <c r="M70" s="156"/>
      <c r="N70" s="155">
        <f>SUM(N63:N69)</f>
        <v>59666.31</v>
      </c>
      <c r="O70" s="156"/>
      <c r="P70" s="155">
        <f>SUM(P63:P69)</f>
        <v>62709.579999999994</v>
      </c>
      <c r="Q70" s="156"/>
      <c r="R70" s="155">
        <f>SUM(R63:R69)</f>
        <v>56508.990000000005</v>
      </c>
      <c r="S70" s="156"/>
      <c r="T70" s="155">
        <f>SUM(T63:T69)</f>
        <v>62427.929999999993</v>
      </c>
      <c r="U70" s="156"/>
      <c r="V70" s="155">
        <f>SUM(V63:V69)</f>
        <v>69718.5</v>
      </c>
      <c r="W70" s="156"/>
      <c r="X70" s="155">
        <f>SUM(X63:X69)</f>
        <v>62474.05</v>
      </c>
      <c r="Y70" s="156"/>
      <c r="Z70" s="155">
        <f>SUM(Z63:Z69)</f>
        <v>63471.66</v>
      </c>
      <c r="AA70" s="156"/>
      <c r="AB70" s="155">
        <f>SUM(AB63:AB69)</f>
        <v>68235.789999999994</v>
      </c>
      <c r="AC70" s="156"/>
      <c r="AD70" s="155">
        <f>SUM(AD63:AD69)</f>
        <v>59184.479999999996</v>
      </c>
      <c r="AE70" s="156"/>
      <c r="AF70" s="155">
        <f>SUM(AF63:AF69)</f>
        <v>748201.3899999999</v>
      </c>
      <c r="AG70" s="136"/>
    </row>
    <row r="71" spans="2:33" s="129" customFormat="1" ht="15" outlineLevel="1">
      <c r="H71" s="157"/>
      <c r="I71" s="156"/>
      <c r="J71" s="157"/>
      <c r="K71" s="156"/>
      <c r="L71" s="157"/>
      <c r="M71" s="156"/>
      <c r="N71" s="157"/>
      <c r="O71" s="156"/>
      <c r="P71" s="157"/>
      <c r="Q71" s="156"/>
      <c r="R71" s="157"/>
      <c r="S71" s="156"/>
      <c r="T71" s="157"/>
      <c r="U71" s="156"/>
      <c r="V71" s="157"/>
      <c r="W71" s="156"/>
      <c r="X71" s="157"/>
      <c r="Y71" s="156"/>
      <c r="Z71" s="157"/>
      <c r="AA71" s="156"/>
      <c r="AB71" s="157"/>
      <c r="AC71" s="156"/>
      <c r="AD71" s="157"/>
      <c r="AE71" s="156"/>
      <c r="AF71" s="157"/>
      <c r="AG71" s="136"/>
    </row>
    <row r="72" spans="2:33" s="129" customFormat="1" ht="15" outlineLevel="1">
      <c r="H72" s="157"/>
      <c r="I72" s="156"/>
      <c r="J72" s="157"/>
      <c r="K72" s="156"/>
      <c r="L72" s="157"/>
      <c r="M72" s="156"/>
      <c r="N72" s="157"/>
      <c r="O72" s="156"/>
      <c r="P72" s="157"/>
      <c r="Q72" s="156"/>
      <c r="R72" s="157"/>
      <c r="S72" s="156"/>
      <c r="T72" s="157"/>
      <c r="U72" s="156"/>
      <c r="V72" s="157"/>
      <c r="W72" s="156"/>
      <c r="X72" s="157"/>
      <c r="Y72" s="156"/>
      <c r="Z72" s="157"/>
      <c r="AA72" s="156"/>
      <c r="AB72" s="157"/>
      <c r="AC72" s="156"/>
      <c r="AD72" s="157"/>
      <c r="AE72" s="156"/>
      <c r="AF72" s="157"/>
      <c r="AG72" s="136"/>
    </row>
    <row r="73" spans="2:33" outlineLevel="1">
      <c r="B73" s="127"/>
      <c r="C73" s="127"/>
      <c r="D73" s="128"/>
      <c r="E73" s="125"/>
      <c r="F73" s="129"/>
      <c r="G73" s="130"/>
      <c r="H73" s="131"/>
      <c r="I73" s="130"/>
      <c r="J73" s="131"/>
      <c r="K73" s="130"/>
      <c r="L73" s="131"/>
      <c r="M73" s="130"/>
      <c r="N73" s="131"/>
      <c r="O73" s="130"/>
      <c r="P73" s="131"/>
      <c r="Q73" s="130"/>
      <c r="R73" s="131"/>
      <c r="S73" s="130"/>
      <c r="T73" s="131"/>
      <c r="U73" s="130"/>
      <c r="V73" s="131"/>
      <c r="W73" s="130"/>
      <c r="X73" s="131"/>
      <c r="Y73" s="130"/>
      <c r="Z73" s="131"/>
      <c r="AA73" s="130"/>
      <c r="AB73" s="131"/>
      <c r="AC73" s="130"/>
      <c r="AD73" s="131"/>
      <c r="AE73" s="130"/>
      <c r="AF73" s="131"/>
      <c r="AG73" s="133"/>
    </row>
    <row r="74" spans="2:33" s="129" customFormat="1" ht="5.0999999999999996" customHeight="1" outlineLevel="1">
      <c r="B74" s="128"/>
      <c r="C74" s="128"/>
      <c r="D74" s="128"/>
      <c r="E74" s="128"/>
      <c r="H74" s="158"/>
      <c r="I74" s="156"/>
      <c r="J74" s="158"/>
      <c r="K74" s="156"/>
      <c r="L74" s="158"/>
      <c r="M74" s="156"/>
      <c r="N74" s="158"/>
      <c r="O74" s="156"/>
      <c r="P74" s="158"/>
      <c r="Q74" s="156"/>
      <c r="R74" s="158"/>
      <c r="S74" s="156"/>
      <c r="T74" s="158"/>
      <c r="U74" s="156"/>
      <c r="V74" s="158"/>
      <c r="W74" s="156"/>
      <c r="X74" s="158"/>
      <c r="Y74" s="156"/>
      <c r="Z74" s="158"/>
      <c r="AA74" s="156"/>
      <c r="AB74" s="158"/>
      <c r="AC74" s="156"/>
      <c r="AD74" s="158"/>
      <c r="AE74" s="156"/>
      <c r="AF74" s="158"/>
      <c r="AG74" s="136"/>
    </row>
    <row r="75" spans="2:33" s="129" customFormat="1" ht="15">
      <c r="D75" s="128" t="s">
        <v>254</v>
      </c>
      <c r="E75" s="162"/>
      <c r="F75" s="162"/>
      <c r="G75" s="162"/>
      <c r="H75" s="155">
        <f>SUM(H72:H74)</f>
        <v>0</v>
      </c>
      <c r="I75" s="156"/>
      <c r="J75" s="155">
        <f>SUM(J72:J74)</f>
        <v>0</v>
      </c>
      <c r="K75" s="156"/>
      <c r="L75" s="155">
        <f>SUM(L72:L74)</f>
        <v>0</v>
      </c>
      <c r="M75" s="156"/>
      <c r="N75" s="155">
        <f>SUM(N72:N74)</f>
        <v>0</v>
      </c>
      <c r="O75" s="156"/>
      <c r="P75" s="155">
        <f>SUM(P72:P74)</f>
        <v>0</v>
      </c>
      <c r="Q75" s="156"/>
      <c r="R75" s="155">
        <f>SUM(R72:R74)</f>
        <v>0</v>
      </c>
      <c r="S75" s="156"/>
      <c r="T75" s="155">
        <f>SUM(T72:T74)</f>
        <v>0</v>
      </c>
      <c r="U75" s="156"/>
      <c r="V75" s="155">
        <f>SUM(V72:V74)</f>
        <v>0</v>
      </c>
      <c r="W75" s="156"/>
      <c r="X75" s="155">
        <f>SUM(X72:X74)</f>
        <v>0</v>
      </c>
      <c r="Y75" s="156"/>
      <c r="Z75" s="155">
        <f>SUM(Z72:Z74)</f>
        <v>0</v>
      </c>
      <c r="AA75" s="156"/>
      <c r="AB75" s="155">
        <f>SUM(AB72:AB74)</f>
        <v>0</v>
      </c>
      <c r="AC75" s="156"/>
      <c r="AD75" s="155">
        <f>SUM(AD72:AD74)</f>
        <v>0</v>
      </c>
      <c r="AE75" s="156"/>
      <c r="AF75" s="155">
        <f>SUM(AF72:AF74)</f>
        <v>0</v>
      </c>
      <c r="AG75" s="136"/>
    </row>
    <row r="76" spans="2:33" s="129" customFormat="1" ht="15" outlineLevel="1">
      <c r="H76" s="157"/>
      <c r="I76" s="156"/>
      <c r="J76" s="157"/>
      <c r="K76" s="156"/>
      <c r="L76" s="157"/>
      <c r="M76" s="156"/>
      <c r="N76" s="157"/>
      <c r="O76" s="156"/>
      <c r="P76" s="157"/>
      <c r="Q76" s="156"/>
      <c r="R76" s="157"/>
      <c r="S76" s="156"/>
      <c r="T76" s="157"/>
      <c r="U76" s="156"/>
      <c r="V76" s="157"/>
      <c r="W76" s="156"/>
      <c r="X76" s="157"/>
      <c r="Y76" s="156"/>
      <c r="Z76" s="157"/>
      <c r="AA76" s="156"/>
      <c r="AB76" s="157"/>
      <c r="AC76" s="156"/>
      <c r="AD76" s="157"/>
      <c r="AE76" s="156"/>
      <c r="AF76" s="157"/>
      <c r="AG76" s="136"/>
    </row>
    <row r="77" spans="2:33" customFormat="1" ht="15" outlineLevel="1"/>
    <row r="78" spans="2:33" s="129" customFormat="1" ht="4.5" customHeight="1" outlineLevel="1">
      <c r="B78" s="159"/>
      <c r="H78" s="158"/>
      <c r="I78" s="156"/>
      <c r="J78" s="158"/>
      <c r="K78" s="156"/>
      <c r="L78" s="158"/>
      <c r="M78" s="156"/>
      <c r="N78" s="158"/>
      <c r="O78" s="156"/>
      <c r="P78" s="158"/>
      <c r="Q78" s="156"/>
      <c r="R78" s="158"/>
      <c r="S78" s="156"/>
      <c r="T78" s="158"/>
      <c r="U78" s="156"/>
      <c r="V78" s="158"/>
      <c r="W78" s="156"/>
      <c r="X78" s="158"/>
      <c r="Y78" s="156"/>
      <c r="Z78" s="158"/>
      <c r="AA78" s="156"/>
      <c r="AB78" s="158"/>
      <c r="AC78" s="156"/>
      <c r="AD78" s="158"/>
      <c r="AE78" s="156"/>
      <c r="AF78" s="158"/>
      <c r="AG78" s="136"/>
    </row>
    <row r="79" spans="2:33" s="129" customFormat="1" ht="15">
      <c r="D79" s="129" t="s">
        <v>255</v>
      </c>
      <c r="H79" s="155">
        <f>SUM(H77:H78)</f>
        <v>0</v>
      </c>
      <c r="I79" s="156"/>
      <c r="J79" s="155">
        <f>SUM(J77:J78)</f>
        <v>0</v>
      </c>
      <c r="K79" s="156"/>
      <c r="L79" s="155">
        <f>SUM(L77:L78)</f>
        <v>0</v>
      </c>
      <c r="M79" s="156"/>
      <c r="N79" s="155">
        <f>SUM(N77:N78)</f>
        <v>0</v>
      </c>
      <c r="O79" s="156"/>
      <c r="P79" s="155">
        <f>SUM(P77:P78)</f>
        <v>0</v>
      </c>
      <c r="Q79" s="156"/>
      <c r="R79" s="155">
        <f>SUM(R77:R78)</f>
        <v>0</v>
      </c>
      <c r="S79" s="156"/>
      <c r="T79" s="155">
        <f>SUM(T77:T78)</f>
        <v>0</v>
      </c>
      <c r="U79" s="156"/>
      <c r="V79" s="155">
        <f>SUM(V77:V78)</f>
        <v>0</v>
      </c>
      <c r="W79" s="156"/>
      <c r="X79" s="155">
        <f>SUM(X77:X78)</f>
        <v>0</v>
      </c>
      <c r="Y79" s="156"/>
      <c r="Z79" s="155">
        <f>SUM(Z77:Z78)</f>
        <v>0</v>
      </c>
      <c r="AA79" s="156"/>
      <c r="AB79" s="155">
        <f>SUM(AB77:AB78)</f>
        <v>0</v>
      </c>
      <c r="AC79" s="156"/>
      <c r="AD79" s="155">
        <f>SUM(AD77:AD78)</f>
        <v>0</v>
      </c>
      <c r="AE79" s="156"/>
      <c r="AF79" s="155">
        <f>SUM(AF77:AF78)</f>
        <v>0</v>
      </c>
      <c r="AG79" s="136"/>
    </row>
    <row r="80" spans="2:33" s="129" customFormat="1" ht="7.5" customHeight="1">
      <c r="H80" s="157"/>
      <c r="I80" s="156"/>
      <c r="J80" s="157"/>
      <c r="K80" s="156"/>
      <c r="L80" s="157"/>
      <c r="M80" s="156"/>
      <c r="N80" s="157"/>
      <c r="O80" s="156"/>
      <c r="P80" s="157"/>
      <c r="Q80" s="156"/>
      <c r="R80" s="157"/>
      <c r="S80" s="156"/>
      <c r="T80" s="157"/>
      <c r="U80" s="156"/>
      <c r="V80" s="157"/>
      <c r="W80" s="156"/>
      <c r="X80" s="157"/>
      <c r="Y80" s="156"/>
      <c r="Z80" s="157"/>
      <c r="AA80" s="156"/>
      <c r="AB80" s="157"/>
      <c r="AC80" s="156"/>
      <c r="AD80" s="157"/>
      <c r="AE80" s="156"/>
      <c r="AF80" s="157"/>
      <c r="AG80" s="136"/>
    </row>
    <row r="81" spans="2:33" s="129" customFormat="1" ht="15">
      <c r="C81" s="160" t="s">
        <v>256</v>
      </c>
      <c r="H81" s="161">
        <f>+H57+H70+H75+H61+H79</f>
        <v>367082.91000000003</v>
      </c>
      <c r="I81" s="156"/>
      <c r="J81" s="161">
        <f>+J57+J70+J75+J61+J79</f>
        <v>405103.43</v>
      </c>
      <c r="K81" s="156"/>
      <c r="L81" s="161">
        <f>+L57+L70+L75+L61+L79</f>
        <v>398998.64999999997</v>
      </c>
      <c r="M81" s="156"/>
      <c r="N81" s="161">
        <f>+N57+N70+N75+N61+N79</f>
        <v>397987.97</v>
      </c>
      <c r="O81" s="156"/>
      <c r="P81" s="161">
        <f>+P57+P70+P75+P61+P79</f>
        <v>407773.73000000004</v>
      </c>
      <c r="Q81" s="156"/>
      <c r="R81" s="161">
        <f>+R57+R70+R75+R61+R79</f>
        <v>342702.11</v>
      </c>
      <c r="S81" s="156"/>
      <c r="T81" s="161">
        <f>+T57+T70+T75+T61+T79</f>
        <v>328484.11</v>
      </c>
      <c r="U81" s="156"/>
      <c r="V81" s="161">
        <f>+V57+V70+V75+V61+V79</f>
        <v>368550.85</v>
      </c>
      <c r="W81" s="156"/>
      <c r="X81" s="161">
        <f>+X57+X70+X75+X61+X79</f>
        <v>459338.88</v>
      </c>
      <c r="Y81" s="156"/>
      <c r="Z81" s="161">
        <f>+Z57+Z70+Z75+Z61+Z79</f>
        <v>411196.57999999996</v>
      </c>
      <c r="AA81" s="156"/>
      <c r="AB81" s="161">
        <f>+AB57+AB70+AB75+AB61+AB79</f>
        <v>454937.04</v>
      </c>
      <c r="AC81" s="156"/>
      <c r="AD81" s="161">
        <f>+AD57+AD70+AD75+AD61+AD79</f>
        <v>478456.20999999996</v>
      </c>
      <c r="AE81" s="156"/>
      <c r="AF81" s="161">
        <f>+AF57+AF70+AF75+AF61+AF79</f>
        <v>4820612.47</v>
      </c>
      <c r="AG81" s="136"/>
    </row>
    <row r="82" spans="2:33" s="129" customFormat="1" ht="7.5" customHeight="1">
      <c r="H82" s="157"/>
      <c r="I82" s="156"/>
      <c r="J82" s="157"/>
      <c r="K82" s="156"/>
      <c r="L82" s="157"/>
      <c r="M82" s="156"/>
      <c r="N82" s="157"/>
      <c r="O82" s="156"/>
      <c r="P82" s="157"/>
      <c r="Q82" s="156"/>
      <c r="R82" s="157"/>
      <c r="S82" s="156"/>
      <c r="T82" s="157"/>
      <c r="U82" s="156"/>
      <c r="V82" s="157"/>
      <c r="W82" s="156"/>
      <c r="X82" s="157"/>
      <c r="Y82" s="156"/>
      <c r="Z82" s="157"/>
      <c r="AA82" s="156"/>
      <c r="AB82" s="157"/>
      <c r="AC82" s="156"/>
      <c r="AD82" s="157"/>
      <c r="AE82" s="156"/>
      <c r="AF82" s="157"/>
      <c r="AG82" s="136"/>
    </row>
    <row r="83" spans="2:33" s="129" customFormat="1" ht="15">
      <c r="C83" s="163" t="s">
        <v>257</v>
      </c>
      <c r="H83" s="161">
        <f>H52-H81</f>
        <v>863449.46999999986</v>
      </c>
      <c r="I83" s="156"/>
      <c r="J83" s="161">
        <f>J52-J81</f>
        <v>885705.84999999986</v>
      </c>
      <c r="K83" s="156"/>
      <c r="L83" s="161">
        <f>L52-L81</f>
        <v>880930.04999999981</v>
      </c>
      <c r="M83" s="156"/>
      <c r="N83" s="161">
        <f>N52-N81</f>
        <v>881355.20999999973</v>
      </c>
      <c r="O83" s="156"/>
      <c r="P83" s="161">
        <f>P52-P81</f>
        <v>870782.22</v>
      </c>
      <c r="Q83" s="156"/>
      <c r="R83" s="161">
        <f>R52-R81</f>
        <v>880512.2699999999</v>
      </c>
      <c r="S83" s="156"/>
      <c r="T83" s="161">
        <f>T52-T81</f>
        <v>861064.36</v>
      </c>
      <c r="U83" s="156"/>
      <c r="V83" s="161">
        <f>V52-V81</f>
        <v>863646.07</v>
      </c>
      <c r="W83" s="156"/>
      <c r="X83" s="161">
        <f>X52-X81</f>
        <v>907698.09</v>
      </c>
      <c r="Y83" s="156"/>
      <c r="Z83" s="161">
        <f>Z52-Z81</f>
        <v>909225.34</v>
      </c>
      <c r="AA83" s="156"/>
      <c r="AB83" s="161">
        <f>AB52-AB81</f>
        <v>919110.90000000014</v>
      </c>
      <c r="AC83" s="156"/>
      <c r="AD83" s="161">
        <f>AD52-AD81</f>
        <v>958547.42999999993</v>
      </c>
      <c r="AE83" s="156"/>
      <c r="AF83" s="161">
        <f>AF52-AF81</f>
        <v>10682027.260000002</v>
      </c>
      <c r="AG83" s="136"/>
    </row>
    <row r="84" spans="2:33" s="129" customFormat="1" ht="7.5" customHeight="1">
      <c r="H84" s="157"/>
      <c r="I84" s="156"/>
      <c r="J84" s="157"/>
      <c r="K84" s="156"/>
      <c r="L84" s="157"/>
      <c r="M84" s="156"/>
      <c r="N84" s="157"/>
      <c r="O84" s="156"/>
      <c r="P84" s="157"/>
      <c r="Q84" s="156"/>
      <c r="R84" s="157"/>
      <c r="S84" s="156"/>
      <c r="T84" s="157"/>
      <c r="U84" s="156"/>
      <c r="V84" s="157"/>
      <c r="W84" s="156"/>
      <c r="X84" s="157"/>
      <c r="Y84" s="156"/>
      <c r="Z84" s="157"/>
      <c r="AA84" s="156"/>
      <c r="AB84" s="157"/>
      <c r="AC84" s="156"/>
      <c r="AD84" s="157"/>
      <c r="AE84" s="156"/>
      <c r="AF84" s="157"/>
      <c r="AG84" s="136"/>
    </row>
    <row r="85" spans="2:33" s="129" customFormat="1" ht="15" outlineLevel="1">
      <c r="H85" s="157"/>
      <c r="I85" s="156"/>
      <c r="J85" s="157"/>
      <c r="K85" s="156"/>
      <c r="L85" s="157"/>
      <c r="M85" s="156"/>
      <c r="N85" s="157"/>
      <c r="O85" s="156"/>
      <c r="P85" s="157"/>
      <c r="Q85" s="156"/>
      <c r="R85" s="157"/>
      <c r="S85" s="156"/>
      <c r="T85" s="157"/>
      <c r="U85" s="156"/>
      <c r="V85" s="157"/>
      <c r="W85" s="156"/>
      <c r="X85" s="157"/>
      <c r="Y85" s="156"/>
      <c r="Z85" s="157"/>
      <c r="AA85" s="156"/>
      <c r="AB85" s="157"/>
      <c r="AC85" s="156"/>
      <c r="AD85" s="157"/>
      <c r="AE85" s="156"/>
      <c r="AF85" s="157"/>
      <c r="AG85" s="136"/>
    </row>
    <row r="86" spans="2:33" outlineLevel="1">
      <c r="B86" s="127">
        <v>50020</v>
      </c>
      <c r="C86" s="127" t="s">
        <v>50</v>
      </c>
      <c r="D86" s="128"/>
      <c r="E86" s="125"/>
      <c r="F86" s="129"/>
      <c r="G86" s="130"/>
      <c r="H86" s="131">
        <v>142654.24</v>
      </c>
      <c r="I86" s="130"/>
      <c r="J86" s="131">
        <v>160162.66</v>
      </c>
      <c r="K86" s="130"/>
      <c r="L86" s="131">
        <v>147677.18</v>
      </c>
      <c r="M86" s="130"/>
      <c r="N86" s="131">
        <v>150829.51999999999</v>
      </c>
      <c r="O86" s="130"/>
      <c r="P86" s="131">
        <v>176053.36</v>
      </c>
      <c r="Q86" s="130"/>
      <c r="R86" s="131">
        <v>158264.74</v>
      </c>
      <c r="S86" s="130"/>
      <c r="T86" s="131">
        <v>168523.73</v>
      </c>
      <c r="U86" s="130"/>
      <c r="V86" s="131">
        <v>154577.94</v>
      </c>
      <c r="W86" s="130"/>
      <c r="X86" s="131">
        <v>163342.92000000001</v>
      </c>
      <c r="Y86" s="130"/>
      <c r="Z86" s="131">
        <v>149776.95999999999</v>
      </c>
      <c r="AA86" s="130"/>
      <c r="AB86" s="131">
        <v>166527.42000000001</v>
      </c>
      <c r="AC86" s="130"/>
      <c r="AD86" s="131">
        <v>166431.13</v>
      </c>
      <c r="AE86" s="130"/>
      <c r="AF86" s="131">
        <f t="shared" ref="AF86:AF97" si="4">AD86+AB86+Z86+X86+V86+T86+R86+P86+N86+L86+J86+H86</f>
        <v>1904821.8</v>
      </c>
      <c r="AG86" s="133"/>
    </row>
    <row r="87" spans="2:33" outlineLevel="1">
      <c r="B87" s="127">
        <v>50025</v>
      </c>
      <c r="C87" s="127" t="s">
        <v>51</v>
      </c>
      <c r="D87" s="128"/>
      <c r="E87" s="125"/>
      <c r="F87" s="129"/>
      <c r="G87" s="130"/>
      <c r="H87" s="131">
        <v>45716.22</v>
      </c>
      <c r="I87" s="130"/>
      <c r="J87" s="131">
        <v>37013.1</v>
      </c>
      <c r="K87" s="130"/>
      <c r="L87" s="131">
        <v>48199.92</v>
      </c>
      <c r="M87" s="130"/>
      <c r="N87" s="131">
        <v>48257.94</v>
      </c>
      <c r="O87" s="130"/>
      <c r="P87" s="131">
        <v>34858.800000000003</v>
      </c>
      <c r="Q87" s="130"/>
      <c r="R87" s="131">
        <v>51164.17</v>
      </c>
      <c r="S87" s="130"/>
      <c r="T87" s="131">
        <v>21176.15</v>
      </c>
      <c r="U87" s="130"/>
      <c r="V87" s="131">
        <v>37973.69</v>
      </c>
      <c r="W87" s="130"/>
      <c r="X87" s="131">
        <v>44280.01</v>
      </c>
      <c r="Y87" s="130"/>
      <c r="Z87" s="131">
        <v>44465.9</v>
      </c>
      <c r="AA87" s="130"/>
      <c r="AB87" s="131">
        <v>47114.080000000002</v>
      </c>
      <c r="AC87" s="130"/>
      <c r="AD87" s="131">
        <v>49843.86</v>
      </c>
      <c r="AE87" s="130"/>
      <c r="AF87" s="131">
        <f t="shared" si="4"/>
        <v>510063.83999999997</v>
      </c>
      <c r="AG87" s="133"/>
    </row>
    <row r="88" spans="2:33" outlineLevel="1">
      <c r="B88" s="127">
        <v>50035</v>
      </c>
      <c r="C88" s="127" t="s">
        <v>258</v>
      </c>
      <c r="D88" s="128"/>
      <c r="E88" s="125"/>
      <c r="F88" s="129"/>
      <c r="G88" s="130"/>
      <c r="H88" s="131">
        <v>5400</v>
      </c>
      <c r="I88" s="130"/>
      <c r="J88" s="131">
        <v>1000</v>
      </c>
      <c r="K88" s="130"/>
      <c r="L88" s="131">
        <v>1150</v>
      </c>
      <c r="M88" s="130"/>
      <c r="N88" s="131">
        <v>-10000</v>
      </c>
      <c r="O88" s="130"/>
      <c r="P88" s="131">
        <v>1500</v>
      </c>
      <c r="Q88" s="130"/>
      <c r="R88" s="131">
        <v>3663.7</v>
      </c>
      <c r="S88" s="130"/>
      <c r="T88" s="131">
        <v>4631.3999999999996</v>
      </c>
      <c r="U88" s="130"/>
      <c r="V88" s="131">
        <v>5000</v>
      </c>
      <c r="W88" s="130"/>
      <c r="X88" s="131">
        <v>4400</v>
      </c>
      <c r="Y88" s="130"/>
      <c r="Z88" s="131">
        <v>4400</v>
      </c>
      <c r="AA88" s="130"/>
      <c r="AB88" s="131">
        <v>4400</v>
      </c>
      <c r="AC88" s="130"/>
      <c r="AD88" s="131">
        <v>4400</v>
      </c>
      <c r="AE88" s="130"/>
      <c r="AF88" s="131">
        <f t="shared" si="4"/>
        <v>29945.100000000002</v>
      </c>
      <c r="AG88" s="133"/>
    </row>
    <row r="89" spans="2:33" outlineLevel="1">
      <c r="B89" s="127">
        <v>50036</v>
      </c>
      <c r="C89" s="127" t="s">
        <v>77</v>
      </c>
      <c r="D89" s="128"/>
      <c r="E89" s="125"/>
      <c r="F89" s="129"/>
      <c r="G89" s="130"/>
      <c r="H89" s="131">
        <v>50</v>
      </c>
      <c r="I89" s="130"/>
      <c r="J89" s="131">
        <v>50</v>
      </c>
      <c r="K89" s="130"/>
      <c r="L89" s="131">
        <v>0</v>
      </c>
      <c r="M89" s="130"/>
      <c r="N89" s="131">
        <v>25</v>
      </c>
      <c r="O89" s="130"/>
      <c r="P89" s="131">
        <v>0</v>
      </c>
      <c r="Q89" s="130"/>
      <c r="R89" s="131">
        <v>1655</v>
      </c>
      <c r="S89" s="130"/>
      <c r="T89" s="131">
        <v>0</v>
      </c>
      <c r="U89" s="130"/>
      <c r="V89" s="131">
        <v>0</v>
      </c>
      <c r="W89" s="130"/>
      <c r="X89" s="131">
        <v>0</v>
      </c>
      <c r="Y89" s="130"/>
      <c r="Z89" s="131">
        <v>557.58000000000004</v>
      </c>
      <c r="AA89" s="130"/>
      <c r="AB89" s="131">
        <v>37.130000000000003</v>
      </c>
      <c r="AC89" s="130"/>
      <c r="AD89" s="131">
        <v>0</v>
      </c>
      <c r="AE89" s="130"/>
      <c r="AF89" s="131">
        <f t="shared" si="4"/>
        <v>2374.71</v>
      </c>
      <c r="AG89" s="133"/>
    </row>
    <row r="90" spans="2:33" outlineLevel="1">
      <c r="B90" s="127">
        <v>50050</v>
      </c>
      <c r="C90" s="127" t="s">
        <v>204</v>
      </c>
      <c r="D90" s="128"/>
      <c r="E90" s="125"/>
      <c r="F90" s="129"/>
      <c r="G90" s="130"/>
      <c r="H90" s="131">
        <v>15890.02</v>
      </c>
      <c r="I90" s="130"/>
      <c r="J90" s="131">
        <v>17174.45</v>
      </c>
      <c r="K90" s="130"/>
      <c r="L90" s="131">
        <v>16390.490000000002</v>
      </c>
      <c r="M90" s="130"/>
      <c r="N90" s="131">
        <v>15951</v>
      </c>
      <c r="O90" s="130"/>
      <c r="P90" s="131">
        <v>17119.689999999999</v>
      </c>
      <c r="Q90" s="130"/>
      <c r="R90" s="131">
        <v>16900.34</v>
      </c>
      <c r="S90" s="130"/>
      <c r="T90" s="131">
        <v>19167.580000000002</v>
      </c>
      <c r="U90" s="130"/>
      <c r="V90" s="131">
        <v>16461.59</v>
      </c>
      <c r="W90" s="130"/>
      <c r="X90" s="131">
        <v>18210.04</v>
      </c>
      <c r="Y90" s="130"/>
      <c r="Z90" s="131">
        <v>16741.330000000002</v>
      </c>
      <c r="AA90" s="130"/>
      <c r="AB90" s="131">
        <v>19573.330000000002</v>
      </c>
      <c r="AC90" s="130"/>
      <c r="AD90" s="131">
        <v>17975.669999999998</v>
      </c>
      <c r="AE90" s="130"/>
      <c r="AF90" s="131">
        <f t="shared" si="4"/>
        <v>207555.52999999997</v>
      </c>
      <c r="AG90" s="133"/>
    </row>
    <row r="91" spans="2:33" outlineLevel="1">
      <c r="B91" s="127">
        <v>50060</v>
      </c>
      <c r="C91" s="127" t="s">
        <v>148</v>
      </c>
      <c r="D91" s="128"/>
      <c r="E91" s="125"/>
      <c r="F91" s="129"/>
      <c r="G91" s="130"/>
      <c r="H91" s="131">
        <v>38529.89</v>
      </c>
      <c r="I91" s="130"/>
      <c r="J91" s="131">
        <v>34358.99</v>
      </c>
      <c r="K91" s="130"/>
      <c r="L91" s="131">
        <v>37737.58</v>
      </c>
      <c r="M91" s="130"/>
      <c r="N91" s="131">
        <v>38737.58</v>
      </c>
      <c r="O91" s="130"/>
      <c r="P91" s="131">
        <v>39737.58</v>
      </c>
      <c r="Q91" s="130"/>
      <c r="R91" s="131">
        <v>39468.04</v>
      </c>
      <c r="S91" s="130"/>
      <c r="T91" s="131">
        <v>34740.99</v>
      </c>
      <c r="U91" s="130"/>
      <c r="V91" s="131">
        <v>39284.35</v>
      </c>
      <c r="W91" s="130"/>
      <c r="X91" s="131">
        <v>39787.79</v>
      </c>
      <c r="Y91" s="130"/>
      <c r="Z91" s="131">
        <v>39664.1</v>
      </c>
      <c r="AA91" s="130"/>
      <c r="AB91" s="131">
        <v>39664.1</v>
      </c>
      <c r="AC91" s="130"/>
      <c r="AD91" s="131">
        <v>38858.959999999999</v>
      </c>
      <c r="AE91" s="130"/>
      <c r="AF91" s="131">
        <f t="shared" si="4"/>
        <v>460569.95000000007</v>
      </c>
      <c r="AG91" s="133"/>
    </row>
    <row r="92" spans="2:33" outlineLevel="1">
      <c r="B92" s="127">
        <v>50065</v>
      </c>
      <c r="C92" s="127" t="s">
        <v>47</v>
      </c>
      <c r="D92" s="128"/>
      <c r="E92" s="125"/>
      <c r="F92" s="129"/>
      <c r="G92" s="130"/>
      <c r="H92" s="131">
        <v>9326.98</v>
      </c>
      <c r="I92" s="130"/>
      <c r="J92" s="131">
        <v>9161.5</v>
      </c>
      <c r="K92" s="130"/>
      <c r="L92" s="131">
        <v>8706.24</v>
      </c>
      <c r="M92" s="130"/>
      <c r="N92" s="131">
        <v>10342.32</v>
      </c>
      <c r="O92" s="130"/>
      <c r="P92" s="131">
        <v>10445.36</v>
      </c>
      <c r="Q92" s="130"/>
      <c r="R92" s="131">
        <v>4442.47</v>
      </c>
      <c r="S92" s="130"/>
      <c r="T92" s="131">
        <v>13595.35</v>
      </c>
      <c r="U92" s="130"/>
      <c r="V92" s="131">
        <v>7741.14</v>
      </c>
      <c r="W92" s="130"/>
      <c r="X92" s="131">
        <v>10303.459999999999</v>
      </c>
      <c r="Y92" s="130"/>
      <c r="Z92" s="131">
        <v>10008.969999999999</v>
      </c>
      <c r="AA92" s="130"/>
      <c r="AB92" s="131">
        <v>8778.14</v>
      </c>
      <c r="AC92" s="130"/>
      <c r="AD92" s="131">
        <v>7664.88</v>
      </c>
      <c r="AE92" s="130"/>
      <c r="AF92" s="131">
        <f t="shared" si="4"/>
        <v>110516.81</v>
      </c>
      <c r="AG92" s="133"/>
    </row>
    <row r="93" spans="2:33" outlineLevel="1">
      <c r="B93" s="127">
        <v>50070</v>
      </c>
      <c r="C93" s="127" t="s">
        <v>48</v>
      </c>
      <c r="D93" s="128"/>
      <c r="E93" s="125"/>
      <c r="F93" s="129"/>
      <c r="G93" s="130"/>
      <c r="H93" s="131">
        <v>2220.02</v>
      </c>
      <c r="I93" s="130"/>
      <c r="J93" s="131">
        <v>3470.89</v>
      </c>
      <c r="K93" s="130"/>
      <c r="L93" s="131">
        <v>2153.4499999999998</v>
      </c>
      <c r="M93" s="130"/>
      <c r="N93" s="131">
        <v>2101.7199999999998</v>
      </c>
      <c r="O93" s="130"/>
      <c r="P93" s="131">
        <v>1649.5</v>
      </c>
      <c r="Q93" s="130"/>
      <c r="R93" s="131">
        <v>2997.79</v>
      </c>
      <c r="S93" s="130"/>
      <c r="T93" s="131">
        <v>4396.04</v>
      </c>
      <c r="U93" s="130"/>
      <c r="V93" s="131">
        <v>3788.68</v>
      </c>
      <c r="W93" s="130"/>
      <c r="X93" s="131">
        <v>1944.44</v>
      </c>
      <c r="Y93" s="130"/>
      <c r="Z93" s="131">
        <v>1703.81</v>
      </c>
      <c r="AA93" s="130"/>
      <c r="AB93" s="131">
        <v>2466.9299999999998</v>
      </c>
      <c r="AC93" s="130"/>
      <c r="AD93" s="131">
        <v>1956.75</v>
      </c>
      <c r="AE93" s="130"/>
      <c r="AF93" s="131">
        <f t="shared" si="4"/>
        <v>30850.020000000004</v>
      </c>
      <c r="AG93" s="133"/>
    </row>
    <row r="94" spans="2:33" outlineLevel="1">
      <c r="B94" s="127">
        <v>50086</v>
      </c>
      <c r="C94" s="127" t="s">
        <v>259</v>
      </c>
      <c r="D94" s="128"/>
      <c r="E94" s="125"/>
      <c r="F94" s="129"/>
      <c r="G94" s="130"/>
      <c r="H94" s="131">
        <v>112.81</v>
      </c>
      <c r="I94" s="130"/>
      <c r="J94" s="131">
        <v>2499.3200000000002</v>
      </c>
      <c r="K94" s="130"/>
      <c r="L94" s="131">
        <v>23.4</v>
      </c>
      <c r="M94" s="130"/>
      <c r="N94" s="131">
        <v>1548.4</v>
      </c>
      <c r="O94" s="130"/>
      <c r="P94" s="131">
        <v>2701.9</v>
      </c>
      <c r="Q94" s="130"/>
      <c r="R94" s="131">
        <v>218.35</v>
      </c>
      <c r="S94" s="130"/>
      <c r="T94" s="131">
        <v>1132.47</v>
      </c>
      <c r="U94" s="130"/>
      <c r="V94" s="131">
        <v>1393.83</v>
      </c>
      <c r="W94" s="130"/>
      <c r="X94" s="131">
        <v>1611.32</v>
      </c>
      <c r="Y94" s="130"/>
      <c r="Z94" s="131">
        <v>1137.5999999999999</v>
      </c>
      <c r="AA94" s="130"/>
      <c r="AB94" s="131">
        <v>1325.33</v>
      </c>
      <c r="AC94" s="130"/>
      <c r="AD94" s="131">
        <v>2550.73</v>
      </c>
      <c r="AE94" s="130"/>
      <c r="AF94" s="131">
        <f t="shared" si="4"/>
        <v>16255.459999999997</v>
      </c>
      <c r="AG94" s="133"/>
    </row>
    <row r="95" spans="2:33" outlineLevel="1">
      <c r="B95" s="127">
        <v>50090</v>
      </c>
      <c r="C95" s="127" t="s">
        <v>64</v>
      </c>
      <c r="D95" s="128"/>
      <c r="E95" s="125"/>
      <c r="F95" s="129"/>
      <c r="G95" s="130"/>
      <c r="H95" s="131">
        <v>3337.55</v>
      </c>
      <c r="I95" s="130"/>
      <c r="J95" s="131">
        <v>3008.88</v>
      </c>
      <c r="K95" s="130"/>
      <c r="L95" s="131">
        <v>4946.6000000000004</v>
      </c>
      <c r="M95" s="130"/>
      <c r="N95" s="131">
        <v>8226.15</v>
      </c>
      <c r="O95" s="130"/>
      <c r="P95" s="131">
        <v>5515.73</v>
      </c>
      <c r="Q95" s="130"/>
      <c r="R95" s="131">
        <v>3401.63</v>
      </c>
      <c r="S95" s="130"/>
      <c r="T95" s="131">
        <v>2820.44</v>
      </c>
      <c r="U95" s="130"/>
      <c r="V95" s="131">
        <v>2688.15</v>
      </c>
      <c r="W95" s="130"/>
      <c r="X95" s="131">
        <v>5532.96</v>
      </c>
      <c r="Y95" s="130"/>
      <c r="Z95" s="131">
        <v>3825.65</v>
      </c>
      <c r="AA95" s="130"/>
      <c r="AB95" s="131">
        <v>5742.42</v>
      </c>
      <c r="AC95" s="130"/>
      <c r="AD95" s="131">
        <v>5084.83</v>
      </c>
      <c r="AE95" s="130"/>
      <c r="AF95" s="131">
        <f t="shared" si="4"/>
        <v>54130.99</v>
      </c>
      <c r="AG95" s="133"/>
    </row>
    <row r="96" spans="2:33" outlineLevel="1">
      <c r="B96" s="127">
        <v>50115</v>
      </c>
      <c r="C96" s="127" t="s">
        <v>260</v>
      </c>
      <c r="D96" s="128"/>
      <c r="E96" s="125"/>
      <c r="F96" s="129"/>
      <c r="G96" s="130"/>
      <c r="H96" s="131">
        <v>2609.66</v>
      </c>
      <c r="I96" s="130"/>
      <c r="J96" s="131">
        <v>3986.69</v>
      </c>
      <c r="K96" s="130"/>
      <c r="L96" s="131">
        <v>2812.16</v>
      </c>
      <c r="M96" s="130"/>
      <c r="N96" s="131">
        <v>2878.95</v>
      </c>
      <c r="O96" s="130"/>
      <c r="P96" s="131">
        <v>3240.3</v>
      </c>
      <c r="Q96" s="130"/>
      <c r="R96" s="131">
        <v>1435.29</v>
      </c>
      <c r="S96" s="130"/>
      <c r="T96" s="131">
        <v>4066.98</v>
      </c>
      <c r="U96" s="130"/>
      <c r="V96" s="131">
        <v>2840.96</v>
      </c>
      <c r="W96" s="130"/>
      <c r="X96" s="131">
        <v>2868.31</v>
      </c>
      <c r="Y96" s="130"/>
      <c r="Z96" s="131">
        <v>2910.52</v>
      </c>
      <c r="AA96" s="130"/>
      <c r="AB96" s="131">
        <v>3289.59</v>
      </c>
      <c r="AC96" s="130"/>
      <c r="AD96" s="131">
        <v>3305.67</v>
      </c>
      <c r="AE96" s="130"/>
      <c r="AF96" s="131">
        <f t="shared" si="4"/>
        <v>36245.08</v>
      </c>
      <c r="AG96" s="133"/>
    </row>
    <row r="97" spans="2:33" outlineLevel="1">
      <c r="B97" s="127">
        <v>50335</v>
      </c>
      <c r="C97" s="127" t="s">
        <v>91</v>
      </c>
      <c r="D97" s="128"/>
      <c r="E97" s="125"/>
      <c r="F97" s="129"/>
      <c r="G97" s="130"/>
      <c r="H97" s="131">
        <v>0</v>
      </c>
      <c r="I97" s="130"/>
      <c r="J97" s="131">
        <v>0</v>
      </c>
      <c r="K97" s="130"/>
      <c r="L97" s="131">
        <v>0</v>
      </c>
      <c r="M97" s="130"/>
      <c r="N97" s="131">
        <v>55.94</v>
      </c>
      <c r="O97" s="130"/>
      <c r="P97" s="131">
        <v>172.73</v>
      </c>
      <c r="Q97" s="130"/>
      <c r="R97" s="131">
        <v>0</v>
      </c>
      <c r="S97" s="130"/>
      <c r="T97" s="131">
        <v>0</v>
      </c>
      <c r="U97" s="130"/>
      <c r="V97" s="131">
        <v>0</v>
      </c>
      <c r="W97" s="130"/>
      <c r="X97" s="131">
        <v>0</v>
      </c>
      <c r="Y97" s="130"/>
      <c r="Z97" s="131">
        <v>0</v>
      </c>
      <c r="AA97" s="130"/>
      <c r="AB97" s="131">
        <v>0</v>
      </c>
      <c r="AC97" s="130"/>
      <c r="AD97" s="131">
        <v>0</v>
      </c>
      <c r="AE97" s="130"/>
      <c r="AF97" s="131">
        <f t="shared" si="4"/>
        <v>228.67</v>
      </c>
      <c r="AG97" s="133"/>
    </row>
    <row r="98" spans="2:33" s="129" customFormat="1" ht="5.0999999999999996" customHeight="1" outlineLevel="1">
      <c r="B98" s="128"/>
      <c r="C98" s="128"/>
      <c r="D98" s="128"/>
      <c r="E98" s="128"/>
      <c r="H98" s="158"/>
      <c r="I98" s="156"/>
      <c r="J98" s="158"/>
      <c r="K98" s="156"/>
      <c r="L98" s="158"/>
      <c r="M98" s="156"/>
      <c r="N98" s="158"/>
      <c r="O98" s="156"/>
      <c r="P98" s="158"/>
      <c r="Q98" s="156"/>
      <c r="R98" s="158"/>
      <c r="S98" s="156"/>
      <c r="T98" s="158"/>
      <c r="U98" s="156"/>
      <c r="V98" s="158"/>
      <c r="W98" s="156"/>
      <c r="X98" s="158"/>
      <c r="Y98" s="156"/>
      <c r="Z98" s="158"/>
      <c r="AA98" s="156"/>
      <c r="AB98" s="158"/>
      <c r="AC98" s="156"/>
      <c r="AD98" s="158"/>
      <c r="AE98" s="156"/>
      <c r="AF98" s="158"/>
      <c r="AG98" s="136"/>
    </row>
    <row r="99" spans="2:33" s="129" customFormat="1" ht="15">
      <c r="D99" s="128" t="s">
        <v>261</v>
      </c>
      <c r="H99" s="155">
        <f>SUM(H85:H98)</f>
        <v>265847.38999999996</v>
      </c>
      <c r="I99" s="156"/>
      <c r="J99" s="155">
        <f>SUM(J85:J98)</f>
        <v>271886.48000000004</v>
      </c>
      <c r="K99" s="156"/>
      <c r="L99" s="155">
        <f>SUM(L85:L98)</f>
        <v>269797.01999999996</v>
      </c>
      <c r="M99" s="156"/>
      <c r="N99" s="155">
        <f>SUM(N85:N98)</f>
        <v>268954.52</v>
      </c>
      <c r="O99" s="156"/>
      <c r="P99" s="155">
        <f>SUM(P85:P98)</f>
        <v>292994.94999999995</v>
      </c>
      <c r="Q99" s="156"/>
      <c r="R99" s="155">
        <f>SUM(R85:R98)</f>
        <v>283611.5199999999</v>
      </c>
      <c r="S99" s="156"/>
      <c r="T99" s="155">
        <f>SUM(T85:T98)</f>
        <v>274251.12999999995</v>
      </c>
      <c r="U99" s="156"/>
      <c r="V99" s="155">
        <f>SUM(V85:V98)</f>
        <v>271750.33000000007</v>
      </c>
      <c r="W99" s="156"/>
      <c r="X99" s="155">
        <f>SUM(X85:X98)</f>
        <v>292281.25000000006</v>
      </c>
      <c r="Y99" s="156"/>
      <c r="Z99" s="155">
        <f>SUM(Z85:Z98)</f>
        <v>275192.42</v>
      </c>
      <c r="AA99" s="156"/>
      <c r="AB99" s="155">
        <f>SUM(AB85:AB98)</f>
        <v>298918.47000000003</v>
      </c>
      <c r="AC99" s="156"/>
      <c r="AD99" s="155">
        <f>SUM(AD85:AD98)</f>
        <v>298072.48</v>
      </c>
      <c r="AE99" s="156"/>
      <c r="AF99" s="155">
        <f>SUM(AF85:AF98)</f>
        <v>3363557.9600000004</v>
      </c>
      <c r="AG99" s="136"/>
    </row>
    <row r="100" spans="2:33" s="129" customFormat="1" ht="15" outlineLevel="1">
      <c r="H100" s="157"/>
      <c r="I100" s="156"/>
      <c r="J100" s="157"/>
      <c r="K100" s="156"/>
      <c r="L100" s="157"/>
      <c r="M100" s="156"/>
      <c r="N100" s="157"/>
      <c r="O100" s="156"/>
      <c r="P100" s="157"/>
      <c r="Q100" s="156"/>
      <c r="R100" s="157"/>
      <c r="S100" s="156"/>
      <c r="T100" s="157"/>
      <c r="U100" s="156"/>
      <c r="V100" s="157"/>
      <c r="W100" s="156"/>
      <c r="X100" s="157"/>
      <c r="Y100" s="156"/>
      <c r="Z100" s="157"/>
      <c r="AA100" s="156"/>
      <c r="AB100" s="157"/>
      <c r="AC100" s="156"/>
      <c r="AD100" s="157"/>
      <c r="AE100" s="156"/>
      <c r="AF100" s="157"/>
      <c r="AG100" s="136"/>
    </row>
    <row r="101" spans="2:33" outlineLevel="1">
      <c r="B101" s="127">
        <v>51295</v>
      </c>
      <c r="C101" s="127" t="s">
        <v>202</v>
      </c>
      <c r="D101" s="128"/>
      <c r="E101" s="125"/>
      <c r="F101" s="129"/>
      <c r="G101" s="130"/>
      <c r="H101" s="131">
        <v>3606</v>
      </c>
      <c r="I101" s="130"/>
      <c r="J101" s="131">
        <v>2975.5</v>
      </c>
      <c r="K101" s="130"/>
      <c r="L101" s="131">
        <v>3188.33</v>
      </c>
      <c r="M101" s="130"/>
      <c r="N101" s="131">
        <v>3314</v>
      </c>
      <c r="O101" s="130"/>
      <c r="P101" s="131">
        <v>2947.25</v>
      </c>
      <c r="Q101" s="130"/>
      <c r="R101" s="131">
        <v>3080.5</v>
      </c>
      <c r="S101" s="130"/>
      <c r="T101" s="131">
        <v>5005.37</v>
      </c>
      <c r="U101" s="130"/>
      <c r="V101" s="131">
        <v>3694.17</v>
      </c>
      <c r="W101" s="130"/>
      <c r="X101" s="131">
        <v>3683.67</v>
      </c>
      <c r="Y101" s="130"/>
      <c r="Z101" s="131">
        <v>3789.17</v>
      </c>
      <c r="AA101" s="130"/>
      <c r="AB101" s="131">
        <v>5989.99</v>
      </c>
      <c r="AC101" s="130"/>
      <c r="AD101" s="131">
        <v>2975.01</v>
      </c>
      <c r="AE101" s="130"/>
      <c r="AF101" s="131">
        <f>AD101+AB101+Z101+X101+V101+T101+R101+P101+N101+L101+J101+H101</f>
        <v>44248.960000000006</v>
      </c>
      <c r="AG101" s="133"/>
    </row>
    <row r="102" spans="2:33" s="129" customFormat="1" ht="5.0999999999999996" customHeight="1" outlineLevel="1">
      <c r="B102" s="128"/>
      <c r="C102" s="128"/>
      <c r="D102" s="128"/>
      <c r="E102" s="128"/>
      <c r="H102" s="158"/>
      <c r="I102" s="156"/>
      <c r="J102" s="158"/>
      <c r="K102" s="156"/>
      <c r="L102" s="158"/>
      <c r="M102" s="156"/>
      <c r="N102" s="158"/>
      <c r="O102" s="156"/>
      <c r="P102" s="158"/>
      <c r="Q102" s="156"/>
      <c r="R102" s="158"/>
      <c r="S102" s="156"/>
      <c r="T102" s="158"/>
      <c r="U102" s="156"/>
      <c r="V102" s="158"/>
      <c r="W102" s="156"/>
      <c r="X102" s="158"/>
      <c r="Y102" s="156"/>
      <c r="Z102" s="158"/>
      <c r="AA102" s="156"/>
      <c r="AB102" s="158"/>
      <c r="AC102" s="156"/>
      <c r="AD102" s="158"/>
      <c r="AE102" s="156"/>
      <c r="AF102" s="158"/>
      <c r="AG102" s="136"/>
    </row>
    <row r="103" spans="2:33" s="129" customFormat="1" ht="15">
      <c r="D103" s="128" t="s">
        <v>262</v>
      </c>
      <c r="H103" s="155">
        <f>SUM(H101:H102)</f>
        <v>3606</v>
      </c>
      <c r="I103" s="156"/>
      <c r="J103" s="155">
        <f>SUM(J101:J102)</f>
        <v>2975.5</v>
      </c>
      <c r="K103" s="156"/>
      <c r="L103" s="155">
        <f>SUM(L101:L102)</f>
        <v>3188.33</v>
      </c>
      <c r="M103" s="156"/>
      <c r="N103" s="155">
        <f>SUM(N101:N102)</f>
        <v>3314</v>
      </c>
      <c r="O103" s="156"/>
      <c r="P103" s="155">
        <f>SUM(P101:P102)</f>
        <v>2947.25</v>
      </c>
      <c r="Q103" s="156"/>
      <c r="R103" s="155">
        <f>SUM(R101:R102)</f>
        <v>3080.5</v>
      </c>
      <c r="S103" s="156"/>
      <c r="T103" s="155">
        <f>SUM(T101:T102)</f>
        <v>5005.37</v>
      </c>
      <c r="U103" s="156"/>
      <c r="V103" s="155">
        <f>SUM(V101:V102)</f>
        <v>3694.17</v>
      </c>
      <c r="W103" s="156"/>
      <c r="X103" s="155">
        <f>SUM(X101:X102)</f>
        <v>3683.67</v>
      </c>
      <c r="Y103" s="156"/>
      <c r="Z103" s="155">
        <f>SUM(Z101:Z102)</f>
        <v>3789.17</v>
      </c>
      <c r="AA103" s="156"/>
      <c r="AB103" s="155">
        <f>SUM(AB101:AB102)</f>
        <v>5989.99</v>
      </c>
      <c r="AC103" s="156"/>
      <c r="AD103" s="155">
        <f>SUM(AD101:AD102)</f>
        <v>2975.01</v>
      </c>
      <c r="AE103" s="156"/>
      <c r="AF103" s="155">
        <f>SUM(AF101:AF102)</f>
        <v>44248.960000000006</v>
      </c>
      <c r="AG103" s="136"/>
    </row>
    <row r="104" spans="2:33" s="129" customFormat="1" ht="15" outlineLevel="1">
      <c r="H104" s="157"/>
      <c r="I104" s="156"/>
      <c r="J104" s="157"/>
      <c r="K104" s="156"/>
      <c r="L104" s="157"/>
      <c r="M104" s="156"/>
      <c r="N104" s="157"/>
      <c r="O104" s="156"/>
      <c r="P104" s="157"/>
      <c r="Q104" s="156"/>
      <c r="R104" s="157"/>
      <c r="S104" s="156"/>
      <c r="T104" s="157"/>
      <c r="U104" s="156"/>
      <c r="V104" s="157"/>
      <c r="W104" s="156"/>
      <c r="X104" s="157"/>
      <c r="Y104" s="156"/>
      <c r="Z104" s="157"/>
      <c r="AA104" s="156"/>
      <c r="AB104" s="157"/>
      <c r="AC104" s="156"/>
      <c r="AD104" s="157"/>
      <c r="AE104" s="156"/>
      <c r="AF104" s="157"/>
      <c r="AG104" s="136"/>
    </row>
    <row r="105" spans="2:33" s="129" customFormat="1" ht="15" outlineLevel="1">
      <c r="H105" s="157"/>
      <c r="I105" s="156"/>
      <c r="J105" s="157"/>
      <c r="K105" s="156"/>
      <c r="L105" s="157"/>
      <c r="M105" s="156"/>
      <c r="N105" s="157"/>
      <c r="O105" s="156"/>
      <c r="P105" s="157"/>
      <c r="Q105" s="156"/>
      <c r="R105" s="157"/>
      <c r="S105" s="156"/>
      <c r="T105" s="157"/>
      <c r="U105" s="156"/>
      <c r="V105" s="157"/>
      <c r="W105" s="156"/>
      <c r="X105" s="157"/>
      <c r="Y105" s="156"/>
      <c r="Z105" s="157"/>
      <c r="AA105" s="156"/>
      <c r="AB105" s="157"/>
      <c r="AC105" s="156"/>
      <c r="AD105" s="157"/>
      <c r="AE105" s="156"/>
      <c r="AF105" s="157"/>
      <c r="AG105" s="136"/>
    </row>
    <row r="106" spans="2:33" outlineLevel="1">
      <c r="B106" s="127">
        <v>52010</v>
      </c>
      <c r="C106" s="127" t="s">
        <v>41</v>
      </c>
      <c r="D106" s="128"/>
      <c r="E106" s="125"/>
      <c r="F106" s="129"/>
      <c r="G106" s="130"/>
      <c r="H106" s="131">
        <v>6161.95</v>
      </c>
      <c r="I106" s="130"/>
      <c r="J106" s="131">
        <v>6681.19</v>
      </c>
      <c r="K106" s="130"/>
      <c r="L106" s="131">
        <v>6421.57</v>
      </c>
      <c r="M106" s="130"/>
      <c r="N106" s="131">
        <v>6161.95</v>
      </c>
      <c r="O106" s="130"/>
      <c r="P106" s="131">
        <v>6486.47</v>
      </c>
      <c r="Q106" s="130"/>
      <c r="R106" s="131">
        <v>6616.27</v>
      </c>
      <c r="S106" s="130"/>
      <c r="T106" s="131">
        <v>5563.71</v>
      </c>
      <c r="U106" s="130"/>
      <c r="V106" s="131">
        <v>6362.3</v>
      </c>
      <c r="W106" s="130"/>
      <c r="X106" s="131">
        <v>7160.62</v>
      </c>
      <c r="Y106" s="130"/>
      <c r="Z106" s="131">
        <v>6362.3</v>
      </c>
      <c r="AA106" s="130"/>
      <c r="AB106" s="131">
        <v>7160.61</v>
      </c>
      <c r="AC106" s="130"/>
      <c r="AD106" s="131">
        <v>6894.51</v>
      </c>
      <c r="AE106" s="130"/>
      <c r="AF106" s="131">
        <f t="shared" ref="AF106:AF133" si="5">AD106+AB106+Z106+X106+V106+T106+R106+P106+N106+L106+J106+H106</f>
        <v>78033.449999999983</v>
      </c>
      <c r="AG106" s="133"/>
    </row>
    <row r="107" spans="2:33" outlineLevel="1">
      <c r="B107" s="127">
        <v>52020</v>
      </c>
      <c r="C107" s="127" t="s">
        <v>50</v>
      </c>
      <c r="D107" s="128"/>
      <c r="E107" s="125"/>
      <c r="F107" s="129"/>
      <c r="G107" s="130"/>
      <c r="H107" s="131">
        <v>18206.96</v>
      </c>
      <c r="I107" s="130"/>
      <c r="J107" s="131">
        <v>25546.14</v>
      </c>
      <c r="K107" s="130"/>
      <c r="L107" s="131">
        <v>23736.51</v>
      </c>
      <c r="M107" s="130"/>
      <c r="N107" s="131">
        <v>23443.97</v>
      </c>
      <c r="O107" s="130"/>
      <c r="P107" s="131">
        <v>26925.97</v>
      </c>
      <c r="Q107" s="130"/>
      <c r="R107" s="131">
        <v>24093.51</v>
      </c>
      <c r="S107" s="130"/>
      <c r="T107" s="131">
        <v>26827.7</v>
      </c>
      <c r="U107" s="130"/>
      <c r="V107" s="131">
        <v>25528.99</v>
      </c>
      <c r="W107" s="130"/>
      <c r="X107" s="131">
        <v>24171.68</v>
      </c>
      <c r="Y107" s="130"/>
      <c r="Z107" s="131">
        <v>19472.099999999999</v>
      </c>
      <c r="AA107" s="130"/>
      <c r="AB107" s="131">
        <v>22629.07</v>
      </c>
      <c r="AC107" s="130"/>
      <c r="AD107" s="131">
        <v>23257</v>
      </c>
      <c r="AE107" s="130"/>
      <c r="AF107" s="131">
        <f t="shared" si="5"/>
        <v>283839.60000000003</v>
      </c>
      <c r="AG107" s="133"/>
    </row>
    <row r="108" spans="2:33" outlineLevel="1">
      <c r="B108" s="127">
        <v>52025</v>
      </c>
      <c r="C108" s="127" t="s">
        <v>51</v>
      </c>
      <c r="D108" s="128"/>
      <c r="E108" s="125"/>
      <c r="F108" s="129"/>
      <c r="G108" s="130"/>
      <c r="H108" s="131">
        <v>6737.12</v>
      </c>
      <c r="I108" s="130"/>
      <c r="J108" s="131">
        <v>6514.09</v>
      </c>
      <c r="K108" s="130"/>
      <c r="L108" s="131">
        <v>10988.24</v>
      </c>
      <c r="M108" s="130"/>
      <c r="N108" s="131">
        <v>7766.41</v>
      </c>
      <c r="O108" s="130"/>
      <c r="P108" s="131">
        <v>6208.53</v>
      </c>
      <c r="Q108" s="130"/>
      <c r="R108" s="131">
        <v>9334.25</v>
      </c>
      <c r="S108" s="130"/>
      <c r="T108" s="131">
        <v>6653.64</v>
      </c>
      <c r="U108" s="130"/>
      <c r="V108" s="131">
        <v>7922.21</v>
      </c>
      <c r="W108" s="130"/>
      <c r="X108" s="131">
        <v>8325.08</v>
      </c>
      <c r="Y108" s="130"/>
      <c r="Z108" s="131">
        <v>7492.78</v>
      </c>
      <c r="AA108" s="130"/>
      <c r="AB108" s="131">
        <v>8308.75</v>
      </c>
      <c r="AC108" s="130"/>
      <c r="AD108" s="131">
        <v>8911.2800000000007</v>
      </c>
      <c r="AE108" s="130"/>
      <c r="AF108" s="131">
        <f t="shared" si="5"/>
        <v>95162.37999999999</v>
      </c>
      <c r="AG108" s="133"/>
    </row>
    <row r="109" spans="2:33" outlineLevel="1">
      <c r="B109" s="127">
        <v>52035</v>
      </c>
      <c r="C109" s="127" t="s">
        <v>258</v>
      </c>
      <c r="D109" s="128"/>
      <c r="E109" s="125"/>
      <c r="F109" s="129"/>
      <c r="G109" s="130"/>
      <c r="H109" s="131">
        <v>1400</v>
      </c>
      <c r="I109" s="130"/>
      <c r="J109" s="131">
        <v>1000</v>
      </c>
      <c r="K109" s="130"/>
      <c r="L109" s="131">
        <v>1000</v>
      </c>
      <c r="M109" s="130"/>
      <c r="N109" s="131">
        <v>-5000</v>
      </c>
      <c r="O109" s="130"/>
      <c r="P109" s="131">
        <v>1000</v>
      </c>
      <c r="Q109" s="130"/>
      <c r="R109" s="131">
        <v>1000</v>
      </c>
      <c r="S109" s="130"/>
      <c r="T109" s="131">
        <v>1000</v>
      </c>
      <c r="U109" s="130"/>
      <c r="V109" s="131">
        <v>1000</v>
      </c>
      <c r="W109" s="130"/>
      <c r="X109" s="131">
        <v>1400</v>
      </c>
      <c r="Y109" s="130"/>
      <c r="Z109" s="131">
        <v>1400</v>
      </c>
      <c r="AA109" s="130"/>
      <c r="AB109" s="131">
        <v>1400</v>
      </c>
      <c r="AC109" s="130"/>
      <c r="AD109" s="131">
        <v>1400</v>
      </c>
      <c r="AE109" s="130"/>
      <c r="AF109" s="131">
        <f t="shared" si="5"/>
        <v>8000</v>
      </c>
      <c r="AG109" s="133"/>
    </row>
    <row r="110" spans="2:33" outlineLevel="1">
      <c r="B110" s="127">
        <v>52036</v>
      </c>
      <c r="C110" s="127" t="s">
        <v>77</v>
      </c>
      <c r="D110" s="128"/>
      <c r="E110" s="125"/>
      <c r="F110" s="129"/>
      <c r="G110" s="130"/>
      <c r="H110" s="131">
        <v>100</v>
      </c>
      <c r="I110" s="130"/>
      <c r="J110" s="131">
        <v>0</v>
      </c>
      <c r="K110" s="130"/>
      <c r="L110" s="131">
        <v>0</v>
      </c>
      <c r="M110" s="130"/>
      <c r="N110" s="131">
        <v>100</v>
      </c>
      <c r="O110" s="130"/>
      <c r="P110" s="131">
        <v>0</v>
      </c>
      <c r="Q110" s="130"/>
      <c r="R110" s="131">
        <v>616</v>
      </c>
      <c r="S110" s="130"/>
      <c r="T110" s="131">
        <v>0</v>
      </c>
      <c r="U110" s="130"/>
      <c r="V110" s="131">
        <v>0</v>
      </c>
      <c r="W110" s="130"/>
      <c r="X110" s="131">
        <v>0</v>
      </c>
      <c r="Y110" s="130"/>
      <c r="Z110" s="131">
        <v>84.82</v>
      </c>
      <c r="AA110" s="130"/>
      <c r="AB110" s="131">
        <v>37.119999999999997</v>
      </c>
      <c r="AC110" s="130"/>
      <c r="AD110" s="131">
        <v>0</v>
      </c>
      <c r="AE110" s="130"/>
      <c r="AF110" s="131">
        <f t="shared" si="5"/>
        <v>937.94</v>
      </c>
      <c r="AG110" s="133"/>
    </row>
    <row r="111" spans="2:33" outlineLevel="1">
      <c r="B111" s="127">
        <v>52050</v>
      </c>
      <c r="C111" s="127" t="s">
        <v>204</v>
      </c>
      <c r="D111" s="128"/>
      <c r="E111" s="125"/>
      <c r="F111" s="129"/>
      <c r="G111" s="130"/>
      <c r="H111" s="131">
        <v>2488.56</v>
      </c>
      <c r="I111" s="130"/>
      <c r="J111" s="131">
        <v>3249.25</v>
      </c>
      <c r="K111" s="130"/>
      <c r="L111" s="131">
        <v>3340.06</v>
      </c>
      <c r="M111" s="130"/>
      <c r="N111" s="131">
        <v>2977.72</v>
      </c>
      <c r="O111" s="130"/>
      <c r="P111" s="131">
        <v>3147.74</v>
      </c>
      <c r="Q111" s="130"/>
      <c r="R111" s="131">
        <v>3263.1</v>
      </c>
      <c r="S111" s="130"/>
      <c r="T111" s="131">
        <v>3766.26</v>
      </c>
      <c r="U111" s="130"/>
      <c r="V111" s="131">
        <v>3215.31</v>
      </c>
      <c r="W111" s="130"/>
      <c r="X111" s="131">
        <v>4040.53</v>
      </c>
      <c r="Y111" s="130"/>
      <c r="Z111" s="131">
        <v>2553.4299999999998</v>
      </c>
      <c r="AA111" s="130"/>
      <c r="AB111" s="131">
        <v>2999.79</v>
      </c>
      <c r="AC111" s="130"/>
      <c r="AD111" s="131">
        <v>3166.37</v>
      </c>
      <c r="AE111" s="130"/>
      <c r="AF111" s="131">
        <f t="shared" si="5"/>
        <v>38208.119999999995</v>
      </c>
      <c r="AG111" s="133"/>
    </row>
    <row r="112" spans="2:33" outlineLevel="1">
      <c r="B112" s="127">
        <v>52060</v>
      </c>
      <c r="C112" s="127" t="s">
        <v>148</v>
      </c>
      <c r="D112" s="128"/>
      <c r="E112" s="125"/>
      <c r="F112" s="129"/>
      <c r="G112" s="130"/>
      <c r="H112" s="131">
        <v>5196</v>
      </c>
      <c r="I112" s="130"/>
      <c r="J112" s="131">
        <v>6794</v>
      </c>
      <c r="K112" s="130"/>
      <c r="L112" s="131">
        <v>7196</v>
      </c>
      <c r="M112" s="130"/>
      <c r="N112" s="131">
        <v>6836</v>
      </c>
      <c r="O112" s="130"/>
      <c r="P112" s="131">
        <v>6836</v>
      </c>
      <c r="Q112" s="130"/>
      <c r="R112" s="131">
        <v>6836</v>
      </c>
      <c r="S112" s="130"/>
      <c r="T112" s="131">
        <v>6254</v>
      </c>
      <c r="U112" s="130"/>
      <c r="V112" s="131">
        <v>6836</v>
      </c>
      <c r="W112" s="130"/>
      <c r="X112" s="131">
        <v>6875.32</v>
      </c>
      <c r="Y112" s="130"/>
      <c r="Z112" s="131">
        <v>5956.98</v>
      </c>
      <c r="AA112" s="130"/>
      <c r="AB112" s="131">
        <v>5954.7</v>
      </c>
      <c r="AC112" s="130"/>
      <c r="AD112" s="131">
        <v>6866.98</v>
      </c>
      <c r="AE112" s="130"/>
      <c r="AF112" s="131">
        <f t="shared" si="5"/>
        <v>78437.98</v>
      </c>
      <c r="AG112" s="133"/>
    </row>
    <row r="113" spans="2:33" outlineLevel="1">
      <c r="B113" s="127">
        <v>52065</v>
      </c>
      <c r="C113" s="127" t="s">
        <v>47</v>
      </c>
      <c r="D113" s="128"/>
      <c r="E113" s="125"/>
      <c r="F113" s="129"/>
      <c r="G113" s="130"/>
      <c r="H113" s="131">
        <v>1211.06</v>
      </c>
      <c r="I113" s="130"/>
      <c r="J113" s="131">
        <v>2023.42</v>
      </c>
      <c r="K113" s="130"/>
      <c r="L113" s="131">
        <v>1304.47</v>
      </c>
      <c r="M113" s="130"/>
      <c r="N113" s="131">
        <v>1770.68</v>
      </c>
      <c r="O113" s="130"/>
      <c r="P113" s="131">
        <v>1411.91</v>
      </c>
      <c r="Q113" s="130"/>
      <c r="R113" s="131">
        <v>-57.35</v>
      </c>
      <c r="S113" s="130"/>
      <c r="T113" s="131">
        <v>2838.25</v>
      </c>
      <c r="U113" s="130"/>
      <c r="V113" s="131">
        <v>1337.11</v>
      </c>
      <c r="W113" s="130"/>
      <c r="X113" s="131">
        <v>4155.45</v>
      </c>
      <c r="Y113" s="130"/>
      <c r="Z113" s="131">
        <v>-521.73</v>
      </c>
      <c r="AA113" s="130"/>
      <c r="AB113" s="131">
        <v>1493.65</v>
      </c>
      <c r="AC113" s="130"/>
      <c r="AD113" s="131">
        <v>262.95</v>
      </c>
      <c r="AE113" s="130"/>
      <c r="AF113" s="131">
        <f t="shared" si="5"/>
        <v>17229.87</v>
      </c>
      <c r="AG113" s="133"/>
    </row>
    <row r="114" spans="2:33" outlineLevel="1">
      <c r="B114" s="127">
        <v>52070</v>
      </c>
      <c r="C114" s="127" t="s">
        <v>48</v>
      </c>
      <c r="D114" s="128"/>
      <c r="E114" s="125"/>
      <c r="F114" s="129"/>
      <c r="G114" s="130"/>
      <c r="H114" s="131">
        <v>-502.51</v>
      </c>
      <c r="I114" s="130"/>
      <c r="J114" s="131">
        <v>435</v>
      </c>
      <c r="K114" s="130"/>
      <c r="L114" s="131">
        <v>0</v>
      </c>
      <c r="M114" s="130"/>
      <c r="N114" s="131">
        <v>0</v>
      </c>
      <c r="O114" s="130"/>
      <c r="P114" s="131">
        <v>933.35</v>
      </c>
      <c r="Q114" s="130"/>
      <c r="R114" s="131">
        <v>708.94</v>
      </c>
      <c r="S114" s="130"/>
      <c r="T114" s="131">
        <v>250.87</v>
      </c>
      <c r="U114" s="130"/>
      <c r="V114" s="131">
        <v>334.34</v>
      </c>
      <c r="W114" s="130"/>
      <c r="X114" s="131">
        <v>337.88</v>
      </c>
      <c r="Y114" s="130"/>
      <c r="Z114" s="131">
        <v>-240.12</v>
      </c>
      <c r="AA114" s="130"/>
      <c r="AB114" s="131">
        <v>374.54</v>
      </c>
      <c r="AC114" s="130"/>
      <c r="AD114" s="131">
        <v>248.08</v>
      </c>
      <c r="AE114" s="130"/>
      <c r="AF114" s="131">
        <f t="shared" si="5"/>
        <v>2880.37</v>
      </c>
      <c r="AG114" s="133"/>
    </row>
    <row r="115" spans="2:33" outlineLevel="1">
      <c r="B115" s="127">
        <v>52086</v>
      </c>
      <c r="C115" s="127" t="s">
        <v>259</v>
      </c>
      <c r="D115" s="128"/>
      <c r="E115" s="125"/>
      <c r="F115" s="129"/>
      <c r="G115" s="130"/>
      <c r="H115" s="131">
        <v>568.41</v>
      </c>
      <c r="I115" s="130"/>
      <c r="J115" s="131">
        <v>1572.51</v>
      </c>
      <c r="K115" s="130"/>
      <c r="L115" s="131">
        <v>1110.0999999999999</v>
      </c>
      <c r="M115" s="130"/>
      <c r="N115" s="131">
        <v>1393.71</v>
      </c>
      <c r="O115" s="130"/>
      <c r="P115" s="131">
        <v>620.41999999999996</v>
      </c>
      <c r="Q115" s="130"/>
      <c r="R115" s="131">
        <v>91.09</v>
      </c>
      <c r="S115" s="130"/>
      <c r="T115" s="131">
        <v>206.12</v>
      </c>
      <c r="U115" s="130"/>
      <c r="V115" s="131">
        <v>771.27</v>
      </c>
      <c r="W115" s="130"/>
      <c r="X115" s="131">
        <v>1861.21</v>
      </c>
      <c r="Y115" s="130"/>
      <c r="Z115" s="131">
        <v>1695.06</v>
      </c>
      <c r="AA115" s="130"/>
      <c r="AB115" s="131">
        <v>1444.62</v>
      </c>
      <c r="AC115" s="130"/>
      <c r="AD115" s="131">
        <v>2709.02</v>
      </c>
      <c r="AE115" s="130"/>
      <c r="AF115" s="131">
        <f t="shared" si="5"/>
        <v>14043.54</v>
      </c>
      <c r="AG115" s="133"/>
    </row>
    <row r="116" spans="2:33" outlineLevel="1">
      <c r="B116" s="127">
        <v>52090</v>
      </c>
      <c r="C116" s="127" t="s">
        <v>64</v>
      </c>
      <c r="D116" s="128"/>
      <c r="E116" s="125"/>
      <c r="F116" s="129"/>
      <c r="G116" s="130"/>
      <c r="H116" s="131">
        <v>281.14</v>
      </c>
      <c r="I116" s="130"/>
      <c r="J116" s="131">
        <v>501</v>
      </c>
      <c r="K116" s="130"/>
      <c r="L116" s="131">
        <v>284</v>
      </c>
      <c r="M116" s="130"/>
      <c r="N116" s="131">
        <v>741.49</v>
      </c>
      <c r="O116" s="130"/>
      <c r="P116" s="131">
        <v>301.5</v>
      </c>
      <c r="Q116" s="130"/>
      <c r="R116" s="131">
        <v>434</v>
      </c>
      <c r="S116" s="130"/>
      <c r="T116" s="131">
        <v>-245.33</v>
      </c>
      <c r="U116" s="130"/>
      <c r="V116" s="131">
        <v>0</v>
      </c>
      <c r="W116" s="130"/>
      <c r="X116" s="131">
        <v>300</v>
      </c>
      <c r="Y116" s="130"/>
      <c r="Z116" s="131">
        <v>150</v>
      </c>
      <c r="AA116" s="130"/>
      <c r="AB116" s="131">
        <v>-11.51</v>
      </c>
      <c r="AC116" s="130"/>
      <c r="AD116" s="131">
        <v>1191.3399999999999</v>
      </c>
      <c r="AE116" s="130"/>
      <c r="AF116" s="131">
        <f t="shared" si="5"/>
        <v>3927.6299999999997</v>
      </c>
      <c r="AG116" s="133"/>
    </row>
    <row r="117" spans="2:33" outlineLevel="1">
      <c r="B117" s="127">
        <v>52115</v>
      </c>
      <c r="C117" s="127" t="s">
        <v>260</v>
      </c>
      <c r="D117" s="128"/>
      <c r="E117" s="125"/>
      <c r="F117" s="129"/>
      <c r="G117" s="130"/>
      <c r="H117" s="131">
        <v>0</v>
      </c>
      <c r="I117" s="130"/>
      <c r="J117" s="131">
        <v>0</v>
      </c>
      <c r="K117" s="130"/>
      <c r="L117" s="131">
        <v>0</v>
      </c>
      <c r="M117" s="130"/>
      <c r="N117" s="131">
        <v>0</v>
      </c>
      <c r="O117" s="130"/>
      <c r="P117" s="131">
        <v>0</v>
      </c>
      <c r="Q117" s="130"/>
      <c r="R117" s="131">
        <v>0</v>
      </c>
      <c r="S117" s="130"/>
      <c r="T117" s="131">
        <v>0</v>
      </c>
      <c r="U117" s="130"/>
      <c r="V117" s="131">
        <v>49.87</v>
      </c>
      <c r="W117" s="130"/>
      <c r="X117" s="131">
        <v>0</v>
      </c>
      <c r="Y117" s="130"/>
      <c r="Z117" s="131">
        <v>51.85</v>
      </c>
      <c r="AA117" s="130"/>
      <c r="AB117" s="131">
        <v>135.34</v>
      </c>
      <c r="AC117" s="130"/>
      <c r="AD117" s="131">
        <v>123.89</v>
      </c>
      <c r="AE117" s="130"/>
      <c r="AF117" s="131">
        <f t="shared" si="5"/>
        <v>360.95000000000005</v>
      </c>
      <c r="AG117" s="133"/>
    </row>
    <row r="118" spans="2:33" outlineLevel="1">
      <c r="B118" s="127">
        <v>52120</v>
      </c>
      <c r="C118" s="127" t="s">
        <v>263</v>
      </c>
      <c r="D118" s="128"/>
      <c r="E118" s="125"/>
      <c r="F118" s="129"/>
      <c r="G118" s="130"/>
      <c r="H118" s="131">
        <v>39096.239999999998</v>
      </c>
      <c r="I118" s="130"/>
      <c r="J118" s="131">
        <v>38395.32</v>
      </c>
      <c r="K118" s="130"/>
      <c r="L118" s="131">
        <v>44067.21</v>
      </c>
      <c r="M118" s="130"/>
      <c r="N118" s="131">
        <v>36721.07</v>
      </c>
      <c r="O118" s="130"/>
      <c r="P118" s="131">
        <v>54516.23</v>
      </c>
      <c r="Q118" s="130"/>
      <c r="R118" s="131">
        <v>37755.54</v>
      </c>
      <c r="S118" s="130"/>
      <c r="T118" s="131">
        <v>45280.1</v>
      </c>
      <c r="U118" s="130"/>
      <c r="V118" s="131">
        <v>44937.06</v>
      </c>
      <c r="W118" s="130"/>
      <c r="X118" s="131">
        <v>41375.25</v>
      </c>
      <c r="Y118" s="130"/>
      <c r="Z118" s="131">
        <v>44842.11</v>
      </c>
      <c r="AA118" s="130"/>
      <c r="AB118" s="131">
        <v>39506.980000000003</v>
      </c>
      <c r="AC118" s="130"/>
      <c r="AD118" s="131">
        <v>41269.879999999997</v>
      </c>
      <c r="AE118" s="130"/>
      <c r="AF118" s="131">
        <f t="shared" si="5"/>
        <v>507762.99</v>
      </c>
      <c r="AG118" s="133"/>
    </row>
    <row r="119" spans="2:33" outlineLevel="1">
      <c r="B119" s="127">
        <v>52125</v>
      </c>
      <c r="C119" s="127" t="s">
        <v>54</v>
      </c>
      <c r="D119" s="128"/>
      <c r="E119" s="125"/>
      <c r="F119" s="129"/>
      <c r="G119" s="130"/>
      <c r="H119" s="131">
        <v>1840.29</v>
      </c>
      <c r="I119" s="130"/>
      <c r="J119" s="131">
        <v>2481.2600000000002</v>
      </c>
      <c r="K119" s="130"/>
      <c r="L119" s="131">
        <v>4031.06</v>
      </c>
      <c r="M119" s="130"/>
      <c r="N119" s="131">
        <v>3808.67</v>
      </c>
      <c r="O119" s="130"/>
      <c r="P119" s="131">
        <v>2743.59</v>
      </c>
      <c r="Q119" s="130"/>
      <c r="R119" s="131">
        <v>2583.21</v>
      </c>
      <c r="S119" s="130"/>
      <c r="T119" s="131">
        <v>4180.33</v>
      </c>
      <c r="U119" s="130"/>
      <c r="V119" s="131">
        <v>5361.14</v>
      </c>
      <c r="W119" s="130"/>
      <c r="X119" s="131">
        <v>1665.96</v>
      </c>
      <c r="Y119" s="130"/>
      <c r="Z119" s="131">
        <v>2325.04</v>
      </c>
      <c r="AA119" s="130"/>
      <c r="AB119" s="131">
        <v>3105.46</v>
      </c>
      <c r="AC119" s="130"/>
      <c r="AD119" s="131">
        <v>9104.73</v>
      </c>
      <c r="AE119" s="130"/>
      <c r="AF119" s="131">
        <f t="shared" si="5"/>
        <v>43230.74</v>
      </c>
      <c r="AG119" s="133"/>
    </row>
    <row r="120" spans="2:33" outlineLevel="1">
      <c r="B120" s="127">
        <v>52135</v>
      </c>
      <c r="C120" s="127" t="s">
        <v>70</v>
      </c>
      <c r="D120" s="128"/>
      <c r="E120" s="125"/>
      <c r="F120" s="129"/>
      <c r="G120" s="130"/>
      <c r="H120" s="131">
        <v>810.74</v>
      </c>
      <c r="I120" s="130"/>
      <c r="J120" s="131">
        <v>9028.67</v>
      </c>
      <c r="K120" s="130"/>
      <c r="L120" s="131">
        <v>4846.34</v>
      </c>
      <c r="M120" s="130"/>
      <c r="N120" s="131">
        <v>4467</v>
      </c>
      <c r="O120" s="130"/>
      <c r="P120" s="131">
        <v>4818.67</v>
      </c>
      <c r="Q120" s="130"/>
      <c r="R120" s="131">
        <v>6215.88</v>
      </c>
      <c r="S120" s="130"/>
      <c r="T120" s="131">
        <v>1072.3499999999999</v>
      </c>
      <c r="U120" s="130"/>
      <c r="V120" s="131">
        <v>2511.02</v>
      </c>
      <c r="W120" s="130"/>
      <c r="X120" s="131">
        <v>5417.23</v>
      </c>
      <c r="Y120" s="130"/>
      <c r="Z120" s="131">
        <v>5249.01</v>
      </c>
      <c r="AA120" s="130"/>
      <c r="AB120" s="131">
        <v>8918.68</v>
      </c>
      <c r="AC120" s="130"/>
      <c r="AD120" s="131">
        <v>5089.54</v>
      </c>
      <c r="AE120" s="130"/>
      <c r="AF120" s="131">
        <f t="shared" si="5"/>
        <v>58445.13</v>
      </c>
      <c r="AG120" s="133"/>
    </row>
    <row r="121" spans="2:33" outlineLevel="1">
      <c r="B121" s="127">
        <v>52140</v>
      </c>
      <c r="C121" s="127" t="s">
        <v>264</v>
      </c>
      <c r="D121" s="128"/>
      <c r="E121" s="125"/>
      <c r="F121" s="129"/>
      <c r="G121" s="130"/>
      <c r="H121" s="131">
        <v>39185.440000000002</v>
      </c>
      <c r="I121" s="130"/>
      <c r="J121" s="131">
        <v>20921.57</v>
      </c>
      <c r="K121" s="130"/>
      <c r="L121" s="131">
        <v>18075.71</v>
      </c>
      <c r="M121" s="130"/>
      <c r="N121" s="131">
        <v>22051.89</v>
      </c>
      <c r="O121" s="130"/>
      <c r="P121" s="131">
        <v>23796.49</v>
      </c>
      <c r="Q121" s="130"/>
      <c r="R121" s="131">
        <v>22466.02</v>
      </c>
      <c r="S121" s="130"/>
      <c r="T121" s="131">
        <v>17007.28</v>
      </c>
      <c r="U121" s="130"/>
      <c r="V121" s="131">
        <v>20660.37</v>
      </c>
      <c r="W121" s="130"/>
      <c r="X121" s="131">
        <v>18579.759999999998</v>
      </c>
      <c r="Y121" s="130"/>
      <c r="Z121" s="131">
        <v>23262.68</v>
      </c>
      <c r="AA121" s="130"/>
      <c r="AB121" s="131">
        <v>21713.62</v>
      </c>
      <c r="AC121" s="130"/>
      <c r="AD121" s="131">
        <v>38525.29</v>
      </c>
      <c r="AE121" s="130"/>
      <c r="AF121" s="131">
        <f t="shared" si="5"/>
        <v>286246.12</v>
      </c>
      <c r="AG121" s="133"/>
    </row>
    <row r="122" spans="2:33" outlineLevel="1">
      <c r="B122" s="127">
        <v>52142</v>
      </c>
      <c r="C122" s="127" t="s">
        <v>84</v>
      </c>
      <c r="D122" s="128"/>
      <c r="E122" s="125"/>
      <c r="F122" s="129"/>
      <c r="G122" s="130"/>
      <c r="H122" s="131">
        <v>61916.69</v>
      </c>
      <c r="I122" s="130"/>
      <c r="J122" s="131">
        <v>59565.45</v>
      </c>
      <c r="K122" s="130"/>
      <c r="L122" s="131">
        <v>65816.990000000005</v>
      </c>
      <c r="M122" s="130"/>
      <c r="N122" s="131">
        <v>63130.07</v>
      </c>
      <c r="O122" s="130"/>
      <c r="P122" s="131">
        <v>63875.53</v>
      </c>
      <c r="Q122" s="130"/>
      <c r="R122" s="131">
        <v>66138.19</v>
      </c>
      <c r="S122" s="130"/>
      <c r="T122" s="131">
        <v>61972.31</v>
      </c>
      <c r="U122" s="130"/>
      <c r="V122" s="131">
        <v>60140.62</v>
      </c>
      <c r="W122" s="130"/>
      <c r="X122" s="131">
        <v>76431.070000000007</v>
      </c>
      <c r="Y122" s="130"/>
      <c r="Z122" s="131">
        <v>66732.86</v>
      </c>
      <c r="AA122" s="130"/>
      <c r="AB122" s="131">
        <v>75008.3</v>
      </c>
      <c r="AC122" s="130"/>
      <c r="AD122" s="131">
        <v>75172.149999999994</v>
      </c>
      <c r="AE122" s="130"/>
      <c r="AF122" s="131">
        <f t="shared" si="5"/>
        <v>795900.23</v>
      </c>
      <c r="AG122" s="133"/>
    </row>
    <row r="123" spans="2:33" outlineLevel="1">
      <c r="B123" s="127">
        <v>52144</v>
      </c>
      <c r="C123" s="127" t="s">
        <v>265</v>
      </c>
      <c r="D123" s="128"/>
      <c r="E123" s="125"/>
      <c r="F123" s="129"/>
      <c r="G123" s="130"/>
      <c r="H123" s="131">
        <v>557.70000000000005</v>
      </c>
      <c r="I123" s="130"/>
      <c r="J123" s="131">
        <v>42.3</v>
      </c>
      <c r="K123" s="130"/>
      <c r="L123" s="131">
        <v>-600</v>
      </c>
      <c r="M123" s="130"/>
      <c r="N123" s="131">
        <v>83.95</v>
      </c>
      <c r="O123" s="130"/>
      <c r="P123" s="131">
        <v>645.75</v>
      </c>
      <c r="Q123" s="130"/>
      <c r="R123" s="131">
        <v>161.49</v>
      </c>
      <c r="S123" s="130"/>
      <c r="T123" s="131">
        <v>895.99</v>
      </c>
      <c r="U123" s="130"/>
      <c r="V123" s="131">
        <v>88.15</v>
      </c>
      <c r="W123" s="130"/>
      <c r="X123" s="131">
        <v>-249.64</v>
      </c>
      <c r="Y123" s="130"/>
      <c r="Z123" s="131">
        <v>228.32</v>
      </c>
      <c r="AA123" s="130"/>
      <c r="AB123" s="131">
        <v>515.03</v>
      </c>
      <c r="AC123" s="130"/>
      <c r="AD123" s="131">
        <v>96.97</v>
      </c>
      <c r="AE123" s="130"/>
      <c r="AF123" s="131">
        <f t="shared" si="5"/>
        <v>2466.0099999999998</v>
      </c>
      <c r="AG123" s="133"/>
    </row>
    <row r="124" spans="2:33" outlineLevel="1">
      <c r="B124" s="127">
        <v>52146</v>
      </c>
      <c r="C124" s="127" t="s">
        <v>86</v>
      </c>
      <c r="D124" s="128"/>
      <c r="E124" s="125"/>
      <c r="F124" s="129"/>
      <c r="G124" s="130"/>
      <c r="H124" s="131">
        <v>5965.13</v>
      </c>
      <c r="I124" s="130"/>
      <c r="J124" s="131">
        <v>7006.55</v>
      </c>
      <c r="K124" s="130"/>
      <c r="L124" s="131">
        <v>6585.42</v>
      </c>
      <c r="M124" s="130"/>
      <c r="N124" s="131">
        <v>5310.01</v>
      </c>
      <c r="O124" s="130"/>
      <c r="P124" s="131">
        <v>5659.65</v>
      </c>
      <c r="Q124" s="130"/>
      <c r="R124" s="131">
        <v>8199.93</v>
      </c>
      <c r="S124" s="130"/>
      <c r="T124" s="131">
        <v>6173.9</v>
      </c>
      <c r="U124" s="130"/>
      <c r="V124" s="131">
        <v>7254.86</v>
      </c>
      <c r="W124" s="130"/>
      <c r="X124" s="131">
        <v>3917.26</v>
      </c>
      <c r="Y124" s="130"/>
      <c r="Z124" s="131">
        <v>6739.43</v>
      </c>
      <c r="AA124" s="130"/>
      <c r="AB124" s="131">
        <v>12791.66</v>
      </c>
      <c r="AC124" s="130"/>
      <c r="AD124" s="131">
        <v>1119.75</v>
      </c>
      <c r="AE124" s="130"/>
      <c r="AF124" s="131">
        <f t="shared" si="5"/>
        <v>76723.55</v>
      </c>
      <c r="AG124" s="133"/>
    </row>
    <row r="125" spans="2:33" outlineLevel="1">
      <c r="B125" s="127">
        <v>52147</v>
      </c>
      <c r="C125" s="127" t="s">
        <v>71</v>
      </c>
      <c r="D125" s="128"/>
      <c r="E125" s="125"/>
      <c r="F125" s="129"/>
      <c r="G125" s="130"/>
      <c r="H125" s="131">
        <v>5448.66</v>
      </c>
      <c r="I125" s="130"/>
      <c r="J125" s="131">
        <v>35963.449999999997</v>
      </c>
      <c r="K125" s="130"/>
      <c r="L125" s="131">
        <v>40888.53</v>
      </c>
      <c r="M125" s="130"/>
      <c r="N125" s="131">
        <v>3946.16</v>
      </c>
      <c r="O125" s="130"/>
      <c r="P125" s="131">
        <v>10503.53</v>
      </c>
      <c r="Q125" s="130"/>
      <c r="R125" s="131">
        <v>24611.5</v>
      </c>
      <c r="S125" s="130"/>
      <c r="T125" s="131">
        <v>9004.4599999999991</v>
      </c>
      <c r="U125" s="130"/>
      <c r="V125" s="131">
        <v>7886.04</v>
      </c>
      <c r="W125" s="130"/>
      <c r="X125" s="131">
        <v>11567.52</v>
      </c>
      <c r="Y125" s="130"/>
      <c r="Z125" s="131">
        <v>14071.29</v>
      </c>
      <c r="AA125" s="130"/>
      <c r="AB125" s="131">
        <v>8253.7999999999993</v>
      </c>
      <c r="AC125" s="130"/>
      <c r="AD125" s="131">
        <v>8416.5300000000007</v>
      </c>
      <c r="AE125" s="130"/>
      <c r="AF125" s="131">
        <f t="shared" si="5"/>
        <v>180561.47</v>
      </c>
      <c r="AG125" s="133"/>
    </row>
    <row r="126" spans="2:33" outlineLevel="1">
      <c r="B126" s="127">
        <v>52165</v>
      </c>
      <c r="C126" s="127" t="s">
        <v>65</v>
      </c>
      <c r="D126" s="128"/>
      <c r="E126" s="125"/>
      <c r="F126" s="129"/>
      <c r="G126" s="130"/>
      <c r="H126" s="131">
        <v>1301.3499999999999</v>
      </c>
      <c r="I126" s="130"/>
      <c r="J126" s="131">
        <v>1373.88</v>
      </c>
      <c r="K126" s="130"/>
      <c r="L126" s="131">
        <v>0</v>
      </c>
      <c r="M126" s="130"/>
      <c r="N126" s="131">
        <v>216.09</v>
      </c>
      <c r="O126" s="130"/>
      <c r="P126" s="131">
        <v>0</v>
      </c>
      <c r="Q126" s="130"/>
      <c r="R126" s="131">
        <v>432.18</v>
      </c>
      <c r="S126" s="130"/>
      <c r="T126" s="131">
        <v>0</v>
      </c>
      <c r="U126" s="130"/>
      <c r="V126" s="131">
        <v>216.09</v>
      </c>
      <c r="W126" s="130"/>
      <c r="X126" s="131">
        <v>216.09</v>
      </c>
      <c r="Y126" s="130"/>
      <c r="Z126" s="131">
        <v>216.09</v>
      </c>
      <c r="AA126" s="130"/>
      <c r="AB126" s="131">
        <v>216.09</v>
      </c>
      <c r="AC126" s="130"/>
      <c r="AD126" s="131">
        <v>222.58</v>
      </c>
      <c r="AE126" s="130"/>
      <c r="AF126" s="131">
        <f t="shared" si="5"/>
        <v>4410.4400000000005</v>
      </c>
      <c r="AG126" s="133"/>
    </row>
    <row r="127" spans="2:33" outlineLevel="1">
      <c r="B127" s="127">
        <v>52175</v>
      </c>
      <c r="C127" s="127" t="s">
        <v>66</v>
      </c>
      <c r="D127" s="128"/>
      <c r="E127" s="125"/>
      <c r="F127" s="129"/>
      <c r="G127" s="130"/>
      <c r="H127" s="131">
        <v>0</v>
      </c>
      <c r="I127" s="130"/>
      <c r="J127" s="131">
        <v>1928.72</v>
      </c>
      <c r="K127" s="130"/>
      <c r="L127" s="131">
        <v>-24.85</v>
      </c>
      <c r="M127" s="130"/>
      <c r="N127" s="131">
        <v>0</v>
      </c>
      <c r="O127" s="130"/>
      <c r="P127" s="131">
        <v>0</v>
      </c>
      <c r="Q127" s="130"/>
      <c r="R127" s="131">
        <v>150</v>
      </c>
      <c r="S127" s="130"/>
      <c r="T127" s="131">
        <v>1146.92</v>
      </c>
      <c r="U127" s="130"/>
      <c r="V127" s="131">
        <v>1830.82</v>
      </c>
      <c r="W127" s="130"/>
      <c r="X127" s="131">
        <v>688.33</v>
      </c>
      <c r="Y127" s="130"/>
      <c r="Z127" s="131">
        <v>1267.83</v>
      </c>
      <c r="AA127" s="130"/>
      <c r="AB127" s="131">
        <v>0</v>
      </c>
      <c r="AC127" s="130"/>
      <c r="AD127" s="131">
        <v>0</v>
      </c>
      <c r="AE127" s="130"/>
      <c r="AF127" s="131">
        <f t="shared" si="5"/>
        <v>6987.7699999999995</v>
      </c>
      <c r="AG127" s="133"/>
    </row>
    <row r="128" spans="2:33" outlineLevel="1">
      <c r="B128" s="127">
        <v>52181</v>
      </c>
      <c r="C128" s="127" t="s">
        <v>73</v>
      </c>
      <c r="D128" s="128"/>
      <c r="E128" s="125"/>
      <c r="F128" s="129"/>
      <c r="G128" s="130"/>
      <c r="H128" s="131">
        <v>14.98</v>
      </c>
      <c r="I128" s="130"/>
      <c r="J128" s="131">
        <v>13</v>
      </c>
      <c r="K128" s="130"/>
      <c r="L128" s="131">
        <v>14.98</v>
      </c>
      <c r="M128" s="130"/>
      <c r="N128" s="131">
        <v>28.92</v>
      </c>
      <c r="O128" s="130"/>
      <c r="P128" s="131">
        <v>0</v>
      </c>
      <c r="Q128" s="130"/>
      <c r="R128" s="131">
        <v>59.23</v>
      </c>
      <c r="S128" s="130"/>
      <c r="T128" s="131">
        <v>1724.55</v>
      </c>
      <c r="U128" s="130"/>
      <c r="V128" s="131">
        <v>0</v>
      </c>
      <c r="W128" s="130"/>
      <c r="X128" s="131">
        <v>99.12</v>
      </c>
      <c r="Y128" s="130"/>
      <c r="Z128" s="131">
        <v>14.98</v>
      </c>
      <c r="AA128" s="130"/>
      <c r="AB128" s="131">
        <v>12.28</v>
      </c>
      <c r="AC128" s="130"/>
      <c r="AD128" s="131">
        <v>0</v>
      </c>
      <c r="AE128" s="130"/>
      <c r="AF128" s="131">
        <f t="shared" si="5"/>
        <v>1982.04</v>
      </c>
      <c r="AG128" s="133"/>
    </row>
    <row r="129" spans="2:33" outlineLevel="1">
      <c r="B129" s="127">
        <v>52182</v>
      </c>
      <c r="C129" s="127" t="s">
        <v>266</v>
      </c>
      <c r="D129" s="128"/>
      <c r="E129" s="125"/>
      <c r="F129" s="129"/>
      <c r="G129" s="130"/>
      <c r="H129" s="131">
        <v>1325.46</v>
      </c>
      <c r="I129" s="130"/>
      <c r="J129" s="131">
        <v>1009</v>
      </c>
      <c r="K129" s="130"/>
      <c r="L129" s="131">
        <v>2236.23</v>
      </c>
      <c r="M129" s="130"/>
      <c r="N129" s="131">
        <v>1808.3</v>
      </c>
      <c r="O129" s="130"/>
      <c r="P129" s="131">
        <v>1568.89</v>
      </c>
      <c r="Q129" s="130"/>
      <c r="R129" s="131">
        <v>994.09</v>
      </c>
      <c r="S129" s="130"/>
      <c r="T129" s="131">
        <v>473.38</v>
      </c>
      <c r="U129" s="130"/>
      <c r="V129" s="131">
        <v>6434.73</v>
      </c>
      <c r="W129" s="130"/>
      <c r="X129" s="131">
        <v>2201.87</v>
      </c>
      <c r="Y129" s="130"/>
      <c r="Z129" s="131">
        <v>608.63</v>
      </c>
      <c r="AA129" s="130"/>
      <c r="AB129" s="131">
        <v>481.49</v>
      </c>
      <c r="AC129" s="130"/>
      <c r="AD129" s="131">
        <v>335.42</v>
      </c>
      <c r="AE129" s="130"/>
      <c r="AF129" s="131">
        <f t="shared" si="5"/>
        <v>19477.489999999998</v>
      </c>
      <c r="AG129" s="133"/>
    </row>
    <row r="130" spans="2:33" outlineLevel="1">
      <c r="B130" s="127">
        <v>52185</v>
      </c>
      <c r="C130" s="127" t="s">
        <v>170</v>
      </c>
      <c r="D130" s="128"/>
      <c r="E130" s="125"/>
      <c r="F130" s="129"/>
      <c r="G130" s="130"/>
      <c r="H130" s="131">
        <v>0</v>
      </c>
      <c r="I130" s="130"/>
      <c r="J130" s="131">
        <v>0</v>
      </c>
      <c r="K130" s="130"/>
      <c r="L130" s="131">
        <v>0</v>
      </c>
      <c r="M130" s="130"/>
      <c r="N130" s="131">
        <v>0</v>
      </c>
      <c r="O130" s="130"/>
      <c r="P130" s="131">
        <v>0</v>
      </c>
      <c r="Q130" s="130"/>
      <c r="R130" s="131">
        <v>0</v>
      </c>
      <c r="S130" s="130"/>
      <c r="T130" s="131">
        <v>0</v>
      </c>
      <c r="U130" s="130"/>
      <c r="V130" s="131">
        <v>0</v>
      </c>
      <c r="W130" s="130"/>
      <c r="X130" s="131">
        <v>0</v>
      </c>
      <c r="Y130" s="130"/>
      <c r="Z130" s="131">
        <v>8.86</v>
      </c>
      <c r="AA130" s="130"/>
      <c r="AB130" s="131">
        <v>0</v>
      </c>
      <c r="AC130" s="130"/>
      <c r="AD130" s="131">
        <v>0</v>
      </c>
      <c r="AE130" s="130"/>
      <c r="AF130" s="131">
        <f t="shared" si="5"/>
        <v>8.86</v>
      </c>
      <c r="AG130" s="133"/>
    </row>
    <row r="131" spans="2:33" outlineLevel="1">
      <c r="B131" s="127">
        <v>52200</v>
      </c>
      <c r="C131" s="127" t="s">
        <v>267</v>
      </c>
      <c r="D131" s="128"/>
      <c r="E131" s="125"/>
      <c r="F131" s="129"/>
      <c r="G131" s="130"/>
      <c r="H131" s="131">
        <v>27.57</v>
      </c>
      <c r="I131" s="130"/>
      <c r="J131" s="131">
        <v>446.84</v>
      </c>
      <c r="K131" s="130"/>
      <c r="L131" s="131">
        <v>0</v>
      </c>
      <c r="M131" s="130"/>
      <c r="N131" s="131">
        <v>45.96</v>
      </c>
      <c r="O131" s="130"/>
      <c r="P131" s="131">
        <v>54.08</v>
      </c>
      <c r="Q131" s="130"/>
      <c r="R131" s="131">
        <v>0</v>
      </c>
      <c r="S131" s="130"/>
      <c r="T131" s="131">
        <v>0</v>
      </c>
      <c r="U131" s="130"/>
      <c r="V131" s="131">
        <v>0</v>
      </c>
      <c r="W131" s="130"/>
      <c r="X131" s="131">
        <v>2157.14</v>
      </c>
      <c r="Y131" s="130"/>
      <c r="Z131" s="131">
        <v>0</v>
      </c>
      <c r="AA131" s="130"/>
      <c r="AB131" s="131">
        <v>0</v>
      </c>
      <c r="AC131" s="130"/>
      <c r="AD131" s="131">
        <v>0</v>
      </c>
      <c r="AE131" s="130"/>
      <c r="AF131" s="131">
        <f t="shared" si="5"/>
        <v>2731.59</v>
      </c>
      <c r="AG131" s="133"/>
    </row>
    <row r="132" spans="2:33" outlineLevel="1">
      <c r="B132" s="127">
        <v>52335</v>
      </c>
      <c r="C132" s="127" t="s">
        <v>91</v>
      </c>
      <c r="D132" s="128"/>
      <c r="E132" s="125"/>
      <c r="F132" s="129"/>
      <c r="G132" s="130"/>
      <c r="H132" s="131">
        <v>250</v>
      </c>
      <c r="I132" s="130"/>
      <c r="J132" s="131">
        <v>250</v>
      </c>
      <c r="K132" s="130"/>
      <c r="L132" s="131">
        <v>250</v>
      </c>
      <c r="M132" s="130"/>
      <c r="N132" s="131">
        <v>250</v>
      </c>
      <c r="O132" s="130"/>
      <c r="P132" s="131">
        <v>250</v>
      </c>
      <c r="Q132" s="130"/>
      <c r="R132" s="131">
        <v>250</v>
      </c>
      <c r="S132" s="130"/>
      <c r="T132" s="131">
        <v>124.77</v>
      </c>
      <c r="U132" s="130"/>
      <c r="V132" s="131">
        <v>250</v>
      </c>
      <c r="W132" s="130"/>
      <c r="X132" s="131">
        <v>250</v>
      </c>
      <c r="Y132" s="130"/>
      <c r="Z132" s="131">
        <v>0</v>
      </c>
      <c r="AA132" s="130"/>
      <c r="AB132" s="131">
        <v>342.23</v>
      </c>
      <c r="AC132" s="130"/>
      <c r="AD132" s="131">
        <v>0</v>
      </c>
      <c r="AE132" s="130"/>
      <c r="AF132" s="131">
        <f t="shared" si="5"/>
        <v>2467</v>
      </c>
      <c r="AG132" s="133"/>
    </row>
    <row r="133" spans="2:33" outlineLevel="1">
      <c r="B133" s="127">
        <v>52901</v>
      </c>
      <c r="C133" s="127" t="s">
        <v>268</v>
      </c>
      <c r="D133" s="128"/>
      <c r="E133" s="125"/>
      <c r="F133" s="129"/>
      <c r="G133" s="130"/>
      <c r="H133" s="131">
        <v>0</v>
      </c>
      <c r="I133" s="130"/>
      <c r="J133" s="131">
        <v>0</v>
      </c>
      <c r="K133" s="130"/>
      <c r="L133" s="131">
        <v>0</v>
      </c>
      <c r="M133" s="130"/>
      <c r="N133" s="131">
        <v>0</v>
      </c>
      <c r="O133" s="130"/>
      <c r="P133" s="131">
        <v>0</v>
      </c>
      <c r="Q133" s="130"/>
      <c r="R133" s="131">
        <v>0</v>
      </c>
      <c r="S133" s="130"/>
      <c r="T133" s="131">
        <v>0</v>
      </c>
      <c r="U133" s="130"/>
      <c r="V133" s="131">
        <v>0</v>
      </c>
      <c r="W133" s="130"/>
      <c r="X133" s="131">
        <v>0</v>
      </c>
      <c r="Y133" s="130"/>
      <c r="Z133" s="131">
        <v>0</v>
      </c>
      <c r="AA133" s="130"/>
      <c r="AB133" s="131">
        <v>0</v>
      </c>
      <c r="AC133" s="130"/>
      <c r="AD133" s="131">
        <v>0</v>
      </c>
      <c r="AE133" s="130"/>
      <c r="AF133" s="131">
        <f t="shared" si="5"/>
        <v>0</v>
      </c>
      <c r="AG133" s="133"/>
    </row>
    <row r="134" spans="2:33" s="129" customFormat="1" ht="5.0999999999999996" customHeight="1" outlineLevel="1">
      <c r="B134" s="128"/>
      <c r="C134" s="128"/>
      <c r="D134" s="128"/>
      <c r="E134" s="128"/>
      <c r="H134" s="158"/>
      <c r="I134" s="156"/>
      <c r="J134" s="158"/>
      <c r="K134" s="156"/>
      <c r="L134" s="158"/>
      <c r="M134" s="156"/>
      <c r="N134" s="158"/>
      <c r="O134" s="156"/>
      <c r="P134" s="158"/>
      <c r="Q134" s="156"/>
      <c r="R134" s="158"/>
      <c r="S134" s="156"/>
      <c r="T134" s="158"/>
      <c r="U134" s="156"/>
      <c r="V134" s="158"/>
      <c r="W134" s="156"/>
      <c r="X134" s="158"/>
      <c r="Y134" s="156"/>
      <c r="Z134" s="158"/>
      <c r="AA134" s="156"/>
      <c r="AB134" s="158"/>
      <c r="AC134" s="156"/>
      <c r="AD134" s="158"/>
      <c r="AE134" s="156"/>
      <c r="AF134" s="158"/>
      <c r="AG134" s="136"/>
    </row>
    <row r="135" spans="2:33" s="129" customFormat="1" ht="15">
      <c r="D135" s="128" t="s">
        <v>269</v>
      </c>
      <c r="H135" s="155">
        <f>SUM(H105:H134)</f>
        <v>199588.94000000003</v>
      </c>
      <c r="I135" s="156"/>
      <c r="J135" s="155">
        <f>SUM(J105:J134)</f>
        <v>232742.61</v>
      </c>
      <c r="K135" s="156"/>
      <c r="L135" s="155">
        <f>SUM(L105:L134)</f>
        <v>241568.57000000004</v>
      </c>
      <c r="M135" s="156"/>
      <c r="N135" s="155">
        <f>SUM(N105:N134)</f>
        <v>188060.02000000002</v>
      </c>
      <c r="O135" s="156"/>
      <c r="P135" s="155">
        <f>SUM(P105:P134)</f>
        <v>222304.3</v>
      </c>
      <c r="Q135" s="156"/>
      <c r="R135" s="155">
        <f>SUM(R105:R134)</f>
        <v>222953.07</v>
      </c>
      <c r="S135" s="156"/>
      <c r="T135" s="155">
        <f>SUM(T105:T134)</f>
        <v>202171.56</v>
      </c>
      <c r="U135" s="156"/>
      <c r="V135" s="155">
        <f>SUM(V105:V134)</f>
        <v>210928.3</v>
      </c>
      <c r="W135" s="156"/>
      <c r="X135" s="155">
        <f>SUM(X105:X134)</f>
        <v>222944.72999999995</v>
      </c>
      <c r="Y135" s="156"/>
      <c r="Z135" s="155">
        <f>SUM(Z105:Z134)</f>
        <v>210024.59999999998</v>
      </c>
      <c r="AA135" s="156"/>
      <c r="AB135" s="155">
        <f>SUM(AB105:AB134)</f>
        <v>222792.30000000002</v>
      </c>
      <c r="AC135" s="156"/>
      <c r="AD135" s="155">
        <f>SUM(AD105:AD134)</f>
        <v>234384.25999999998</v>
      </c>
      <c r="AE135" s="156"/>
      <c r="AF135" s="155">
        <f>SUM(AF105:AF134)</f>
        <v>2610463.2599999998</v>
      </c>
      <c r="AG135" s="136"/>
    </row>
    <row r="136" spans="2:33" s="129" customFormat="1" ht="15" outlineLevel="1">
      <c r="H136" s="157"/>
      <c r="I136" s="156"/>
      <c r="J136" s="157"/>
      <c r="K136" s="156"/>
      <c r="L136" s="157"/>
      <c r="M136" s="156"/>
      <c r="N136" s="157"/>
      <c r="O136" s="156"/>
      <c r="P136" s="157"/>
      <c r="Q136" s="156"/>
      <c r="R136" s="157"/>
      <c r="S136" s="156"/>
      <c r="T136" s="157"/>
      <c r="U136" s="156"/>
      <c r="V136" s="157"/>
      <c r="W136" s="156"/>
      <c r="X136" s="157"/>
      <c r="Y136" s="156"/>
      <c r="Z136" s="157"/>
      <c r="AA136" s="156"/>
      <c r="AB136" s="157"/>
      <c r="AC136" s="156"/>
      <c r="AD136" s="157"/>
      <c r="AE136" s="156"/>
      <c r="AF136" s="157"/>
      <c r="AG136" s="136"/>
    </row>
    <row r="137" spans="2:33" s="129" customFormat="1" ht="15" outlineLevel="1">
      <c r="H137" s="157"/>
      <c r="I137" s="156"/>
      <c r="J137" s="157"/>
      <c r="K137" s="156"/>
      <c r="L137" s="157"/>
      <c r="M137" s="156"/>
      <c r="N137" s="157"/>
      <c r="O137" s="156"/>
      <c r="P137" s="157"/>
      <c r="Q137" s="156"/>
      <c r="R137" s="157"/>
      <c r="S137" s="156"/>
      <c r="T137" s="157"/>
      <c r="U137" s="156"/>
      <c r="V137" s="157"/>
      <c r="W137" s="156"/>
      <c r="X137" s="157"/>
      <c r="Y137" s="156"/>
      <c r="Z137" s="157"/>
      <c r="AA137" s="156"/>
      <c r="AB137" s="157"/>
      <c r="AC137" s="156"/>
      <c r="AD137" s="157"/>
      <c r="AE137" s="156"/>
      <c r="AF137" s="157"/>
      <c r="AG137" s="136"/>
    </row>
    <row r="138" spans="2:33" outlineLevel="1">
      <c r="B138" s="127">
        <v>55020</v>
      </c>
      <c r="C138" s="127" t="s">
        <v>50</v>
      </c>
      <c r="D138" s="128"/>
      <c r="E138" s="125"/>
      <c r="F138" s="129"/>
      <c r="G138" s="130"/>
      <c r="H138" s="131">
        <v>2737.33</v>
      </c>
      <c r="I138" s="130"/>
      <c r="J138" s="131">
        <v>3416.78</v>
      </c>
      <c r="K138" s="130"/>
      <c r="L138" s="131">
        <v>3078.98</v>
      </c>
      <c r="M138" s="130"/>
      <c r="N138" s="131">
        <v>3485.33</v>
      </c>
      <c r="O138" s="130"/>
      <c r="P138" s="131">
        <v>3810.67</v>
      </c>
      <c r="Q138" s="130"/>
      <c r="R138" s="131">
        <v>3503.4</v>
      </c>
      <c r="S138" s="130"/>
      <c r="T138" s="131">
        <v>3722.34</v>
      </c>
      <c r="U138" s="130"/>
      <c r="V138" s="131">
        <v>3509.66</v>
      </c>
      <c r="W138" s="130"/>
      <c r="X138" s="131">
        <v>3498.34</v>
      </c>
      <c r="Y138" s="130"/>
      <c r="Z138" s="131">
        <v>3200</v>
      </c>
      <c r="AA138" s="130"/>
      <c r="AB138" s="131">
        <v>3755</v>
      </c>
      <c r="AC138" s="130"/>
      <c r="AD138" s="131">
        <v>772.67</v>
      </c>
      <c r="AE138" s="130"/>
      <c r="AF138" s="131">
        <f t="shared" ref="AF138:AF151" si="6">AD138+AB138+Z138+X138+V138+T138+R138+P138+N138+L138+J138+H138</f>
        <v>38490.500000000007</v>
      </c>
      <c r="AG138" s="133"/>
    </row>
    <row r="139" spans="2:33" outlineLevel="1">
      <c r="B139" s="127">
        <v>55025</v>
      </c>
      <c r="C139" s="127" t="s">
        <v>51</v>
      </c>
      <c r="D139" s="128"/>
      <c r="E139" s="125"/>
      <c r="F139" s="129"/>
      <c r="G139" s="130"/>
      <c r="H139" s="131">
        <v>810.31</v>
      </c>
      <c r="I139" s="130"/>
      <c r="J139" s="131">
        <v>1007.17</v>
      </c>
      <c r="K139" s="130"/>
      <c r="L139" s="131">
        <v>954.9</v>
      </c>
      <c r="M139" s="130"/>
      <c r="N139" s="131">
        <v>417.47</v>
      </c>
      <c r="O139" s="130"/>
      <c r="P139" s="131">
        <v>273.89999999999998</v>
      </c>
      <c r="Q139" s="130"/>
      <c r="R139" s="131">
        <v>286.79000000000002</v>
      </c>
      <c r="S139" s="130"/>
      <c r="T139" s="131">
        <v>320.45999999999998</v>
      </c>
      <c r="U139" s="130"/>
      <c r="V139" s="131">
        <v>272.77999999999997</v>
      </c>
      <c r="W139" s="130"/>
      <c r="X139" s="131">
        <v>466.02</v>
      </c>
      <c r="Y139" s="130"/>
      <c r="Z139" s="131">
        <v>174.54</v>
      </c>
      <c r="AA139" s="130"/>
      <c r="AB139" s="131">
        <v>370.53</v>
      </c>
      <c r="AC139" s="130"/>
      <c r="AD139" s="131">
        <v>210.04</v>
      </c>
      <c r="AE139" s="130"/>
      <c r="AF139" s="131">
        <f t="shared" si="6"/>
        <v>5564.91</v>
      </c>
      <c r="AG139" s="133"/>
    </row>
    <row r="140" spans="2:33" outlineLevel="1">
      <c r="B140" s="127">
        <v>55035</v>
      </c>
      <c r="C140" s="127" t="s">
        <v>258</v>
      </c>
      <c r="D140" s="128"/>
      <c r="E140" s="125"/>
      <c r="F140" s="129"/>
      <c r="G140" s="130"/>
      <c r="H140" s="131">
        <v>0</v>
      </c>
      <c r="I140" s="130"/>
      <c r="J140" s="131">
        <v>0</v>
      </c>
      <c r="K140" s="130"/>
      <c r="L140" s="131">
        <v>0</v>
      </c>
      <c r="M140" s="130"/>
      <c r="N140" s="131">
        <v>0</v>
      </c>
      <c r="O140" s="130"/>
      <c r="P140" s="131">
        <v>0</v>
      </c>
      <c r="Q140" s="130"/>
      <c r="R140" s="131">
        <v>0</v>
      </c>
      <c r="S140" s="130"/>
      <c r="T140" s="131">
        <v>0</v>
      </c>
      <c r="U140" s="130"/>
      <c r="V140" s="131">
        <v>0</v>
      </c>
      <c r="W140" s="130"/>
      <c r="X140" s="131">
        <v>0</v>
      </c>
      <c r="Y140" s="130"/>
      <c r="Z140" s="131">
        <v>0</v>
      </c>
      <c r="AA140" s="130"/>
      <c r="AB140" s="131">
        <v>0</v>
      </c>
      <c r="AC140" s="130"/>
      <c r="AD140" s="131">
        <v>0</v>
      </c>
      <c r="AE140" s="130"/>
      <c r="AF140" s="131">
        <f t="shared" si="6"/>
        <v>0</v>
      </c>
      <c r="AG140" s="133"/>
    </row>
    <row r="141" spans="2:33" outlineLevel="1">
      <c r="B141" s="127">
        <v>55036</v>
      </c>
      <c r="C141" s="127" t="s">
        <v>77</v>
      </c>
      <c r="D141" s="128"/>
      <c r="E141" s="125"/>
      <c r="F141" s="129"/>
      <c r="G141" s="130"/>
      <c r="H141" s="131">
        <v>0</v>
      </c>
      <c r="I141" s="130"/>
      <c r="J141" s="131">
        <v>0</v>
      </c>
      <c r="K141" s="130"/>
      <c r="L141" s="131">
        <v>0</v>
      </c>
      <c r="M141" s="130"/>
      <c r="N141" s="131">
        <v>0</v>
      </c>
      <c r="O141" s="130"/>
      <c r="P141" s="131">
        <v>0</v>
      </c>
      <c r="Q141" s="130"/>
      <c r="R141" s="131">
        <v>25</v>
      </c>
      <c r="S141" s="130"/>
      <c r="T141" s="131">
        <v>0</v>
      </c>
      <c r="U141" s="130"/>
      <c r="V141" s="131">
        <v>0</v>
      </c>
      <c r="W141" s="130"/>
      <c r="X141" s="131">
        <v>0</v>
      </c>
      <c r="Y141" s="130"/>
      <c r="Z141" s="131">
        <v>12.13</v>
      </c>
      <c r="AA141" s="130"/>
      <c r="AB141" s="131">
        <v>0</v>
      </c>
      <c r="AC141" s="130"/>
      <c r="AD141" s="131">
        <v>0</v>
      </c>
      <c r="AE141" s="130"/>
      <c r="AF141" s="131">
        <f t="shared" si="6"/>
        <v>37.130000000000003</v>
      </c>
      <c r="AG141" s="133"/>
    </row>
    <row r="142" spans="2:33" outlineLevel="1">
      <c r="B142" s="127">
        <v>55050</v>
      </c>
      <c r="C142" s="127" t="s">
        <v>204</v>
      </c>
      <c r="D142" s="128"/>
      <c r="E142" s="125"/>
      <c r="F142" s="129"/>
      <c r="G142" s="130"/>
      <c r="H142" s="131">
        <v>303.60000000000002</v>
      </c>
      <c r="I142" s="130"/>
      <c r="J142" s="131">
        <v>375.7</v>
      </c>
      <c r="K142" s="130"/>
      <c r="L142" s="131">
        <v>339.79</v>
      </c>
      <c r="M142" s="130"/>
      <c r="N142" s="131">
        <v>326.10000000000002</v>
      </c>
      <c r="O142" s="130"/>
      <c r="P142" s="131">
        <v>353.12</v>
      </c>
      <c r="Q142" s="130"/>
      <c r="R142" s="131">
        <v>349.33</v>
      </c>
      <c r="S142" s="130"/>
      <c r="T142" s="131">
        <v>392.41</v>
      </c>
      <c r="U142" s="130"/>
      <c r="V142" s="131">
        <v>325.63</v>
      </c>
      <c r="W142" s="130"/>
      <c r="X142" s="131">
        <v>347.79</v>
      </c>
      <c r="Y142" s="130"/>
      <c r="Z142" s="131">
        <v>291.89</v>
      </c>
      <c r="AA142" s="130"/>
      <c r="AB142" s="131">
        <v>316.45</v>
      </c>
      <c r="AC142" s="130"/>
      <c r="AD142" s="131">
        <v>350.95</v>
      </c>
      <c r="AE142" s="130"/>
      <c r="AF142" s="131">
        <f t="shared" si="6"/>
        <v>4072.7599999999998</v>
      </c>
      <c r="AG142" s="133"/>
    </row>
    <row r="143" spans="2:33" outlineLevel="1">
      <c r="B143" s="127">
        <v>55060</v>
      </c>
      <c r="C143" s="127" t="s">
        <v>148</v>
      </c>
      <c r="D143" s="128"/>
      <c r="E143" s="125"/>
      <c r="F143" s="129"/>
      <c r="G143" s="130"/>
      <c r="H143" s="131">
        <v>1000</v>
      </c>
      <c r="I143" s="130"/>
      <c r="J143" s="131">
        <v>1000</v>
      </c>
      <c r="K143" s="130"/>
      <c r="L143" s="131">
        <v>1000</v>
      </c>
      <c r="M143" s="130"/>
      <c r="N143" s="131">
        <v>1000</v>
      </c>
      <c r="O143" s="130"/>
      <c r="P143" s="131">
        <v>1000</v>
      </c>
      <c r="Q143" s="130"/>
      <c r="R143" s="131">
        <v>1000</v>
      </c>
      <c r="S143" s="130"/>
      <c r="T143" s="131">
        <v>1000</v>
      </c>
      <c r="U143" s="130"/>
      <c r="V143" s="131">
        <v>1000</v>
      </c>
      <c r="W143" s="130"/>
      <c r="X143" s="131">
        <v>1005.32</v>
      </c>
      <c r="Y143" s="130"/>
      <c r="Z143" s="131">
        <v>1005.32</v>
      </c>
      <c r="AA143" s="130"/>
      <c r="AB143" s="131">
        <v>1005.32</v>
      </c>
      <c r="AC143" s="130"/>
      <c r="AD143" s="131">
        <v>887.16</v>
      </c>
      <c r="AE143" s="130"/>
      <c r="AF143" s="131">
        <f t="shared" si="6"/>
        <v>11903.12</v>
      </c>
      <c r="AG143" s="133"/>
    </row>
    <row r="144" spans="2:33" outlineLevel="1">
      <c r="B144" s="127">
        <v>55065</v>
      </c>
      <c r="C144" s="127" t="s">
        <v>47</v>
      </c>
      <c r="D144" s="128"/>
      <c r="E144" s="125"/>
      <c r="F144" s="129"/>
      <c r="G144" s="130"/>
      <c r="H144" s="131">
        <v>58.51</v>
      </c>
      <c r="I144" s="130"/>
      <c r="J144" s="131">
        <v>58.51</v>
      </c>
      <c r="K144" s="130"/>
      <c r="L144" s="131">
        <v>56.63</v>
      </c>
      <c r="M144" s="130"/>
      <c r="N144" s="131">
        <v>162.80000000000001</v>
      </c>
      <c r="O144" s="130"/>
      <c r="P144" s="131">
        <v>70.78</v>
      </c>
      <c r="Q144" s="130"/>
      <c r="R144" s="131">
        <v>73.14</v>
      </c>
      <c r="S144" s="130"/>
      <c r="T144" s="131">
        <v>73.14</v>
      </c>
      <c r="U144" s="130"/>
      <c r="V144" s="131">
        <v>66.06</v>
      </c>
      <c r="W144" s="130"/>
      <c r="X144" s="131">
        <v>89.66</v>
      </c>
      <c r="Y144" s="130"/>
      <c r="Z144" s="131">
        <v>141.57</v>
      </c>
      <c r="AA144" s="130"/>
      <c r="AB144" s="131">
        <v>146.29</v>
      </c>
      <c r="AC144" s="130"/>
      <c r="AD144" s="131">
        <v>419.63</v>
      </c>
      <c r="AE144" s="130"/>
      <c r="AF144" s="131">
        <f t="shared" si="6"/>
        <v>1416.72</v>
      </c>
      <c r="AG144" s="133"/>
    </row>
    <row r="145" spans="2:33" outlineLevel="1">
      <c r="B145" s="127">
        <v>55070</v>
      </c>
      <c r="C145" s="127" t="s">
        <v>48</v>
      </c>
      <c r="D145" s="128"/>
      <c r="E145" s="125"/>
      <c r="F145" s="129"/>
      <c r="G145" s="130"/>
      <c r="H145" s="131">
        <v>128</v>
      </c>
      <c r="I145" s="130"/>
      <c r="J145" s="131">
        <v>8</v>
      </c>
      <c r="K145" s="130"/>
      <c r="L145" s="131">
        <v>0</v>
      </c>
      <c r="M145" s="130"/>
      <c r="N145" s="131">
        <v>0</v>
      </c>
      <c r="O145" s="130"/>
      <c r="P145" s="131">
        <v>160</v>
      </c>
      <c r="Q145" s="130"/>
      <c r="R145" s="131">
        <v>0</v>
      </c>
      <c r="S145" s="130"/>
      <c r="T145" s="131">
        <v>0</v>
      </c>
      <c r="U145" s="130"/>
      <c r="V145" s="131">
        <v>160</v>
      </c>
      <c r="W145" s="130"/>
      <c r="X145" s="131">
        <v>160</v>
      </c>
      <c r="Y145" s="130"/>
      <c r="Z145" s="131">
        <v>0</v>
      </c>
      <c r="AA145" s="130"/>
      <c r="AB145" s="131">
        <v>0</v>
      </c>
      <c r="AC145" s="130"/>
      <c r="AD145" s="131">
        <v>960</v>
      </c>
      <c r="AE145" s="130"/>
      <c r="AF145" s="131">
        <f t="shared" si="6"/>
        <v>1576</v>
      </c>
      <c r="AG145" s="133"/>
    </row>
    <row r="146" spans="2:33" outlineLevel="1">
      <c r="B146" s="127">
        <v>55086</v>
      </c>
      <c r="C146" s="127" t="s">
        <v>259</v>
      </c>
      <c r="D146" s="128"/>
      <c r="E146" s="125"/>
      <c r="F146" s="129"/>
      <c r="G146" s="130"/>
      <c r="H146" s="131">
        <v>0</v>
      </c>
      <c r="I146" s="130"/>
      <c r="J146" s="131">
        <v>240.62</v>
      </c>
      <c r="K146" s="130"/>
      <c r="L146" s="131">
        <v>0</v>
      </c>
      <c r="M146" s="130"/>
      <c r="N146" s="131">
        <v>440.99</v>
      </c>
      <c r="O146" s="130"/>
      <c r="P146" s="131">
        <v>0</v>
      </c>
      <c r="Q146" s="130"/>
      <c r="R146" s="131">
        <v>84</v>
      </c>
      <c r="S146" s="130"/>
      <c r="T146" s="131">
        <v>0</v>
      </c>
      <c r="U146" s="130"/>
      <c r="V146" s="131">
        <v>0</v>
      </c>
      <c r="W146" s="130"/>
      <c r="X146" s="131">
        <v>0</v>
      </c>
      <c r="Y146" s="130"/>
      <c r="Z146" s="131">
        <v>0</v>
      </c>
      <c r="AA146" s="130"/>
      <c r="AB146" s="131">
        <v>0</v>
      </c>
      <c r="AC146" s="130"/>
      <c r="AD146" s="131">
        <v>0</v>
      </c>
      <c r="AE146" s="130"/>
      <c r="AF146" s="131">
        <f t="shared" si="6"/>
        <v>765.61</v>
      </c>
      <c r="AG146" s="133"/>
    </row>
    <row r="147" spans="2:33" outlineLevel="1">
      <c r="B147" s="127">
        <v>55120</v>
      </c>
      <c r="C147" s="127" t="s">
        <v>263</v>
      </c>
      <c r="D147" s="128"/>
      <c r="E147" s="125"/>
      <c r="F147" s="129"/>
      <c r="G147" s="130"/>
      <c r="H147" s="131">
        <v>2020.9</v>
      </c>
      <c r="I147" s="130"/>
      <c r="J147" s="131">
        <v>9000.58</v>
      </c>
      <c r="K147" s="130"/>
      <c r="L147" s="131">
        <v>6096.41</v>
      </c>
      <c r="M147" s="130"/>
      <c r="N147" s="131">
        <v>6710.01</v>
      </c>
      <c r="O147" s="130"/>
      <c r="P147" s="131">
        <v>8240.67</v>
      </c>
      <c r="Q147" s="130"/>
      <c r="R147" s="131">
        <v>5060.47</v>
      </c>
      <c r="S147" s="130"/>
      <c r="T147" s="131">
        <v>14006.38</v>
      </c>
      <c r="U147" s="130"/>
      <c r="V147" s="131">
        <v>5158.26</v>
      </c>
      <c r="W147" s="130"/>
      <c r="X147" s="131">
        <v>5686.62</v>
      </c>
      <c r="Y147" s="130"/>
      <c r="Z147" s="131">
        <v>7301.54</v>
      </c>
      <c r="AA147" s="130"/>
      <c r="AB147" s="131">
        <v>11340.68</v>
      </c>
      <c r="AC147" s="130"/>
      <c r="AD147" s="131">
        <v>8403.4699999999993</v>
      </c>
      <c r="AE147" s="130"/>
      <c r="AF147" s="131">
        <f t="shared" si="6"/>
        <v>89025.989999999991</v>
      </c>
      <c r="AG147" s="133"/>
    </row>
    <row r="148" spans="2:33" outlineLevel="1">
      <c r="B148" s="127">
        <v>55125</v>
      </c>
      <c r="C148" s="127" t="s">
        <v>54</v>
      </c>
      <c r="D148" s="128"/>
      <c r="E148" s="125"/>
      <c r="F148" s="129"/>
      <c r="G148" s="130"/>
      <c r="H148" s="131">
        <v>1546.94</v>
      </c>
      <c r="I148" s="130"/>
      <c r="J148" s="131">
        <v>3653.85</v>
      </c>
      <c r="K148" s="130"/>
      <c r="L148" s="131">
        <v>974.02</v>
      </c>
      <c r="M148" s="130"/>
      <c r="N148" s="131">
        <v>722.19</v>
      </c>
      <c r="O148" s="130"/>
      <c r="P148" s="131">
        <v>1416.02</v>
      </c>
      <c r="Q148" s="130"/>
      <c r="R148" s="131">
        <v>1532.36</v>
      </c>
      <c r="S148" s="130"/>
      <c r="T148" s="131">
        <v>1586.42</v>
      </c>
      <c r="U148" s="130"/>
      <c r="V148" s="131">
        <v>1491.3</v>
      </c>
      <c r="W148" s="130"/>
      <c r="X148" s="131">
        <v>2726.32</v>
      </c>
      <c r="Y148" s="130"/>
      <c r="Z148" s="131">
        <v>1770.19</v>
      </c>
      <c r="AA148" s="130"/>
      <c r="AB148" s="131">
        <v>2657.56</v>
      </c>
      <c r="AC148" s="130"/>
      <c r="AD148" s="131">
        <v>3175.66</v>
      </c>
      <c r="AE148" s="130"/>
      <c r="AF148" s="131">
        <f t="shared" si="6"/>
        <v>23252.829999999998</v>
      </c>
      <c r="AG148" s="133"/>
    </row>
    <row r="149" spans="2:33" outlineLevel="1">
      <c r="B149" s="127">
        <v>55135</v>
      </c>
      <c r="C149" s="127" t="s">
        <v>70</v>
      </c>
      <c r="D149" s="128"/>
      <c r="E149" s="125"/>
      <c r="F149" s="129"/>
      <c r="G149" s="130"/>
      <c r="H149" s="131">
        <v>355.54</v>
      </c>
      <c r="I149" s="130"/>
      <c r="J149" s="131">
        <v>0</v>
      </c>
      <c r="K149" s="130"/>
      <c r="L149" s="131">
        <v>0</v>
      </c>
      <c r="M149" s="130"/>
      <c r="N149" s="131">
        <v>166.36</v>
      </c>
      <c r="O149" s="130"/>
      <c r="P149" s="131">
        <v>0</v>
      </c>
      <c r="Q149" s="130"/>
      <c r="R149" s="131">
        <v>0</v>
      </c>
      <c r="S149" s="130"/>
      <c r="T149" s="131">
        <v>0</v>
      </c>
      <c r="U149" s="130"/>
      <c r="V149" s="131">
        <v>419.81</v>
      </c>
      <c r="W149" s="130"/>
      <c r="X149" s="131">
        <v>0</v>
      </c>
      <c r="Y149" s="130"/>
      <c r="Z149" s="131">
        <v>0</v>
      </c>
      <c r="AA149" s="130"/>
      <c r="AB149" s="131">
        <v>0</v>
      </c>
      <c r="AC149" s="130"/>
      <c r="AD149" s="131">
        <v>0</v>
      </c>
      <c r="AE149" s="130"/>
      <c r="AF149" s="131">
        <f t="shared" si="6"/>
        <v>941.71</v>
      </c>
      <c r="AG149" s="133"/>
    </row>
    <row r="150" spans="2:33" outlineLevel="1">
      <c r="B150" s="127">
        <v>55142</v>
      </c>
      <c r="C150" s="127" t="s">
        <v>84</v>
      </c>
      <c r="D150" s="128"/>
      <c r="E150" s="125"/>
      <c r="F150" s="129"/>
      <c r="G150" s="130"/>
      <c r="H150" s="131">
        <v>0</v>
      </c>
      <c r="I150" s="130"/>
      <c r="J150" s="131">
        <v>0</v>
      </c>
      <c r="K150" s="130"/>
      <c r="L150" s="131">
        <v>0</v>
      </c>
      <c r="M150" s="130"/>
      <c r="N150" s="131">
        <v>0</v>
      </c>
      <c r="O150" s="130"/>
      <c r="P150" s="131">
        <v>0</v>
      </c>
      <c r="Q150" s="130"/>
      <c r="R150" s="131">
        <v>0</v>
      </c>
      <c r="S150" s="130"/>
      <c r="T150" s="131">
        <v>59.96</v>
      </c>
      <c r="U150" s="130"/>
      <c r="V150" s="131">
        <v>-50</v>
      </c>
      <c r="W150" s="130"/>
      <c r="X150" s="131">
        <v>0</v>
      </c>
      <c r="Y150" s="130"/>
      <c r="Z150" s="131">
        <v>0</v>
      </c>
      <c r="AA150" s="130"/>
      <c r="AB150" s="131">
        <v>0</v>
      </c>
      <c r="AC150" s="130"/>
      <c r="AD150" s="131">
        <v>0</v>
      </c>
      <c r="AE150" s="130"/>
      <c r="AF150" s="131">
        <f t="shared" si="6"/>
        <v>9.9600000000000009</v>
      </c>
      <c r="AG150" s="133"/>
    </row>
    <row r="151" spans="2:33" outlineLevel="1">
      <c r="B151" s="127">
        <v>55147</v>
      </c>
      <c r="C151" s="127" t="s">
        <v>71</v>
      </c>
      <c r="D151" s="128"/>
      <c r="E151" s="125"/>
      <c r="F151" s="129"/>
      <c r="G151" s="130"/>
      <c r="H151" s="131">
        <v>-2311.5500000000002</v>
      </c>
      <c r="I151" s="130"/>
      <c r="J151" s="131">
        <v>0</v>
      </c>
      <c r="K151" s="130"/>
      <c r="L151" s="131">
        <v>0</v>
      </c>
      <c r="M151" s="130"/>
      <c r="N151" s="131">
        <v>0</v>
      </c>
      <c r="O151" s="130"/>
      <c r="P151" s="131">
        <v>0</v>
      </c>
      <c r="Q151" s="130"/>
      <c r="R151" s="131">
        <v>3323.32</v>
      </c>
      <c r="S151" s="130"/>
      <c r="T151" s="131">
        <v>3166.87</v>
      </c>
      <c r="U151" s="130"/>
      <c r="V151" s="131">
        <v>0</v>
      </c>
      <c r="W151" s="130"/>
      <c r="X151" s="131">
        <v>0</v>
      </c>
      <c r="Y151" s="130"/>
      <c r="Z151" s="131">
        <v>5100</v>
      </c>
      <c r="AA151" s="130"/>
      <c r="AB151" s="131">
        <v>4423.8999999999996</v>
      </c>
      <c r="AC151" s="130"/>
      <c r="AD151" s="131">
        <v>0</v>
      </c>
      <c r="AE151" s="130"/>
      <c r="AF151" s="131">
        <f t="shared" si="6"/>
        <v>13702.54</v>
      </c>
      <c r="AG151" s="133"/>
    </row>
    <row r="152" spans="2:33" s="129" customFormat="1" ht="5.0999999999999996" customHeight="1" outlineLevel="1">
      <c r="B152" s="128"/>
      <c r="C152" s="128"/>
      <c r="D152" s="128"/>
      <c r="E152" s="128"/>
      <c r="H152" s="158"/>
      <c r="I152" s="156"/>
      <c r="J152" s="158"/>
      <c r="K152" s="156"/>
      <c r="L152" s="158"/>
      <c r="M152" s="156"/>
      <c r="N152" s="158"/>
      <c r="O152" s="156"/>
      <c r="P152" s="158"/>
      <c r="Q152" s="156"/>
      <c r="R152" s="158"/>
      <c r="S152" s="156"/>
      <c r="T152" s="158"/>
      <c r="U152" s="156"/>
      <c r="V152" s="158"/>
      <c r="W152" s="156"/>
      <c r="X152" s="158"/>
      <c r="Y152" s="156"/>
      <c r="Z152" s="158"/>
      <c r="AA152" s="156"/>
      <c r="AB152" s="158"/>
      <c r="AC152" s="156"/>
      <c r="AD152" s="158"/>
      <c r="AE152" s="156"/>
      <c r="AF152" s="158"/>
      <c r="AG152" s="136"/>
    </row>
    <row r="153" spans="2:33" s="129" customFormat="1" ht="15">
      <c r="D153" s="128" t="s">
        <v>270</v>
      </c>
      <c r="H153" s="155">
        <f>SUM(H137:H152)</f>
        <v>6649.5800000000008</v>
      </c>
      <c r="I153" s="156"/>
      <c r="J153" s="155">
        <f>SUM(J137:J152)</f>
        <v>18761.21</v>
      </c>
      <c r="K153" s="156"/>
      <c r="L153" s="155">
        <f>SUM(L137:L152)</f>
        <v>12500.73</v>
      </c>
      <c r="M153" s="156"/>
      <c r="N153" s="155">
        <f>SUM(N137:N152)</f>
        <v>13431.250000000002</v>
      </c>
      <c r="O153" s="156"/>
      <c r="P153" s="155">
        <f>SUM(P137:P152)</f>
        <v>15325.16</v>
      </c>
      <c r="Q153" s="156"/>
      <c r="R153" s="155">
        <f>SUM(R137:R152)</f>
        <v>15237.810000000001</v>
      </c>
      <c r="S153" s="156"/>
      <c r="T153" s="155">
        <f>SUM(T137:T152)</f>
        <v>24327.98</v>
      </c>
      <c r="U153" s="156"/>
      <c r="V153" s="155">
        <f>SUM(V137:V152)</f>
        <v>12353.499999999998</v>
      </c>
      <c r="W153" s="156"/>
      <c r="X153" s="155">
        <f>SUM(X137:X152)</f>
        <v>13980.07</v>
      </c>
      <c r="Y153" s="156"/>
      <c r="Z153" s="155">
        <f>SUM(Z137:Z152)</f>
        <v>18997.18</v>
      </c>
      <c r="AA153" s="156"/>
      <c r="AB153" s="155">
        <f>SUM(AB137:AB152)</f>
        <v>24015.730000000003</v>
      </c>
      <c r="AC153" s="156"/>
      <c r="AD153" s="155">
        <f>SUM(AD137:AD152)</f>
        <v>15179.579999999998</v>
      </c>
      <c r="AE153" s="156"/>
      <c r="AF153" s="155">
        <f>SUM(AF137:AF152)</f>
        <v>190759.77999999997</v>
      </c>
      <c r="AG153" s="136"/>
    </row>
    <row r="154" spans="2:33" s="129" customFormat="1" ht="15" outlineLevel="1">
      <c r="H154" s="157"/>
      <c r="I154" s="156"/>
      <c r="J154" s="157"/>
      <c r="K154" s="156"/>
      <c r="L154" s="157"/>
      <c r="M154" s="156"/>
      <c r="N154" s="157"/>
      <c r="O154" s="156"/>
      <c r="P154" s="157"/>
      <c r="Q154" s="156"/>
      <c r="R154" s="157"/>
      <c r="S154" s="156"/>
      <c r="T154" s="157"/>
      <c r="U154" s="156"/>
      <c r="V154" s="157"/>
      <c r="W154" s="156"/>
      <c r="X154" s="157"/>
      <c r="Y154" s="156"/>
      <c r="Z154" s="157"/>
      <c r="AA154" s="156"/>
      <c r="AB154" s="157"/>
      <c r="AC154" s="156"/>
      <c r="AD154" s="157"/>
      <c r="AE154" s="156"/>
      <c r="AF154" s="157"/>
      <c r="AG154" s="136"/>
    </row>
    <row r="155" spans="2:33" s="129" customFormat="1" ht="15" outlineLevel="1">
      <c r="H155" s="157"/>
      <c r="I155" s="156"/>
      <c r="J155" s="157"/>
      <c r="K155" s="156"/>
      <c r="L155" s="157"/>
      <c r="M155" s="156"/>
      <c r="N155" s="157"/>
      <c r="O155" s="156"/>
      <c r="P155" s="157"/>
      <c r="Q155" s="156"/>
      <c r="R155" s="157"/>
      <c r="S155" s="156"/>
      <c r="T155" s="157"/>
      <c r="U155" s="156"/>
      <c r="V155" s="157"/>
      <c r="W155" s="156"/>
      <c r="X155" s="157"/>
      <c r="Y155" s="156"/>
      <c r="Z155" s="157"/>
      <c r="AA155" s="156"/>
      <c r="AB155" s="157"/>
      <c r="AC155" s="156"/>
      <c r="AD155" s="157"/>
      <c r="AE155" s="156"/>
      <c r="AF155" s="157"/>
      <c r="AG155" s="136"/>
    </row>
    <row r="156" spans="2:33" outlineLevel="1">
      <c r="B156" s="127">
        <v>56010</v>
      </c>
      <c r="C156" s="127" t="s">
        <v>41</v>
      </c>
      <c r="D156" s="128"/>
      <c r="E156" s="125"/>
      <c r="F156" s="129"/>
      <c r="G156" s="130"/>
      <c r="H156" s="131">
        <v>10732.08</v>
      </c>
      <c r="I156" s="130"/>
      <c r="J156" s="131">
        <v>11671.65</v>
      </c>
      <c r="K156" s="130"/>
      <c r="L156" s="131">
        <v>11201.86</v>
      </c>
      <c r="M156" s="130"/>
      <c r="N156" s="131">
        <v>10732.09</v>
      </c>
      <c r="O156" s="130"/>
      <c r="P156" s="131">
        <v>11319.3</v>
      </c>
      <c r="Q156" s="130"/>
      <c r="R156" s="131">
        <v>11554.19</v>
      </c>
      <c r="S156" s="130"/>
      <c r="T156" s="131">
        <v>10848.39</v>
      </c>
      <c r="U156" s="130"/>
      <c r="V156" s="131">
        <v>10878.94</v>
      </c>
      <c r="W156" s="130"/>
      <c r="X156" s="131">
        <v>10924.32</v>
      </c>
      <c r="Y156" s="130"/>
      <c r="Z156" s="131">
        <v>11112.14</v>
      </c>
      <c r="AA156" s="130"/>
      <c r="AB156" s="131">
        <v>12323.52</v>
      </c>
      <c r="AC156" s="130"/>
      <c r="AD156" s="131">
        <v>11345.19</v>
      </c>
      <c r="AE156" s="130"/>
      <c r="AF156" s="131">
        <f t="shared" ref="AF156:AF165" si="7">AD156+AB156+Z156+X156+V156+T156+R156+P156+N156+L156+J156+H156</f>
        <v>134643.66999999998</v>
      </c>
      <c r="AG156" s="133"/>
    </row>
    <row r="157" spans="2:33" outlineLevel="1">
      <c r="B157" s="127">
        <v>56036</v>
      </c>
      <c r="C157" s="127" t="s">
        <v>77</v>
      </c>
      <c r="D157" s="128"/>
      <c r="E157" s="125"/>
      <c r="F157" s="129"/>
      <c r="G157" s="130"/>
      <c r="H157" s="131">
        <v>0</v>
      </c>
      <c r="I157" s="130"/>
      <c r="J157" s="131">
        <v>0</v>
      </c>
      <c r="K157" s="130"/>
      <c r="L157" s="131">
        <v>0</v>
      </c>
      <c r="M157" s="130"/>
      <c r="N157" s="131">
        <v>0</v>
      </c>
      <c r="O157" s="130"/>
      <c r="P157" s="131">
        <v>0</v>
      </c>
      <c r="Q157" s="130"/>
      <c r="R157" s="131">
        <v>50</v>
      </c>
      <c r="S157" s="130"/>
      <c r="T157" s="131">
        <v>0</v>
      </c>
      <c r="U157" s="130"/>
      <c r="V157" s="131">
        <v>0</v>
      </c>
      <c r="W157" s="130"/>
      <c r="X157" s="131">
        <v>0</v>
      </c>
      <c r="Y157" s="130"/>
      <c r="Z157" s="131">
        <v>24.23</v>
      </c>
      <c r="AA157" s="130"/>
      <c r="AB157" s="131">
        <v>0</v>
      </c>
      <c r="AC157" s="130"/>
      <c r="AD157" s="131">
        <v>0</v>
      </c>
      <c r="AE157" s="130"/>
      <c r="AF157" s="131">
        <f t="shared" si="7"/>
        <v>74.23</v>
      </c>
      <c r="AG157" s="133"/>
    </row>
    <row r="158" spans="2:33" outlineLevel="1">
      <c r="B158" s="127">
        <v>56050</v>
      </c>
      <c r="C158" s="127" t="s">
        <v>204</v>
      </c>
      <c r="D158" s="128"/>
      <c r="E158" s="125"/>
      <c r="F158" s="129"/>
      <c r="G158" s="130"/>
      <c r="H158" s="131">
        <v>766.14</v>
      </c>
      <c r="I158" s="130"/>
      <c r="J158" s="131">
        <v>787.3</v>
      </c>
      <c r="K158" s="130"/>
      <c r="L158" s="131">
        <v>744.49</v>
      </c>
      <c r="M158" s="130"/>
      <c r="N158" s="131">
        <v>699.41</v>
      </c>
      <c r="O158" s="130"/>
      <c r="P158" s="131">
        <v>746.45</v>
      </c>
      <c r="Q158" s="130"/>
      <c r="R158" s="131">
        <v>438.68</v>
      </c>
      <c r="S158" s="130"/>
      <c r="T158" s="131">
        <v>979.75</v>
      </c>
      <c r="U158" s="130"/>
      <c r="V158" s="131">
        <v>764.72</v>
      </c>
      <c r="W158" s="130"/>
      <c r="X158" s="131">
        <v>887.21</v>
      </c>
      <c r="Y158" s="130"/>
      <c r="Z158" s="131">
        <v>778.07</v>
      </c>
      <c r="AA158" s="130"/>
      <c r="AB158" s="131">
        <v>887.33</v>
      </c>
      <c r="AC158" s="130"/>
      <c r="AD158" s="131">
        <v>851.33</v>
      </c>
      <c r="AE158" s="130"/>
      <c r="AF158" s="131">
        <f t="shared" si="7"/>
        <v>9330.8799999999992</v>
      </c>
      <c r="AG158" s="133"/>
    </row>
    <row r="159" spans="2:33" outlineLevel="1">
      <c r="B159" s="127">
        <v>56060</v>
      </c>
      <c r="C159" s="127" t="s">
        <v>148</v>
      </c>
      <c r="D159" s="128"/>
      <c r="E159" s="125"/>
      <c r="F159" s="129"/>
      <c r="G159" s="130"/>
      <c r="H159" s="131">
        <v>1385.24</v>
      </c>
      <c r="I159" s="130"/>
      <c r="J159" s="131">
        <v>1077.8599999999999</v>
      </c>
      <c r="K159" s="130"/>
      <c r="L159" s="131">
        <v>1385.24</v>
      </c>
      <c r="M159" s="130"/>
      <c r="N159" s="131">
        <v>1385.24</v>
      </c>
      <c r="O159" s="130"/>
      <c r="P159" s="131">
        <v>1385.24</v>
      </c>
      <c r="Q159" s="130"/>
      <c r="R159" s="131">
        <v>1385.24</v>
      </c>
      <c r="S159" s="130"/>
      <c r="T159" s="131">
        <v>1077.8599999999999</v>
      </c>
      <c r="U159" s="130"/>
      <c r="V159" s="131">
        <v>1385.24</v>
      </c>
      <c r="W159" s="130"/>
      <c r="X159" s="131">
        <v>1400.56</v>
      </c>
      <c r="Y159" s="130"/>
      <c r="Z159" s="131">
        <v>1400.56</v>
      </c>
      <c r="AA159" s="130"/>
      <c r="AB159" s="131">
        <v>1400.56</v>
      </c>
      <c r="AC159" s="130"/>
      <c r="AD159" s="131">
        <v>1433.78</v>
      </c>
      <c r="AE159" s="130"/>
      <c r="AF159" s="131">
        <f t="shared" si="7"/>
        <v>16102.619999999999</v>
      </c>
      <c r="AG159" s="133"/>
    </row>
    <row r="160" spans="2:33" outlineLevel="1">
      <c r="B160" s="127">
        <v>56065</v>
      </c>
      <c r="C160" s="127" t="s">
        <v>47</v>
      </c>
      <c r="D160" s="128"/>
      <c r="E160" s="125"/>
      <c r="F160" s="129"/>
      <c r="G160" s="130"/>
      <c r="H160" s="131">
        <v>-460.67</v>
      </c>
      <c r="I160" s="130"/>
      <c r="J160" s="131">
        <v>1884.93</v>
      </c>
      <c r="K160" s="130"/>
      <c r="L160" s="131">
        <v>-2015.68</v>
      </c>
      <c r="M160" s="130"/>
      <c r="N160" s="131">
        <v>853.76</v>
      </c>
      <c r="O160" s="130"/>
      <c r="P160" s="131">
        <v>-1437.02</v>
      </c>
      <c r="Q160" s="130"/>
      <c r="R160" s="131">
        <v>311.76</v>
      </c>
      <c r="S160" s="130"/>
      <c r="T160" s="131">
        <v>2898.81</v>
      </c>
      <c r="U160" s="130"/>
      <c r="V160" s="131">
        <v>1721.92</v>
      </c>
      <c r="W160" s="130"/>
      <c r="X160" s="131">
        <v>-1100.47</v>
      </c>
      <c r="Y160" s="130"/>
      <c r="Z160" s="131">
        <v>1611.71</v>
      </c>
      <c r="AA160" s="130"/>
      <c r="AB160" s="131">
        <v>845.49</v>
      </c>
      <c r="AC160" s="130"/>
      <c r="AD160" s="131">
        <v>2074.35</v>
      </c>
      <c r="AE160" s="130"/>
      <c r="AF160" s="131">
        <f t="shared" si="7"/>
        <v>7188.8899999999994</v>
      </c>
      <c r="AG160" s="133"/>
    </row>
    <row r="161" spans="2:33" outlineLevel="1">
      <c r="B161" s="127">
        <v>56090</v>
      </c>
      <c r="C161" s="127" t="s">
        <v>64</v>
      </c>
      <c r="D161" s="128"/>
      <c r="E161" s="125"/>
      <c r="F161" s="129"/>
      <c r="G161" s="130"/>
      <c r="H161" s="131">
        <v>-399.85</v>
      </c>
      <c r="I161" s="130"/>
      <c r="J161" s="131">
        <v>0</v>
      </c>
      <c r="K161" s="130"/>
      <c r="L161" s="131">
        <v>0</v>
      </c>
      <c r="M161" s="130"/>
      <c r="N161" s="131">
        <v>0</v>
      </c>
      <c r="O161" s="130"/>
      <c r="P161" s="131">
        <v>0</v>
      </c>
      <c r="Q161" s="130"/>
      <c r="R161" s="131">
        <v>0</v>
      </c>
      <c r="S161" s="130"/>
      <c r="T161" s="131">
        <v>0</v>
      </c>
      <c r="U161" s="130"/>
      <c r="V161" s="131">
        <v>0</v>
      </c>
      <c r="W161" s="130"/>
      <c r="X161" s="131">
        <v>0</v>
      </c>
      <c r="Y161" s="130"/>
      <c r="Z161" s="131">
        <v>0</v>
      </c>
      <c r="AA161" s="130"/>
      <c r="AB161" s="131">
        <v>0</v>
      </c>
      <c r="AC161" s="130"/>
      <c r="AD161" s="131">
        <v>0</v>
      </c>
      <c r="AE161" s="130"/>
      <c r="AF161" s="131">
        <f t="shared" si="7"/>
        <v>-399.85</v>
      </c>
      <c r="AG161" s="133"/>
    </row>
    <row r="162" spans="2:33" outlineLevel="1">
      <c r="B162" s="127">
        <v>56095</v>
      </c>
      <c r="C162" s="127" t="s">
        <v>157</v>
      </c>
      <c r="D162" s="128"/>
      <c r="E162" s="125"/>
      <c r="F162" s="129"/>
      <c r="G162" s="130"/>
      <c r="H162" s="131">
        <v>75.989999999999995</v>
      </c>
      <c r="I162" s="130"/>
      <c r="J162" s="131">
        <v>0</v>
      </c>
      <c r="K162" s="130"/>
      <c r="L162" s="131">
        <v>0</v>
      </c>
      <c r="M162" s="130"/>
      <c r="N162" s="131">
        <v>0</v>
      </c>
      <c r="O162" s="130"/>
      <c r="P162" s="131">
        <v>0</v>
      </c>
      <c r="Q162" s="130"/>
      <c r="R162" s="131">
        <v>0</v>
      </c>
      <c r="S162" s="130"/>
      <c r="T162" s="131">
        <v>0</v>
      </c>
      <c r="U162" s="130"/>
      <c r="V162" s="131">
        <v>0</v>
      </c>
      <c r="W162" s="130"/>
      <c r="X162" s="131">
        <v>0</v>
      </c>
      <c r="Y162" s="130"/>
      <c r="Z162" s="131">
        <v>0</v>
      </c>
      <c r="AA162" s="130"/>
      <c r="AB162" s="131">
        <v>0</v>
      </c>
      <c r="AC162" s="130"/>
      <c r="AD162" s="131">
        <v>0</v>
      </c>
      <c r="AE162" s="130"/>
      <c r="AF162" s="131">
        <f t="shared" si="7"/>
        <v>75.989999999999995</v>
      </c>
      <c r="AG162" s="133"/>
    </row>
    <row r="163" spans="2:33" outlineLevel="1">
      <c r="B163" s="127">
        <v>56108</v>
      </c>
      <c r="C163" s="127" t="s">
        <v>158</v>
      </c>
      <c r="D163" s="128"/>
      <c r="E163" s="125"/>
      <c r="F163" s="129"/>
      <c r="G163" s="130"/>
      <c r="H163" s="131">
        <v>0</v>
      </c>
      <c r="I163" s="130"/>
      <c r="J163" s="131">
        <v>0</v>
      </c>
      <c r="K163" s="130"/>
      <c r="L163" s="131">
        <v>0</v>
      </c>
      <c r="M163" s="130"/>
      <c r="N163" s="131">
        <v>0</v>
      </c>
      <c r="O163" s="130"/>
      <c r="P163" s="131">
        <v>0</v>
      </c>
      <c r="Q163" s="130"/>
      <c r="R163" s="131">
        <v>0</v>
      </c>
      <c r="S163" s="130"/>
      <c r="T163" s="131">
        <v>617.67999999999995</v>
      </c>
      <c r="U163" s="130"/>
      <c r="V163" s="131">
        <v>0</v>
      </c>
      <c r="W163" s="130"/>
      <c r="X163" s="131">
        <v>0</v>
      </c>
      <c r="Y163" s="130"/>
      <c r="Z163" s="131">
        <v>0</v>
      </c>
      <c r="AA163" s="130"/>
      <c r="AB163" s="131">
        <v>0</v>
      </c>
      <c r="AC163" s="130"/>
      <c r="AD163" s="131">
        <v>0</v>
      </c>
      <c r="AE163" s="130"/>
      <c r="AF163" s="131">
        <f t="shared" si="7"/>
        <v>617.67999999999995</v>
      </c>
      <c r="AG163" s="133"/>
    </row>
    <row r="164" spans="2:33" outlineLevel="1">
      <c r="B164" s="127">
        <v>56115</v>
      </c>
      <c r="C164" s="127" t="s">
        <v>260</v>
      </c>
      <c r="D164" s="128"/>
      <c r="E164" s="125"/>
      <c r="F164" s="129"/>
      <c r="G164" s="130"/>
      <c r="H164" s="131">
        <v>236.38</v>
      </c>
      <c r="I164" s="130"/>
      <c r="J164" s="131">
        <v>354.57</v>
      </c>
      <c r="K164" s="130"/>
      <c r="L164" s="131">
        <v>236.38</v>
      </c>
      <c r="M164" s="130"/>
      <c r="N164" s="131">
        <v>236.38</v>
      </c>
      <c r="O164" s="130"/>
      <c r="P164" s="131">
        <v>239.33</v>
      </c>
      <c r="Q164" s="130"/>
      <c r="R164" s="131">
        <v>121.14</v>
      </c>
      <c r="S164" s="130"/>
      <c r="T164" s="131">
        <v>363.45</v>
      </c>
      <c r="U164" s="130"/>
      <c r="V164" s="131">
        <v>242.3</v>
      </c>
      <c r="W164" s="130"/>
      <c r="X164" s="131">
        <v>242.3</v>
      </c>
      <c r="Y164" s="130"/>
      <c r="Z164" s="131">
        <v>242.3</v>
      </c>
      <c r="AA164" s="130"/>
      <c r="AB164" s="131">
        <v>242.3</v>
      </c>
      <c r="AC164" s="130"/>
      <c r="AD164" s="131">
        <v>242.3</v>
      </c>
      <c r="AE164" s="130"/>
      <c r="AF164" s="131">
        <f t="shared" si="7"/>
        <v>2999.1300000000006</v>
      </c>
      <c r="AG164" s="133"/>
    </row>
    <row r="165" spans="2:33" outlineLevel="1">
      <c r="B165" s="127">
        <v>56201</v>
      </c>
      <c r="C165" s="127" t="s">
        <v>271</v>
      </c>
      <c r="D165" s="128"/>
      <c r="E165" s="125"/>
      <c r="F165" s="129"/>
      <c r="G165" s="130"/>
      <c r="H165" s="131">
        <v>0</v>
      </c>
      <c r="I165" s="130"/>
      <c r="J165" s="131">
        <v>0</v>
      </c>
      <c r="K165" s="130"/>
      <c r="L165" s="131">
        <v>0</v>
      </c>
      <c r="M165" s="130"/>
      <c r="N165" s="131">
        <v>0</v>
      </c>
      <c r="O165" s="130"/>
      <c r="P165" s="131">
        <v>38.1</v>
      </c>
      <c r="Q165" s="130"/>
      <c r="R165" s="131">
        <v>43.55</v>
      </c>
      <c r="S165" s="130"/>
      <c r="T165" s="131">
        <v>-12.17</v>
      </c>
      <c r="U165" s="130"/>
      <c r="V165" s="131">
        <v>0</v>
      </c>
      <c r="W165" s="130"/>
      <c r="X165" s="131">
        <v>0</v>
      </c>
      <c r="Y165" s="130"/>
      <c r="Z165" s="131">
        <v>0</v>
      </c>
      <c r="AA165" s="130"/>
      <c r="AB165" s="131">
        <v>30.33</v>
      </c>
      <c r="AC165" s="130"/>
      <c r="AD165" s="131">
        <v>0</v>
      </c>
      <c r="AE165" s="130"/>
      <c r="AF165" s="131">
        <f t="shared" si="7"/>
        <v>99.81</v>
      </c>
      <c r="AG165" s="133"/>
    </row>
    <row r="166" spans="2:33" s="129" customFormat="1" ht="5.0999999999999996" customHeight="1" outlineLevel="1">
      <c r="B166" s="128"/>
      <c r="C166" s="128"/>
      <c r="D166" s="128"/>
      <c r="E166" s="128"/>
      <c r="H166" s="158"/>
      <c r="I166" s="156"/>
      <c r="J166" s="158"/>
      <c r="K166" s="156"/>
      <c r="L166" s="158"/>
      <c r="M166" s="156"/>
      <c r="N166" s="158"/>
      <c r="O166" s="156"/>
      <c r="P166" s="158"/>
      <c r="Q166" s="156"/>
      <c r="R166" s="158"/>
      <c r="S166" s="156"/>
      <c r="T166" s="158"/>
      <c r="U166" s="156"/>
      <c r="V166" s="158"/>
      <c r="W166" s="156"/>
      <c r="X166" s="158"/>
      <c r="Y166" s="156"/>
      <c r="Z166" s="158"/>
      <c r="AA166" s="156"/>
      <c r="AB166" s="158"/>
      <c r="AC166" s="156"/>
      <c r="AD166" s="158"/>
      <c r="AE166" s="156"/>
      <c r="AF166" s="158"/>
      <c r="AG166" s="136"/>
    </row>
    <row r="167" spans="2:33" s="129" customFormat="1" ht="15">
      <c r="D167" s="128" t="s">
        <v>272</v>
      </c>
      <c r="H167" s="155">
        <f>SUM(H155:H166)</f>
        <v>12335.309999999998</v>
      </c>
      <c r="I167" s="156"/>
      <c r="J167" s="155">
        <f>SUM(J155:J166)</f>
        <v>15776.31</v>
      </c>
      <c r="K167" s="156"/>
      <c r="L167" s="155">
        <f>SUM(L155:L166)</f>
        <v>11552.289999999999</v>
      </c>
      <c r="M167" s="156"/>
      <c r="N167" s="155">
        <f>SUM(N155:N166)</f>
        <v>13906.88</v>
      </c>
      <c r="O167" s="156"/>
      <c r="P167" s="155">
        <f>SUM(P155:P166)</f>
        <v>12291.4</v>
      </c>
      <c r="Q167" s="156"/>
      <c r="R167" s="155">
        <f>SUM(R155:R166)</f>
        <v>13904.56</v>
      </c>
      <c r="S167" s="156"/>
      <c r="T167" s="155">
        <f>SUM(T155:T166)</f>
        <v>16773.77</v>
      </c>
      <c r="U167" s="156"/>
      <c r="V167" s="155">
        <f>SUM(V155:V166)</f>
        <v>14993.119999999999</v>
      </c>
      <c r="W167" s="156"/>
      <c r="X167" s="155">
        <f>SUM(X155:X166)</f>
        <v>12353.919999999998</v>
      </c>
      <c r="Y167" s="156"/>
      <c r="Z167" s="155">
        <f>SUM(Z155:Z166)</f>
        <v>15169.009999999998</v>
      </c>
      <c r="AA167" s="156"/>
      <c r="AB167" s="155">
        <f>SUM(AB155:AB166)</f>
        <v>15729.529999999999</v>
      </c>
      <c r="AC167" s="156"/>
      <c r="AD167" s="155">
        <f>SUM(AD155:AD166)</f>
        <v>15946.95</v>
      </c>
      <c r="AE167" s="156"/>
      <c r="AF167" s="155">
        <f>SUM(AF155:AF166)</f>
        <v>170733.04999999996</v>
      </c>
      <c r="AG167" s="136"/>
    </row>
    <row r="168" spans="2:33" s="129" customFormat="1" ht="15" outlineLevel="1">
      <c r="H168" s="157"/>
      <c r="I168" s="156"/>
      <c r="J168" s="157"/>
      <c r="K168" s="156"/>
      <c r="L168" s="157"/>
      <c r="M168" s="156"/>
      <c r="N168" s="157"/>
      <c r="O168" s="156"/>
      <c r="P168" s="157"/>
      <c r="Q168" s="156"/>
      <c r="R168" s="157"/>
      <c r="S168" s="156"/>
      <c r="T168" s="157"/>
      <c r="U168" s="156"/>
      <c r="V168" s="157"/>
      <c r="W168" s="156"/>
      <c r="X168" s="157"/>
      <c r="Y168" s="156"/>
      <c r="Z168" s="157"/>
      <c r="AA168" s="156"/>
      <c r="AB168" s="157"/>
      <c r="AC168" s="156"/>
      <c r="AD168" s="157"/>
      <c r="AE168" s="156"/>
      <c r="AF168" s="157"/>
      <c r="AG168" s="136"/>
    </row>
    <row r="169" spans="2:33" s="129" customFormat="1" ht="15" outlineLevel="1">
      <c r="H169" s="157"/>
      <c r="I169" s="156"/>
      <c r="J169" s="157"/>
      <c r="K169" s="156"/>
      <c r="L169" s="157"/>
      <c r="M169" s="156"/>
      <c r="N169" s="157"/>
      <c r="O169" s="156"/>
      <c r="P169" s="157"/>
      <c r="Q169" s="156"/>
      <c r="R169" s="157"/>
      <c r="S169" s="156"/>
      <c r="T169" s="157"/>
      <c r="U169" s="156"/>
      <c r="V169" s="157"/>
      <c r="W169" s="156"/>
      <c r="X169" s="157"/>
      <c r="Y169" s="156"/>
      <c r="Z169" s="157"/>
      <c r="AA169" s="156"/>
      <c r="AB169" s="157"/>
      <c r="AC169" s="156"/>
      <c r="AD169" s="157"/>
      <c r="AE169" s="156"/>
      <c r="AF169" s="157"/>
      <c r="AG169" s="136"/>
    </row>
    <row r="170" spans="2:33" outlineLevel="1">
      <c r="B170" s="127">
        <v>57125</v>
      </c>
      <c r="C170" s="127" t="s">
        <v>54</v>
      </c>
      <c r="D170" s="128"/>
      <c r="E170" s="125"/>
      <c r="F170" s="129"/>
      <c r="G170" s="130"/>
      <c r="H170" s="131">
        <v>0</v>
      </c>
      <c r="I170" s="130"/>
      <c r="J170" s="131">
        <v>0</v>
      </c>
      <c r="K170" s="130"/>
      <c r="L170" s="131">
        <v>0</v>
      </c>
      <c r="M170" s="130"/>
      <c r="N170" s="131">
        <v>0</v>
      </c>
      <c r="O170" s="130"/>
      <c r="P170" s="131">
        <v>0</v>
      </c>
      <c r="Q170" s="130"/>
      <c r="R170" s="131">
        <v>238.76</v>
      </c>
      <c r="S170" s="130"/>
      <c r="T170" s="131">
        <v>-78.989999999999995</v>
      </c>
      <c r="U170" s="130"/>
      <c r="V170" s="131">
        <v>0</v>
      </c>
      <c r="W170" s="130"/>
      <c r="X170" s="131">
        <v>0</v>
      </c>
      <c r="Y170" s="130"/>
      <c r="Z170" s="131">
        <v>19.47</v>
      </c>
      <c r="AA170" s="130"/>
      <c r="AB170" s="131">
        <v>11.34</v>
      </c>
      <c r="AC170" s="130"/>
      <c r="AD170" s="131">
        <v>0</v>
      </c>
      <c r="AE170" s="130"/>
      <c r="AF170" s="131">
        <f t="shared" ref="AF170:AF184" si="8">AD170+AB170+Z170+X170+V170+T170+R170+P170+N170+L170+J170+H170</f>
        <v>190.57999999999998</v>
      </c>
      <c r="AG170" s="133"/>
    </row>
    <row r="171" spans="2:33" outlineLevel="1">
      <c r="B171" s="127">
        <v>57142</v>
      </c>
      <c r="C171" s="127" t="s">
        <v>84</v>
      </c>
      <c r="D171" s="128"/>
      <c r="E171" s="125"/>
      <c r="F171" s="129"/>
      <c r="G171" s="130"/>
      <c r="H171" s="131">
        <v>0</v>
      </c>
      <c r="I171" s="130"/>
      <c r="J171" s="131">
        <v>0</v>
      </c>
      <c r="K171" s="130"/>
      <c r="L171" s="131">
        <v>0</v>
      </c>
      <c r="M171" s="130"/>
      <c r="N171" s="131">
        <v>0</v>
      </c>
      <c r="O171" s="130"/>
      <c r="P171" s="131">
        <v>0</v>
      </c>
      <c r="Q171" s="130"/>
      <c r="R171" s="131">
        <v>0</v>
      </c>
      <c r="S171" s="130"/>
      <c r="T171" s="131">
        <v>0</v>
      </c>
      <c r="U171" s="130"/>
      <c r="V171" s="131">
        <v>0</v>
      </c>
      <c r="W171" s="130"/>
      <c r="X171" s="131">
        <v>0</v>
      </c>
      <c r="Y171" s="130"/>
      <c r="Z171" s="131">
        <v>0</v>
      </c>
      <c r="AA171" s="130"/>
      <c r="AB171" s="131">
        <v>28.4</v>
      </c>
      <c r="AC171" s="130"/>
      <c r="AD171" s="131">
        <v>0</v>
      </c>
      <c r="AE171" s="130"/>
      <c r="AF171" s="131">
        <f t="shared" si="8"/>
        <v>28.4</v>
      </c>
      <c r="AG171" s="133"/>
    </row>
    <row r="172" spans="2:33" outlineLevel="1">
      <c r="B172" s="127">
        <v>57147</v>
      </c>
      <c r="C172" s="127" t="s">
        <v>273</v>
      </c>
      <c r="D172" s="128"/>
      <c r="E172" s="125"/>
      <c r="F172" s="129"/>
      <c r="G172" s="130"/>
      <c r="H172" s="131">
        <v>3013.9</v>
      </c>
      <c r="I172" s="130"/>
      <c r="J172" s="131">
        <v>3266.99</v>
      </c>
      <c r="K172" s="130"/>
      <c r="L172" s="131">
        <v>7510.78</v>
      </c>
      <c r="M172" s="130"/>
      <c r="N172" s="131">
        <v>2975.12</v>
      </c>
      <c r="O172" s="130"/>
      <c r="P172" s="131">
        <v>6159.62</v>
      </c>
      <c r="Q172" s="130"/>
      <c r="R172" s="131">
        <v>9162.64</v>
      </c>
      <c r="S172" s="130"/>
      <c r="T172" s="131">
        <v>4925.8599999999997</v>
      </c>
      <c r="U172" s="130"/>
      <c r="V172" s="131">
        <v>3084.08</v>
      </c>
      <c r="W172" s="130"/>
      <c r="X172" s="131">
        <v>3799.81</v>
      </c>
      <c r="Y172" s="130"/>
      <c r="Z172" s="131">
        <v>1899.51</v>
      </c>
      <c r="AA172" s="130"/>
      <c r="AB172" s="131">
        <v>4169.68</v>
      </c>
      <c r="AC172" s="130"/>
      <c r="AD172" s="131">
        <v>4309.37</v>
      </c>
      <c r="AE172" s="130"/>
      <c r="AF172" s="131">
        <f t="shared" si="8"/>
        <v>54277.36</v>
      </c>
      <c r="AG172" s="133"/>
    </row>
    <row r="173" spans="2:33" outlineLevel="1">
      <c r="B173" s="127">
        <v>57150</v>
      </c>
      <c r="C173" s="127" t="s">
        <v>145</v>
      </c>
      <c r="D173" s="128"/>
      <c r="E173" s="125"/>
      <c r="F173" s="129"/>
      <c r="G173" s="130"/>
      <c r="H173" s="131">
        <v>1409.23</v>
      </c>
      <c r="I173" s="130"/>
      <c r="J173" s="131">
        <v>2700.18</v>
      </c>
      <c r="K173" s="130"/>
      <c r="L173" s="131">
        <v>2269.89</v>
      </c>
      <c r="M173" s="130"/>
      <c r="N173" s="131">
        <v>2177.62</v>
      </c>
      <c r="O173" s="130"/>
      <c r="P173" s="131">
        <v>2749.14</v>
      </c>
      <c r="Q173" s="130"/>
      <c r="R173" s="131">
        <v>5051.54</v>
      </c>
      <c r="S173" s="130"/>
      <c r="T173" s="131">
        <v>3948.75</v>
      </c>
      <c r="U173" s="130"/>
      <c r="V173" s="131">
        <v>7374.72</v>
      </c>
      <c r="W173" s="130"/>
      <c r="X173" s="131">
        <v>4757.26</v>
      </c>
      <c r="Y173" s="130"/>
      <c r="Z173" s="131">
        <v>3467.43</v>
      </c>
      <c r="AA173" s="130"/>
      <c r="AB173" s="131">
        <v>1906.63</v>
      </c>
      <c r="AC173" s="130"/>
      <c r="AD173" s="131">
        <v>2041.44</v>
      </c>
      <c r="AE173" s="130"/>
      <c r="AF173" s="131">
        <f t="shared" si="8"/>
        <v>39853.83</v>
      </c>
      <c r="AG173" s="133"/>
    </row>
    <row r="174" spans="2:33" outlineLevel="1">
      <c r="B174" s="127">
        <v>57165</v>
      </c>
      <c r="C174" s="127" t="s">
        <v>65</v>
      </c>
      <c r="D174" s="128"/>
      <c r="E174" s="125"/>
      <c r="F174" s="129"/>
      <c r="G174" s="130"/>
      <c r="H174" s="131">
        <v>0</v>
      </c>
      <c r="I174" s="130"/>
      <c r="J174" s="131">
        <v>91</v>
      </c>
      <c r="K174" s="130"/>
      <c r="L174" s="131">
        <v>658.32</v>
      </c>
      <c r="M174" s="130"/>
      <c r="N174" s="131">
        <v>91</v>
      </c>
      <c r="O174" s="130"/>
      <c r="P174" s="131">
        <v>91</v>
      </c>
      <c r="Q174" s="130"/>
      <c r="R174" s="131">
        <v>658.32</v>
      </c>
      <c r="S174" s="130"/>
      <c r="T174" s="131">
        <v>567.32000000000005</v>
      </c>
      <c r="U174" s="130"/>
      <c r="V174" s="131">
        <v>658.32</v>
      </c>
      <c r="W174" s="130"/>
      <c r="X174" s="131">
        <v>658.32</v>
      </c>
      <c r="Y174" s="130"/>
      <c r="Z174" s="131">
        <v>658.32</v>
      </c>
      <c r="AA174" s="130"/>
      <c r="AB174" s="131">
        <v>658.32</v>
      </c>
      <c r="AC174" s="130"/>
      <c r="AD174" s="131">
        <v>658.32</v>
      </c>
      <c r="AE174" s="130"/>
      <c r="AF174" s="131">
        <f t="shared" si="8"/>
        <v>5448.56</v>
      </c>
      <c r="AG174" s="133"/>
    </row>
    <row r="175" spans="2:33" outlineLevel="1">
      <c r="B175" s="127">
        <v>57175</v>
      </c>
      <c r="C175" s="127" t="s">
        <v>92</v>
      </c>
      <c r="D175" s="128"/>
      <c r="E175" s="125"/>
      <c r="F175" s="129"/>
      <c r="G175" s="130"/>
      <c r="H175" s="131">
        <v>0</v>
      </c>
      <c r="I175" s="130"/>
      <c r="J175" s="131">
        <v>0</v>
      </c>
      <c r="K175" s="130"/>
      <c r="L175" s="131">
        <v>0</v>
      </c>
      <c r="M175" s="130"/>
      <c r="N175" s="131">
        <v>0</v>
      </c>
      <c r="O175" s="130"/>
      <c r="P175" s="131">
        <v>0</v>
      </c>
      <c r="Q175" s="130"/>
      <c r="R175" s="131">
        <v>58.31</v>
      </c>
      <c r="S175" s="130"/>
      <c r="T175" s="131">
        <v>0</v>
      </c>
      <c r="U175" s="130"/>
      <c r="V175" s="131">
        <v>0</v>
      </c>
      <c r="W175" s="130"/>
      <c r="X175" s="131">
        <v>0</v>
      </c>
      <c r="Y175" s="130"/>
      <c r="Z175" s="131">
        <v>0</v>
      </c>
      <c r="AA175" s="130"/>
      <c r="AB175" s="131">
        <v>0</v>
      </c>
      <c r="AC175" s="130"/>
      <c r="AD175" s="131">
        <v>0</v>
      </c>
      <c r="AE175" s="130"/>
      <c r="AF175" s="131">
        <f t="shared" si="8"/>
        <v>58.31</v>
      </c>
      <c r="AG175" s="133"/>
    </row>
    <row r="176" spans="2:33" outlineLevel="1">
      <c r="B176" s="127">
        <v>57185</v>
      </c>
      <c r="C176" s="127" t="s">
        <v>130</v>
      </c>
      <c r="D176" s="128"/>
      <c r="E176" s="125"/>
      <c r="F176" s="129"/>
      <c r="G176" s="130"/>
      <c r="H176" s="131">
        <v>12.71</v>
      </c>
      <c r="I176" s="130"/>
      <c r="J176" s="131">
        <v>0</v>
      </c>
      <c r="K176" s="130"/>
      <c r="L176" s="131">
        <v>0</v>
      </c>
      <c r="M176" s="130"/>
      <c r="N176" s="131">
        <v>0</v>
      </c>
      <c r="O176" s="130"/>
      <c r="P176" s="131">
        <v>0</v>
      </c>
      <c r="Q176" s="130"/>
      <c r="R176" s="131">
        <v>0</v>
      </c>
      <c r="S176" s="130"/>
      <c r="T176" s="131">
        <v>0</v>
      </c>
      <c r="U176" s="130"/>
      <c r="V176" s="131">
        <v>0</v>
      </c>
      <c r="W176" s="130"/>
      <c r="X176" s="131">
        <v>0</v>
      </c>
      <c r="Y176" s="130"/>
      <c r="Z176" s="131">
        <v>0</v>
      </c>
      <c r="AA176" s="130"/>
      <c r="AB176" s="131">
        <v>0</v>
      </c>
      <c r="AC176" s="130"/>
      <c r="AD176" s="131">
        <v>0</v>
      </c>
      <c r="AE176" s="130"/>
      <c r="AF176" s="131">
        <f t="shared" si="8"/>
        <v>12.71</v>
      </c>
      <c r="AG176" s="133"/>
    </row>
    <row r="177" spans="2:33" outlineLevel="1">
      <c r="B177" s="127">
        <v>57254</v>
      </c>
      <c r="C177" s="127" t="s">
        <v>274</v>
      </c>
      <c r="D177" s="128"/>
      <c r="E177" s="125"/>
      <c r="F177" s="129"/>
      <c r="G177" s="130"/>
      <c r="H177" s="131">
        <v>3281.71</v>
      </c>
      <c r="I177" s="130"/>
      <c r="J177" s="131">
        <v>3089.59</v>
      </c>
      <c r="K177" s="130"/>
      <c r="L177" s="131">
        <v>3266.32</v>
      </c>
      <c r="M177" s="130"/>
      <c r="N177" s="131">
        <v>2849.65</v>
      </c>
      <c r="O177" s="130"/>
      <c r="P177" s="131">
        <v>3253.16</v>
      </c>
      <c r="Q177" s="130"/>
      <c r="R177" s="131">
        <v>3256.45</v>
      </c>
      <c r="S177" s="130"/>
      <c r="T177" s="131">
        <v>3256.43</v>
      </c>
      <c r="U177" s="130"/>
      <c r="V177" s="131">
        <v>3138.07</v>
      </c>
      <c r="W177" s="130"/>
      <c r="X177" s="131">
        <v>3415.04</v>
      </c>
      <c r="Y177" s="130"/>
      <c r="Z177" s="131">
        <v>3056.79</v>
      </c>
      <c r="AA177" s="130"/>
      <c r="AB177" s="131">
        <v>3192.23</v>
      </c>
      <c r="AC177" s="130"/>
      <c r="AD177" s="131">
        <v>3502.99</v>
      </c>
      <c r="AE177" s="130"/>
      <c r="AF177" s="131">
        <f t="shared" si="8"/>
        <v>38558.43</v>
      </c>
      <c r="AG177" s="133"/>
    </row>
    <row r="178" spans="2:33" outlineLevel="1">
      <c r="B178" s="127">
        <v>57255</v>
      </c>
      <c r="C178" s="127" t="s">
        <v>93</v>
      </c>
      <c r="D178" s="128"/>
      <c r="E178" s="125"/>
      <c r="F178" s="129"/>
      <c r="G178" s="130"/>
      <c r="H178" s="131">
        <v>3991.47</v>
      </c>
      <c r="I178" s="130"/>
      <c r="J178" s="131">
        <v>416.89</v>
      </c>
      <c r="K178" s="130"/>
      <c r="L178" s="131">
        <v>416.89</v>
      </c>
      <c r="M178" s="130"/>
      <c r="N178" s="131">
        <v>416.89</v>
      </c>
      <c r="O178" s="130"/>
      <c r="P178" s="131">
        <v>2526.0700000000002</v>
      </c>
      <c r="Q178" s="130"/>
      <c r="R178" s="131">
        <v>417.94</v>
      </c>
      <c r="S178" s="130"/>
      <c r="T178" s="131">
        <v>835.64</v>
      </c>
      <c r="U178" s="130"/>
      <c r="V178" s="131">
        <v>416.89</v>
      </c>
      <c r="W178" s="130"/>
      <c r="X178" s="131">
        <v>550.29</v>
      </c>
      <c r="Y178" s="130"/>
      <c r="Z178" s="131">
        <v>0</v>
      </c>
      <c r="AA178" s="130"/>
      <c r="AB178" s="131">
        <v>1095.94</v>
      </c>
      <c r="AC178" s="130"/>
      <c r="AD178" s="131">
        <v>3628.25</v>
      </c>
      <c r="AE178" s="130"/>
      <c r="AF178" s="131">
        <f t="shared" si="8"/>
        <v>14713.159999999998</v>
      </c>
      <c r="AG178" s="133"/>
    </row>
    <row r="179" spans="2:33" outlineLevel="1">
      <c r="B179" s="127">
        <v>57275</v>
      </c>
      <c r="C179" s="127" t="s">
        <v>275</v>
      </c>
      <c r="D179" s="128"/>
      <c r="E179" s="125"/>
      <c r="F179" s="129"/>
      <c r="G179" s="130"/>
      <c r="H179" s="131">
        <v>2870.94</v>
      </c>
      <c r="I179" s="130"/>
      <c r="J179" s="131">
        <v>2870.94</v>
      </c>
      <c r="K179" s="130"/>
      <c r="L179" s="131">
        <v>2870.94</v>
      </c>
      <c r="M179" s="130"/>
      <c r="N179" s="131">
        <v>2870.9</v>
      </c>
      <c r="O179" s="130"/>
      <c r="P179" s="131">
        <v>2870.9</v>
      </c>
      <c r="Q179" s="130"/>
      <c r="R179" s="131">
        <v>2870.98</v>
      </c>
      <c r="S179" s="130"/>
      <c r="T179" s="131">
        <v>2900</v>
      </c>
      <c r="U179" s="130"/>
      <c r="V179" s="131">
        <v>2900</v>
      </c>
      <c r="W179" s="130"/>
      <c r="X179" s="131">
        <v>2900</v>
      </c>
      <c r="Y179" s="130"/>
      <c r="Z179" s="131">
        <v>2708.75</v>
      </c>
      <c r="AA179" s="130"/>
      <c r="AB179" s="131">
        <v>2852.19</v>
      </c>
      <c r="AC179" s="130"/>
      <c r="AD179" s="131">
        <v>2852.19</v>
      </c>
      <c r="AE179" s="130"/>
      <c r="AF179" s="131">
        <f t="shared" si="8"/>
        <v>34338.730000000003</v>
      </c>
      <c r="AG179" s="133"/>
    </row>
    <row r="180" spans="2:33" outlineLevel="1">
      <c r="B180" s="127">
        <v>57280</v>
      </c>
      <c r="C180" s="127" t="s">
        <v>197</v>
      </c>
      <c r="D180" s="128"/>
      <c r="E180" s="125"/>
      <c r="F180" s="129"/>
      <c r="G180" s="130"/>
      <c r="H180" s="131">
        <v>70</v>
      </c>
      <c r="I180" s="130"/>
      <c r="J180" s="131">
        <v>70</v>
      </c>
      <c r="K180" s="130"/>
      <c r="L180" s="131">
        <v>0</v>
      </c>
      <c r="M180" s="130"/>
      <c r="N180" s="131">
        <v>88.98</v>
      </c>
      <c r="O180" s="130"/>
      <c r="P180" s="131">
        <v>140</v>
      </c>
      <c r="Q180" s="130"/>
      <c r="R180" s="131">
        <v>70</v>
      </c>
      <c r="S180" s="130"/>
      <c r="T180" s="131">
        <v>-69.06</v>
      </c>
      <c r="U180" s="130"/>
      <c r="V180" s="131">
        <v>0</v>
      </c>
      <c r="W180" s="130"/>
      <c r="X180" s="131">
        <v>0</v>
      </c>
      <c r="Y180" s="130"/>
      <c r="Z180" s="131">
        <v>0</v>
      </c>
      <c r="AA180" s="130"/>
      <c r="AB180" s="131">
        <v>0</v>
      </c>
      <c r="AC180" s="130"/>
      <c r="AD180" s="131">
        <v>0</v>
      </c>
      <c r="AE180" s="130"/>
      <c r="AF180" s="131">
        <f t="shared" si="8"/>
        <v>369.92</v>
      </c>
      <c r="AG180" s="133"/>
    </row>
    <row r="181" spans="2:33" outlineLevel="1">
      <c r="B181" s="127">
        <v>57324</v>
      </c>
      <c r="C181" s="127" t="s">
        <v>276</v>
      </c>
      <c r="D181" s="128"/>
      <c r="E181" s="125"/>
      <c r="F181" s="129"/>
      <c r="G181" s="130"/>
      <c r="H181" s="131">
        <v>0</v>
      </c>
      <c r="I181" s="130"/>
      <c r="J181" s="131">
        <v>0</v>
      </c>
      <c r="K181" s="130"/>
      <c r="L181" s="131">
        <v>0</v>
      </c>
      <c r="M181" s="130"/>
      <c r="N181" s="131">
        <v>0</v>
      </c>
      <c r="O181" s="130"/>
      <c r="P181" s="131">
        <v>312.17</v>
      </c>
      <c r="Q181" s="130"/>
      <c r="R181" s="131">
        <v>0</v>
      </c>
      <c r="S181" s="130"/>
      <c r="T181" s="131">
        <v>0</v>
      </c>
      <c r="U181" s="130"/>
      <c r="V181" s="131">
        <v>0</v>
      </c>
      <c r="W181" s="130"/>
      <c r="X181" s="131">
        <v>0</v>
      </c>
      <c r="Y181" s="130"/>
      <c r="Z181" s="131">
        <v>0</v>
      </c>
      <c r="AA181" s="130"/>
      <c r="AB181" s="131">
        <v>0</v>
      </c>
      <c r="AC181" s="130"/>
      <c r="AD181" s="131">
        <v>0</v>
      </c>
      <c r="AE181" s="130"/>
      <c r="AF181" s="131">
        <f t="shared" si="8"/>
        <v>312.17</v>
      </c>
      <c r="AG181" s="133"/>
    </row>
    <row r="182" spans="2:33" outlineLevel="1">
      <c r="B182" s="127">
        <v>57345</v>
      </c>
      <c r="C182" s="127" t="s">
        <v>131</v>
      </c>
      <c r="D182" s="128"/>
      <c r="E182" s="125"/>
      <c r="F182" s="129"/>
      <c r="G182" s="130"/>
      <c r="H182" s="131">
        <v>0</v>
      </c>
      <c r="I182" s="130"/>
      <c r="J182" s="131">
        <v>243</v>
      </c>
      <c r="K182" s="130"/>
      <c r="L182" s="131">
        <v>233.06</v>
      </c>
      <c r="M182" s="130"/>
      <c r="N182" s="131">
        <v>0</v>
      </c>
      <c r="O182" s="130"/>
      <c r="P182" s="131">
        <v>243</v>
      </c>
      <c r="Q182" s="130"/>
      <c r="R182" s="131">
        <v>0</v>
      </c>
      <c r="S182" s="130"/>
      <c r="T182" s="131">
        <v>224.7</v>
      </c>
      <c r="U182" s="130"/>
      <c r="V182" s="131">
        <v>296.95</v>
      </c>
      <c r="W182" s="130"/>
      <c r="X182" s="131">
        <v>0</v>
      </c>
      <c r="Y182" s="130"/>
      <c r="Z182" s="131">
        <v>243</v>
      </c>
      <c r="AA182" s="130"/>
      <c r="AB182" s="131">
        <v>0</v>
      </c>
      <c r="AC182" s="130"/>
      <c r="AD182" s="131">
        <v>0</v>
      </c>
      <c r="AE182" s="130"/>
      <c r="AF182" s="131">
        <f t="shared" si="8"/>
        <v>1483.71</v>
      </c>
      <c r="AG182" s="133"/>
    </row>
    <row r="183" spans="2:33" outlineLevel="1">
      <c r="B183" s="127">
        <v>57357</v>
      </c>
      <c r="C183" s="127" t="s">
        <v>182</v>
      </c>
      <c r="D183" s="128"/>
      <c r="E183" s="125"/>
      <c r="F183" s="129"/>
      <c r="G183" s="130"/>
      <c r="H183" s="131">
        <v>0</v>
      </c>
      <c r="I183" s="130"/>
      <c r="J183" s="131">
        <v>0</v>
      </c>
      <c r="K183" s="130"/>
      <c r="L183" s="131">
        <v>0</v>
      </c>
      <c r="M183" s="130"/>
      <c r="N183" s="131">
        <v>0</v>
      </c>
      <c r="O183" s="130"/>
      <c r="P183" s="131">
        <v>0</v>
      </c>
      <c r="Q183" s="130"/>
      <c r="R183" s="131">
        <v>819</v>
      </c>
      <c r="S183" s="130"/>
      <c r="T183" s="131">
        <v>564</v>
      </c>
      <c r="U183" s="130"/>
      <c r="V183" s="131">
        <v>0</v>
      </c>
      <c r="W183" s="130"/>
      <c r="X183" s="131">
        <v>0</v>
      </c>
      <c r="Y183" s="130"/>
      <c r="Z183" s="131">
        <v>0</v>
      </c>
      <c r="AA183" s="130"/>
      <c r="AB183" s="131">
        <v>50</v>
      </c>
      <c r="AC183" s="130"/>
      <c r="AD183" s="131">
        <v>0</v>
      </c>
      <c r="AE183" s="130"/>
      <c r="AF183" s="131">
        <f t="shared" si="8"/>
        <v>1433</v>
      </c>
      <c r="AG183" s="133"/>
    </row>
    <row r="184" spans="2:33" outlineLevel="1">
      <c r="B184" s="127">
        <v>57370</v>
      </c>
      <c r="C184" s="127" t="s">
        <v>277</v>
      </c>
      <c r="D184" s="128"/>
      <c r="E184" s="125"/>
      <c r="F184" s="129"/>
      <c r="G184" s="130"/>
      <c r="H184" s="131">
        <v>180.56</v>
      </c>
      <c r="I184" s="130"/>
      <c r="J184" s="131">
        <v>180.56</v>
      </c>
      <c r="K184" s="130"/>
      <c r="L184" s="131">
        <v>180.56</v>
      </c>
      <c r="M184" s="130"/>
      <c r="N184" s="131">
        <v>159.72999999999999</v>
      </c>
      <c r="O184" s="130"/>
      <c r="P184" s="131">
        <v>159.72999999999999</v>
      </c>
      <c r="Q184" s="130"/>
      <c r="R184" s="131">
        <v>309.72000000000003</v>
      </c>
      <c r="S184" s="130"/>
      <c r="T184" s="131">
        <v>159.72999999999999</v>
      </c>
      <c r="U184" s="130"/>
      <c r="V184" s="131">
        <v>159.72999999999999</v>
      </c>
      <c r="W184" s="130"/>
      <c r="X184" s="131">
        <v>159.72999999999999</v>
      </c>
      <c r="Y184" s="130"/>
      <c r="Z184" s="131">
        <v>159.72999999999999</v>
      </c>
      <c r="AA184" s="130"/>
      <c r="AB184" s="131">
        <v>159.72999999999999</v>
      </c>
      <c r="AC184" s="130"/>
      <c r="AD184" s="131">
        <v>128.08000000000001</v>
      </c>
      <c r="AE184" s="130"/>
      <c r="AF184" s="131">
        <f t="shared" si="8"/>
        <v>2097.59</v>
      </c>
      <c r="AG184" s="133"/>
    </row>
    <row r="185" spans="2:33" s="129" customFormat="1" ht="5.0999999999999996" customHeight="1" outlineLevel="1">
      <c r="B185" s="128"/>
      <c r="C185" s="128"/>
      <c r="D185" s="128"/>
      <c r="E185" s="128"/>
      <c r="H185" s="158"/>
      <c r="I185" s="156"/>
      <c r="J185" s="158"/>
      <c r="K185" s="156"/>
      <c r="L185" s="158"/>
      <c r="M185" s="156"/>
      <c r="N185" s="158"/>
      <c r="O185" s="156"/>
      <c r="P185" s="158"/>
      <c r="Q185" s="156"/>
      <c r="R185" s="158"/>
      <c r="S185" s="156"/>
      <c r="T185" s="158"/>
      <c r="U185" s="156"/>
      <c r="V185" s="158"/>
      <c r="W185" s="156"/>
      <c r="X185" s="158"/>
      <c r="Y185" s="156"/>
      <c r="Z185" s="158"/>
      <c r="AA185" s="156"/>
      <c r="AB185" s="158"/>
      <c r="AC185" s="156"/>
      <c r="AD185" s="158"/>
      <c r="AE185" s="156"/>
      <c r="AF185" s="158"/>
      <c r="AG185" s="136"/>
    </row>
    <row r="186" spans="2:33" s="129" customFormat="1" ht="15">
      <c r="D186" s="128" t="s">
        <v>278</v>
      </c>
      <c r="H186" s="155">
        <f>SUM(H169:H185)</f>
        <v>14830.52</v>
      </c>
      <c r="I186" s="156"/>
      <c r="J186" s="155">
        <f>SUM(J169:J185)</f>
        <v>12929.15</v>
      </c>
      <c r="K186" s="156"/>
      <c r="L186" s="155">
        <f>SUM(L169:L185)</f>
        <v>17406.760000000002</v>
      </c>
      <c r="M186" s="156"/>
      <c r="N186" s="155">
        <f>SUM(N169:N185)</f>
        <v>11629.889999999998</v>
      </c>
      <c r="O186" s="156"/>
      <c r="P186" s="155">
        <f>SUM(P169:P185)</f>
        <v>18504.789999999997</v>
      </c>
      <c r="Q186" s="156"/>
      <c r="R186" s="155">
        <f>SUM(R169:R185)</f>
        <v>22913.659999999996</v>
      </c>
      <c r="S186" s="156"/>
      <c r="T186" s="155">
        <f>SUM(T169:T185)</f>
        <v>17234.379999999997</v>
      </c>
      <c r="U186" s="156"/>
      <c r="V186" s="155">
        <f>SUM(V169:V185)</f>
        <v>18028.759999999998</v>
      </c>
      <c r="W186" s="156"/>
      <c r="X186" s="155">
        <f>SUM(X169:X185)</f>
        <v>16240.45</v>
      </c>
      <c r="Y186" s="156"/>
      <c r="Z186" s="155">
        <f>SUM(Z169:Z185)</f>
        <v>12213</v>
      </c>
      <c r="AA186" s="156"/>
      <c r="AB186" s="155">
        <f>SUM(AB169:AB185)</f>
        <v>14124.460000000001</v>
      </c>
      <c r="AC186" s="156"/>
      <c r="AD186" s="155">
        <f>SUM(AD169:AD185)</f>
        <v>17120.64</v>
      </c>
      <c r="AE186" s="156"/>
      <c r="AF186" s="155">
        <f>SUM(AF169:AF185)</f>
        <v>193176.46000000005</v>
      </c>
      <c r="AG186" s="136"/>
    </row>
    <row r="187" spans="2:33" s="129" customFormat="1" ht="15" outlineLevel="1">
      <c r="H187" s="157"/>
      <c r="I187" s="156"/>
      <c r="J187" s="157"/>
      <c r="K187" s="156"/>
      <c r="L187" s="157"/>
      <c r="M187" s="156"/>
      <c r="N187" s="157"/>
      <c r="O187" s="156"/>
      <c r="P187" s="157"/>
      <c r="Q187" s="156"/>
      <c r="R187" s="157"/>
      <c r="S187" s="156"/>
      <c r="T187" s="157"/>
      <c r="U187" s="156"/>
      <c r="V187" s="157"/>
      <c r="W187" s="156"/>
      <c r="X187" s="157"/>
      <c r="Y187" s="156"/>
      <c r="Z187" s="157"/>
      <c r="AA187" s="156"/>
      <c r="AB187" s="157"/>
      <c r="AC187" s="156"/>
      <c r="AD187" s="157"/>
      <c r="AE187" s="156"/>
      <c r="AF187" s="157"/>
      <c r="AG187" s="136"/>
    </row>
    <row r="188" spans="2:33" s="129" customFormat="1" ht="15" outlineLevel="1">
      <c r="B188" s="164"/>
      <c r="C188" s="164"/>
      <c r="D188" s="164"/>
      <c r="E188" s="164"/>
      <c r="F188" s="164"/>
      <c r="G188" s="164"/>
      <c r="H188" s="165"/>
      <c r="I188" s="166"/>
      <c r="J188" s="165"/>
      <c r="K188" s="166"/>
      <c r="L188" s="165"/>
      <c r="M188" s="166"/>
      <c r="N188" s="165"/>
      <c r="O188" s="166"/>
      <c r="P188" s="165"/>
      <c r="Q188" s="166"/>
      <c r="R188" s="165"/>
      <c r="S188" s="166"/>
      <c r="T188" s="165"/>
      <c r="U188" s="166"/>
      <c r="V188" s="165"/>
      <c r="W188" s="166"/>
      <c r="X188" s="165"/>
      <c r="Y188" s="166"/>
      <c r="Z188" s="165"/>
      <c r="AA188" s="166"/>
      <c r="AB188" s="165"/>
      <c r="AC188" s="166"/>
      <c r="AD188" s="165"/>
      <c r="AE188" s="166"/>
      <c r="AF188" s="165"/>
      <c r="AG188" s="164"/>
    </row>
    <row r="189" spans="2:33" s="129" customFormat="1" ht="4.5" customHeight="1" outlineLevel="1">
      <c r="B189" s="159"/>
      <c r="H189" s="158"/>
      <c r="I189" s="156"/>
      <c r="J189" s="158"/>
      <c r="K189" s="156"/>
      <c r="L189" s="158"/>
      <c r="M189" s="156"/>
      <c r="N189" s="158"/>
      <c r="O189" s="156"/>
      <c r="P189" s="158"/>
      <c r="Q189" s="156"/>
      <c r="R189" s="158"/>
      <c r="S189" s="156"/>
      <c r="T189" s="158"/>
      <c r="U189" s="156"/>
      <c r="V189" s="158"/>
      <c r="W189" s="156"/>
      <c r="X189" s="158"/>
      <c r="Y189" s="156"/>
      <c r="Z189" s="158"/>
      <c r="AA189" s="156"/>
      <c r="AB189" s="158"/>
      <c r="AC189" s="156"/>
      <c r="AD189" s="158"/>
      <c r="AE189" s="156"/>
      <c r="AF189" s="158"/>
      <c r="AG189" s="136"/>
    </row>
    <row r="190" spans="2:33" s="129" customFormat="1" ht="15">
      <c r="D190" s="129" t="s">
        <v>279</v>
      </c>
      <c r="H190" s="155">
        <f>SUM(H188:H189)</f>
        <v>0</v>
      </c>
      <c r="I190" s="156"/>
      <c r="J190" s="155">
        <f>SUM(J188:J189)</f>
        <v>0</v>
      </c>
      <c r="K190" s="156"/>
      <c r="L190" s="155">
        <f>SUM(L188:L189)</f>
        <v>0</v>
      </c>
      <c r="M190" s="156"/>
      <c r="N190" s="155">
        <f>SUM(N188:N189)</f>
        <v>0</v>
      </c>
      <c r="O190" s="156"/>
      <c r="P190" s="155">
        <f>SUM(P188:P189)</f>
        <v>0</v>
      </c>
      <c r="Q190" s="156"/>
      <c r="R190" s="155">
        <f>SUM(R188:R189)</f>
        <v>0</v>
      </c>
      <c r="S190" s="156"/>
      <c r="T190" s="155">
        <f>SUM(T188:T189)</f>
        <v>0</v>
      </c>
      <c r="U190" s="156"/>
      <c r="V190" s="155">
        <f>SUM(V188:V189)</f>
        <v>0</v>
      </c>
      <c r="W190" s="156"/>
      <c r="X190" s="155">
        <f>SUM(X188:X189)</f>
        <v>0</v>
      </c>
      <c r="Y190" s="156"/>
      <c r="Z190" s="155">
        <f>SUM(Z188:Z189)</f>
        <v>0</v>
      </c>
      <c r="AA190" s="156"/>
      <c r="AB190" s="155">
        <f>SUM(AB188:AB189)</f>
        <v>0</v>
      </c>
      <c r="AC190" s="156"/>
      <c r="AD190" s="155">
        <f>SUM(AD188:AD189)</f>
        <v>0</v>
      </c>
      <c r="AE190" s="156"/>
      <c r="AF190" s="155">
        <f>SUM(AF188:AF189)</f>
        <v>0</v>
      </c>
      <c r="AG190" s="136"/>
    </row>
    <row r="191" spans="2:33" s="129" customFormat="1" ht="15" outlineLevel="1">
      <c r="H191" s="157"/>
      <c r="I191" s="156"/>
      <c r="J191" s="157"/>
      <c r="K191" s="156"/>
      <c r="L191" s="157"/>
      <c r="M191" s="156"/>
      <c r="N191" s="157"/>
      <c r="O191" s="156"/>
      <c r="P191" s="157"/>
      <c r="Q191" s="156"/>
      <c r="R191" s="157"/>
      <c r="S191" s="156"/>
      <c r="T191" s="157"/>
      <c r="U191" s="156"/>
      <c r="V191" s="157"/>
      <c r="W191" s="156"/>
      <c r="X191" s="157"/>
      <c r="Y191" s="156"/>
      <c r="Z191" s="157"/>
      <c r="AA191" s="156"/>
      <c r="AB191" s="157"/>
      <c r="AC191" s="156"/>
      <c r="AD191" s="157"/>
      <c r="AE191" s="156"/>
      <c r="AF191" s="157"/>
      <c r="AG191" s="136"/>
    </row>
    <row r="192" spans="2:33" s="129" customFormat="1" ht="15" outlineLevel="1">
      <c r="H192" s="157"/>
      <c r="I192" s="156"/>
      <c r="J192" s="157"/>
      <c r="K192" s="156"/>
      <c r="L192" s="157"/>
      <c r="M192" s="156"/>
      <c r="N192" s="157"/>
      <c r="O192" s="156"/>
      <c r="P192" s="157"/>
      <c r="Q192" s="156"/>
      <c r="R192" s="157"/>
      <c r="S192" s="156"/>
      <c r="T192" s="157"/>
      <c r="U192" s="156"/>
      <c r="V192" s="157"/>
      <c r="W192" s="156"/>
      <c r="X192" s="157"/>
      <c r="Y192" s="156"/>
      <c r="Z192" s="157"/>
      <c r="AA192" s="156"/>
      <c r="AB192" s="157"/>
      <c r="AC192" s="156"/>
      <c r="AD192" s="157"/>
      <c r="AE192" s="156"/>
      <c r="AF192" s="157"/>
      <c r="AG192" s="136"/>
    </row>
    <row r="193" spans="2:33" outlineLevel="1">
      <c r="B193" s="127">
        <v>59340</v>
      </c>
      <c r="C193" s="127" t="s">
        <v>113</v>
      </c>
      <c r="D193" s="128"/>
      <c r="E193" s="125"/>
      <c r="F193" s="129"/>
      <c r="G193" s="130"/>
      <c r="H193" s="131">
        <v>5697.51</v>
      </c>
      <c r="I193" s="130"/>
      <c r="J193" s="131">
        <v>5697.51</v>
      </c>
      <c r="K193" s="130"/>
      <c r="L193" s="131">
        <v>5697.51</v>
      </c>
      <c r="M193" s="130"/>
      <c r="N193" s="131">
        <v>5697.51</v>
      </c>
      <c r="O193" s="130"/>
      <c r="P193" s="131">
        <v>5697.51</v>
      </c>
      <c r="Q193" s="130"/>
      <c r="R193" s="131">
        <v>5697.51</v>
      </c>
      <c r="S193" s="130"/>
      <c r="T193" s="131">
        <v>5881.64</v>
      </c>
      <c r="U193" s="130"/>
      <c r="V193" s="131">
        <v>5881.64</v>
      </c>
      <c r="W193" s="130"/>
      <c r="X193" s="131">
        <v>5881.64</v>
      </c>
      <c r="Y193" s="130"/>
      <c r="Z193" s="131">
        <v>5881.64</v>
      </c>
      <c r="AA193" s="130"/>
      <c r="AB193" s="131">
        <v>5881.64</v>
      </c>
      <c r="AC193" s="130"/>
      <c r="AD193" s="131">
        <v>5881.64</v>
      </c>
      <c r="AE193" s="130"/>
      <c r="AF193" s="131">
        <f t="shared" ref="AF193:AF200" si="9">AD193+AB193+Z193+X193+V193+T193+R193+P193+N193+L193+J193+H193</f>
        <v>69474.900000000009</v>
      </c>
      <c r="AG193" s="133"/>
    </row>
    <row r="194" spans="2:33" outlineLevel="1">
      <c r="B194" s="127">
        <v>59341</v>
      </c>
      <c r="C194" s="127" t="s">
        <v>280</v>
      </c>
      <c r="D194" s="128"/>
      <c r="E194" s="125"/>
      <c r="F194" s="129"/>
      <c r="G194" s="130"/>
      <c r="H194" s="131">
        <v>-1250</v>
      </c>
      <c r="I194" s="130"/>
      <c r="J194" s="131">
        <v>0</v>
      </c>
      <c r="K194" s="130"/>
      <c r="L194" s="131">
        <v>0</v>
      </c>
      <c r="M194" s="130"/>
      <c r="N194" s="131">
        <v>0</v>
      </c>
      <c r="O194" s="130"/>
      <c r="P194" s="131">
        <v>0</v>
      </c>
      <c r="Q194" s="130"/>
      <c r="R194" s="131">
        <v>1250</v>
      </c>
      <c r="S194" s="130"/>
      <c r="T194" s="131">
        <v>0</v>
      </c>
      <c r="U194" s="130"/>
      <c r="V194" s="131">
        <v>3218.34</v>
      </c>
      <c r="W194" s="130"/>
      <c r="X194" s="131">
        <v>0</v>
      </c>
      <c r="Y194" s="130"/>
      <c r="Z194" s="131">
        <v>7250</v>
      </c>
      <c r="AA194" s="130"/>
      <c r="AB194" s="131">
        <v>0</v>
      </c>
      <c r="AC194" s="130"/>
      <c r="AD194" s="131">
        <v>1000</v>
      </c>
      <c r="AE194" s="130"/>
      <c r="AF194" s="131">
        <f t="shared" si="9"/>
        <v>11468.34</v>
      </c>
      <c r="AG194" s="133"/>
    </row>
    <row r="195" spans="2:33" outlineLevel="1">
      <c r="B195" s="127">
        <v>59342</v>
      </c>
      <c r="C195" s="127" t="s">
        <v>281</v>
      </c>
      <c r="D195" s="128"/>
      <c r="E195" s="125"/>
      <c r="F195" s="129"/>
      <c r="G195" s="130"/>
      <c r="H195" s="131">
        <v>0</v>
      </c>
      <c r="I195" s="130"/>
      <c r="J195" s="131">
        <v>0</v>
      </c>
      <c r="K195" s="130"/>
      <c r="L195" s="131">
        <v>3250</v>
      </c>
      <c r="M195" s="130"/>
      <c r="N195" s="131">
        <v>0</v>
      </c>
      <c r="O195" s="130"/>
      <c r="P195" s="131">
        <v>-2888.2</v>
      </c>
      <c r="Q195" s="130"/>
      <c r="R195" s="131">
        <v>0</v>
      </c>
      <c r="S195" s="130"/>
      <c r="T195" s="131">
        <v>4750</v>
      </c>
      <c r="U195" s="130"/>
      <c r="V195" s="131">
        <v>-1394.76</v>
      </c>
      <c r="W195" s="130"/>
      <c r="X195" s="131">
        <v>0</v>
      </c>
      <c r="Y195" s="130"/>
      <c r="Z195" s="131">
        <v>0</v>
      </c>
      <c r="AA195" s="130"/>
      <c r="AB195" s="131">
        <v>0</v>
      </c>
      <c r="AC195" s="130"/>
      <c r="AD195" s="131">
        <v>0</v>
      </c>
      <c r="AE195" s="130"/>
      <c r="AF195" s="131">
        <f t="shared" si="9"/>
        <v>3717.04</v>
      </c>
      <c r="AG195" s="133"/>
    </row>
    <row r="196" spans="2:33" outlineLevel="1">
      <c r="B196" s="127">
        <v>59343</v>
      </c>
      <c r="C196" s="127" t="s">
        <v>282</v>
      </c>
      <c r="D196" s="128"/>
      <c r="E196" s="125"/>
      <c r="F196" s="129"/>
      <c r="G196" s="130"/>
      <c r="H196" s="131">
        <v>7804</v>
      </c>
      <c r="I196" s="130"/>
      <c r="J196" s="131">
        <v>6026</v>
      </c>
      <c r="K196" s="130"/>
      <c r="L196" s="131">
        <v>0</v>
      </c>
      <c r="M196" s="130"/>
      <c r="N196" s="131">
        <v>0</v>
      </c>
      <c r="O196" s="130"/>
      <c r="P196" s="131">
        <v>0</v>
      </c>
      <c r="Q196" s="130"/>
      <c r="R196" s="131">
        <v>0</v>
      </c>
      <c r="S196" s="130"/>
      <c r="T196" s="131">
        <v>0</v>
      </c>
      <c r="U196" s="130"/>
      <c r="V196" s="131">
        <v>4800</v>
      </c>
      <c r="W196" s="130"/>
      <c r="X196" s="131">
        <v>2940</v>
      </c>
      <c r="Y196" s="130"/>
      <c r="Z196" s="131">
        <v>0</v>
      </c>
      <c r="AA196" s="130"/>
      <c r="AB196" s="131">
        <v>4800</v>
      </c>
      <c r="AC196" s="130"/>
      <c r="AD196" s="131">
        <v>3950</v>
      </c>
      <c r="AE196" s="130"/>
      <c r="AF196" s="131">
        <f t="shared" si="9"/>
        <v>30320</v>
      </c>
      <c r="AG196" s="133"/>
    </row>
    <row r="197" spans="2:33" outlineLevel="1">
      <c r="B197" s="127">
        <v>59344</v>
      </c>
      <c r="C197" s="127" t="s">
        <v>283</v>
      </c>
      <c r="D197" s="128"/>
      <c r="E197" s="125"/>
      <c r="F197" s="129"/>
      <c r="G197" s="130"/>
      <c r="H197" s="131">
        <v>0</v>
      </c>
      <c r="I197" s="130"/>
      <c r="J197" s="131">
        <v>-2767.09</v>
      </c>
      <c r="K197" s="130"/>
      <c r="L197" s="131">
        <v>0</v>
      </c>
      <c r="M197" s="130"/>
      <c r="N197" s="131">
        <v>9.1</v>
      </c>
      <c r="O197" s="130"/>
      <c r="P197" s="131">
        <v>0</v>
      </c>
      <c r="Q197" s="130"/>
      <c r="R197" s="131">
        <v>0</v>
      </c>
      <c r="S197" s="130"/>
      <c r="T197" s="131">
        <v>877.72</v>
      </c>
      <c r="U197" s="130"/>
      <c r="V197" s="131">
        <v>-6867.76</v>
      </c>
      <c r="W197" s="130"/>
      <c r="X197" s="131">
        <v>0</v>
      </c>
      <c r="Y197" s="130"/>
      <c r="Z197" s="131">
        <v>0</v>
      </c>
      <c r="AA197" s="130"/>
      <c r="AB197" s="131">
        <v>0</v>
      </c>
      <c r="AC197" s="130"/>
      <c r="AD197" s="131">
        <v>-170.95</v>
      </c>
      <c r="AE197" s="130"/>
      <c r="AF197" s="131">
        <f t="shared" si="9"/>
        <v>-8918.98</v>
      </c>
      <c r="AG197" s="133"/>
    </row>
    <row r="198" spans="2:33" outlineLevel="1">
      <c r="B198" s="127">
        <v>59400</v>
      </c>
      <c r="C198" s="127" t="s">
        <v>284</v>
      </c>
      <c r="D198" s="128"/>
      <c r="E198" s="125"/>
      <c r="F198" s="129"/>
      <c r="G198" s="130"/>
      <c r="H198" s="131">
        <v>0</v>
      </c>
      <c r="I198" s="130"/>
      <c r="J198" s="131">
        <v>6189.22</v>
      </c>
      <c r="K198" s="130"/>
      <c r="L198" s="131">
        <v>3552.22</v>
      </c>
      <c r="M198" s="130"/>
      <c r="N198" s="131">
        <v>13171.7</v>
      </c>
      <c r="O198" s="130"/>
      <c r="P198" s="131">
        <v>4353.1899999999996</v>
      </c>
      <c r="Q198" s="130"/>
      <c r="R198" s="131">
        <v>0</v>
      </c>
      <c r="S198" s="130"/>
      <c r="T198" s="131">
        <v>3824.73</v>
      </c>
      <c r="U198" s="130"/>
      <c r="V198" s="131">
        <v>-885.84</v>
      </c>
      <c r="W198" s="130"/>
      <c r="X198" s="131">
        <v>0</v>
      </c>
      <c r="Y198" s="130"/>
      <c r="Z198" s="131">
        <v>786.18</v>
      </c>
      <c r="AA198" s="130"/>
      <c r="AB198" s="131">
        <v>0</v>
      </c>
      <c r="AC198" s="130"/>
      <c r="AD198" s="131">
        <v>2000</v>
      </c>
      <c r="AE198" s="130"/>
      <c r="AF198" s="131">
        <f t="shared" si="9"/>
        <v>32991.4</v>
      </c>
      <c r="AG198" s="133"/>
    </row>
    <row r="199" spans="2:33" outlineLevel="1">
      <c r="B199" s="127">
        <v>59401</v>
      </c>
      <c r="C199" s="127" t="s">
        <v>285</v>
      </c>
      <c r="D199" s="128"/>
      <c r="E199" s="125"/>
      <c r="F199" s="129"/>
      <c r="G199" s="130"/>
      <c r="H199" s="131">
        <v>0</v>
      </c>
      <c r="I199" s="130"/>
      <c r="J199" s="131">
        <v>0</v>
      </c>
      <c r="K199" s="130"/>
      <c r="L199" s="131">
        <v>0</v>
      </c>
      <c r="M199" s="130"/>
      <c r="N199" s="131">
        <v>1190.2</v>
      </c>
      <c r="O199" s="130"/>
      <c r="P199" s="131">
        <v>12964.79</v>
      </c>
      <c r="Q199" s="130"/>
      <c r="R199" s="131">
        <v>0</v>
      </c>
      <c r="S199" s="130"/>
      <c r="T199" s="131">
        <v>0</v>
      </c>
      <c r="U199" s="130"/>
      <c r="V199" s="131">
        <v>0</v>
      </c>
      <c r="W199" s="130"/>
      <c r="X199" s="131">
        <v>0</v>
      </c>
      <c r="Y199" s="130"/>
      <c r="Z199" s="131">
        <v>0</v>
      </c>
      <c r="AA199" s="130"/>
      <c r="AB199" s="131">
        <v>0</v>
      </c>
      <c r="AC199" s="130"/>
      <c r="AD199" s="131">
        <v>0</v>
      </c>
      <c r="AE199" s="130"/>
      <c r="AF199" s="131">
        <f t="shared" si="9"/>
        <v>14154.990000000002</v>
      </c>
      <c r="AG199" s="133"/>
    </row>
    <row r="200" spans="2:33" outlineLevel="1">
      <c r="B200" s="127">
        <v>59500</v>
      </c>
      <c r="C200" s="127" t="s">
        <v>286</v>
      </c>
      <c r="D200" s="128"/>
      <c r="E200" s="125"/>
      <c r="F200" s="129"/>
      <c r="G200" s="130"/>
      <c r="H200" s="131">
        <v>1400</v>
      </c>
      <c r="I200" s="130"/>
      <c r="J200" s="131">
        <v>1000</v>
      </c>
      <c r="K200" s="130"/>
      <c r="L200" s="131">
        <v>1300</v>
      </c>
      <c r="M200" s="130"/>
      <c r="N200" s="131">
        <v>1300</v>
      </c>
      <c r="O200" s="130"/>
      <c r="P200" s="131">
        <v>800</v>
      </c>
      <c r="Q200" s="130"/>
      <c r="R200" s="131">
        <v>1300</v>
      </c>
      <c r="S200" s="130"/>
      <c r="T200" s="131">
        <v>1300</v>
      </c>
      <c r="U200" s="130"/>
      <c r="V200" s="131">
        <v>5000</v>
      </c>
      <c r="W200" s="130"/>
      <c r="X200" s="131">
        <v>5400</v>
      </c>
      <c r="Y200" s="130"/>
      <c r="Z200" s="131">
        <v>1300</v>
      </c>
      <c r="AA200" s="130"/>
      <c r="AB200" s="131">
        <v>1900</v>
      </c>
      <c r="AC200" s="130"/>
      <c r="AD200" s="131">
        <v>1500</v>
      </c>
      <c r="AE200" s="130"/>
      <c r="AF200" s="131">
        <f t="shared" si="9"/>
        <v>23500</v>
      </c>
      <c r="AG200" s="133"/>
    </row>
    <row r="201" spans="2:33" s="129" customFormat="1" ht="5.0999999999999996" customHeight="1" outlineLevel="1">
      <c r="B201" s="128"/>
      <c r="C201" s="128"/>
      <c r="D201" s="128"/>
      <c r="E201" s="128"/>
      <c r="H201" s="158"/>
      <c r="I201" s="156"/>
      <c r="J201" s="158"/>
      <c r="K201" s="156"/>
      <c r="L201" s="158"/>
      <c r="M201" s="156"/>
      <c r="N201" s="158"/>
      <c r="O201" s="156"/>
      <c r="P201" s="158"/>
      <c r="Q201" s="156"/>
      <c r="R201" s="158"/>
      <c r="S201" s="156"/>
      <c r="T201" s="158"/>
      <c r="U201" s="156"/>
      <c r="V201" s="158"/>
      <c r="W201" s="156"/>
      <c r="X201" s="158"/>
      <c r="Y201" s="156"/>
      <c r="Z201" s="158"/>
      <c r="AA201" s="156"/>
      <c r="AB201" s="158"/>
      <c r="AC201" s="156"/>
      <c r="AD201" s="158"/>
      <c r="AE201" s="156"/>
      <c r="AF201" s="158"/>
      <c r="AG201" s="136"/>
    </row>
    <row r="202" spans="2:33" s="129" customFormat="1" ht="15">
      <c r="D202" s="128" t="s">
        <v>287</v>
      </c>
      <c r="H202" s="155">
        <f>SUM(H192:H201)</f>
        <v>13651.51</v>
      </c>
      <c r="I202" s="156"/>
      <c r="J202" s="155">
        <f>SUM(J192:J201)</f>
        <v>16145.64</v>
      </c>
      <c r="K202" s="156"/>
      <c r="L202" s="155">
        <f>SUM(L192:L201)</f>
        <v>13799.73</v>
      </c>
      <c r="M202" s="156"/>
      <c r="N202" s="155">
        <f>SUM(N192:N201)</f>
        <v>21368.510000000002</v>
      </c>
      <c r="O202" s="156"/>
      <c r="P202" s="155">
        <f>SUM(P192:P201)</f>
        <v>20927.29</v>
      </c>
      <c r="Q202" s="156"/>
      <c r="R202" s="155">
        <f>SUM(R192:R201)</f>
        <v>8247.51</v>
      </c>
      <c r="S202" s="156"/>
      <c r="T202" s="155">
        <f>SUM(T192:T201)</f>
        <v>16634.089999999997</v>
      </c>
      <c r="U202" s="156"/>
      <c r="V202" s="155">
        <f>SUM(V192:V201)</f>
        <v>9751.619999999999</v>
      </c>
      <c r="W202" s="156"/>
      <c r="X202" s="155">
        <f>SUM(X192:X201)</f>
        <v>14221.64</v>
      </c>
      <c r="Y202" s="156"/>
      <c r="Z202" s="155">
        <f>SUM(Z192:Z201)</f>
        <v>15217.82</v>
      </c>
      <c r="AA202" s="156"/>
      <c r="AB202" s="155">
        <f>SUM(AB192:AB201)</f>
        <v>12581.64</v>
      </c>
      <c r="AC202" s="156"/>
      <c r="AD202" s="155">
        <f>SUM(AD192:AD201)</f>
        <v>14160.689999999999</v>
      </c>
      <c r="AE202" s="156"/>
      <c r="AF202" s="155">
        <f>SUM(AF192:AF201)</f>
        <v>176707.69</v>
      </c>
      <c r="AG202" s="136"/>
    </row>
    <row r="203" spans="2:33" s="129" customFormat="1" ht="15" outlineLevel="1">
      <c r="H203" s="157"/>
      <c r="I203" s="156"/>
      <c r="J203" s="157"/>
      <c r="K203" s="156"/>
      <c r="L203" s="157"/>
      <c r="M203" s="156"/>
      <c r="N203" s="157"/>
      <c r="O203" s="156"/>
      <c r="P203" s="157"/>
      <c r="Q203" s="156"/>
      <c r="R203" s="157"/>
      <c r="S203" s="156"/>
      <c r="T203" s="157"/>
      <c r="U203" s="156"/>
      <c r="V203" s="157"/>
      <c r="W203" s="156"/>
      <c r="X203" s="157"/>
      <c r="Y203" s="156"/>
      <c r="Z203" s="157"/>
      <c r="AA203" s="156"/>
      <c r="AB203" s="157"/>
      <c r="AC203" s="156"/>
      <c r="AD203" s="157"/>
      <c r="AE203" s="156"/>
      <c r="AF203" s="157"/>
      <c r="AG203" s="136"/>
    </row>
    <row r="204" spans="2:33" outlineLevel="1">
      <c r="B204" s="127">
        <v>91010</v>
      </c>
      <c r="C204" s="127" t="s">
        <v>288</v>
      </c>
      <c r="D204" s="128"/>
      <c r="E204" s="125"/>
      <c r="F204" s="129"/>
      <c r="G204" s="130"/>
      <c r="H204" s="131">
        <v>0</v>
      </c>
      <c r="I204" s="130"/>
      <c r="J204" s="131">
        <v>-11103.69</v>
      </c>
      <c r="K204" s="130"/>
      <c r="L204" s="131">
        <v>0</v>
      </c>
      <c r="M204" s="130"/>
      <c r="N204" s="131">
        <v>0</v>
      </c>
      <c r="O204" s="130"/>
      <c r="P204" s="131">
        <v>0</v>
      </c>
      <c r="Q204" s="130"/>
      <c r="R204" s="131">
        <v>0</v>
      </c>
      <c r="S204" s="130"/>
      <c r="T204" s="131">
        <v>0</v>
      </c>
      <c r="U204" s="130"/>
      <c r="V204" s="131">
        <v>0</v>
      </c>
      <c r="W204" s="130"/>
      <c r="X204" s="131">
        <v>0</v>
      </c>
      <c r="Y204" s="130"/>
      <c r="Z204" s="131">
        <v>0</v>
      </c>
      <c r="AA204" s="130"/>
      <c r="AB204" s="131">
        <v>0</v>
      </c>
      <c r="AC204" s="130"/>
      <c r="AD204" s="131">
        <v>-761.7</v>
      </c>
      <c r="AE204" s="130"/>
      <c r="AF204" s="131">
        <f>AD204+AB204+Z204+X204+V204+T204+R204+P204+N204+L204+J204+H204</f>
        <v>-11865.390000000001</v>
      </c>
      <c r="AG204" s="133"/>
    </row>
    <row r="205" spans="2:33" s="129" customFormat="1" ht="5.0999999999999996" customHeight="1" outlineLevel="1">
      <c r="B205" s="128"/>
      <c r="C205" s="128"/>
      <c r="D205" s="128"/>
      <c r="E205" s="128"/>
      <c r="H205" s="158"/>
      <c r="I205" s="156"/>
      <c r="J205" s="158"/>
      <c r="K205" s="156"/>
      <c r="L205" s="158"/>
      <c r="M205" s="156"/>
      <c r="N205" s="158"/>
      <c r="O205" s="156"/>
      <c r="P205" s="158"/>
      <c r="Q205" s="156"/>
      <c r="R205" s="158"/>
      <c r="S205" s="156"/>
      <c r="T205" s="158"/>
      <c r="U205" s="156"/>
      <c r="V205" s="158"/>
      <c r="W205" s="156"/>
      <c r="X205" s="158"/>
      <c r="Y205" s="156"/>
      <c r="Z205" s="158"/>
      <c r="AA205" s="156"/>
      <c r="AB205" s="158"/>
      <c r="AC205" s="156"/>
      <c r="AD205" s="158"/>
      <c r="AE205" s="156"/>
      <c r="AF205" s="158"/>
      <c r="AG205" s="136"/>
    </row>
    <row r="206" spans="2:33" s="129" customFormat="1" ht="15">
      <c r="D206" s="127" t="s">
        <v>289</v>
      </c>
      <c r="H206" s="155">
        <f>SUM(H204:H205)</f>
        <v>0</v>
      </c>
      <c r="I206" s="156"/>
      <c r="J206" s="155">
        <f>SUM(J204:J205)</f>
        <v>-11103.69</v>
      </c>
      <c r="K206" s="156"/>
      <c r="L206" s="155">
        <f>SUM(L204:L205)</f>
        <v>0</v>
      </c>
      <c r="M206" s="156"/>
      <c r="N206" s="155">
        <f>SUM(N204:N205)</f>
        <v>0</v>
      </c>
      <c r="O206" s="156"/>
      <c r="P206" s="155">
        <f>SUM(P204:P205)</f>
        <v>0</v>
      </c>
      <c r="Q206" s="156"/>
      <c r="R206" s="155">
        <f>SUM(R204:R205)</f>
        <v>0</v>
      </c>
      <c r="S206" s="156"/>
      <c r="T206" s="155">
        <f>SUM(T204:T205)</f>
        <v>0</v>
      </c>
      <c r="U206" s="156"/>
      <c r="V206" s="155">
        <f>SUM(V204:V205)</f>
        <v>0</v>
      </c>
      <c r="W206" s="156"/>
      <c r="X206" s="155">
        <f>SUM(X204:X205)</f>
        <v>0</v>
      </c>
      <c r="Y206" s="156"/>
      <c r="Z206" s="155">
        <f>SUM(Z204:Z205)</f>
        <v>0</v>
      </c>
      <c r="AA206" s="156"/>
      <c r="AB206" s="155">
        <f>SUM(AB204:AB205)</f>
        <v>0</v>
      </c>
      <c r="AC206" s="156"/>
      <c r="AD206" s="155">
        <f>SUM(AD204:AD205)</f>
        <v>-761.7</v>
      </c>
      <c r="AE206" s="156"/>
      <c r="AF206" s="155">
        <f>SUM(AF204:AF205)</f>
        <v>-11865.390000000001</v>
      </c>
      <c r="AG206" s="136"/>
    </row>
    <row r="207" spans="2:33" s="129" customFormat="1" ht="7.5" customHeight="1">
      <c r="H207" s="157"/>
      <c r="I207" s="156"/>
      <c r="J207" s="157"/>
      <c r="K207" s="156"/>
      <c r="L207" s="157"/>
      <c r="M207" s="156"/>
      <c r="N207" s="157"/>
      <c r="O207" s="156"/>
      <c r="P207" s="157"/>
      <c r="Q207" s="156"/>
      <c r="R207" s="157"/>
      <c r="S207" s="156"/>
      <c r="T207" s="157"/>
      <c r="U207" s="156"/>
      <c r="V207" s="157"/>
      <c r="W207" s="156"/>
      <c r="X207" s="157"/>
      <c r="Y207" s="156"/>
      <c r="Z207" s="157"/>
      <c r="AA207" s="156"/>
      <c r="AB207" s="157"/>
      <c r="AC207" s="156"/>
      <c r="AD207" s="157"/>
      <c r="AE207" s="156"/>
      <c r="AF207" s="157"/>
      <c r="AG207" s="136"/>
    </row>
    <row r="208" spans="2:33" s="129" customFormat="1" ht="15">
      <c r="C208" s="163" t="s">
        <v>290</v>
      </c>
      <c r="H208" s="161">
        <f>+H99+H103+H135+H153+H167+H186+H202+H190+H206</f>
        <v>516509.25</v>
      </c>
      <c r="I208" s="156"/>
      <c r="J208" s="161">
        <f>+J99+J103+J135+J153+J167+J186+J202+J190+J206</f>
        <v>560113.2100000002</v>
      </c>
      <c r="K208" s="156"/>
      <c r="L208" s="161">
        <f>+L99+L103+L135+L153+L167+L186+L202+L190+L206</f>
        <v>569813.43000000005</v>
      </c>
      <c r="M208" s="156"/>
      <c r="N208" s="161">
        <f>+N99+N103+N135+N153+N167+N186+N202+N190+N206</f>
        <v>520665.07000000007</v>
      </c>
      <c r="O208" s="156"/>
      <c r="P208" s="161">
        <f>+P99+P103+P135+P153+P167+P186+P202+P190+P206</f>
        <v>585295.14</v>
      </c>
      <c r="Q208" s="156"/>
      <c r="R208" s="161">
        <f>+R99+R103+R135+R153+R167+R186+R202+R190+R206</f>
        <v>569948.63</v>
      </c>
      <c r="S208" s="156"/>
      <c r="T208" s="161">
        <f>+T99+T103+T135+T153+T167+T186+T202+T190+T206</f>
        <v>556398.27999999991</v>
      </c>
      <c r="U208" s="156"/>
      <c r="V208" s="161">
        <f>+V99+V103+V135+V153+V167+V186+V202+V190+V206</f>
        <v>541499.80000000005</v>
      </c>
      <c r="W208" s="156"/>
      <c r="X208" s="161">
        <f>+X99+X103+X135+X153+X167+X186+X202+X190+X206</f>
        <v>575705.73</v>
      </c>
      <c r="Y208" s="156"/>
      <c r="Z208" s="161">
        <f>+Z99+Z103+Z135+Z153+Z167+Z186+Z202+Z190+Z206</f>
        <v>550603.19999999984</v>
      </c>
      <c r="AA208" s="156"/>
      <c r="AB208" s="161">
        <f>+AB99+AB103+AB135+AB153+AB167+AB186+AB202+AB190+AB206</f>
        <v>594152.12</v>
      </c>
      <c r="AC208" s="156"/>
      <c r="AD208" s="161">
        <f>+AD99+AD103+AD135+AD153+AD167+AD186+AD202+AD190+AD206</f>
        <v>597077.90999999992</v>
      </c>
      <c r="AE208" s="156"/>
      <c r="AF208" s="161">
        <f>+AF99+AF103+AF135+AF153+AF167+AF186+AF202+AF190+AF206</f>
        <v>6737781.7700000005</v>
      </c>
      <c r="AG208" s="136"/>
    </row>
    <row r="209" spans="2:33" s="129" customFormat="1" ht="7.5" customHeight="1">
      <c r="H209" s="157"/>
      <c r="I209" s="156"/>
      <c r="J209" s="157"/>
      <c r="K209" s="156"/>
      <c r="L209" s="157"/>
      <c r="M209" s="156"/>
      <c r="N209" s="157"/>
      <c r="O209" s="156"/>
      <c r="P209" s="157"/>
      <c r="Q209" s="156"/>
      <c r="R209" s="157"/>
      <c r="S209" s="156"/>
      <c r="T209" s="157"/>
      <c r="U209" s="156"/>
      <c r="V209" s="157"/>
      <c r="W209" s="156"/>
      <c r="X209" s="157"/>
      <c r="Y209" s="156"/>
      <c r="Z209" s="157"/>
      <c r="AA209" s="156"/>
      <c r="AB209" s="157"/>
      <c r="AC209" s="156"/>
      <c r="AD209" s="157"/>
      <c r="AE209" s="156"/>
      <c r="AF209" s="157"/>
      <c r="AG209" s="136"/>
    </row>
    <row r="210" spans="2:33" s="129" customFormat="1" ht="15">
      <c r="C210" s="163" t="s">
        <v>291</v>
      </c>
      <c r="H210" s="161">
        <f>H83-H208</f>
        <v>346940.21999999986</v>
      </c>
      <c r="I210" s="156"/>
      <c r="J210" s="161">
        <f>J83-J208</f>
        <v>325592.63999999966</v>
      </c>
      <c r="K210" s="156"/>
      <c r="L210" s="161">
        <f>L83-L208</f>
        <v>311116.61999999976</v>
      </c>
      <c r="M210" s="156"/>
      <c r="N210" s="161">
        <f>N83-N208</f>
        <v>360690.13999999966</v>
      </c>
      <c r="O210" s="156"/>
      <c r="P210" s="161">
        <f>P83-P208</f>
        <v>285487.07999999996</v>
      </c>
      <c r="Q210" s="156"/>
      <c r="R210" s="161">
        <f>R83-R208</f>
        <v>310563.6399999999</v>
      </c>
      <c r="S210" s="156"/>
      <c r="T210" s="161">
        <f>T83-T208</f>
        <v>304666.08000000007</v>
      </c>
      <c r="U210" s="156"/>
      <c r="V210" s="161">
        <f>V83-V208</f>
        <v>322146.2699999999</v>
      </c>
      <c r="W210" s="156"/>
      <c r="X210" s="161">
        <f>X83-X208</f>
        <v>331992.36</v>
      </c>
      <c r="Y210" s="156"/>
      <c r="Z210" s="161">
        <f>Z83-Z208</f>
        <v>358622.14000000013</v>
      </c>
      <c r="AA210" s="156"/>
      <c r="AB210" s="161">
        <f>AB83-AB208</f>
        <v>324958.78000000014</v>
      </c>
      <c r="AC210" s="156"/>
      <c r="AD210" s="161">
        <f>AD83-AD208</f>
        <v>361469.52</v>
      </c>
      <c r="AE210" s="156"/>
      <c r="AF210" s="161">
        <f>AF83-AF208</f>
        <v>3944245.4900000012</v>
      </c>
      <c r="AG210" s="136"/>
    </row>
    <row r="211" spans="2:33" s="129" customFormat="1" ht="7.5" customHeight="1">
      <c r="H211" s="157"/>
      <c r="I211" s="156"/>
      <c r="J211" s="157"/>
      <c r="K211" s="156"/>
      <c r="L211" s="157"/>
      <c r="M211" s="156"/>
      <c r="N211" s="157"/>
      <c r="O211" s="156"/>
      <c r="P211" s="157"/>
      <c r="Q211" s="156"/>
      <c r="R211" s="157"/>
      <c r="S211" s="156"/>
      <c r="T211" s="157"/>
      <c r="U211" s="156"/>
      <c r="V211" s="157"/>
      <c r="W211" s="156"/>
      <c r="X211" s="157"/>
      <c r="Y211" s="156"/>
      <c r="Z211" s="157"/>
      <c r="AA211" s="156"/>
      <c r="AB211" s="157"/>
      <c r="AC211" s="156"/>
      <c r="AD211" s="157"/>
      <c r="AE211" s="156"/>
      <c r="AF211" s="157"/>
      <c r="AG211" s="136"/>
    </row>
    <row r="212" spans="2:33" s="129" customFormat="1" ht="15" outlineLevel="1">
      <c r="H212" s="157"/>
      <c r="I212" s="156"/>
      <c r="J212" s="157"/>
      <c r="K212" s="156"/>
      <c r="L212" s="157"/>
      <c r="M212" s="156"/>
      <c r="N212" s="157"/>
      <c r="O212" s="156"/>
      <c r="P212" s="157"/>
      <c r="Q212" s="156"/>
      <c r="R212" s="157"/>
      <c r="S212" s="156"/>
      <c r="T212" s="157"/>
      <c r="U212" s="156"/>
      <c r="V212" s="157"/>
      <c r="W212" s="156"/>
      <c r="X212" s="157"/>
      <c r="Y212" s="156"/>
      <c r="Z212" s="157"/>
      <c r="AA212" s="156"/>
      <c r="AB212" s="157"/>
      <c r="AC212" s="156"/>
      <c r="AD212" s="157"/>
      <c r="AE212" s="156"/>
      <c r="AF212" s="157"/>
      <c r="AG212" s="136"/>
    </row>
    <row r="213" spans="2:33" outlineLevel="1">
      <c r="B213" s="127"/>
      <c r="C213" s="127"/>
      <c r="D213" s="128"/>
      <c r="E213" s="125"/>
      <c r="F213" s="129"/>
      <c r="G213" s="130"/>
      <c r="H213" s="131"/>
      <c r="I213" s="130"/>
      <c r="J213" s="131"/>
      <c r="K213" s="130"/>
      <c r="L213" s="131"/>
      <c r="M213" s="130"/>
      <c r="N213" s="131"/>
      <c r="O213" s="130"/>
      <c r="P213" s="131"/>
      <c r="Q213" s="130"/>
      <c r="R213" s="131"/>
      <c r="S213" s="130"/>
      <c r="T213" s="131"/>
      <c r="U213" s="130"/>
      <c r="V213" s="131"/>
      <c r="W213" s="130"/>
      <c r="X213" s="131"/>
      <c r="Y213" s="130"/>
      <c r="Z213" s="131"/>
      <c r="AA213" s="130"/>
      <c r="AB213" s="131"/>
      <c r="AC213" s="130"/>
      <c r="AD213" s="131"/>
      <c r="AE213" s="130"/>
      <c r="AF213" s="131"/>
      <c r="AG213" s="133"/>
    </row>
    <row r="214" spans="2:33" s="129" customFormat="1" ht="5.0999999999999996" customHeight="1" outlineLevel="1">
      <c r="B214" s="128"/>
      <c r="C214" s="128"/>
      <c r="D214" s="128"/>
      <c r="E214" s="128"/>
      <c r="H214" s="158"/>
      <c r="I214" s="156"/>
      <c r="J214" s="158"/>
      <c r="K214" s="156"/>
      <c r="L214" s="158"/>
      <c r="M214" s="156"/>
      <c r="N214" s="158"/>
      <c r="O214" s="156"/>
      <c r="P214" s="158"/>
      <c r="Q214" s="156"/>
      <c r="R214" s="158"/>
      <c r="S214" s="156"/>
      <c r="T214" s="158"/>
      <c r="U214" s="156"/>
      <c r="V214" s="158"/>
      <c r="W214" s="156"/>
      <c r="X214" s="158"/>
      <c r="Y214" s="156"/>
      <c r="Z214" s="158"/>
      <c r="AA214" s="156"/>
      <c r="AB214" s="158"/>
      <c r="AC214" s="156"/>
      <c r="AD214" s="158"/>
      <c r="AE214" s="156"/>
      <c r="AF214" s="158"/>
      <c r="AG214" s="136"/>
    </row>
    <row r="215" spans="2:33" s="129" customFormat="1" ht="15">
      <c r="D215" s="128" t="s">
        <v>292</v>
      </c>
      <c r="H215" s="155">
        <f>SUM(H212:H214)</f>
        <v>0</v>
      </c>
      <c r="I215" s="156"/>
      <c r="J215" s="155">
        <f>SUM(J212:J214)</f>
        <v>0</v>
      </c>
      <c r="K215" s="156"/>
      <c r="L215" s="155">
        <f>SUM(L212:L214)</f>
        <v>0</v>
      </c>
      <c r="M215" s="156"/>
      <c r="N215" s="155">
        <f>SUM(N212:N214)</f>
        <v>0</v>
      </c>
      <c r="O215" s="156"/>
      <c r="P215" s="155">
        <f>SUM(P212:P214)</f>
        <v>0</v>
      </c>
      <c r="Q215" s="156"/>
      <c r="R215" s="155">
        <f>SUM(R212:R214)</f>
        <v>0</v>
      </c>
      <c r="S215" s="156"/>
      <c r="T215" s="155">
        <f>SUM(T212:T214)</f>
        <v>0</v>
      </c>
      <c r="U215" s="156"/>
      <c r="V215" s="155">
        <f>SUM(V212:V214)</f>
        <v>0</v>
      </c>
      <c r="W215" s="156"/>
      <c r="X215" s="155">
        <f>SUM(X212:X214)</f>
        <v>0</v>
      </c>
      <c r="Y215" s="156"/>
      <c r="Z215" s="155">
        <f>SUM(Z212:Z214)</f>
        <v>0</v>
      </c>
      <c r="AA215" s="156"/>
      <c r="AB215" s="155">
        <f>SUM(AB212:AB214)</f>
        <v>0</v>
      </c>
      <c r="AC215" s="156"/>
      <c r="AD215" s="155">
        <f>SUM(AD212:AD214)</f>
        <v>0</v>
      </c>
      <c r="AE215" s="156"/>
      <c r="AF215" s="155">
        <f>SUM(AF212:AF214)</f>
        <v>0</v>
      </c>
      <c r="AG215" s="136"/>
    </row>
    <row r="216" spans="2:33" s="129" customFormat="1" ht="15" outlineLevel="1">
      <c r="H216" s="157"/>
      <c r="I216" s="156"/>
      <c r="J216" s="157"/>
      <c r="K216" s="156"/>
      <c r="L216" s="157"/>
      <c r="M216" s="156"/>
      <c r="N216" s="157"/>
      <c r="O216" s="156"/>
      <c r="P216" s="157"/>
      <c r="Q216" s="156"/>
      <c r="R216" s="157"/>
      <c r="S216" s="156"/>
      <c r="T216" s="157"/>
      <c r="U216" s="156"/>
      <c r="V216" s="157"/>
      <c r="W216" s="156"/>
      <c r="X216" s="157"/>
      <c r="Y216" s="156"/>
      <c r="Z216" s="157"/>
      <c r="AA216" s="156"/>
      <c r="AB216" s="157"/>
      <c r="AC216" s="156"/>
      <c r="AD216" s="157"/>
      <c r="AE216" s="156"/>
      <c r="AF216" s="157"/>
      <c r="AG216" s="136"/>
    </row>
    <row r="217" spans="2:33" s="129" customFormat="1" ht="15" outlineLevel="1">
      <c r="H217" s="157"/>
      <c r="I217" s="156"/>
      <c r="J217" s="157"/>
      <c r="K217" s="156"/>
      <c r="L217" s="157"/>
      <c r="M217" s="156"/>
      <c r="N217" s="157"/>
      <c r="O217" s="156"/>
      <c r="P217" s="157"/>
      <c r="Q217" s="156"/>
      <c r="R217" s="157"/>
      <c r="S217" s="156"/>
      <c r="T217" s="157"/>
      <c r="U217" s="156"/>
      <c r="V217" s="157"/>
      <c r="W217" s="156"/>
      <c r="X217" s="157"/>
      <c r="Y217" s="156"/>
      <c r="Z217" s="157"/>
      <c r="AA217" s="156"/>
      <c r="AB217" s="157"/>
      <c r="AC217" s="156"/>
      <c r="AD217" s="157"/>
      <c r="AE217" s="156"/>
      <c r="AF217" s="157"/>
      <c r="AG217" s="136"/>
    </row>
    <row r="218" spans="2:33" outlineLevel="1">
      <c r="B218" s="127">
        <v>70010</v>
      </c>
      <c r="C218" s="127" t="s">
        <v>41</v>
      </c>
      <c r="D218" s="128"/>
      <c r="E218" s="125"/>
      <c r="F218" s="129"/>
      <c r="G218" s="130"/>
      <c r="H218" s="131">
        <v>43138.74</v>
      </c>
      <c r="I218" s="130"/>
      <c r="J218" s="131">
        <v>45825.41</v>
      </c>
      <c r="K218" s="130"/>
      <c r="L218" s="131">
        <v>44181.23</v>
      </c>
      <c r="M218" s="130"/>
      <c r="N218" s="131">
        <v>42471.41</v>
      </c>
      <c r="O218" s="130"/>
      <c r="P218" s="131">
        <v>44000.3</v>
      </c>
      <c r="Q218" s="130"/>
      <c r="R218" s="131">
        <v>44730.85</v>
      </c>
      <c r="S218" s="130"/>
      <c r="T218" s="131">
        <v>44956.61</v>
      </c>
      <c r="U218" s="130"/>
      <c r="V218" s="131">
        <v>40747.660000000003</v>
      </c>
      <c r="W218" s="130"/>
      <c r="X218" s="131">
        <v>43448.19</v>
      </c>
      <c r="Y218" s="130"/>
      <c r="Z218" s="131">
        <v>41555.839999999997</v>
      </c>
      <c r="AA218" s="130"/>
      <c r="AB218" s="131">
        <v>45384.91</v>
      </c>
      <c r="AC218" s="130"/>
      <c r="AD218" s="131">
        <v>44875.83</v>
      </c>
      <c r="AE218" s="130"/>
      <c r="AF218" s="131">
        <f t="shared" ref="AF218:AF260" si="10">AD218+AB218+Z218+X218+V218+T218+R218+P218+N218+L218+J218+H218</f>
        <v>525316.98</v>
      </c>
      <c r="AG218" s="133"/>
    </row>
    <row r="219" spans="2:33" outlineLevel="1">
      <c r="B219" s="127">
        <v>70020</v>
      </c>
      <c r="C219" s="127" t="s">
        <v>50</v>
      </c>
      <c r="D219" s="128"/>
      <c r="E219" s="125"/>
      <c r="F219" s="129"/>
      <c r="G219" s="130"/>
      <c r="H219" s="131">
        <v>14248.05</v>
      </c>
      <c r="I219" s="130"/>
      <c r="J219" s="131">
        <v>17598.63</v>
      </c>
      <c r="K219" s="130"/>
      <c r="L219" s="131">
        <v>16537.23</v>
      </c>
      <c r="M219" s="130"/>
      <c r="N219" s="131">
        <v>14650.49</v>
      </c>
      <c r="O219" s="130"/>
      <c r="P219" s="131">
        <v>17368.71</v>
      </c>
      <c r="Q219" s="130"/>
      <c r="R219" s="131">
        <v>18883.86</v>
      </c>
      <c r="S219" s="130"/>
      <c r="T219" s="131">
        <v>16723.73</v>
      </c>
      <c r="U219" s="130"/>
      <c r="V219" s="131">
        <v>18236.189999999999</v>
      </c>
      <c r="W219" s="130"/>
      <c r="X219" s="131">
        <v>18044.400000000001</v>
      </c>
      <c r="Y219" s="130"/>
      <c r="Z219" s="131">
        <v>12802.66</v>
      </c>
      <c r="AA219" s="130"/>
      <c r="AB219" s="131">
        <v>17961.509999999998</v>
      </c>
      <c r="AC219" s="130"/>
      <c r="AD219" s="131">
        <v>15439.47</v>
      </c>
      <c r="AE219" s="130"/>
      <c r="AF219" s="131">
        <f t="shared" si="10"/>
        <v>198494.93</v>
      </c>
      <c r="AG219" s="133"/>
    </row>
    <row r="220" spans="2:33" outlineLevel="1">
      <c r="B220" s="127">
        <v>70025</v>
      </c>
      <c r="C220" s="127" t="s">
        <v>51</v>
      </c>
      <c r="D220" s="128"/>
      <c r="E220" s="125"/>
      <c r="F220" s="129"/>
      <c r="G220" s="130"/>
      <c r="H220" s="131">
        <v>567.62</v>
      </c>
      <c r="I220" s="130"/>
      <c r="J220" s="131">
        <v>537.54</v>
      </c>
      <c r="K220" s="130"/>
      <c r="L220" s="131">
        <v>366.15</v>
      </c>
      <c r="M220" s="130"/>
      <c r="N220" s="131">
        <v>538.54999999999995</v>
      </c>
      <c r="O220" s="130"/>
      <c r="P220" s="131">
        <v>392.14</v>
      </c>
      <c r="Q220" s="130"/>
      <c r="R220" s="131">
        <v>590.84</v>
      </c>
      <c r="S220" s="130"/>
      <c r="T220" s="131">
        <v>-9.73</v>
      </c>
      <c r="U220" s="130"/>
      <c r="V220" s="131">
        <v>544.75</v>
      </c>
      <c r="W220" s="130"/>
      <c r="X220" s="131">
        <v>687.45</v>
      </c>
      <c r="Y220" s="130"/>
      <c r="Z220" s="131">
        <v>625.72</v>
      </c>
      <c r="AA220" s="130"/>
      <c r="AB220" s="131">
        <v>701.87</v>
      </c>
      <c r="AC220" s="130"/>
      <c r="AD220" s="131">
        <v>479.05</v>
      </c>
      <c r="AE220" s="130"/>
      <c r="AF220" s="131">
        <f t="shared" si="10"/>
        <v>6021.95</v>
      </c>
      <c r="AG220" s="133"/>
    </row>
    <row r="221" spans="2:33" outlineLevel="1">
      <c r="B221" s="127">
        <v>70036</v>
      </c>
      <c r="C221" s="127" t="s">
        <v>77</v>
      </c>
      <c r="D221" s="128"/>
      <c r="E221" s="125"/>
      <c r="F221" s="129"/>
      <c r="G221" s="130"/>
      <c r="H221" s="131">
        <v>1031</v>
      </c>
      <c r="I221" s="130"/>
      <c r="J221" s="131">
        <v>931</v>
      </c>
      <c r="K221" s="130"/>
      <c r="L221" s="131">
        <v>1596</v>
      </c>
      <c r="M221" s="130"/>
      <c r="N221" s="131">
        <v>100</v>
      </c>
      <c r="O221" s="130"/>
      <c r="P221" s="131">
        <v>1995</v>
      </c>
      <c r="Q221" s="130"/>
      <c r="R221" s="131">
        <v>425</v>
      </c>
      <c r="S221" s="130"/>
      <c r="T221" s="131">
        <v>1396.5</v>
      </c>
      <c r="U221" s="130"/>
      <c r="V221" s="131">
        <v>0</v>
      </c>
      <c r="W221" s="130"/>
      <c r="X221" s="131">
        <v>798</v>
      </c>
      <c r="Y221" s="130"/>
      <c r="Z221" s="131">
        <v>190.78</v>
      </c>
      <c r="AA221" s="130"/>
      <c r="AB221" s="131">
        <v>2808.58</v>
      </c>
      <c r="AC221" s="130"/>
      <c r="AD221" s="131">
        <v>837.72</v>
      </c>
      <c r="AE221" s="130"/>
      <c r="AF221" s="131">
        <f t="shared" si="10"/>
        <v>12109.58</v>
      </c>
      <c r="AG221" s="133"/>
    </row>
    <row r="222" spans="2:33" outlineLevel="1">
      <c r="B222" s="127">
        <v>70045</v>
      </c>
      <c r="C222" s="127" t="s">
        <v>63</v>
      </c>
      <c r="D222" s="128"/>
      <c r="E222" s="125"/>
      <c r="F222" s="129"/>
      <c r="G222" s="130"/>
      <c r="H222" s="131">
        <v>0</v>
      </c>
      <c r="I222" s="130"/>
      <c r="J222" s="131">
        <v>0</v>
      </c>
      <c r="K222" s="130"/>
      <c r="L222" s="131">
        <v>0</v>
      </c>
      <c r="M222" s="130"/>
      <c r="N222" s="131">
        <v>0</v>
      </c>
      <c r="O222" s="130"/>
      <c r="P222" s="131">
        <v>0</v>
      </c>
      <c r="Q222" s="130"/>
      <c r="R222" s="131">
        <v>0</v>
      </c>
      <c r="S222" s="130"/>
      <c r="T222" s="131">
        <v>0</v>
      </c>
      <c r="U222" s="130"/>
      <c r="V222" s="131">
        <v>0</v>
      </c>
      <c r="W222" s="130"/>
      <c r="X222" s="131">
        <v>0</v>
      </c>
      <c r="Y222" s="130"/>
      <c r="Z222" s="131">
        <v>2142</v>
      </c>
      <c r="AA222" s="130"/>
      <c r="AB222" s="131">
        <v>1949.3</v>
      </c>
      <c r="AC222" s="130"/>
      <c r="AD222" s="131">
        <v>3922.42</v>
      </c>
      <c r="AE222" s="130"/>
      <c r="AF222" s="131">
        <f t="shared" si="10"/>
        <v>8013.72</v>
      </c>
      <c r="AG222" s="133"/>
    </row>
    <row r="223" spans="2:33" outlineLevel="1">
      <c r="B223" s="127">
        <v>70050</v>
      </c>
      <c r="C223" s="127" t="s">
        <v>204</v>
      </c>
      <c r="D223" s="128"/>
      <c r="E223" s="125"/>
      <c r="F223" s="129"/>
      <c r="G223" s="130"/>
      <c r="H223" s="131">
        <v>2894.98</v>
      </c>
      <c r="I223" s="130"/>
      <c r="J223" s="131">
        <v>2931.93</v>
      </c>
      <c r="K223" s="130"/>
      <c r="L223" s="131">
        <v>3089.28</v>
      </c>
      <c r="M223" s="130"/>
      <c r="N223" s="131">
        <v>2695.18</v>
      </c>
      <c r="O223" s="130"/>
      <c r="P223" s="131">
        <v>2847.1</v>
      </c>
      <c r="Q223" s="130"/>
      <c r="R223" s="131">
        <v>2525.0700000000002</v>
      </c>
      <c r="S223" s="130"/>
      <c r="T223" s="131">
        <v>5213.9799999999996</v>
      </c>
      <c r="U223" s="130"/>
      <c r="V223" s="131">
        <v>3796.39</v>
      </c>
      <c r="W223" s="130"/>
      <c r="X223" s="131">
        <v>3778.54</v>
      </c>
      <c r="Y223" s="130"/>
      <c r="Z223" s="131">
        <v>2555.75</v>
      </c>
      <c r="AA223" s="130"/>
      <c r="AB223" s="131">
        <v>3323.39</v>
      </c>
      <c r="AC223" s="130"/>
      <c r="AD223" s="131">
        <v>3016.05</v>
      </c>
      <c r="AE223" s="130"/>
      <c r="AF223" s="131">
        <f t="shared" si="10"/>
        <v>38667.64</v>
      </c>
      <c r="AG223" s="133"/>
    </row>
    <row r="224" spans="2:33" outlineLevel="1">
      <c r="B224" s="127">
        <v>70060</v>
      </c>
      <c r="C224" s="127" t="s">
        <v>148</v>
      </c>
      <c r="D224" s="128"/>
      <c r="E224" s="125"/>
      <c r="F224" s="129"/>
      <c r="G224" s="130"/>
      <c r="H224" s="131">
        <v>7081.02</v>
      </c>
      <c r="I224" s="130"/>
      <c r="J224" s="131">
        <v>7227.55</v>
      </c>
      <c r="K224" s="130"/>
      <c r="L224" s="131">
        <v>8117.16</v>
      </c>
      <c r="M224" s="130"/>
      <c r="N224" s="131">
        <v>7114.23</v>
      </c>
      <c r="O224" s="130"/>
      <c r="P224" s="131">
        <v>7987</v>
      </c>
      <c r="Q224" s="130"/>
      <c r="R224" s="131">
        <v>9084.4699999999993</v>
      </c>
      <c r="S224" s="130"/>
      <c r="T224" s="131">
        <v>8163.74</v>
      </c>
      <c r="U224" s="130"/>
      <c r="V224" s="131">
        <v>9177.98</v>
      </c>
      <c r="W224" s="130"/>
      <c r="X224" s="131">
        <v>9228.1200000000008</v>
      </c>
      <c r="Y224" s="130"/>
      <c r="Z224" s="131">
        <v>8244.35</v>
      </c>
      <c r="AA224" s="130"/>
      <c r="AB224" s="131">
        <v>8272.49</v>
      </c>
      <c r="AC224" s="130"/>
      <c r="AD224" s="131">
        <v>8220.41</v>
      </c>
      <c r="AE224" s="130"/>
      <c r="AF224" s="131">
        <f t="shared" si="10"/>
        <v>97918.52</v>
      </c>
      <c r="AG224" s="133"/>
    </row>
    <row r="225" spans="2:33" outlineLevel="1">
      <c r="B225" s="127">
        <v>70065</v>
      </c>
      <c r="C225" s="127" t="s">
        <v>47</v>
      </c>
      <c r="D225" s="128"/>
      <c r="E225" s="125"/>
      <c r="F225" s="129"/>
      <c r="G225" s="130"/>
      <c r="H225" s="131">
        <v>-2065.65</v>
      </c>
      <c r="I225" s="130"/>
      <c r="J225" s="131">
        <v>585.41</v>
      </c>
      <c r="K225" s="130"/>
      <c r="L225" s="131">
        <v>2001.34</v>
      </c>
      <c r="M225" s="130"/>
      <c r="N225" s="131">
        <v>1836.3</v>
      </c>
      <c r="O225" s="130"/>
      <c r="P225" s="131">
        <v>2212.2600000000002</v>
      </c>
      <c r="Q225" s="130"/>
      <c r="R225" s="131">
        <v>-2584.31</v>
      </c>
      <c r="S225" s="130"/>
      <c r="T225" s="131">
        <v>3059.23</v>
      </c>
      <c r="U225" s="130"/>
      <c r="V225" s="131">
        <v>2170.16</v>
      </c>
      <c r="W225" s="130"/>
      <c r="X225" s="131">
        <v>5053.37</v>
      </c>
      <c r="Y225" s="130"/>
      <c r="Z225" s="131">
        <v>682</v>
      </c>
      <c r="AA225" s="130"/>
      <c r="AB225" s="131">
        <v>2824.64</v>
      </c>
      <c r="AC225" s="130"/>
      <c r="AD225" s="131">
        <v>346.64</v>
      </c>
      <c r="AE225" s="130"/>
      <c r="AF225" s="131">
        <f t="shared" si="10"/>
        <v>16121.389999999998</v>
      </c>
      <c r="AG225" s="133"/>
    </row>
    <row r="226" spans="2:33" outlineLevel="1">
      <c r="B226" s="127">
        <v>70070</v>
      </c>
      <c r="C226" s="127" t="s">
        <v>48</v>
      </c>
      <c r="D226" s="128"/>
      <c r="E226" s="125"/>
      <c r="F226" s="129"/>
      <c r="G226" s="130"/>
      <c r="H226" s="131">
        <v>342.42</v>
      </c>
      <c r="I226" s="130"/>
      <c r="J226" s="131">
        <v>203.49</v>
      </c>
      <c r="K226" s="130"/>
      <c r="L226" s="131">
        <v>202.84</v>
      </c>
      <c r="M226" s="130"/>
      <c r="N226" s="131">
        <v>219.26</v>
      </c>
      <c r="O226" s="130"/>
      <c r="P226" s="131">
        <v>96.51</v>
      </c>
      <c r="Q226" s="130"/>
      <c r="R226" s="131">
        <v>264.26</v>
      </c>
      <c r="S226" s="130"/>
      <c r="T226" s="131">
        <v>560.14</v>
      </c>
      <c r="U226" s="130"/>
      <c r="V226" s="131">
        <v>112.37</v>
      </c>
      <c r="W226" s="130"/>
      <c r="X226" s="131">
        <v>-30.25</v>
      </c>
      <c r="Y226" s="130"/>
      <c r="Z226" s="131">
        <v>245.99</v>
      </c>
      <c r="AA226" s="130"/>
      <c r="AB226" s="131">
        <v>208.52</v>
      </c>
      <c r="AC226" s="130"/>
      <c r="AD226" s="131">
        <v>-49.39</v>
      </c>
      <c r="AE226" s="130"/>
      <c r="AF226" s="131">
        <f t="shared" si="10"/>
        <v>2376.16</v>
      </c>
      <c r="AG226" s="133"/>
    </row>
    <row r="227" spans="2:33" outlineLevel="1">
      <c r="B227" s="127">
        <v>70095</v>
      </c>
      <c r="C227" s="127" t="s">
        <v>157</v>
      </c>
      <c r="D227" s="128"/>
      <c r="E227" s="125"/>
      <c r="F227" s="129"/>
      <c r="G227" s="130"/>
      <c r="H227" s="131">
        <v>90.27</v>
      </c>
      <c r="I227" s="130"/>
      <c r="J227" s="131">
        <v>114.65</v>
      </c>
      <c r="K227" s="130"/>
      <c r="L227" s="131">
        <v>66.47</v>
      </c>
      <c r="M227" s="130"/>
      <c r="N227" s="131">
        <v>307.33</v>
      </c>
      <c r="O227" s="130"/>
      <c r="P227" s="131">
        <v>0</v>
      </c>
      <c r="Q227" s="130"/>
      <c r="R227" s="131">
        <v>1112.55</v>
      </c>
      <c r="S227" s="130"/>
      <c r="T227" s="131">
        <v>1286.8599999999999</v>
      </c>
      <c r="U227" s="130"/>
      <c r="V227" s="131">
        <v>5741.88</v>
      </c>
      <c r="W227" s="130"/>
      <c r="X227" s="131">
        <v>1094.43</v>
      </c>
      <c r="Y227" s="130"/>
      <c r="Z227" s="131">
        <v>0</v>
      </c>
      <c r="AA227" s="130"/>
      <c r="AB227" s="131">
        <v>474.68</v>
      </c>
      <c r="AC227" s="130"/>
      <c r="AD227" s="131">
        <v>0</v>
      </c>
      <c r="AE227" s="130"/>
      <c r="AF227" s="131">
        <f t="shared" si="10"/>
        <v>10289.119999999999</v>
      </c>
      <c r="AG227" s="133"/>
    </row>
    <row r="228" spans="2:33" outlineLevel="1">
      <c r="B228" s="127">
        <v>70105</v>
      </c>
      <c r="C228" s="127" t="s">
        <v>163</v>
      </c>
      <c r="D228" s="128"/>
      <c r="E228" s="125"/>
      <c r="F228" s="129"/>
      <c r="G228" s="130"/>
      <c r="H228" s="131">
        <v>310.12</v>
      </c>
      <c r="I228" s="130"/>
      <c r="J228" s="131">
        <v>310.12</v>
      </c>
      <c r="K228" s="130"/>
      <c r="L228" s="131">
        <v>310.14999999999998</v>
      </c>
      <c r="M228" s="130"/>
      <c r="N228" s="131">
        <v>310.14999999999998</v>
      </c>
      <c r="O228" s="130"/>
      <c r="P228" s="131">
        <v>310.14999999999998</v>
      </c>
      <c r="Q228" s="130"/>
      <c r="R228" s="131">
        <v>310.24</v>
      </c>
      <c r="S228" s="130"/>
      <c r="T228" s="131">
        <v>310.17</v>
      </c>
      <c r="U228" s="130"/>
      <c r="V228" s="131">
        <v>310.17</v>
      </c>
      <c r="W228" s="130"/>
      <c r="X228" s="131">
        <v>310.17</v>
      </c>
      <c r="Y228" s="130"/>
      <c r="Z228" s="131">
        <v>310.17</v>
      </c>
      <c r="AA228" s="130"/>
      <c r="AB228" s="131">
        <v>310.17</v>
      </c>
      <c r="AC228" s="130"/>
      <c r="AD228" s="131">
        <v>310.17</v>
      </c>
      <c r="AE228" s="130"/>
      <c r="AF228" s="131">
        <f t="shared" si="10"/>
        <v>3721.9500000000003</v>
      </c>
      <c r="AG228" s="133"/>
    </row>
    <row r="229" spans="2:33" outlineLevel="1">
      <c r="B229" s="127">
        <v>70108</v>
      </c>
      <c r="C229" s="127" t="s">
        <v>158</v>
      </c>
      <c r="D229" s="128"/>
      <c r="E229" s="125"/>
      <c r="F229" s="129"/>
      <c r="G229" s="130"/>
      <c r="H229" s="131">
        <v>0</v>
      </c>
      <c r="I229" s="130"/>
      <c r="J229" s="131">
        <v>0</v>
      </c>
      <c r="K229" s="130"/>
      <c r="L229" s="131">
        <v>0</v>
      </c>
      <c r="M229" s="130"/>
      <c r="N229" s="131">
        <v>0</v>
      </c>
      <c r="O229" s="130"/>
      <c r="P229" s="131">
        <v>0</v>
      </c>
      <c r="Q229" s="130"/>
      <c r="R229" s="131">
        <v>0</v>
      </c>
      <c r="S229" s="130"/>
      <c r="T229" s="131">
        <v>0</v>
      </c>
      <c r="U229" s="130"/>
      <c r="V229" s="131">
        <v>615.28</v>
      </c>
      <c r="W229" s="130"/>
      <c r="X229" s="131">
        <v>616.71</v>
      </c>
      <c r="Y229" s="130"/>
      <c r="Z229" s="131">
        <v>616.73</v>
      </c>
      <c r="AA229" s="130"/>
      <c r="AB229" s="131">
        <v>619.16999999999996</v>
      </c>
      <c r="AC229" s="130"/>
      <c r="AD229" s="131">
        <v>619.15</v>
      </c>
      <c r="AE229" s="130"/>
      <c r="AF229" s="131">
        <f t="shared" si="10"/>
        <v>3087.04</v>
      </c>
      <c r="AG229" s="133"/>
    </row>
    <row r="230" spans="2:33" outlineLevel="1">
      <c r="B230" s="127">
        <v>70110</v>
      </c>
      <c r="C230" s="127" t="s">
        <v>164</v>
      </c>
      <c r="D230" s="128"/>
      <c r="E230" s="125"/>
      <c r="F230" s="129"/>
      <c r="G230" s="130"/>
      <c r="H230" s="131">
        <v>750</v>
      </c>
      <c r="I230" s="130"/>
      <c r="J230" s="131">
        <v>161.1</v>
      </c>
      <c r="K230" s="130"/>
      <c r="L230" s="131">
        <v>0</v>
      </c>
      <c r="M230" s="130"/>
      <c r="N230" s="131">
        <v>625</v>
      </c>
      <c r="O230" s="130"/>
      <c r="P230" s="131">
        <v>0</v>
      </c>
      <c r="Q230" s="130"/>
      <c r="R230" s="131">
        <v>781.9</v>
      </c>
      <c r="S230" s="130"/>
      <c r="T230" s="131">
        <v>0</v>
      </c>
      <c r="U230" s="130"/>
      <c r="V230" s="131">
        <v>500</v>
      </c>
      <c r="W230" s="130"/>
      <c r="X230" s="131">
        <v>750</v>
      </c>
      <c r="Y230" s="130"/>
      <c r="Z230" s="131">
        <v>0</v>
      </c>
      <c r="AA230" s="130"/>
      <c r="AB230" s="131">
        <v>100</v>
      </c>
      <c r="AC230" s="130"/>
      <c r="AD230" s="131">
        <v>0</v>
      </c>
      <c r="AE230" s="130"/>
      <c r="AF230" s="131">
        <f t="shared" si="10"/>
        <v>3668</v>
      </c>
      <c r="AG230" s="133"/>
    </row>
    <row r="231" spans="2:33" outlineLevel="1">
      <c r="B231" s="127">
        <v>70112</v>
      </c>
      <c r="C231" s="127" t="s">
        <v>293</v>
      </c>
      <c r="D231" s="128"/>
      <c r="E231" s="125"/>
      <c r="F231" s="129"/>
      <c r="G231" s="130"/>
      <c r="H231" s="131">
        <v>0</v>
      </c>
      <c r="I231" s="130"/>
      <c r="J231" s="131">
        <v>0</v>
      </c>
      <c r="K231" s="130"/>
      <c r="L231" s="131">
        <v>0</v>
      </c>
      <c r="M231" s="130"/>
      <c r="N231" s="131">
        <v>1500</v>
      </c>
      <c r="O231" s="130"/>
      <c r="P231" s="131">
        <v>0</v>
      </c>
      <c r="Q231" s="130"/>
      <c r="R231" s="131">
        <v>0</v>
      </c>
      <c r="S231" s="130"/>
      <c r="T231" s="131">
        <v>0</v>
      </c>
      <c r="U231" s="130"/>
      <c r="V231" s="131">
        <v>0</v>
      </c>
      <c r="W231" s="130"/>
      <c r="X231" s="131">
        <v>0</v>
      </c>
      <c r="Y231" s="130"/>
      <c r="Z231" s="131">
        <v>0</v>
      </c>
      <c r="AA231" s="130"/>
      <c r="AB231" s="131">
        <v>0</v>
      </c>
      <c r="AC231" s="130"/>
      <c r="AD231" s="131">
        <v>0</v>
      </c>
      <c r="AE231" s="130"/>
      <c r="AF231" s="131">
        <f t="shared" si="10"/>
        <v>1500</v>
      </c>
      <c r="AG231" s="133"/>
    </row>
    <row r="232" spans="2:33" outlineLevel="1">
      <c r="B232" s="127">
        <v>70116</v>
      </c>
      <c r="C232" s="127" t="s">
        <v>260</v>
      </c>
      <c r="D232" s="128"/>
      <c r="E232" s="125"/>
      <c r="F232" s="129"/>
      <c r="G232" s="130"/>
      <c r="H232" s="131">
        <v>1005.38</v>
      </c>
      <c r="I232" s="130"/>
      <c r="J232" s="131">
        <v>1486.93</v>
      </c>
      <c r="K232" s="130"/>
      <c r="L232" s="131">
        <v>1031.43</v>
      </c>
      <c r="M232" s="130"/>
      <c r="N232" s="131">
        <v>974.43</v>
      </c>
      <c r="O232" s="130"/>
      <c r="P232" s="131">
        <v>1083.75</v>
      </c>
      <c r="Q232" s="130"/>
      <c r="R232" s="131">
        <v>962.9</v>
      </c>
      <c r="S232" s="130"/>
      <c r="T232" s="131">
        <v>1298.79</v>
      </c>
      <c r="U232" s="130"/>
      <c r="V232" s="131">
        <v>944.2</v>
      </c>
      <c r="W232" s="130"/>
      <c r="X232" s="131">
        <v>944.58</v>
      </c>
      <c r="Y232" s="130"/>
      <c r="Z232" s="131">
        <v>875.98</v>
      </c>
      <c r="AA232" s="130"/>
      <c r="AB232" s="131">
        <v>1026.8499999999999</v>
      </c>
      <c r="AC232" s="130"/>
      <c r="AD232" s="131">
        <v>911.97</v>
      </c>
      <c r="AE232" s="130"/>
      <c r="AF232" s="131">
        <f t="shared" si="10"/>
        <v>12547.189999999999</v>
      </c>
      <c r="AG232" s="133"/>
    </row>
    <row r="233" spans="2:33" outlineLevel="1">
      <c r="B233" s="127">
        <v>70117</v>
      </c>
      <c r="C233" s="127" t="s">
        <v>294</v>
      </c>
      <c r="D233" s="128"/>
      <c r="E233" s="125"/>
      <c r="F233" s="129"/>
      <c r="G233" s="130"/>
      <c r="H233" s="131">
        <v>0</v>
      </c>
      <c r="I233" s="130"/>
      <c r="J233" s="131">
        <v>0</v>
      </c>
      <c r="K233" s="130"/>
      <c r="L233" s="131">
        <v>0</v>
      </c>
      <c r="M233" s="130"/>
      <c r="N233" s="131">
        <v>0</v>
      </c>
      <c r="O233" s="130"/>
      <c r="P233" s="131">
        <v>0</v>
      </c>
      <c r="Q233" s="130"/>
      <c r="R233" s="131">
        <v>0</v>
      </c>
      <c r="S233" s="130"/>
      <c r="T233" s="131">
        <v>0</v>
      </c>
      <c r="U233" s="130"/>
      <c r="V233" s="131">
        <v>0</v>
      </c>
      <c r="W233" s="130"/>
      <c r="X233" s="131">
        <v>0</v>
      </c>
      <c r="Y233" s="130"/>
      <c r="Z233" s="131">
        <v>-267.57</v>
      </c>
      <c r="AA233" s="130"/>
      <c r="AB233" s="131">
        <v>0</v>
      </c>
      <c r="AC233" s="130"/>
      <c r="AD233" s="131">
        <v>0</v>
      </c>
      <c r="AE233" s="130"/>
      <c r="AF233" s="131">
        <f t="shared" si="10"/>
        <v>-267.57</v>
      </c>
      <c r="AG233" s="133"/>
    </row>
    <row r="234" spans="2:33" outlineLevel="1">
      <c r="B234" s="127">
        <v>70147</v>
      </c>
      <c r="C234" s="127" t="s">
        <v>132</v>
      </c>
      <c r="D234" s="128"/>
      <c r="E234" s="125"/>
      <c r="F234" s="129"/>
      <c r="G234" s="130"/>
      <c r="H234" s="131">
        <v>0</v>
      </c>
      <c r="I234" s="130"/>
      <c r="J234" s="131">
        <v>0</v>
      </c>
      <c r="K234" s="130"/>
      <c r="L234" s="131">
        <v>139.58000000000001</v>
      </c>
      <c r="M234" s="130"/>
      <c r="N234" s="131">
        <v>29.71</v>
      </c>
      <c r="O234" s="130"/>
      <c r="P234" s="131">
        <v>83.07</v>
      </c>
      <c r="Q234" s="130"/>
      <c r="R234" s="131">
        <v>0</v>
      </c>
      <c r="S234" s="130"/>
      <c r="T234" s="131">
        <v>612.62</v>
      </c>
      <c r="U234" s="130"/>
      <c r="V234" s="131">
        <v>489</v>
      </c>
      <c r="W234" s="130"/>
      <c r="X234" s="131">
        <v>0</v>
      </c>
      <c r="Y234" s="130"/>
      <c r="Z234" s="131">
        <v>0</v>
      </c>
      <c r="AA234" s="130"/>
      <c r="AB234" s="131">
        <v>193.28</v>
      </c>
      <c r="AC234" s="130"/>
      <c r="AD234" s="131">
        <v>0</v>
      </c>
      <c r="AE234" s="130"/>
      <c r="AF234" s="131">
        <f t="shared" si="10"/>
        <v>1547.26</v>
      </c>
      <c r="AG234" s="133"/>
    </row>
    <row r="235" spans="2:33" outlineLevel="1">
      <c r="B235" s="127">
        <v>70148</v>
      </c>
      <c r="C235" s="127" t="s">
        <v>72</v>
      </c>
      <c r="D235" s="128"/>
      <c r="E235" s="125"/>
      <c r="F235" s="129"/>
      <c r="G235" s="130"/>
      <c r="H235" s="131">
        <v>3527.96</v>
      </c>
      <c r="I235" s="130"/>
      <c r="J235" s="131">
        <v>7504.21</v>
      </c>
      <c r="K235" s="130"/>
      <c r="L235" s="131">
        <v>3103.59</v>
      </c>
      <c r="M235" s="130"/>
      <c r="N235" s="131">
        <v>3188.11</v>
      </c>
      <c r="O235" s="130"/>
      <c r="P235" s="131">
        <v>3036.49</v>
      </c>
      <c r="Q235" s="130"/>
      <c r="R235" s="131">
        <v>3904.91</v>
      </c>
      <c r="S235" s="130"/>
      <c r="T235" s="131">
        <v>5331.11</v>
      </c>
      <c r="U235" s="130"/>
      <c r="V235" s="131">
        <v>8134.93</v>
      </c>
      <c r="W235" s="130"/>
      <c r="X235" s="131">
        <v>5844.73</v>
      </c>
      <c r="Y235" s="130"/>
      <c r="Z235" s="131">
        <v>3835.32</v>
      </c>
      <c r="AA235" s="130"/>
      <c r="AB235" s="131">
        <v>6120.07</v>
      </c>
      <c r="AC235" s="130"/>
      <c r="AD235" s="131">
        <v>4882.41</v>
      </c>
      <c r="AE235" s="130"/>
      <c r="AF235" s="131">
        <f t="shared" si="10"/>
        <v>58413.84</v>
      </c>
      <c r="AG235" s="133"/>
    </row>
    <row r="236" spans="2:33" outlineLevel="1">
      <c r="B236" s="127">
        <v>70150</v>
      </c>
      <c r="C236" s="127" t="s">
        <v>145</v>
      </c>
      <c r="D236" s="128"/>
      <c r="E236" s="125"/>
      <c r="F236" s="129"/>
      <c r="G236" s="130"/>
      <c r="H236" s="131">
        <v>0</v>
      </c>
      <c r="I236" s="130"/>
      <c r="J236" s="131">
        <v>0</v>
      </c>
      <c r="K236" s="130"/>
      <c r="L236" s="131">
        <v>0</v>
      </c>
      <c r="M236" s="130"/>
      <c r="N236" s="131">
        <v>0</v>
      </c>
      <c r="O236" s="130"/>
      <c r="P236" s="131">
        <v>0</v>
      </c>
      <c r="Q236" s="130"/>
      <c r="R236" s="131">
        <v>0</v>
      </c>
      <c r="S236" s="130"/>
      <c r="T236" s="131">
        <v>277.23</v>
      </c>
      <c r="U236" s="130"/>
      <c r="V236" s="131">
        <v>0</v>
      </c>
      <c r="W236" s="130"/>
      <c r="X236" s="131">
        <v>0</v>
      </c>
      <c r="Y236" s="130"/>
      <c r="Z236" s="131">
        <v>0</v>
      </c>
      <c r="AA236" s="130"/>
      <c r="AB236" s="131">
        <v>0</v>
      </c>
      <c r="AC236" s="130"/>
      <c r="AD236" s="131">
        <v>0</v>
      </c>
      <c r="AE236" s="130"/>
      <c r="AF236" s="131">
        <f t="shared" si="10"/>
        <v>277.23</v>
      </c>
      <c r="AG236" s="133"/>
    </row>
    <row r="237" spans="2:33" outlineLevel="1">
      <c r="B237" s="127">
        <v>70165</v>
      </c>
      <c r="C237" s="127" t="s">
        <v>65</v>
      </c>
      <c r="D237" s="128"/>
      <c r="E237" s="125"/>
      <c r="F237" s="129"/>
      <c r="G237" s="130"/>
      <c r="H237" s="131">
        <v>801.67</v>
      </c>
      <c r="I237" s="130"/>
      <c r="J237" s="131">
        <v>789.9</v>
      </c>
      <c r="K237" s="130"/>
      <c r="L237" s="131">
        <v>800.52</v>
      </c>
      <c r="M237" s="130"/>
      <c r="N237" s="131">
        <v>818.09</v>
      </c>
      <c r="O237" s="130"/>
      <c r="P237" s="131">
        <v>820.81</v>
      </c>
      <c r="Q237" s="130"/>
      <c r="R237" s="131">
        <v>820.59</v>
      </c>
      <c r="S237" s="130"/>
      <c r="T237" s="131">
        <v>675.61</v>
      </c>
      <c r="U237" s="130"/>
      <c r="V237" s="131">
        <v>1609.19</v>
      </c>
      <c r="W237" s="130"/>
      <c r="X237" s="131">
        <v>1476.96</v>
      </c>
      <c r="Y237" s="130"/>
      <c r="Z237" s="131">
        <v>830.51</v>
      </c>
      <c r="AA237" s="130"/>
      <c r="AB237" s="131">
        <v>180.22</v>
      </c>
      <c r="AC237" s="130"/>
      <c r="AD237" s="131">
        <v>151.6</v>
      </c>
      <c r="AE237" s="130"/>
      <c r="AF237" s="131">
        <f t="shared" si="10"/>
        <v>9775.67</v>
      </c>
      <c r="AG237" s="133"/>
    </row>
    <row r="238" spans="2:33" outlineLevel="1">
      <c r="B238" s="127">
        <v>70167</v>
      </c>
      <c r="C238" s="127" t="s">
        <v>295</v>
      </c>
      <c r="D238" s="128"/>
      <c r="E238" s="125"/>
      <c r="F238" s="129"/>
      <c r="G238" s="130"/>
      <c r="H238" s="131">
        <v>1280.95</v>
      </c>
      <c r="I238" s="130"/>
      <c r="J238" s="131">
        <v>1004.35</v>
      </c>
      <c r="K238" s="130"/>
      <c r="L238" s="131">
        <v>337.03</v>
      </c>
      <c r="M238" s="130"/>
      <c r="N238" s="131">
        <v>904.35</v>
      </c>
      <c r="O238" s="130"/>
      <c r="P238" s="131">
        <v>903.47</v>
      </c>
      <c r="Q238" s="130"/>
      <c r="R238" s="131">
        <v>376.19</v>
      </c>
      <c r="S238" s="130"/>
      <c r="T238" s="131">
        <v>358.7</v>
      </c>
      <c r="U238" s="130"/>
      <c r="V238" s="131">
        <v>373.9</v>
      </c>
      <c r="W238" s="130"/>
      <c r="X238" s="131">
        <v>375.05</v>
      </c>
      <c r="Y238" s="130"/>
      <c r="Z238" s="131">
        <v>375.05</v>
      </c>
      <c r="AA238" s="130"/>
      <c r="AB238" s="131">
        <v>375.19</v>
      </c>
      <c r="AC238" s="130"/>
      <c r="AD238" s="131">
        <v>375.19</v>
      </c>
      <c r="AE238" s="130"/>
      <c r="AF238" s="131">
        <f t="shared" si="10"/>
        <v>7039.42</v>
      </c>
      <c r="AG238" s="133"/>
    </row>
    <row r="239" spans="2:33" outlineLevel="1">
      <c r="B239" s="127">
        <v>70175</v>
      </c>
      <c r="C239" s="127" t="s">
        <v>66</v>
      </c>
      <c r="D239" s="128"/>
      <c r="E239" s="125"/>
      <c r="F239" s="129"/>
      <c r="G239" s="130"/>
      <c r="H239" s="131">
        <v>0</v>
      </c>
      <c r="I239" s="130"/>
      <c r="J239" s="131">
        <v>0</v>
      </c>
      <c r="K239" s="130"/>
      <c r="L239" s="131">
        <v>0</v>
      </c>
      <c r="M239" s="130"/>
      <c r="N239" s="131">
        <v>0</v>
      </c>
      <c r="O239" s="130"/>
      <c r="P239" s="131">
        <v>0</v>
      </c>
      <c r="Q239" s="130"/>
      <c r="R239" s="131">
        <v>0</v>
      </c>
      <c r="S239" s="130"/>
      <c r="T239" s="131">
        <v>0</v>
      </c>
      <c r="U239" s="130"/>
      <c r="V239" s="131">
        <v>403.55</v>
      </c>
      <c r="W239" s="130"/>
      <c r="X239" s="131">
        <v>239.53</v>
      </c>
      <c r="Y239" s="130"/>
      <c r="Z239" s="131">
        <v>340.83</v>
      </c>
      <c r="AA239" s="130"/>
      <c r="AB239" s="131">
        <v>340.83</v>
      </c>
      <c r="AC239" s="130"/>
      <c r="AD239" s="131">
        <v>340.83</v>
      </c>
      <c r="AE239" s="130"/>
      <c r="AF239" s="131">
        <f t="shared" si="10"/>
        <v>1665.57</v>
      </c>
      <c r="AG239" s="133"/>
    </row>
    <row r="240" spans="2:33" outlineLevel="1">
      <c r="B240" s="127">
        <v>70185</v>
      </c>
      <c r="C240" s="127" t="s">
        <v>130</v>
      </c>
      <c r="D240" s="128"/>
      <c r="E240" s="125"/>
      <c r="F240" s="129"/>
      <c r="G240" s="130"/>
      <c r="H240" s="131">
        <v>-370.03</v>
      </c>
      <c r="I240" s="130"/>
      <c r="J240" s="131">
        <v>702.33</v>
      </c>
      <c r="K240" s="130"/>
      <c r="L240" s="131">
        <v>1588.93</v>
      </c>
      <c r="M240" s="130"/>
      <c r="N240" s="131">
        <v>0</v>
      </c>
      <c r="O240" s="130"/>
      <c r="P240" s="131">
        <v>406.31</v>
      </c>
      <c r="Q240" s="130"/>
      <c r="R240" s="131">
        <v>488.73</v>
      </c>
      <c r="S240" s="130"/>
      <c r="T240" s="131">
        <v>1140.42</v>
      </c>
      <c r="U240" s="130"/>
      <c r="V240" s="131">
        <v>837.97</v>
      </c>
      <c r="W240" s="130"/>
      <c r="X240" s="131">
        <v>244.95</v>
      </c>
      <c r="Y240" s="130"/>
      <c r="Z240" s="131">
        <v>8.27</v>
      </c>
      <c r="AA240" s="130"/>
      <c r="AB240" s="131">
        <v>706.68</v>
      </c>
      <c r="AC240" s="130"/>
      <c r="AD240" s="131">
        <v>200.5</v>
      </c>
      <c r="AE240" s="130"/>
      <c r="AF240" s="131">
        <f t="shared" si="10"/>
        <v>5955.06</v>
      </c>
      <c r="AG240" s="133"/>
    </row>
    <row r="241" spans="2:33" outlineLevel="1">
      <c r="B241" s="127">
        <v>70195</v>
      </c>
      <c r="C241" s="127" t="s">
        <v>296</v>
      </c>
      <c r="D241" s="128"/>
      <c r="E241" s="125"/>
      <c r="F241" s="129"/>
      <c r="G241" s="130"/>
      <c r="H241" s="131">
        <v>1021.14</v>
      </c>
      <c r="I241" s="130"/>
      <c r="J241" s="131">
        <v>448.07</v>
      </c>
      <c r="K241" s="130"/>
      <c r="L241" s="131">
        <v>500</v>
      </c>
      <c r="M241" s="130"/>
      <c r="N241" s="131">
        <v>323.07</v>
      </c>
      <c r="O241" s="130"/>
      <c r="P241" s="131">
        <v>448.07</v>
      </c>
      <c r="Q241" s="130"/>
      <c r="R241" s="131">
        <v>784.92</v>
      </c>
      <c r="S241" s="130"/>
      <c r="T241" s="131">
        <v>1248.47</v>
      </c>
      <c r="U241" s="130"/>
      <c r="V241" s="131">
        <v>445.84</v>
      </c>
      <c r="W241" s="130"/>
      <c r="X241" s="131">
        <v>656.07</v>
      </c>
      <c r="Y241" s="130"/>
      <c r="Z241" s="131">
        <v>445.84</v>
      </c>
      <c r="AA241" s="130"/>
      <c r="AB241" s="131">
        <v>445.84</v>
      </c>
      <c r="AC241" s="130"/>
      <c r="AD241" s="131">
        <v>445.84</v>
      </c>
      <c r="AE241" s="130"/>
      <c r="AF241" s="131">
        <f t="shared" si="10"/>
        <v>7213.17</v>
      </c>
      <c r="AG241" s="133"/>
    </row>
    <row r="242" spans="2:33" outlineLevel="1">
      <c r="B242" s="127">
        <v>70200</v>
      </c>
      <c r="C242" s="127" t="s">
        <v>170</v>
      </c>
      <c r="D242" s="128"/>
      <c r="E242" s="125"/>
      <c r="F242" s="129"/>
      <c r="G242" s="130"/>
      <c r="H242" s="131">
        <v>0</v>
      </c>
      <c r="I242" s="130"/>
      <c r="J242" s="131">
        <v>535.20000000000005</v>
      </c>
      <c r="K242" s="130"/>
      <c r="L242" s="131">
        <v>448.2</v>
      </c>
      <c r="M242" s="130"/>
      <c r="N242" s="131">
        <v>0</v>
      </c>
      <c r="O242" s="130"/>
      <c r="P242" s="131">
        <v>628.20000000000005</v>
      </c>
      <c r="Q242" s="130"/>
      <c r="R242" s="131">
        <v>0</v>
      </c>
      <c r="S242" s="130"/>
      <c r="T242" s="131">
        <v>0</v>
      </c>
      <c r="U242" s="130"/>
      <c r="V242" s="131">
        <v>342.4</v>
      </c>
      <c r="W242" s="130"/>
      <c r="X242" s="131">
        <v>342.4</v>
      </c>
      <c r="Y242" s="130"/>
      <c r="Z242" s="131">
        <v>0</v>
      </c>
      <c r="AA242" s="130"/>
      <c r="AB242" s="131">
        <v>0</v>
      </c>
      <c r="AC242" s="130"/>
      <c r="AD242" s="131">
        <v>0</v>
      </c>
      <c r="AE242" s="130"/>
      <c r="AF242" s="131">
        <f t="shared" si="10"/>
        <v>2296.4</v>
      </c>
      <c r="AG242" s="133"/>
    </row>
    <row r="243" spans="2:33" outlineLevel="1">
      <c r="B243" s="127">
        <v>70201</v>
      </c>
      <c r="C243" s="127" t="s">
        <v>171</v>
      </c>
      <c r="D243" s="128"/>
      <c r="E243" s="125"/>
      <c r="F243" s="129"/>
      <c r="G243" s="130"/>
      <c r="H243" s="131">
        <v>540.61</v>
      </c>
      <c r="I243" s="130"/>
      <c r="J243" s="131">
        <v>-80.75</v>
      </c>
      <c r="K243" s="130"/>
      <c r="L243" s="131">
        <v>126.82</v>
      </c>
      <c r="M243" s="130"/>
      <c r="N243" s="131">
        <v>1093.18</v>
      </c>
      <c r="O243" s="130"/>
      <c r="P243" s="131">
        <v>91.9</v>
      </c>
      <c r="Q243" s="130"/>
      <c r="R243" s="131">
        <v>400</v>
      </c>
      <c r="S243" s="130"/>
      <c r="T243" s="131">
        <v>208.71</v>
      </c>
      <c r="U243" s="130"/>
      <c r="V243" s="131">
        <v>83.93</v>
      </c>
      <c r="W243" s="130"/>
      <c r="X243" s="131">
        <v>65.34</v>
      </c>
      <c r="Y243" s="130"/>
      <c r="Z243" s="131">
        <v>105.69</v>
      </c>
      <c r="AA243" s="130"/>
      <c r="AB243" s="131">
        <v>83.39</v>
      </c>
      <c r="AC243" s="130"/>
      <c r="AD243" s="131">
        <v>82.65</v>
      </c>
      <c r="AE243" s="130"/>
      <c r="AF243" s="131">
        <f t="shared" si="10"/>
        <v>2801.4700000000003</v>
      </c>
      <c r="AG243" s="133"/>
    </row>
    <row r="244" spans="2:33" outlineLevel="1">
      <c r="B244" s="127">
        <v>70202</v>
      </c>
      <c r="C244" s="127" t="s">
        <v>297</v>
      </c>
      <c r="D244" s="128"/>
      <c r="E244" s="125"/>
      <c r="F244" s="129"/>
      <c r="G244" s="130"/>
      <c r="H244" s="131">
        <v>383.2</v>
      </c>
      <c r="I244" s="130"/>
      <c r="J244" s="131">
        <v>514.82000000000005</v>
      </c>
      <c r="K244" s="130"/>
      <c r="L244" s="131">
        <v>593.27</v>
      </c>
      <c r="M244" s="130"/>
      <c r="N244" s="131">
        <v>787.02</v>
      </c>
      <c r="O244" s="130"/>
      <c r="P244" s="131">
        <v>1417</v>
      </c>
      <c r="Q244" s="130"/>
      <c r="R244" s="131">
        <v>0</v>
      </c>
      <c r="S244" s="130"/>
      <c r="T244" s="131">
        <v>0</v>
      </c>
      <c r="U244" s="130"/>
      <c r="V244" s="131">
        <v>1778.89</v>
      </c>
      <c r="W244" s="130"/>
      <c r="X244" s="131">
        <v>-421.43</v>
      </c>
      <c r="Y244" s="130"/>
      <c r="Z244" s="131">
        <v>1240</v>
      </c>
      <c r="AA244" s="130"/>
      <c r="AB244" s="131">
        <v>1111.17</v>
      </c>
      <c r="AC244" s="130"/>
      <c r="AD244" s="131">
        <v>0</v>
      </c>
      <c r="AE244" s="130"/>
      <c r="AF244" s="131">
        <f t="shared" si="10"/>
        <v>7403.94</v>
      </c>
      <c r="AG244" s="133"/>
    </row>
    <row r="245" spans="2:33" outlineLevel="1">
      <c r="B245" s="127">
        <v>70203</v>
      </c>
      <c r="C245" s="127" t="s">
        <v>173</v>
      </c>
      <c r="D245" s="128"/>
      <c r="E245" s="125"/>
      <c r="F245" s="129"/>
      <c r="G245" s="130"/>
      <c r="H245" s="131">
        <v>1857.28</v>
      </c>
      <c r="I245" s="130"/>
      <c r="J245" s="131">
        <v>228.9</v>
      </c>
      <c r="K245" s="130"/>
      <c r="L245" s="131">
        <v>928.01</v>
      </c>
      <c r="M245" s="130"/>
      <c r="N245" s="131">
        <v>0</v>
      </c>
      <c r="O245" s="130"/>
      <c r="P245" s="131">
        <v>115.42</v>
      </c>
      <c r="Q245" s="130"/>
      <c r="R245" s="131">
        <v>1279.5999999999999</v>
      </c>
      <c r="S245" s="130"/>
      <c r="T245" s="131">
        <v>0</v>
      </c>
      <c r="U245" s="130"/>
      <c r="V245" s="131">
        <v>672.94</v>
      </c>
      <c r="W245" s="130"/>
      <c r="X245" s="131">
        <v>463.12</v>
      </c>
      <c r="Y245" s="130"/>
      <c r="Z245" s="131">
        <v>625.04</v>
      </c>
      <c r="AA245" s="130"/>
      <c r="AB245" s="131">
        <v>864.03</v>
      </c>
      <c r="AC245" s="130"/>
      <c r="AD245" s="131">
        <v>0</v>
      </c>
      <c r="AE245" s="130"/>
      <c r="AF245" s="131">
        <f t="shared" si="10"/>
        <v>7034.3399999999992</v>
      </c>
      <c r="AG245" s="133"/>
    </row>
    <row r="246" spans="2:33" outlineLevel="1">
      <c r="B246" s="127">
        <v>70205</v>
      </c>
      <c r="C246" s="127" t="s">
        <v>298</v>
      </c>
      <c r="D246" s="128"/>
      <c r="E246" s="125"/>
      <c r="F246" s="129"/>
      <c r="G246" s="130"/>
      <c r="H246" s="131">
        <v>436.25</v>
      </c>
      <c r="I246" s="130"/>
      <c r="J246" s="131">
        <v>254.06</v>
      </c>
      <c r="K246" s="130"/>
      <c r="L246" s="131">
        <v>599.46</v>
      </c>
      <c r="M246" s="130"/>
      <c r="N246" s="131">
        <v>558.54999999999995</v>
      </c>
      <c r="O246" s="130"/>
      <c r="P246" s="131">
        <v>324.48</v>
      </c>
      <c r="Q246" s="130"/>
      <c r="R246" s="131">
        <v>386.25</v>
      </c>
      <c r="S246" s="130"/>
      <c r="T246" s="131">
        <v>183.95</v>
      </c>
      <c r="U246" s="130"/>
      <c r="V246" s="131">
        <v>343.13</v>
      </c>
      <c r="W246" s="130"/>
      <c r="X246" s="131">
        <v>273.22000000000003</v>
      </c>
      <c r="Y246" s="130"/>
      <c r="Z246" s="131">
        <v>388.98</v>
      </c>
      <c r="AA246" s="130"/>
      <c r="AB246" s="131">
        <v>850.13</v>
      </c>
      <c r="AC246" s="130"/>
      <c r="AD246" s="131">
        <v>204.03</v>
      </c>
      <c r="AE246" s="130"/>
      <c r="AF246" s="131">
        <f t="shared" si="10"/>
        <v>4802.4900000000007</v>
      </c>
      <c r="AG246" s="133"/>
    </row>
    <row r="247" spans="2:33" outlineLevel="1">
      <c r="B247" s="127">
        <v>70206</v>
      </c>
      <c r="C247" s="127" t="s">
        <v>299</v>
      </c>
      <c r="D247" s="128"/>
      <c r="E247" s="125"/>
      <c r="F247" s="129"/>
      <c r="G247" s="130"/>
      <c r="H247" s="131">
        <v>67</v>
      </c>
      <c r="I247" s="130"/>
      <c r="J247" s="131">
        <v>-16.920000000000002</v>
      </c>
      <c r="K247" s="130"/>
      <c r="L247" s="131">
        <v>206.97</v>
      </c>
      <c r="M247" s="130"/>
      <c r="N247" s="131">
        <v>0</v>
      </c>
      <c r="O247" s="130"/>
      <c r="P247" s="131">
        <v>84.65</v>
      </c>
      <c r="Q247" s="130"/>
      <c r="R247" s="131">
        <v>247.04</v>
      </c>
      <c r="S247" s="130"/>
      <c r="T247" s="131">
        <v>-15.14</v>
      </c>
      <c r="U247" s="130"/>
      <c r="V247" s="131">
        <v>175</v>
      </c>
      <c r="W247" s="130"/>
      <c r="X247" s="131">
        <v>0</v>
      </c>
      <c r="Y247" s="130"/>
      <c r="Z247" s="131">
        <v>465.63</v>
      </c>
      <c r="AA247" s="130"/>
      <c r="AB247" s="131">
        <v>167.05</v>
      </c>
      <c r="AC247" s="130"/>
      <c r="AD247" s="131">
        <v>52.1</v>
      </c>
      <c r="AE247" s="130"/>
      <c r="AF247" s="131">
        <f t="shared" si="10"/>
        <v>1433.38</v>
      </c>
      <c r="AG247" s="133"/>
    </row>
    <row r="248" spans="2:33" outlineLevel="1">
      <c r="B248" s="127">
        <v>70207</v>
      </c>
      <c r="C248" s="127" t="s">
        <v>300</v>
      </c>
      <c r="D248" s="128"/>
      <c r="E248" s="125"/>
      <c r="F248" s="129"/>
      <c r="G248" s="130"/>
      <c r="H248" s="131">
        <v>0</v>
      </c>
      <c r="I248" s="130"/>
      <c r="J248" s="131">
        <v>0</v>
      </c>
      <c r="K248" s="130"/>
      <c r="L248" s="131">
        <v>31</v>
      </c>
      <c r="M248" s="130"/>
      <c r="N248" s="131">
        <v>0</v>
      </c>
      <c r="O248" s="130"/>
      <c r="P248" s="131">
        <v>0</v>
      </c>
      <c r="Q248" s="130"/>
      <c r="R248" s="131">
        <v>0</v>
      </c>
      <c r="S248" s="130"/>
      <c r="T248" s="131">
        <v>0</v>
      </c>
      <c r="U248" s="130"/>
      <c r="V248" s="131">
        <v>0</v>
      </c>
      <c r="W248" s="130"/>
      <c r="X248" s="131">
        <v>0</v>
      </c>
      <c r="Y248" s="130"/>
      <c r="Z248" s="131">
        <v>0</v>
      </c>
      <c r="AA248" s="130"/>
      <c r="AB248" s="131">
        <v>0</v>
      </c>
      <c r="AC248" s="130"/>
      <c r="AD248" s="131">
        <v>0</v>
      </c>
      <c r="AE248" s="130"/>
      <c r="AF248" s="131">
        <f t="shared" si="10"/>
        <v>31</v>
      </c>
      <c r="AG248" s="133"/>
    </row>
    <row r="249" spans="2:33" outlineLevel="1">
      <c r="B249" s="127">
        <v>70210</v>
      </c>
      <c r="C249" s="127" t="s">
        <v>129</v>
      </c>
      <c r="D249" s="128"/>
      <c r="E249" s="125"/>
      <c r="F249" s="129"/>
      <c r="G249" s="130"/>
      <c r="H249" s="131">
        <v>636.28</v>
      </c>
      <c r="I249" s="130"/>
      <c r="J249" s="131">
        <v>1126.6199999999999</v>
      </c>
      <c r="K249" s="130"/>
      <c r="L249" s="131">
        <v>1247.6199999999999</v>
      </c>
      <c r="M249" s="130"/>
      <c r="N249" s="131">
        <v>1899.72</v>
      </c>
      <c r="O249" s="130"/>
      <c r="P249" s="131">
        <v>1098.06</v>
      </c>
      <c r="Q249" s="130"/>
      <c r="R249" s="131">
        <v>1030.3699999999999</v>
      </c>
      <c r="S249" s="130"/>
      <c r="T249" s="131">
        <v>1426.34</v>
      </c>
      <c r="U249" s="130"/>
      <c r="V249" s="131">
        <v>1845.42</v>
      </c>
      <c r="W249" s="130"/>
      <c r="X249" s="131">
        <v>31.7</v>
      </c>
      <c r="Y249" s="130"/>
      <c r="Z249" s="131">
        <v>411.49</v>
      </c>
      <c r="AA249" s="130"/>
      <c r="AB249" s="131">
        <v>1022.32</v>
      </c>
      <c r="AC249" s="130"/>
      <c r="AD249" s="131">
        <v>2569.15</v>
      </c>
      <c r="AE249" s="130"/>
      <c r="AF249" s="131">
        <f t="shared" si="10"/>
        <v>14345.089999999998</v>
      </c>
      <c r="AG249" s="133"/>
    </row>
    <row r="250" spans="2:33" outlineLevel="1">
      <c r="B250" s="127">
        <v>70214</v>
      </c>
      <c r="C250" s="127" t="s">
        <v>175</v>
      </c>
      <c r="D250" s="128"/>
      <c r="E250" s="125"/>
      <c r="F250" s="129"/>
      <c r="G250" s="130"/>
      <c r="H250" s="131">
        <v>2808.27</v>
      </c>
      <c r="I250" s="130"/>
      <c r="J250" s="131">
        <v>2979.9</v>
      </c>
      <c r="K250" s="130"/>
      <c r="L250" s="131">
        <v>2883.82</v>
      </c>
      <c r="M250" s="130"/>
      <c r="N250" s="131">
        <v>2960.79</v>
      </c>
      <c r="O250" s="130"/>
      <c r="P250" s="131">
        <v>2950.62</v>
      </c>
      <c r="Q250" s="130"/>
      <c r="R250" s="131">
        <v>2919.01</v>
      </c>
      <c r="S250" s="130"/>
      <c r="T250" s="131">
        <v>2863.07</v>
      </c>
      <c r="U250" s="130"/>
      <c r="V250" s="131">
        <v>2536.4299999999998</v>
      </c>
      <c r="W250" s="130"/>
      <c r="X250" s="131">
        <v>2485.37</v>
      </c>
      <c r="Y250" s="130"/>
      <c r="Z250" s="131">
        <v>2872.22</v>
      </c>
      <c r="AA250" s="130"/>
      <c r="AB250" s="131">
        <v>2930.44</v>
      </c>
      <c r="AC250" s="130"/>
      <c r="AD250" s="131">
        <v>2980.74</v>
      </c>
      <c r="AE250" s="130"/>
      <c r="AF250" s="131">
        <f t="shared" si="10"/>
        <v>34170.68</v>
      </c>
      <c r="AG250" s="133"/>
    </row>
    <row r="251" spans="2:33" outlineLevel="1">
      <c r="B251" s="127">
        <v>70220</v>
      </c>
      <c r="C251" s="127" t="s">
        <v>301</v>
      </c>
      <c r="D251" s="128"/>
      <c r="E251" s="125"/>
      <c r="F251" s="129"/>
      <c r="G251" s="130"/>
      <c r="H251" s="131">
        <v>0</v>
      </c>
      <c r="I251" s="130"/>
      <c r="J251" s="131">
        <v>0</v>
      </c>
      <c r="K251" s="130"/>
      <c r="L251" s="131">
        <v>0</v>
      </c>
      <c r="M251" s="130"/>
      <c r="N251" s="131">
        <v>0</v>
      </c>
      <c r="O251" s="130"/>
      <c r="P251" s="131">
        <v>0</v>
      </c>
      <c r="Q251" s="130"/>
      <c r="R251" s="131">
        <v>0</v>
      </c>
      <c r="S251" s="130"/>
      <c r="T251" s="131">
        <v>0</v>
      </c>
      <c r="U251" s="130"/>
      <c r="V251" s="131">
        <v>600</v>
      </c>
      <c r="W251" s="130"/>
      <c r="X251" s="131">
        <v>0</v>
      </c>
      <c r="Y251" s="130"/>
      <c r="Z251" s="131">
        <v>500</v>
      </c>
      <c r="AA251" s="130"/>
      <c r="AB251" s="131">
        <v>0</v>
      </c>
      <c r="AC251" s="130"/>
      <c r="AD251" s="131">
        <v>0</v>
      </c>
      <c r="AE251" s="130"/>
      <c r="AF251" s="131">
        <f t="shared" si="10"/>
        <v>1100</v>
      </c>
      <c r="AG251" s="133"/>
    </row>
    <row r="252" spans="2:33" outlineLevel="1">
      <c r="B252" s="127">
        <v>70225</v>
      </c>
      <c r="C252" s="127" t="s">
        <v>107</v>
      </c>
      <c r="D252" s="128"/>
      <c r="E252" s="125"/>
      <c r="F252" s="129"/>
      <c r="G252" s="130"/>
      <c r="H252" s="131">
        <v>0</v>
      </c>
      <c r="I252" s="130"/>
      <c r="J252" s="131">
        <v>0</v>
      </c>
      <c r="K252" s="130"/>
      <c r="L252" s="131">
        <v>449</v>
      </c>
      <c r="M252" s="130"/>
      <c r="N252" s="131">
        <v>0</v>
      </c>
      <c r="O252" s="130"/>
      <c r="P252" s="131">
        <v>449</v>
      </c>
      <c r="Q252" s="130"/>
      <c r="R252" s="131">
        <v>4804</v>
      </c>
      <c r="S252" s="130"/>
      <c r="T252" s="131">
        <v>557.1</v>
      </c>
      <c r="U252" s="130"/>
      <c r="V252" s="131">
        <v>0</v>
      </c>
      <c r="W252" s="130"/>
      <c r="X252" s="131">
        <v>-2141</v>
      </c>
      <c r="Y252" s="130"/>
      <c r="Z252" s="131">
        <v>0</v>
      </c>
      <c r="AA252" s="130"/>
      <c r="AB252" s="131">
        <v>399</v>
      </c>
      <c r="AC252" s="130"/>
      <c r="AD252" s="131">
        <v>-1140</v>
      </c>
      <c r="AE252" s="130"/>
      <c r="AF252" s="131">
        <f t="shared" si="10"/>
        <v>3377.1</v>
      </c>
      <c r="AG252" s="133"/>
    </row>
    <row r="253" spans="2:33" outlineLevel="1">
      <c r="B253" s="127">
        <v>70231</v>
      </c>
      <c r="C253" s="127" t="s">
        <v>302</v>
      </c>
      <c r="D253" s="128"/>
      <c r="E253" s="125"/>
      <c r="F253" s="129"/>
      <c r="G253" s="130"/>
      <c r="H253" s="131">
        <v>0</v>
      </c>
      <c r="I253" s="130"/>
      <c r="J253" s="131">
        <v>0</v>
      </c>
      <c r="K253" s="130"/>
      <c r="L253" s="131">
        <v>0</v>
      </c>
      <c r="M253" s="130"/>
      <c r="N253" s="131">
        <v>0</v>
      </c>
      <c r="O253" s="130"/>
      <c r="P253" s="131">
        <v>0</v>
      </c>
      <c r="Q253" s="130"/>
      <c r="R253" s="131">
        <v>0</v>
      </c>
      <c r="S253" s="130"/>
      <c r="T253" s="131">
        <v>0</v>
      </c>
      <c r="U253" s="130"/>
      <c r="V253" s="131">
        <v>0</v>
      </c>
      <c r="W253" s="130"/>
      <c r="X253" s="131">
        <v>0</v>
      </c>
      <c r="Y253" s="130"/>
      <c r="Z253" s="131">
        <v>12.99</v>
      </c>
      <c r="AA253" s="130"/>
      <c r="AB253" s="131">
        <v>0</v>
      </c>
      <c r="AC253" s="130"/>
      <c r="AD253" s="131">
        <v>0</v>
      </c>
      <c r="AE253" s="130"/>
      <c r="AF253" s="131">
        <f t="shared" si="10"/>
        <v>12.99</v>
      </c>
      <c r="AG253" s="133"/>
    </row>
    <row r="254" spans="2:33" outlineLevel="1">
      <c r="B254" s="127">
        <v>70235</v>
      </c>
      <c r="C254" s="127" t="s">
        <v>143</v>
      </c>
      <c r="D254" s="128"/>
      <c r="E254" s="125"/>
      <c r="F254" s="129"/>
      <c r="G254" s="130"/>
      <c r="H254" s="131">
        <v>-222.51</v>
      </c>
      <c r="I254" s="130"/>
      <c r="J254" s="131">
        <v>0</v>
      </c>
      <c r="K254" s="130"/>
      <c r="L254" s="131">
        <v>768.12</v>
      </c>
      <c r="M254" s="130"/>
      <c r="N254" s="131">
        <v>-15.36</v>
      </c>
      <c r="O254" s="130"/>
      <c r="P254" s="131">
        <v>0</v>
      </c>
      <c r="Q254" s="130"/>
      <c r="R254" s="131">
        <v>0</v>
      </c>
      <c r="S254" s="130"/>
      <c r="T254" s="131">
        <v>0</v>
      </c>
      <c r="U254" s="130"/>
      <c r="V254" s="131">
        <v>0</v>
      </c>
      <c r="W254" s="130"/>
      <c r="X254" s="131">
        <v>0</v>
      </c>
      <c r="Y254" s="130"/>
      <c r="Z254" s="131">
        <v>0</v>
      </c>
      <c r="AA254" s="130"/>
      <c r="AB254" s="131">
        <v>0</v>
      </c>
      <c r="AC254" s="130"/>
      <c r="AD254" s="131">
        <v>35.81</v>
      </c>
      <c r="AE254" s="130"/>
      <c r="AF254" s="131">
        <f t="shared" si="10"/>
        <v>566.06000000000006</v>
      </c>
      <c r="AG254" s="133"/>
    </row>
    <row r="255" spans="2:33" outlineLevel="1">
      <c r="B255" s="127">
        <v>70245</v>
      </c>
      <c r="C255" s="127" t="s">
        <v>303</v>
      </c>
      <c r="D255" s="128"/>
      <c r="E255" s="125"/>
      <c r="F255" s="129"/>
      <c r="G255" s="130"/>
      <c r="H255" s="131">
        <v>219.51</v>
      </c>
      <c r="I255" s="130"/>
      <c r="J255" s="131">
        <v>227.97</v>
      </c>
      <c r="K255" s="130"/>
      <c r="L255" s="131">
        <v>238.42</v>
      </c>
      <c r="M255" s="130"/>
      <c r="N255" s="131">
        <v>227.23</v>
      </c>
      <c r="O255" s="130"/>
      <c r="P255" s="131">
        <v>258.14</v>
      </c>
      <c r="Q255" s="130"/>
      <c r="R255" s="131">
        <v>244.97</v>
      </c>
      <c r="S255" s="130"/>
      <c r="T255" s="131">
        <v>244.97</v>
      </c>
      <c r="U255" s="130"/>
      <c r="V255" s="131">
        <v>244.97</v>
      </c>
      <c r="W255" s="130"/>
      <c r="X255" s="131">
        <v>244.97</v>
      </c>
      <c r="Y255" s="130"/>
      <c r="Z255" s="131">
        <v>0</v>
      </c>
      <c r="AA255" s="130"/>
      <c r="AB255" s="131">
        <v>0</v>
      </c>
      <c r="AC255" s="130"/>
      <c r="AD255" s="131">
        <v>0</v>
      </c>
      <c r="AE255" s="130"/>
      <c r="AF255" s="131">
        <f t="shared" si="10"/>
        <v>2151.15</v>
      </c>
      <c r="AG255" s="133"/>
    </row>
    <row r="256" spans="2:33" outlineLevel="1">
      <c r="B256" s="127">
        <v>70255</v>
      </c>
      <c r="C256" s="127" t="s">
        <v>93</v>
      </c>
      <c r="D256" s="128"/>
      <c r="E256" s="125"/>
      <c r="F256" s="129"/>
      <c r="G256" s="130"/>
      <c r="H256" s="131">
        <v>762.8</v>
      </c>
      <c r="I256" s="130"/>
      <c r="J256" s="131">
        <v>381.04</v>
      </c>
      <c r="K256" s="130"/>
      <c r="L256" s="131">
        <v>877.29</v>
      </c>
      <c r="M256" s="130"/>
      <c r="N256" s="131">
        <v>442.2</v>
      </c>
      <c r="O256" s="130"/>
      <c r="P256" s="131">
        <v>349.62</v>
      </c>
      <c r="Q256" s="130"/>
      <c r="R256" s="131">
        <v>323.18</v>
      </c>
      <c r="S256" s="130"/>
      <c r="T256" s="131">
        <v>916.99</v>
      </c>
      <c r="U256" s="130"/>
      <c r="V256" s="131">
        <v>504.59</v>
      </c>
      <c r="W256" s="130"/>
      <c r="X256" s="131">
        <v>642.65</v>
      </c>
      <c r="Y256" s="130"/>
      <c r="Z256" s="131">
        <v>687.46</v>
      </c>
      <c r="AA256" s="130"/>
      <c r="AB256" s="131">
        <v>660.98</v>
      </c>
      <c r="AC256" s="130"/>
      <c r="AD256" s="131">
        <v>427.93</v>
      </c>
      <c r="AE256" s="130"/>
      <c r="AF256" s="131">
        <f t="shared" si="10"/>
        <v>6976.7300000000005</v>
      </c>
      <c r="AG256" s="133"/>
    </row>
    <row r="257" spans="1:33" outlineLevel="1">
      <c r="B257" s="127">
        <v>70300</v>
      </c>
      <c r="C257" s="127" t="s">
        <v>136</v>
      </c>
      <c r="D257" s="128"/>
      <c r="E257" s="125"/>
      <c r="F257" s="129"/>
      <c r="G257" s="130"/>
      <c r="H257" s="131">
        <v>7193.65</v>
      </c>
      <c r="I257" s="130"/>
      <c r="J257" s="131">
        <v>7193.65</v>
      </c>
      <c r="K257" s="130"/>
      <c r="L257" s="131">
        <v>7193.65</v>
      </c>
      <c r="M257" s="130"/>
      <c r="N257" s="131">
        <v>7193.65</v>
      </c>
      <c r="O257" s="130"/>
      <c r="P257" s="131">
        <v>7193.65</v>
      </c>
      <c r="Q257" s="130"/>
      <c r="R257" s="131">
        <v>7193.65</v>
      </c>
      <c r="S257" s="130"/>
      <c r="T257" s="131">
        <v>7206.87</v>
      </c>
      <c r="U257" s="130"/>
      <c r="V257" s="131">
        <v>7206.87</v>
      </c>
      <c r="W257" s="130"/>
      <c r="X257" s="131">
        <v>7206.87</v>
      </c>
      <c r="Y257" s="130"/>
      <c r="Z257" s="131">
        <v>7206.87</v>
      </c>
      <c r="AA257" s="130"/>
      <c r="AB257" s="131">
        <v>7206.87</v>
      </c>
      <c r="AC257" s="130"/>
      <c r="AD257" s="131">
        <v>7206.87</v>
      </c>
      <c r="AE257" s="130"/>
      <c r="AF257" s="131">
        <f t="shared" si="10"/>
        <v>86403.12</v>
      </c>
      <c r="AG257" s="133"/>
    </row>
    <row r="258" spans="1:33" outlineLevel="1">
      <c r="B258" s="127">
        <v>70302</v>
      </c>
      <c r="C258" s="127" t="s">
        <v>139</v>
      </c>
      <c r="D258" s="128"/>
      <c r="E258" s="125"/>
      <c r="F258" s="129"/>
      <c r="G258" s="130"/>
      <c r="H258" s="131">
        <v>0</v>
      </c>
      <c r="I258" s="130"/>
      <c r="J258" s="131">
        <v>31.15</v>
      </c>
      <c r="K258" s="130"/>
      <c r="L258" s="131">
        <v>0</v>
      </c>
      <c r="M258" s="130"/>
      <c r="N258" s="131">
        <v>132.03</v>
      </c>
      <c r="O258" s="130"/>
      <c r="P258" s="131">
        <v>85.5</v>
      </c>
      <c r="Q258" s="130"/>
      <c r="R258" s="131">
        <v>784.69</v>
      </c>
      <c r="S258" s="130"/>
      <c r="T258" s="131">
        <v>0</v>
      </c>
      <c r="U258" s="130"/>
      <c r="V258" s="131">
        <v>0</v>
      </c>
      <c r="W258" s="130"/>
      <c r="X258" s="131">
        <v>0</v>
      </c>
      <c r="Y258" s="130"/>
      <c r="Z258" s="131">
        <v>0</v>
      </c>
      <c r="AA258" s="130"/>
      <c r="AB258" s="131">
        <v>531.63</v>
      </c>
      <c r="AC258" s="130"/>
      <c r="AD258" s="131">
        <v>133.96</v>
      </c>
      <c r="AE258" s="130"/>
      <c r="AF258" s="131">
        <f t="shared" si="10"/>
        <v>1698.9600000000003</v>
      </c>
      <c r="AG258" s="133"/>
    </row>
    <row r="259" spans="1:33" outlineLevel="1">
      <c r="B259" s="127">
        <v>70310</v>
      </c>
      <c r="C259" s="127" t="s">
        <v>152</v>
      </c>
      <c r="D259" s="128"/>
      <c r="E259" s="125"/>
      <c r="F259" s="129"/>
      <c r="G259" s="130"/>
      <c r="H259" s="131">
        <v>14011.61</v>
      </c>
      <c r="I259" s="130"/>
      <c r="J259" s="131">
        <v>11772.17</v>
      </c>
      <c r="K259" s="130"/>
      <c r="L259" s="131">
        <v>5825.41</v>
      </c>
      <c r="M259" s="130"/>
      <c r="N259" s="131">
        <v>4700.1499999999996</v>
      </c>
      <c r="O259" s="130"/>
      <c r="P259" s="131">
        <v>2204.9699999999998</v>
      </c>
      <c r="Q259" s="130"/>
      <c r="R259" s="131">
        <v>4737.0200000000004</v>
      </c>
      <c r="S259" s="130"/>
      <c r="T259" s="131">
        <v>7173.93</v>
      </c>
      <c r="U259" s="130"/>
      <c r="V259" s="131">
        <v>-2213.7399999999998</v>
      </c>
      <c r="W259" s="130"/>
      <c r="X259" s="131">
        <v>7520.29</v>
      </c>
      <c r="Y259" s="130"/>
      <c r="Z259" s="131">
        <v>2219.69</v>
      </c>
      <c r="AA259" s="130"/>
      <c r="AB259" s="131">
        <v>143.44</v>
      </c>
      <c r="AC259" s="130"/>
      <c r="AD259" s="131">
        <v>2172.83</v>
      </c>
      <c r="AE259" s="130"/>
      <c r="AF259" s="131">
        <f t="shared" si="10"/>
        <v>60267.770000000004</v>
      </c>
      <c r="AG259" s="133"/>
    </row>
    <row r="260" spans="1:33" outlineLevel="1">
      <c r="B260" s="127">
        <v>70320</v>
      </c>
      <c r="C260" s="127" t="s">
        <v>140</v>
      </c>
      <c r="D260" s="128"/>
      <c r="E260" s="125"/>
      <c r="F260" s="129"/>
      <c r="G260" s="130"/>
      <c r="H260" s="131">
        <v>68.47</v>
      </c>
      <c r="I260" s="130"/>
      <c r="J260" s="131">
        <v>1226.8399999999999</v>
      </c>
      <c r="K260" s="130"/>
      <c r="L260" s="131">
        <v>657.52</v>
      </c>
      <c r="M260" s="130"/>
      <c r="N260" s="131">
        <v>403.8</v>
      </c>
      <c r="O260" s="130"/>
      <c r="P260" s="131">
        <v>1295.53</v>
      </c>
      <c r="Q260" s="130"/>
      <c r="R260" s="131">
        <v>1318.46</v>
      </c>
      <c r="S260" s="130"/>
      <c r="T260" s="131">
        <v>-267.77</v>
      </c>
      <c r="U260" s="130"/>
      <c r="V260" s="131">
        <v>2878.12</v>
      </c>
      <c r="W260" s="130"/>
      <c r="X260" s="131">
        <v>505.44</v>
      </c>
      <c r="Y260" s="130"/>
      <c r="Z260" s="131">
        <v>897.11</v>
      </c>
      <c r="AA260" s="130"/>
      <c r="AB260" s="131">
        <v>1086.9000000000001</v>
      </c>
      <c r="AC260" s="130"/>
      <c r="AD260" s="131">
        <v>821.82</v>
      </c>
      <c r="AE260" s="130"/>
      <c r="AF260" s="131">
        <f t="shared" si="10"/>
        <v>10892.24</v>
      </c>
      <c r="AG260" s="133"/>
    </row>
    <row r="261" spans="1:33" s="129" customFormat="1" ht="5.0999999999999996" customHeight="1" outlineLevel="1">
      <c r="B261" s="128"/>
      <c r="C261" s="128"/>
      <c r="D261" s="128"/>
      <c r="E261" s="128"/>
      <c r="H261" s="158"/>
      <c r="I261" s="156"/>
      <c r="J261" s="158"/>
      <c r="K261" s="156"/>
      <c r="L261" s="158"/>
      <c r="M261" s="156"/>
      <c r="N261" s="158"/>
      <c r="O261" s="156"/>
      <c r="P261" s="158"/>
      <c r="Q261" s="156"/>
      <c r="R261" s="158"/>
      <c r="S261" s="156"/>
      <c r="T261" s="158"/>
      <c r="U261" s="156"/>
      <c r="V261" s="158"/>
      <c r="W261" s="156"/>
      <c r="X261" s="158"/>
      <c r="Y261" s="156"/>
      <c r="Z261" s="158"/>
      <c r="AA261" s="156"/>
      <c r="AB261" s="158"/>
      <c r="AC261" s="156"/>
      <c r="AD261" s="158"/>
      <c r="AE261" s="156"/>
      <c r="AF261" s="158"/>
      <c r="AG261" s="136"/>
    </row>
    <row r="262" spans="1:33" s="129" customFormat="1" ht="15">
      <c r="D262" s="128" t="s">
        <v>304</v>
      </c>
      <c r="H262" s="155">
        <f>SUM(H217:H261)</f>
        <v>104418.06000000001</v>
      </c>
      <c r="I262" s="156"/>
      <c r="J262" s="155">
        <f>SUM(J217:J261)</f>
        <v>114737.26999999999</v>
      </c>
      <c r="K262" s="156"/>
      <c r="L262" s="155">
        <f>SUM(L217:L261)</f>
        <v>107043.51</v>
      </c>
      <c r="M262" s="156"/>
      <c r="N262" s="155">
        <f>SUM(N217:N261)</f>
        <v>98988.619999999981</v>
      </c>
      <c r="O262" s="156"/>
      <c r="P262" s="155">
        <f>SUM(P217:P261)</f>
        <v>102537.87999999996</v>
      </c>
      <c r="Q262" s="156"/>
      <c r="R262" s="155">
        <f>SUM(R217:R261)</f>
        <v>109131.20999999998</v>
      </c>
      <c r="S262" s="156"/>
      <c r="T262" s="155">
        <f>SUM(T217:T261)</f>
        <v>113103.2</v>
      </c>
      <c r="U262" s="156"/>
      <c r="V262" s="155">
        <f>SUM(V217:V261)</f>
        <v>112190.35999999996</v>
      </c>
      <c r="W262" s="156"/>
      <c r="X262" s="155">
        <f>SUM(X217:X261)</f>
        <v>110779.93999999997</v>
      </c>
      <c r="Y262" s="156"/>
      <c r="Z262" s="155">
        <f>SUM(Z217:Z261)</f>
        <v>94049.390000000014</v>
      </c>
      <c r="AA262" s="156"/>
      <c r="AB262" s="155">
        <f>SUM(AB217:AB261)</f>
        <v>111385.54</v>
      </c>
      <c r="AC262" s="156"/>
      <c r="AD262" s="155">
        <f>SUM(AD217:AD261)</f>
        <v>100873.75000000001</v>
      </c>
      <c r="AE262" s="156"/>
      <c r="AF262" s="155">
        <f>SUM(AF217:AF261)</f>
        <v>1279238.7299999997</v>
      </c>
      <c r="AG262" s="136"/>
    </row>
    <row r="263" spans="1:33" s="129" customFormat="1" ht="15" outlineLevel="1">
      <c r="H263" s="157"/>
      <c r="I263" s="156"/>
      <c r="J263" s="157"/>
      <c r="K263" s="156"/>
      <c r="L263" s="157"/>
      <c r="M263" s="156"/>
      <c r="N263" s="157"/>
      <c r="O263" s="156"/>
      <c r="P263" s="157"/>
      <c r="Q263" s="156"/>
      <c r="R263" s="157"/>
      <c r="S263" s="156"/>
      <c r="T263" s="157"/>
      <c r="U263" s="156"/>
      <c r="V263" s="157"/>
      <c r="W263" s="156"/>
      <c r="X263" s="157"/>
      <c r="Y263" s="156"/>
      <c r="Z263" s="157"/>
      <c r="AA263" s="156"/>
      <c r="AB263" s="157"/>
      <c r="AC263" s="156"/>
      <c r="AD263" s="157"/>
      <c r="AE263" s="156"/>
      <c r="AF263" s="157"/>
      <c r="AG263" s="136"/>
    </row>
    <row r="264" spans="1:33" outlineLevel="1">
      <c r="B264" s="127">
        <v>70149</v>
      </c>
      <c r="C264" s="127" t="s">
        <v>305</v>
      </c>
      <c r="D264" s="128"/>
      <c r="E264" s="125"/>
      <c r="F264" s="129"/>
      <c r="G264" s="130"/>
      <c r="H264" s="131">
        <v>22730.97</v>
      </c>
      <c r="I264" s="130"/>
      <c r="J264" s="131">
        <v>24514.97</v>
      </c>
      <c r="K264" s="130"/>
      <c r="L264" s="131">
        <v>24156.97</v>
      </c>
      <c r="M264" s="130"/>
      <c r="N264" s="131">
        <v>21164.49</v>
      </c>
      <c r="O264" s="130"/>
      <c r="P264" s="131">
        <v>21195.94</v>
      </c>
      <c r="Q264" s="130"/>
      <c r="R264" s="131">
        <v>19694.13</v>
      </c>
      <c r="S264" s="130"/>
      <c r="T264" s="131">
        <v>16850.75</v>
      </c>
      <c r="U264" s="130"/>
      <c r="V264" s="131">
        <v>17426.669999999998</v>
      </c>
      <c r="W264" s="130"/>
      <c r="X264" s="131">
        <v>19889.82</v>
      </c>
      <c r="Y264" s="130"/>
      <c r="Z264" s="131">
        <v>18580.330000000002</v>
      </c>
      <c r="AA264" s="130"/>
      <c r="AB264" s="131">
        <v>20139.14</v>
      </c>
      <c r="AC264" s="130"/>
      <c r="AD264" s="131">
        <v>20970.02</v>
      </c>
      <c r="AE264" s="130"/>
      <c r="AF264" s="131">
        <f>AD264+AB264+Z264+X264+V264+T264+R264+P264+N264+L264+J264+H264</f>
        <v>247314.19999999998</v>
      </c>
      <c r="AG264" s="133"/>
    </row>
    <row r="265" spans="1:33" s="129" customFormat="1" ht="5.0999999999999996" customHeight="1" outlineLevel="1">
      <c r="B265" s="128"/>
      <c r="C265" s="128"/>
      <c r="D265" s="128"/>
      <c r="E265" s="128"/>
      <c r="H265" s="158"/>
      <c r="I265" s="156"/>
      <c r="J265" s="158"/>
      <c r="K265" s="156"/>
      <c r="L265" s="158"/>
      <c r="M265" s="156"/>
      <c r="N265" s="158"/>
      <c r="O265" s="156"/>
      <c r="P265" s="158"/>
      <c r="Q265" s="156"/>
      <c r="R265" s="158"/>
      <c r="S265" s="156"/>
      <c r="T265" s="158"/>
      <c r="U265" s="156"/>
      <c r="V265" s="158"/>
      <c r="W265" s="156"/>
      <c r="X265" s="158"/>
      <c r="Y265" s="156"/>
      <c r="Z265" s="158"/>
      <c r="AA265" s="156"/>
      <c r="AB265" s="158"/>
      <c r="AC265" s="156"/>
      <c r="AD265" s="158"/>
      <c r="AE265" s="156"/>
      <c r="AF265" s="158"/>
      <c r="AG265" s="136"/>
    </row>
    <row r="266" spans="1:33" s="129" customFormat="1" ht="15">
      <c r="D266" s="127" t="s">
        <v>306</v>
      </c>
      <c r="H266" s="155">
        <f>SUM(H263:H265)</f>
        <v>22730.97</v>
      </c>
      <c r="I266" s="156"/>
      <c r="J266" s="155">
        <f>SUM(J263:J265)</f>
        <v>24514.97</v>
      </c>
      <c r="K266" s="156"/>
      <c r="L266" s="155">
        <f>SUM(L263:L265)</f>
        <v>24156.97</v>
      </c>
      <c r="M266" s="156"/>
      <c r="N266" s="155">
        <f>SUM(N263:N265)</f>
        <v>21164.49</v>
      </c>
      <c r="O266" s="156"/>
      <c r="P266" s="155">
        <f>SUM(P263:P265)</f>
        <v>21195.94</v>
      </c>
      <c r="Q266" s="156"/>
      <c r="R266" s="155">
        <f>SUM(R263:R265)</f>
        <v>19694.13</v>
      </c>
      <c r="S266" s="156"/>
      <c r="T266" s="155">
        <f>SUM(T263:T265)</f>
        <v>16850.75</v>
      </c>
      <c r="U266" s="156"/>
      <c r="V266" s="155">
        <f>SUM(V263:V265)</f>
        <v>17426.669999999998</v>
      </c>
      <c r="W266" s="156"/>
      <c r="X266" s="155">
        <f>SUM(X263:X265)</f>
        <v>19889.82</v>
      </c>
      <c r="Y266" s="156"/>
      <c r="Z266" s="155">
        <f>SUM(Z263:Z265)</f>
        <v>18580.330000000002</v>
      </c>
      <c r="AA266" s="156"/>
      <c r="AB266" s="155">
        <f>SUM(AB263:AB265)</f>
        <v>20139.14</v>
      </c>
      <c r="AC266" s="156"/>
      <c r="AD266" s="155">
        <f>SUM(AD263:AD265)</f>
        <v>20970.02</v>
      </c>
      <c r="AE266" s="156"/>
      <c r="AF266" s="155">
        <f>SUM(AF263:AF265)</f>
        <v>247314.19999999998</v>
      </c>
      <c r="AG266" s="136"/>
    </row>
    <row r="267" spans="1:33" s="129" customFormat="1" ht="7.5" customHeight="1">
      <c r="H267" s="157"/>
      <c r="I267" s="156"/>
      <c r="J267" s="157"/>
      <c r="K267" s="156"/>
      <c r="L267" s="157"/>
      <c r="M267" s="156"/>
      <c r="N267" s="157"/>
      <c r="O267" s="156"/>
      <c r="P267" s="157"/>
      <c r="Q267" s="156"/>
      <c r="R267" s="157"/>
      <c r="S267" s="156"/>
      <c r="T267" s="157"/>
      <c r="U267" s="156"/>
      <c r="V267" s="157"/>
      <c r="W267" s="156"/>
      <c r="X267" s="157"/>
      <c r="Y267" s="156"/>
      <c r="Z267" s="157"/>
      <c r="AA267" s="156"/>
      <c r="AB267" s="157"/>
      <c r="AC267" s="156"/>
      <c r="AD267" s="157"/>
      <c r="AE267" s="156"/>
      <c r="AF267" s="157"/>
      <c r="AG267" s="136"/>
    </row>
    <row r="268" spans="1:33" s="129" customFormat="1" ht="15">
      <c r="C268" s="160" t="s">
        <v>307</v>
      </c>
      <c r="H268" s="161">
        <f>+H215+H262+H266</f>
        <v>127149.03000000001</v>
      </c>
      <c r="I268" s="156"/>
      <c r="J268" s="161">
        <f>+J215+J262+J266</f>
        <v>139252.24</v>
      </c>
      <c r="K268" s="156"/>
      <c r="L268" s="161">
        <f>+L215+L262+L266</f>
        <v>131200.47999999998</v>
      </c>
      <c r="M268" s="156"/>
      <c r="N268" s="161">
        <f>+N215+N262+N266</f>
        <v>120153.10999999999</v>
      </c>
      <c r="O268" s="156"/>
      <c r="P268" s="161">
        <f>+P215+P262+P266</f>
        <v>123733.81999999996</v>
      </c>
      <c r="Q268" s="156"/>
      <c r="R268" s="161">
        <f>+R215+R262+R266</f>
        <v>128825.33999999998</v>
      </c>
      <c r="S268" s="156"/>
      <c r="T268" s="161">
        <f>+T215+T262+T266</f>
        <v>129953.95</v>
      </c>
      <c r="U268" s="156"/>
      <c r="V268" s="161">
        <f>+V215+V262+V266</f>
        <v>129617.02999999996</v>
      </c>
      <c r="W268" s="156"/>
      <c r="X268" s="161">
        <f>+X215+X262+X266</f>
        <v>130669.75999999998</v>
      </c>
      <c r="Y268" s="156"/>
      <c r="Z268" s="161">
        <f>+Z215+Z262+Z266</f>
        <v>112629.72000000002</v>
      </c>
      <c r="AA268" s="156"/>
      <c r="AB268" s="161">
        <f>+AB215+AB262+AB266</f>
        <v>131524.68</v>
      </c>
      <c r="AC268" s="156"/>
      <c r="AD268" s="161">
        <f>+AD215+AD262+AD266</f>
        <v>121843.77000000002</v>
      </c>
      <c r="AE268" s="156"/>
      <c r="AF268" s="161">
        <f>+AF215+AF262+AF266</f>
        <v>1526552.9299999997</v>
      </c>
      <c r="AG268" s="136"/>
    </row>
    <row r="269" spans="1:33" s="129" customFormat="1" ht="7.5" customHeight="1">
      <c r="H269" s="157"/>
      <c r="I269" s="156"/>
      <c r="J269" s="157"/>
      <c r="K269" s="156"/>
      <c r="L269" s="157"/>
      <c r="M269" s="156"/>
      <c r="N269" s="157"/>
      <c r="O269" s="156"/>
      <c r="P269" s="157"/>
      <c r="Q269" s="156"/>
      <c r="R269" s="157"/>
      <c r="S269" s="156"/>
      <c r="T269" s="157"/>
      <c r="U269" s="156"/>
      <c r="V269" s="157"/>
      <c r="W269" s="156"/>
      <c r="X269" s="157"/>
      <c r="Y269" s="156"/>
      <c r="Z269" s="157"/>
      <c r="AA269" s="156"/>
      <c r="AB269" s="157"/>
      <c r="AC269" s="156"/>
      <c r="AD269" s="157"/>
      <c r="AE269" s="156"/>
      <c r="AF269" s="157"/>
      <c r="AG269" s="136"/>
    </row>
    <row r="270" spans="1:33" s="129" customFormat="1" ht="7.5" customHeight="1">
      <c r="B270" s="167"/>
      <c r="C270" s="167"/>
      <c r="D270" s="167"/>
      <c r="E270" s="167"/>
      <c r="F270" s="167"/>
      <c r="G270" s="167"/>
      <c r="H270" s="165"/>
      <c r="I270" s="156"/>
      <c r="J270" s="165"/>
      <c r="K270" s="156"/>
      <c r="L270" s="165"/>
      <c r="M270" s="156"/>
      <c r="N270" s="165"/>
      <c r="O270" s="156"/>
      <c r="P270" s="165"/>
      <c r="Q270" s="156"/>
      <c r="R270" s="165"/>
      <c r="S270" s="156"/>
      <c r="T270" s="165"/>
      <c r="U270" s="156"/>
      <c r="V270" s="165"/>
      <c r="W270" s="156"/>
      <c r="X270" s="165"/>
      <c r="Y270" s="156"/>
      <c r="Z270" s="165"/>
      <c r="AA270" s="156"/>
      <c r="AB270" s="165"/>
      <c r="AC270" s="156"/>
      <c r="AD270" s="165"/>
      <c r="AE270" s="156"/>
      <c r="AF270" s="165"/>
      <c r="AG270" s="136"/>
    </row>
    <row r="271" spans="1:33" s="129" customFormat="1" ht="15">
      <c r="C271" s="168" t="s">
        <v>308</v>
      </c>
      <c r="D271" s="169"/>
      <c r="E271" s="169"/>
      <c r="F271" s="169"/>
      <c r="G271" s="169"/>
      <c r="H271" s="170">
        <f>+H210-H268</f>
        <v>219791.18999999983</v>
      </c>
      <c r="I271" s="171"/>
      <c r="J271" s="170">
        <f>+J210-J268</f>
        <v>186340.39999999967</v>
      </c>
      <c r="K271" s="172"/>
      <c r="L271" s="170">
        <f>+L210-L268</f>
        <v>179916.13999999978</v>
      </c>
      <c r="M271" s="172"/>
      <c r="N271" s="170">
        <f>+N210-N268</f>
        <v>240537.02999999968</v>
      </c>
      <c r="O271" s="171"/>
      <c r="P271" s="170">
        <f>+P210-P268</f>
        <v>161753.26</v>
      </c>
      <c r="Q271" s="172"/>
      <c r="R271" s="170">
        <f>+R210-R268</f>
        <v>181738.29999999993</v>
      </c>
      <c r="S271" s="172"/>
      <c r="T271" s="170">
        <f>+T210-T268</f>
        <v>174712.13000000006</v>
      </c>
      <c r="U271" s="171"/>
      <c r="V271" s="170">
        <f>+V210-V268</f>
        <v>192529.23999999993</v>
      </c>
      <c r="W271" s="172"/>
      <c r="X271" s="170">
        <f>+X210-X268</f>
        <v>201322.6</v>
      </c>
      <c r="Y271" s="172"/>
      <c r="Z271" s="170">
        <f>+Z210-Z268</f>
        <v>245992.4200000001</v>
      </c>
      <c r="AA271" s="171"/>
      <c r="AB271" s="170">
        <f>+AB210-AB268</f>
        <v>193434.10000000015</v>
      </c>
      <c r="AC271" s="172"/>
      <c r="AD271" s="170">
        <f>+AD210-AD268</f>
        <v>239625.75</v>
      </c>
      <c r="AE271" s="172"/>
      <c r="AF271" s="170">
        <f>+AF210-AF268</f>
        <v>2417692.5600000015</v>
      </c>
      <c r="AG271" s="173"/>
    </row>
    <row r="272" spans="1:33" s="129" customFormat="1" ht="6.75" customHeight="1">
      <c r="A272" s="628"/>
      <c r="B272" s="174"/>
      <c r="C272" s="174"/>
      <c r="D272" s="174"/>
      <c r="E272" s="174"/>
      <c r="F272" s="174"/>
      <c r="G272" s="174"/>
      <c r="H272" s="175"/>
      <c r="I272" s="174"/>
      <c r="J272" s="175"/>
      <c r="K272" s="174"/>
      <c r="L272" s="175"/>
      <c r="M272" s="174"/>
      <c r="N272" s="175"/>
      <c r="O272" s="174"/>
      <c r="P272" s="175"/>
      <c r="Q272" s="174"/>
      <c r="R272" s="175"/>
      <c r="S272" s="174"/>
      <c r="T272" s="175"/>
      <c r="U272" s="174"/>
      <c r="V272" s="175"/>
      <c r="W272" s="174"/>
      <c r="X272" s="175"/>
      <c r="Y272" s="174"/>
      <c r="Z272" s="175"/>
      <c r="AA272" s="174"/>
      <c r="AB272" s="175"/>
      <c r="AC272" s="174"/>
      <c r="AD272" s="175"/>
      <c r="AE272" s="174"/>
      <c r="AF272" s="175"/>
      <c r="AG272" s="136"/>
    </row>
    <row r="273" spans="1:33" s="129" customFormat="1" ht="15">
      <c r="A273" s="628"/>
      <c r="C273" s="177" t="s">
        <v>309</v>
      </c>
      <c r="D273" s="178"/>
      <c r="E273" s="178"/>
      <c r="F273" s="178"/>
      <c r="G273" s="178"/>
      <c r="H273" s="179">
        <f>H271 +H202+SUMIF($B$1:$B$65529,52141,H$1:H$65529)+SUMIF($B$1:$B$65529,52142,H$1:H$65529)+SUMIF($B$1:$B$65529,52143,H$1:H$65529)+SUMIF($B$1:$B$65529,55142,H$1:H$65529)+SUMIF($B$1:$B$65529,56142,H$1:H$65529)+SUMIF($B$1:$B$65529,70142,H$1:H$65529)</f>
        <v>295359.38999999984</v>
      </c>
      <c r="I273" s="178"/>
      <c r="J273" s="179">
        <f>J271 +J202+SUMIF($B$1:$B$65529,52141,J$1:J$65529)+SUMIF($B$1:$B$65529,52142,J$1:J$65529)+SUMIF($B$1:$B$65529,52143,J$1:J$65529)+SUMIF($B$1:$B$65529,55142,J$1:J$65529)+SUMIF($B$1:$B$65529,56142,J$1:J$65529)+SUMIF($B$1:$B$65529,70142,J$1:J$65529)</f>
        <v>262051.4899999997</v>
      </c>
      <c r="K273" s="178"/>
      <c r="L273" s="179">
        <f>L271 +L202+SUMIF($B$1:$B$65529,52141,L$1:L$65529)+SUMIF($B$1:$B$65529,52142,L$1:L$65529)+SUMIF($B$1:$B$65529,52143,L$1:L$65529)+SUMIF($B$1:$B$65529,55142,L$1:L$65529)+SUMIF($B$1:$B$65529,56142,L$1:L$65529)+SUMIF($B$1:$B$65529,70142,L$1:L$65529)</f>
        <v>259532.85999999981</v>
      </c>
      <c r="M273" s="178"/>
      <c r="N273" s="179">
        <f>N271 +N202+SUMIF($B$1:$B$65529,52141,N$1:N$65529)+SUMIF($B$1:$B$65529,52142,N$1:N$65529)+SUMIF($B$1:$B$65529,52143,N$1:N$65529)+SUMIF($B$1:$B$65529,55142,N$1:N$65529)+SUMIF($B$1:$B$65529,56142,N$1:N$65529)+SUMIF($B$1:$B$65529,70142,N$1:N$65529)</f>
        <v>325035.60999999969</v>
      </c>
      <c r="O273" s="178"/>
      <c r="P273" s="179">
        <f>P271 +P202+SUMIF($B$1:$B$65529,52141,P$1:P$65529)+SUMIF($B$1:$B$65529,52142,P$1:P$65529)+SUMIF($B$1:$B$65529,52143,P$1:P$65529)+SUMIF($B$1:$B$65529,55142,P$1:P$65529)+SUMIF($B$1:$B$65529,56142,P$1:P$65529)+SUMIF($B$1:$B$65529,70142,P$1:P$65529)</f>
        <v>246556.08000000002</v>
      </c>
      <c r="Q273" s="178"/>
      <c r="R273" s="179">
        <f>R271 +R202+SUMIF($B$1:$B$65529,52141,R$1:R$65529)+SUMIF($B$1:$B$65529,52142,R$1:R$65529)+SUMIF($B$1:$B$65529,52143,R$1:R$65529)+SUMIF($B$1:$B$65529,55142,R$1:R$65529)+SUMIF($B$1:$B$65529,56142,R$1:R$65529)+SUMIF($B$1:$B$65529,70142,R$1:R$65529)</f>
        <v>256123.99999999994</v>
      </c>
      <c r="S273" s="178"/>
      <c r="T273" s="179">
        <f>T271 +T202+SUMIF($B$1:$B$65529,52141,T$1:T$65529)+SUMIF($B$1:$B$65529,52142,T$1:T$65529)+SUMIF($B$1:$B$65529,52143,T$1:T$65529)+SUMIF($B$1:$B$65529,55142,T$1:T$65529)+SUMIF($B$1:$B$65529,56142,T$1:T$65529)+SUMIF($B$1:$B$65529,70142,T$1:T$65529)</f>
        <v>253378.49000000005</v>
      </c>
      <c r="U273" s="178"/>
      <c r="V273" s="179">
        <f>V271 +V202+SUMIF($B$1:$B$65529,52141,V$1:V$65529)+SUMIF($B$1:$B$65529,52142,V$1:V$65529)+SUMIF($B$1:$B$65529,52143,V$1:V$65529)+SUMIF($B$1:$B$65529,55142,V$1:V$65529)+SUMIF($B$1:$B$65529,56142,V$1:V$65529)+SUMIF($B$1:$B$65529,70142,V$1:V$65529)</f>
        <v>262371.47999999992</v>
      </c>
      <c r="W273" s="178"/>
      <c r="X273" s="179">
        <f>X271 +X202+SUMIF($B$1:$B$65529,52141,X$1:X$65529)+SUMIF($B$1:$B$65529,52142,X$1:X$65529)+SUMIF($B$1:$B$65529,52143,X$1:X$65529)+SUMIF($B$1:$B$65529,55142,X$1:X$65529)+SUMIF($B$1:$B$65529,56142,X$1:X$65529)+SUMIF($B$1:$B$65529,70142,X$1:X$65529)</f>
        <v>291975.31</v>
      </c>
      <c r="Y273" s="178"/>
      <c r="Z273" s="179">
        <f>Z271 +Z202+SUMIF($B$1:$B$65529,52141,Z$1:Z$65529)+SUMIF($B$1:$B$65529,52142,Z$1:Z$65529)+SUMIF($B$1:$B$65529,52143,Z$1:Z$65529)+SUMIF($B$1:$B$65529,55142,Z$1:Z$65529)+SUMIF($B$1:$B$65529,56142,Z$1:Z$65529)+SUMIF($B$1:$B$65529,70142,Z$1:Z$65529)</f>
        <v>327943.10000000009</v>
      </c>
      <c r="AA273" s="178"/>
      <c r="AB273" s="179">
        <f>AB271 +AB202+SUMIF($B$1:$B$65529,52141,AB$1:AB$65529)+SUMIF($B$1:$B$65529,52142,AB$1:AB$65529)+SUMIF($B$1:$B$65529,52143,AB$1:AB$65529)+SUMIF($B$1:$B$65529,55142,AB$1:AB$65529)+SUMIF($B$1:$B$65529,56142,AB$1:AB$65529)+SUMIF($B$1:$B$65529,70142,AB$1:AB$65529)</f>
        <v>281024.04000000015</v>
      </c>
      <c r="AC273" s="178"/>
      <c r="AD273" s="179">
        <f>AD271 +AD202+SUMIF($B$1:$B$65529,52141,AD$1:AD$65529)+SUMIF($B$1:$B$65529,52142,AD$1:AD$65529)+SUMIF($B$1:$B$65529,52143,AD$1:AD$65529)+SUMIF($B$1:$B$65529,55142,AD$1:AD$65529)+SUMIF($B$1:$B$65529,56142,AD$1:AD$65529)+SUMIF($B$1:$B$65529,70142,AD$1:AD$65529)</f>
        <v>328958.58999999997</v>
      </c>
      <c r="AE273" s="178"/>
      <c r="AF273" s="179">
        <f>AF271 +AF202+SUMIF($B$1:$B$65529,52141,AF$1:AF$65529)+SUMIF($B$1:$B$65529,52142,AF$1:AF$65529)+SUMIF($B$1:$B$65529,52143,AF$1:AF$65529)+SUMIF($B$1:$B$65529,55142,AF$1:AF$65529)+SUMIF($B$1:$B$65529,56142,AF$1:AF$65529)+SUMIF($B$1:$B$65529,70142,AF$1:AF$65529)</f>
        <v>3390310.4400000013</v>
      </c>
      <c r="AG273" s="173"/>
    </row>
    <row r="274" spans="1:33" s="129" customFormat="1" ht="6.75" customHeight="1">
      <c r="A274" s="134"/>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36"/>
    </row>
    <row r="275" spans="1:33" outlineLevel="1">
      <c r="B275" s="127">
        <v>51260</v>
      </c>
      <c r="C275" s="127" t="s">
        <v>310</v>
      </c>
      <c r="D275" s="128"/>
      <c r="E275" s="125"/>
      <c r="F275" s="129"/>
      <c r="G275" s="130"/>
      <c r="H275" s="131">
        <v>44997.57</v>
      </c>
      <c r="I275" s="130"/>
      <c r="J275" s="131">
        <v>44997.68</v>
      </c>
      <c r="K275" s="130"/>
      <c r="L275" s="131">
        <v>48657.75</v>
      </c>
      <c r="M275" s="130"/>
      <c r="N275" s="131">
        <v>49018.23</v>
      </c>
      <c r="O275" s="130"/>
      <c r="P275" s="131">
        <v>50228.69</v>
      </c>
      <c r="Q275" s="130"/>
      <c r="R275" s="131">
        <v>50162.73</v>
      </c>
      <c r="S275" s="130"/>
      <c r="T275" s="131">
        <v>49766.54</v>
      </c>
      <c r="U275" s="130"/>
      <c r="V275" s="131">
        <v>49766.52</v>
      </c>
      <c r="W275" s="130"/>
      <c r="X275" s="131">
        <v>50661.38</v>
      </c>
      <c r="Y275" s="130"/>
      <c r="Z275" s="131">
        <v>50123.25</v>
      </c>
      <c r="AA275" s="130"/>
      <c r="AB275" s="131">
        <v>50656.07</v>
      </c>
      <c r="AC275" s="130"/>
      <c r="AD275" s="131">
        <v>55091.64</v>
      </c>
      <c r="AE275" s="130"/>
      <c r="AF275" s="131">
        <f t="shared" ref="AF275:AF278" si="11">AD275+AB275+Z275+X275+V275+T275+R275+P275+N275+L275+J275+H275</f>
        <v>594128.04999999993</v>
      </c>
      <c r="AG275" s="133"/>
    </row>
    <row r="276" spans="1:33" outlineLevel="1">
      <c r="B276" s="127">
        <v>54260</v>
      </c>
      <c r="C276" s="127" t="s">
        <v>310</v>
      </c>
      <c r="D276" s="128"/>
      <c r="E276" s="125"/>
      <c r="F276" s="129"/>
      <c r="G276" s="130"/>
      <c r="H276" s="131">
        <v>12649.14</v>
      </c>
      <c r="I276" s="130"/>
      <c r="J276" s="131">
        <v>12649.25</v>
      </c>
      <c r="K276" s="130"/>
      <c r="L276" s="131">
        <v>13940.65</v>
      </c>
      <c r="M276" s="130"/>
      <c r="N276" s="131">
        <v>13079.67</v>
      </c>
      <c r="O276" s="130"/>
      <c r="P276" s="131">
        <v>13079.65</v>
      </c>
      <c r="Q276" s="130"/>
      <c r="R276" s="131">
        <v>13079.69</v>
      </c>
      <c r="S276" s="130"/>
      <c r="T276" s="131">
        <v>13079.76</v>
      </c>
      <c r="U276" s="130"/>
      <c r="V276" s="131">
        <v>13492.56</v>
      </c>
      <c r="W276" s="130"/>
      <c r="X276" s="131">
        <v>13492.54</v>
      </c>
      <c r="Y276" s="130"/>
      <c r="Z276" s="131">
        <v>13894.02</v>
      </c>
      <c r="AA276" s="130"/>
      <c r="AB276" s="131">
        <v>13693.16</v>
      </c>
      <c r="AC276" s="130"/>
      <c r="AD276" s="131">
        <v>14380.03</v>
      </c>
      <c r="AE276" s="130"/>
      <c r="AF276" s="131">
        <f t="shared" si="11"/>
        <v>160510.12</v>
      </c>
      <c r="AG276" s="133"/>
    </row>
    <row r="277" spans="1:33" outlineLevel="1">
      <c r="B277" s="127">
        <v>57260</v>
      </c>
      <c r="C277" s="127" t="s">
        <v>310</v>
      </c>
      <c r="D277" s="128"/>
      <c r="E277" s="125"/>
      <c r="F277" s="129"/>
      <c r="G277" s="130"/>
      <c r="H277" s="131">
        <v>7344.19</v>
      </c>
      <c r="I277" s="130"/>
      <c r="J277" s="131">
        <v>7344.25</v>
      </c>
      <c r="K277" s="130"/>
      <c r="L277" s="131">
        <v>7344.28</v>
      </c>
      <c r="M277" s="130"/>
      <c r="N277" s="131">
        <v>7344.19</v>
      </c>
      <c r="O277" s="130"/>
      <c r="P277" s="131">
        <v>7344.28</v>
      </c>
      <c r="Q277" s="130"/>
      <c r="R277" s="131">
        <v>7344.2</v>
      </c>
      <c r="S277" s="130"/>
      <c r="T277" s="131">
        <v>7344.21</v>
      </c>
      <c r="U277" s="130"/>
      <c r="V277" s="131">
        <v>7344.31</v>
      </c>
      <c r="W277" s="130"/>
      <c r="X277" s="131">
        <v>7344.21</v>
      </c>
      <c r="Y277" s="130"/>
      <c r="Z277" s="131">
        <v>7344.25</v>
      </c>
      <c r="AA277" s="130"/>
      <c r="AB277" s="131">
        <v>7344.25</v>
      </c>
      <c r="AC277" s="130"/>
      <c r="AD277" s="131">
        <v>7344.28</v>
      </c>
      <c r="AE277" s="130"/>
      <c r="AF277" s="131">
        <f t="shared" si="11"/>
        <v>88130.9</v>
      </c>
      <c r="AG277" s="133"/>
    </row>
    <row r="278" spans="1:33" outlineLevel="1">
      <c r="B278" s="127">
        <v>70260</v>
      </c>
      <c r="C278" s="127" t="s">
        <v>310</v>
      </c>
      <c r="D278" s="128"/>
      <c r="E278" s="125"/>
      <c r="F278" s="129"/>
      <c r="G278" s="130"/>
      <c r="H278" s="131">
        <v>1569.67</v>
      </c>
      <c r="I278" s="130"/>
      <c r="J278" s="131">
        <v>3448.23</v>
      </c>
      <c r="K278" s="130"/>
      <c r="L278" s="131">
        <v>2185.2399999999998</v>
      </c>
      <c r="M278" s="130"/>
      <c r="N278" s="131">
        <v>2185.23</v>
      </c>
      <c r="O278" s="130"/>
      <c r="P278" s="131">
        <v>2185.23</v>
      </c>
      <c r="Q278" s="130"/>
      <c r="R278" s="131">
        <v>2185.23</v>
      </c>
      <c r="S278" s="130"/>
      <c r="T278" s="131">
        <v>2175.12</v>
      </c>
      <c r="U278" s="130"/>
      <c r="V278" s="131">
        <v>2189.38</v>
      </c>
      <c r="W278" s="130"/>
      <c r="X278" s="131">
        <v>2189.35</v>
      </c>
      <c r="Y278" s="130"/>
      <c r="Z278" s="131">
        <v>2171.1799999999998</v>
      </c>
      <c r="AA278" s="130"/>
      <c r="AB278" s="131">
        <v>2171.1799999999998</v>
      </c>
      <c r="AC278" s="130"/>
      <c r="AD278" s="131">
        <v>2141.29</v>
      </c>
      <c r="AE278" s="130"/>
      <c r="AF278" s="131">
        <f t="shared" si="11"/>
        <v>26796.33</v>
      </c>
      <c r="AG278" s="133"/>
    </row>
    <row r="279" spans="1:33" s="129" customFormat="1" ht="5.0999999999999996" customHeight="1" outlineLevel="1">
      <c r="A279" s="134"/>
      <c r="B279" s="128"/>
      <c r="C279" s="128"/>
      <c r="D279" s="128"/>
      <c r="E279" s="128"/>
      <c r="H279" s="158"/>
      <c r="I279" s="157"/>
      <c r="J279" s="158"/>
      <c r="K279" s="157"/>
      <c r="L279" s="158"/>
      <c r="M279" s="157"/>
      <c r="N279" s="158"/>
      <c r="O279" s="157"/>
      <c r="P279" s="158"/>
      <c r="Q279" s="157"/>
      <c r="R279" s="158"/>
      <c r="S279" s="157"/>
      <c r="T279" s="158"/>
      <c r="U279" s="157"/>
      <c r="V279" s="158"/>
      <c r="W279" s="157"/>
      <c r="X279" s="158"/>
      <c r="Y279" s="157"/>
      <c r="Z279" s="158"/>
      <c r="AA279" s="157"/>
      <c r="AB279" s="158"/>
      <c r="AC279" s="157"/>
      <c r="AD279" s="158"/>
      <c r="AE279" s="157"/>
      <c r="AF279" s="158"/>
      <c r="AG279" s="136"/>
    </row>
    <row r="280" spans="1:33" s="129" customFormat="1" ht="15">
      <c r="A280" s="134"/>
      <c r="D280" s="128" t="s">
        <v>310</v>
      </c>
      <c r="H280" s="155">
        <f>SUM(H275:H279)</f>
        <v>66560.570000000007</v>
      </c>
      <c r="I280" s="157"/>
      <c r="J280" s="155">
        <f>SUM(J275:J279)</f>
        <v>68439.41</v>
      </c>
      <c r="K280" s="157"/>
      <c r="L280" s="155">
        <f>SUM(L275:L279)</f>
        <v>72127.920000000013</v>
      </c>
      <c r="M280" s="180">
        <f>IF(L$46=0,0,L280/L$46)</f>
        <v>0</v>
      </c>
      <c r="N280" s="155">
        <f>SUM(N275:N279)</f>
        <v>71627.319999999992</v>
      </c>
      <c r="O280" s="157"/>
      <c r="P280" s="155">
        <f>SUM(P275:P279)</f>
        <v>72837.850000000006</v>
      </c>
      <c r="Q280" s="157"/>
      <c r="R280" s="155">
        <f>SUM(R275:R279)</f>
        <v>72771.850000000006</v>
      </c>
      <c r="S280" s="180">
        <f>IF(R$46=0,0,R280/R$46)</f>
        <v>0</v>
      </c>
      <c r="T280" s="155">
        <f>SUM(T275:T279)</f>
        <v>72365.63</v>
      </c>
      <c r="U280" s="157"/>
      <c r="V280" s="155">
        <f>SUM(V275:V279)</f>
        <v>72792.77</v>
      </c>
      <c r="W280" s="157"/>
      <c r="X280" s="155">
        <f>SUM(X275:X279)</f>
        <v>73687.48000000001</v>
      </c>
      <c r="Y280" s="180">
        <f>IF(X$46=0,0,X280/X$46)</f>
        <v>0</v>
      </c>
      <c r="Z280" s="155">
        <f>SUM(Z275:Z279)</f>
        <v>73532.7</v>
      </c>
      <c r="AA280" s="157"/>
      <c r="AB280" s="155">
        <f>SUM(AB275:AB279)</f>
        <v>73864.659999999989</v>
      </c>
      <c r="AC280" s="157"/>
      <c r="AD280" s="155">
        <f>SUM(AD275:AD279)</f>
        <v>78957.239999999991</v>
      </c>
      <c r="AE280" s="180">
        <f>IF(AD$46=0,0,AD280/AD$46)</f>
        <v>0</v>
      </c>
      <c r="AF280" s="155">
        <f>SUM(H280,J280,L280,N280,P280,R280,T280,V280,X280,Z280,AB280,AD280)</f>
        <v>869565.4</v>
      </c>
      <c r="AG280" s="136"/>
    </row>
    <row r="281" spans="1:33" s="129" customFormat="1" ht="15" outlineLevel="1">
      <c r="A281" s="134"/>
      <c r="D281" s="128"/>
      <c r="H281" s="157"/>
      <c r="I281" s="157"/>
      <c r="J281" s="157"/>
      <c r="K281" s="157"/>
      <c r="L281" s="157"/>
      <c r="M281" s="176"/>
      <c r="N281" s="157"/>
      <c r="O281" s="157"/>
      <c r="P281" s="157"/>
      <c r="Q281" s="157"/>
      <c r="R281" s="157"/>
      <c r="S281" s="176"/>
      <c r="T281" s="157"/>
      <c r="U281" s="157"/>
      <c r="V281" s="157"/>
      <c r="W281" s="157"/>
      <c r="X281" s="157"/>
      <c r="Y281" s="176"/>
      <c r="Z281" s="157"/>
      <c r="AA281" s="157"/>
      <c r="AB281" s="157"/>
      <c r="AC281" s="157"/>
      <c r="AD281" s="157"/>
      <c r="AE281" s="176"/>
      <c r="AF281" s="157"/>
      <c r="AG281" s="136"/>
    </row>
    <row r="282" spans="1:33" customFormat="1" ht="15" outlineLevel="1"/>
    <row r="283" spans="1:33" s="129" customFormat="1" ht="5.0999999999999996" customHeight="1" outlineLevel="1">
      <c r="A283" s="134"/>
      <c r="B283" s="128"/>
      <c r="C283" s="128"/>
      <c r="D283" s="128"/>
      <c r="E283" s="128"/>
      <c r="H283" s="158"/>
      <c r="I283" s="157"/>
      <c r="J283" s="158"/>
      <c r="K283" s="157"/>
      <c r="L283" s="158"/>
      <c r="M283" s="176"/>
      <c r="N283" s="158"/>
      <c r="O283" s="157"/>
      <c r="P283" s="158"/>
      <c r="Q283" s="157"/>
      <c r="R283" s="158"/>
      <c r="S283" s="176"/>
      <c r="T283" s="158"/>
      <c r="U283" s="157"/>
      <c r="V283" s="158"/>
      <c r="W283" s="157"/>
      <c r="X283" s="158"/>
      <c r="Y283" s="176"/>
      <c r="Z283" s="158"/>
      <c r="AA283" s="157"/>
      <c r="AB283" s="158"/>
      <c r="AC283" s="157"/>
      <c r="AD283" s="158"/>
      <c r="AE283" s="176"/>
      <c r="AF283" s="158"/>
      <c r="AG283" s="136"/>
    </row>
    <row r="284" spans="1:33" s="129" customFormat="1" ht="15">
      <c r="A284" s="134"/>
      <c r="D284" s="127" t="s">
        <v>311</v>
      </c>
      <c r="H284" s="155">
        <f>SUM(H282:H283)</f>
        <v>0</v>
      </c>
      <c r="I284" s="157"/>
      <c r="J284" s="155">
        <f>SUM(J282:J283)</f>
        <v>0</v>
      </c>
      <c r="K284" s="157"/>
      <c r="L284" s="155">
        <f>SUM(L282:L283)</f>
        <v>0</v>
      </c>
      <c r="M284" s="180">
        <f>IF(L$46=0,0,L284/L$46)</f>
        <v>0</v>
      </c>
      <c r="N284" s="155">
        <f>SUM(N282:N283)</f>
        <v>0</v>
      </c>
      <c r="O284" s="157"/>
      <c r="P284" s="155">
        <f>SUM(P282:P283)</f>
        <v>0</v>
      </c>
      <c r="Q284" s="157"/>
      <c r="R284" s="155">
        <f>SUM(R282:R283)</f>
        <v>0</v>
      </c>
      <c r="S284" s="180">
        <f>IF(R$46=0,0,R284/R$46)</f>
        <v>0</v>
      </c>
      <c r="T284" s="155">
        <f>SUM(T282:T283)</f>
        <v>0</v>
      </c>
      <c r="U284" s="157"/>
      <c r="V284" s="155">
        <f>SUM(V282:V283)</f>
        <v>0</v>
      </c>
      <c r="W284" s="157"/>
      <c r="X284" s="155">
        <f>SUM(X282:X283)</f>
        <v>0</v>
      </c>
      <c r="Y284" s="180">
        <f>IF(X$46=0,0,X284/X$46)</f>
        <v>0</v>
      </c>
      <c r="Z284" s="155">
        <f>SUM(Z282:Z283)</f>
        <v>0</v>
      </c>
      <c r="AA284" s="157"/>
      <c r="AB284" s="155">
        <f>SUM(AB282:AB283)</f>
        <v>0</v>
      </c>
      <c r="AC284" s="157"/>
      <c r="AD284" s="155">
        <f>SUM(AD282:AD283)</f>
        <v>0</v>
      </c>
      <c r="AE284" s="180">
        <f>IF(AD$46=0,0,AD284/AD$46)</f>
        <v>0</v>
      </c>
      <c r="AF284" s="155">
        <f>SUM(H284,J284,L284)</f>
        <v>0</v>
      </c>
      <c r="AG284" s="136"/>
    </row>
    <row r="285" spans="1:33" s="129" customFormat="1" ht="15" outlineLevel="1">
      <c r="A285" s="134"/>
      <c r="H285" s="157"/>
      <c r="I285" s="157"/>
      <c r="J285" s="157"/>
      <c r="K285" s="157"/>
      <c r="L285" s="157"/>
      <c r="M285" s="176"/>
      <c r="N285" s="157"/>
      <c r="O285" s="157"/>
      <c r="P285" s="157"/>
      <c r="Q285" s="157"/>
      <c r="R285" s="157"/>
      <c r="S285" s="176"/>
      <c r="T285" s="157"/>
      <c r="U285" s="157"/>
      <c r="V285" s="157"/>
      <c r="W285" s="157"/>
      <c r="X285" s="157"/>
      <c r="Y285" s="176"/>
      <c r="Z285" s="157"/>
      <c r="AA285" s="157"/>
      <c r="AB285" s="157"/>
      <c r="AC285" s="157"/>
      <c r="AD285" s="157"/>
      <c r="AE285" s="176"/>
      <c r="AF285" s="157"/>
      <c r="AG285" s="136"/>
    </row>
    <row r="286" spans="1:33" outlineLevel="1">
      <c r="B286" s="127">
        <v>70269</v>
      </c>
      <c r="C286" s="127" t="s">
        <v>312</v>
      </c>
      <c r="D286" s="128"/>
      <c r="E286" s="125"/>
      <c r="F286" s="129"/>
      <c r="G286" s="130"/>
      <c r="H286" s="131">
        <v>6852.7</v>
      </c>
      <c r="I286" s="130"/>
      <c r="J286" s="131">
        <v>6852.69</v>
      </c>
      <c r="K286" s="130"/>
      <c r="L286" s="131">
        <v>6852.71</v>
      </c>
      <c r="M286" s="130"/>
      <c r="N286" s="131">
        <v>6852.7</v>
      </c>
      <c r="O286" s="130"/>
      <c r="P286" s="131">
        <v>6852.69</v>
      </c>
      <c r="Q286" s="130"/>
      <c r="R286" s="131">
        <v>6852.7</v>
      </c>
      <c r="S286" s="130"/>
      <c r="T286" s="131">
        <v>6852.7</v>
      </c>
      <c r="U286" s="130"/>
      <c r="V286" s="131">
        <v>6852.69</v>
      </c>
      <c r="W286" s="130"/>
      <c r="X286" s="131">
        <v>6852.71</v>
      </c>
      <c r="Y286" s="130"/>
      <c r="Z286" s="131">
        <v>6852.7</v>
      </c>
      <c r="AA286" s="130"/>
      <c r="AB286" s="131">
        <v>6852.69</v>
      </c>
      <c r="AC286" s="130"/>
      <c r="AD286" s="131">
        <v>6852.7</v>
      </c>
      <c r="AE286" s="130"/>
      <c r="AF286" s="131">
        <f>AD286+AB286+Z286+X286+V286+T286+R286+P286+N286+L286+J286+H286</f>
        <v>82232.37999999999</v>
      </c>
      <c r="AG286" s="133"/>
    </row>
    <row r="287" spans="1:33" s="129" customFormat="1" ht="5.0999999999999996" customHeight="1" outlineLevel="1">
      <c r="A287" s="134"/>
      <c r="B287" s="128"/>
      <c r="C287" s="128"/>
      <c r="D287" s="128"/>
      <c r="E287" s="128"/>
      <c r="H287" s="158"/>
      <c r="I287" s="157"/>
      <c r="J287" s="158"/>
      <c r="K287" s="157"/>
      <c r="L287" s="158"/>
      <c r="M287" s="176"/>
      <c r="N287" s="158"/>
      <c r="O287" s="157"/>
      <c r="P287" s="158"/>
      <c r="Q287" s="157"/>
      <c r="R287" s="158"/>
      <c r="S287" s="176"/>
      <c r="T287" s="158"/>
      <c r="U287" s="157"/>
      <c r="V287" s="158"/>
      <c r="W287" s="157"/>
      <c r="X287" s="158"/>
      <c r="Y287" s="176"/>
      <c r="Z287" s="158"/>
      <c r="AA287" s="157"/>
      <c r="AB287" s="158"/>
      <c r="AC287" s="157"/>
      <c r="AD287" s="158"/>
      <c r="AE287" s="176"/>
      <c r="AF287" s="158"/>
      <c r="AG287" s="136"/>
    </row>
    <row r="288" spans="1:33" s="129" customFormat="1" ht="15">
      <c r="A288" s="134"/>
      <c r="D288" s="128" t="s">
        <v>313</v>
      </c>
      <c r="H288" s="155">
        <f>SUM(H286:H287)</f>
        <v>6852.7</v>
      </c>
      <c r="I288" s="157"/>
      <c r="J288" s="155">
        <f>SUM(J286:J287)</f>
        <v>6852.69</v>
      </c>
      <c r="K288" s="157"/>
      <c r="L288" s="155">
        <f>SUM(L286:L287)</f>
        <v>6852.71</v>
      </c>
      <c r="M288" s="180">
        <f>IF(L$46=0,0,L288/L$46)</f>
        <v>0</v>
      </c>
      <c r="N288" s="155">
        <f>SUM(N286:N287)</f>
        <v>6852.7</v>
      </c>
      <c r="O288" s="157"/>
      <c r="P288" s="155">
        <f>SUM(P286:P287)</f>
        <v>6852.69</v>
      </c>
      <c r="Q288" s="157"/>
      <c r="R288" s="155">
        <f>SUM(R286:R287)</f>
        <v>6852.7</v>
      </c>
      <c r="S288" s="180">
        <f>IF(R$46=0,0,R288/R$46)</f>
        <v>0</v>
      </c>
      <c r="T288" s="155">
        <f>SUM(T286:T287)</f>
        <v>6852.7</v>
      </c>
      <c r="U288" s="157"/>
      <c r="V288" s="155">
        <f>SUM(V286:V287)</f>
        <v>6852.69</v>
      </c>
      <c r="W288" s="157"/>
      <c r="X288" s="155">
        <f>SUM(X286:X287)</f>
        <v>6852.71</v>
      </c>
      <c r="Y288" s="180">
        <f>IF(X$46=0,0,X288/X$46)</f>
        <v>0</v>
      </c>
      <c r="Z288" s="155">
        <f>SUM(Z286:Z287)</f>
        <v>6852.7</v>
      </c>
      <c r="AA288" s="157"/>
      <c r="AB288" s="155">
        <f>SUM(AB286:AB287)</f>
        <v>6852.69</v>
      </c>
      <c r="AC288" s="157"/>
      <c r="AD288" s="155">
        <f>SUM(AD286:AD287)</f>
        <v>6852.7</v>
      </c>
      <c r="AE288" s="180">
        <f>IF(AD$46=0,0,AD288/AD$46)</f>
        <v>0</v>
      </c>
      <c r="AF288" s="155">
        <f>SUM(H288,J288,L288,N288,P288,R288,T288,V288,X288,Z288,AB288,AD288)</f>
        <v>82232.37999999999</v>
      </c>
      <c r="AG288" s="136"/>
    </row>
    <row r="289" spans="1:33" s="129" customFormat="1" ht="6.75" customHeight="1">
      <c r="A289" s="134"/>
      <c r="H289" s="157"/>
      <c r="I289" s="157"/>
      <c r="J289" s="157"/>
      <c r="K289" s="157"/>
      <c r="L289" s="157"/>
      <c r="M289" s="176"/>
      <c r="N289" s="157"/>
      <c r="O289" s="157"/>
      <c r="P289" s="157"/>
      <c r="Q289" s="157"/>
      <c r="R289" s="157"/>
      <c r="S289" s="176"/>
      <c r="T289" s="157"/>
      <c r="U289" s="157"/>
      <c r="V289" s="157"/>
      <c r="W289" s="157"/>
      <c r="X289" s="157"/>
      <c r="Y289" s="176"/>
      <c r="Z289" s="157"/>
      <c r="AA289" s="157"/>
      <c r="AB289" s="157"/>
      <c r="AC289" s="157"/>
      <c r="AD289" s="157"/>
      <c r="AE289" s="176"/>
      <c r="AF289" s="157"/>
      <c r="AG289" s="136"/>
    </row>
    <row r="290" spans="1:33" s="129" customFormat="1" ht="15">
      <c r="A290" s="134"/>
      <c r="C290" s="160" t="s">
        <v>314</v>
      </c>
      <c r="H290" s="161">
        <f>+H280+H284+H288</f>
        <v>73413.27</v>
      </c>
      <c r="I290" s="157"/>
      <c r="J290" s="161">
        <f>+J280+J284+J288</f>
        <v>75292.100000000006</v>
      </c>
      <c r="K290" s="157"/>
      <c r="L290" s="161">
        <f>+L280+L284+L288</f>
        <v>78980.630000000019</v>
      </c>
      <c r="M290" s="180">
        <f>IF(L$46=0,0,L290/L$46)</f>
        <v>0</v>
      </c>
      <c r="N290" s="161">
        <f>+N280+N284+N288</f>
        <v>78480.01999999999</v>
      </c>
      <c r="O290" s="157"/>
      <c r="P290" s="161">
        <f>+P280+P284+P288</f>
        <v>79690.540000000008</v>
      </c>
      <c r="Q290" s="157"/>
      <c r="R290" s="161">
        <f>+R280+R284+R288</f>
        <v>79624.55</v>
      </c>
      <c r="S290" s="180">
        <f>IF(R$46=0,0,R290/R$46)</f>
        <v>0</v>
      </c>
      <c r="T290" s="161">
        <f>+T280+T284+T288</f>
        <v>79218.33</v>
      </c>
      <c r="U290" s="157"/>
      <c r="V290" s="161">
        <f>+V280+V284+V288</f>
        <v>79645.460000000006</v>
      </c>
      <c r="W290" s="157"/>
      <c r="X290" s="161">
        <f>+X280+X284+X288</f>
        <v>80540.190000000017</v>
      </c>
      <c r="Y290" s="180">
        <f>IF(X$46=0,0,X290/X$46)</f>
        <v>0</v>
      </c>
      <c r="Z290" s="161">
        <f>+Z280+Z284+Z288</f>
        <v>80385.399999999994</v>
      </c>
      <c r="AA290" s="157"/>
      <c r="AB290" s="161">
        <f>+AB280+AB284+AB288</f>
        <v>80717.349999999991</v>
      </c>
      <c r="AC290" s="157"/>
      <c r="AD290" s="161">
        <f>+AD280+AD284+AD288</f>
        <v>85809.939999999988</v>
      </c>
      <c r="AE290" s="180">
        <f>IF(AD$46=0,0,AD290/AD$46)</f>
        <v>0</v>
      </c>
      <c r="AF290" s="161">
        <f>+AF280+AF284+AF288</f>
        <v>951797.78</v>
      </c>
      <c r="AG290" s="136"/>
    </row>
    <row r="291" spans="1:33" s="129" customFormat="1" ht="6.75" customHeight="1">
      <c r="A291" s="134"/>
      <c r="H291" s="157"/>
      <c r="I291" s="157"/>
      <c r="J291" s="157"/>
      <c r="K291" s="157"/>
      <c r="L291" s="157"/>
      <c r="M291" s="176"/>
      <c r="N291" s="157"/>
      <c r="O291" s="157"/>
      <c r="P291" s="157"/>
      <c r="Q291" s="157"/>
      <c r="R291" s="157"/>
      <c r="S291" s="176"/>
      <c r="T291" s="157"/>
      <c r="U291" s="157"/>
      <c r="V291" s="157"/>
      <c r="W291" s="157"/>
      <c r="X291" s="157"/>
      <c r="Y291" s="176"/>
      <c r="Z291" s="157"/>
      <c r="AA291" s="157"/>
      <c r="AB291" s="157"/>
      <c r="AC291" s="157"/>
      <c r="AD291" s="157"/>
      <c r="AE291" s="176"/>
      <c r="AF291" s="157"/>
      <c r="AG291" s="136"/>
    </row>
    <row r="292" spans="1:33" s="129" customFormat="1" ht="15">
      <c r="A292" s="134"/>
      <c r="C292" s="163" t="s">
        <v>315</v>
      </c>
      <c r="H292" s="161">
        <f>+H271-H290</f>
        <v>146377.91999999981</v>
      </c>
      <c r="I292" s="157"/>
      <c r="J292" s="161">
        <f>+J271-J290</f>
        <v>111048.29999999967</v>
      </c>
      <c r="K292" s="157"/>
      <c r="L292" s="161">
        <f>+L271-L290</f>
        <v>100935.50999999976</v>
      </c>
      <c r="M292" s="180">
        <f>IF(L$46=0,0,L292/L$46)</f>
        <v>0</v>
      </c>
      <c r="N292" s="161">
        <f>+N271-N290</f>
        <v>162057.00999999969</v>
      </c>
      <c r="O292" s="157"/>
      <c r="P292" s="161">
        <f>+P271-P290</f>
        <v>82062.720000000001</v>
      </c>
      <c r="Q292" s="157"/>
      <c r="R292" s="161">
        <f>+R271-R290</f>
        <v>102113.74999999993</v>
      </c>
      <c r="S292" s="180">
        <f>IF(R$46=0,0,R292/R$46)</f>
        <v>0</v>
      </c>
      <c r="T292" s="161">
        <f>+T271-T290</f>
        <v>95493.800000000061</v>
      </c>
      <c r="U292" s="157"/>
      <c r="V292" s="161">
        <f>+V271-V290</f>
        <v>112883.77999999993</v>
      </c>
      <c r="W292" s="157"/>
      <c r="X292" s="161">
        <f>+X271-X290</f>
        <v>120782.40999999999</v>
      </c>
      <c r="Y292" s="180">
        <f>IF(X$46=0,0,X292/X$46)</f>
        <v>0</v>
      </c>
      <c r="Z292" s="161">
        <f>+Z271-Z290</f>
        <v>165607.02000000011</v>
      </c>
      <c r="AA292" s="157"/>
      <c r="AB292" s="161">
        <f>+AB271-AB290</f>
        <v>112716.75000000016</v>
      </c>
      <c r="AC292" s="157"/>
      <c r="AD292" s="161">
        <f>+AD271-AD290</f>
        <v>153815.81</v>
      </c>
      <c r="AE292" s="180">
        <f>IF(AD$46=0,0,AD292/AD$46)</f>
        <v>0</v>
      </c>
      <c r="AF292" s="161">
        <f>+AF271-AF290</f>
        <v>1465894.7800000014</v>
      </c>
      <c r="AG292" s="136"/>
    </row>
    <row r="293" spans="1:33" s="129" customFormat="1" ht="6.75" customHeight="1">
      <c r="A293" s="134"/>
      <c r="H293" s="157"/>
      <c r="I293" s="157"/>
      <c r="J293" s="157"/>
      <c r="K293" s="157"/>
      <c r="L293" s="157"/>
      <c r="M293" s="176"/>
      <c r="N293" s="157"/>
      <c r="O293" s="157"/>
      <c r="P293" s="157"/>
      <c r="Q293" s="157"/>
      <c r="R293" s="157"/>
      <c r="S293" s="176"/>
      <c r="T293" s="157"/>
      <c r="U293" s="157"/>
      <c r="V293" s="157"/>
      <c r="W293" s="157"/>
      <c r="X293" s="157"/>
      <c r="Y293" s="176"/>
      <c r="Z293" s="157"/>
      <c r="AA293" s="157"/>
      <c r="AB293" s="157"/>
      <c r="AC293" s="157"/>
      <c r="AD293" s="157"/>
      <c r="AE293" s="176"/>
      <c r="AF293" s="157"/>
      <c r="AG293" s="136"/>
    </row>
    <row r="294" spans="1:33" outlineLevel="1">
      <c r="B294" s="127"/>
      <c r="C294" s="127"/>
      <c r="D294" s="128"/>
      <c r="E294" s="125"/>
      <c r="F294" s="129"/>
      <c r="G294" s="130"/>
      <c r="H294" s="131"/>
      <c r="I294" s="130"/>
      <c r="J294" s="131"/>
      <c r="K294" s="130"/>
      <c r="L294" s="131"/>
      <c r="M294" s="130"/>
      <c r="N294" s="131"/>
      <c r="O294" s="130"/>
      <c r="P294" s="131"/>
      <c r="Q294" s="130"/>
      <c r="R294" s="131"/>
      <c r="S294" s="130"/>
      <c r="T294" s="131"/>
      <c r="U294" s="130"/>
      <c r="V294" s="131"/>
      <c r="W294" s="130"/>
      <c r="X294" s="131"/>
      <c r="Y294" s="130"/>
      <c r="Z294" s="131"/>
      <c r="AA294" s="130"/>
      <c r="AB294" s="131"/>
      <c r="AC294" s="130"/>
      <c r="AD294" s="131"/>
      <c r="AE294" s="130"/>
      <c r="AF294" s="131"/>
      <c r="AG294" s="133"/>
    </row>
    <row r="295" spans="1:33" s="129" customFormat="1" ht="5.0999999999999996" customHeight="1" outlineLevel="1">
      <c r="A295" s="134"/>
      <c r="B295" s="128"/>
      <c r="C295" s="128"/>
      <c r="D295" s="128"/>
      <c r="E295" s="128"/>
      <c r="H295" s="158"/>
      <c r="I295" s="157"/>
      <c r="J295" s="158"/>
      <c r="K295" s="157"/>
      <c r="L295" s="158"/>
      <c r="M295" s="176"/>
      <c r="N295" s="158"/>
      <c r="O295" s="157"/>
      <c r="P295" s="158"/>
      <c r="Q295" s="157"/>
      <c r="R295" s="158"/>
      <c r="S295" s="176"/>
      <c r="T295" s="158"/>
      <c r="U295" s="157"/>
      <c r="V295" s="158"/>
      <c r="W295" s="157"/>
      <c r="X295" s="158"/>
      <c r="Y295" s="176"/>
      <c r="Z295" s="158"/>
      <c r="AA295" s="157"/>
      <c r="AB295" s="158"/>
      <c r="AC295" s="157"/>
      <c r="AD295" s="158"/>
      <c r="AE295" s="176"/>
      <c r="AF295" s="158"/>
      <c r="AG295" s="136"/>
    </row>
    <row r="296" spans="1:33" s="129" customFormat="1" ht="15">
      <c r="A296" s="134"/>
      <c r="D296" s="128" t="s">
        <v>317</v>
      </c>
      <c r="H296" s="155">
        <f>SUM(H294:H295)</f>
        <v>0</v>
      </c>
      <c r="I296" s="157"/>
      <c r="J296" s="155">
        <f>SUM(J294:J295)</f>
        <v>0</v>
      </c>
      <c r="K296" s="157"/>
      <c r="L296" s="155">
        <f>SUM(L294:L295)</f>
        <v>0</v>
      </c>
      <c r="M296" s="180">
        <f>IF(L$46=0,0,L296/L$46)</f>
        <v>0</v>
      </c>
      <c r="N296" s="155">
        <f>SUM(N294:N295)</f>
        <v>0</v>
      </c>
      <c r="O296" s="157"/>
      <c r="P296" s="155">
        <f>SUM(P294:P295)</f>
        <v>0</v>
      </c>
      <c r="Q296" s="157"/>
      <c r="R296" s="155">
        <f>SUM(R294:R295)</f>
        <v>0</v>
      </c>
      <c r="S296" s="180">
        <f>IF(R$46=0,0,R296/R$46)</f>
        <v>0</v>
      </c>
      <c r="T296" s="155">
        <f>SUM(T294:T295)</f>
        <v>0</v>
      </c>
      <c r="U296" s="157"/>
      <c r="V296" s="155">
        <f>SUM(V294:V295)</f>
        <v>0</v>
      </c>
      <c r="W296" s="157"/>
      <c r="X296" s="155">
        <f>SUM(X294:X295)</f>
        <v>0</v>
      </c>
      <c r="Y296" s="180">
        <f>IF(X$46=0,0,X296/X$46)</f>
        <v>0</v>
      </c>
      <c r="Z296" s="155">
        <f>SUM(Z294:Z295)</f>
        <v>0</v>
      </c>
      <c r="AA296" s="157"/>
      <c r="AB296" s="155">
        <f>SUM(AB294:AB295)</f>
        <v>0</v>
      </c>
      <c r="AC296" s="157"/>
      <c r="AD296" s="155">
        <f>SUM(AD294:AD295)</f>
        <v>0</v>
      </c>
      <c r="AE296" s="180">
        <f>IF(AD$46=0,0,AD296/AD$46)</f>
        <v>0</v>
      </c>
      <c r="AF296" s="155">
        <f>SUM(AF294:AF295)</f>
        <v>0</v>
      </c>
      <c r="AG296" s="136"/>
    </row>
    <row r="297" spans="1:33" s="129" customFormat="1" ht="15" outlineLevel="1">
      <c r="A297" s="134"/>
      <c r="H297" s="157"/>
      <c r="I297" s="157"/>
      <c r="J297" s="157"/>
      <c r="K297" s="157"/>
      <c r="L297" s="157"/>
      <c r="M297" s="176"/>
      <c r="N297" s="157"/>
      <c r="O297" s="157"/>
      <c r="P297" s="157"/>
      <c r="Q297" s="157"/>
      <c r="R297" s="157"/>
      <c r="S297" s="176"/>
      <c r="T297" s="157"/>
      <c r="U297" s="157"/>
      <c r="V297" s="157"/>
      <c r="W297" s="157"/>
      <c r="X297" s="157"/>
      <c r="Y297" s="176"/>
      <c r="Z297" s="157"/>
      <c r="AA297" s="157"/>
      <c r="AB297" s="157"/>
      <c r="AC297" s="157"/>
      <c r="AD297" s="157"/>
      <c r="AE297" s="176"/>
      <c r="AF297" s="157"/>
      <c r="AG297" s="136"/>
    </row>
    <row r="298" spans="1:33" customFormat="1" ht="15" outlineLevel="1"/>
    <row r="299" spans="1:33" s="129" customFormat="1" ht="5.0999999999999996" customHeight="1" outlineLevel="1">
      <c r="A299" s="134"/>
      <c r="B299" s="128"/>
      <c r="C299" s="128"/>
      <c r="D299" s="128"/>
      <c r="E299" s="128"/>
      <c r="H299" s="158"/>
      <c r="I299" s="157"/>
      <c r="J299" s="158"/>
      <c r="K299" s="157"/>
      <c r="L299" s="158"/>
      <c r="M299" s="176"/>
      <c r="N299" s="158"/>
      <c r="O299" s="157"/>
      <c r="P299" s="158"/>
      <c r="Q299" s="157"/>
      <c r="R299" s="158"/>
      <c r="S299" s="176"/>
      <c r="T299" s="158"/>
      <c r="U299" s="157"/>
      <c r="V299" s="158"/>
      <c r="W299" s="157"/>
      <c r="X299" s="158"/>
      <c r="Y299" s="176"/>
      <c r="Z299" s="158"/>
      <c r="AA299" s="157"/>
      <c r="AB299" s="158"/>
      <c r="AC299" s="157"/>
      <c r="AD299" s="158"/>
      <c r="AE299" s="176"/>
      <c r="AF299" s="158"/>
      <c r="AG299" s="136"/>
    </row>
    <row r="300" spans="1:33" s="129" customFormat="1" ht="15">
      <c r="A300" s="134"/>
      <c r="D300" s="127" t="s">
        <v>319</v>
      </c>
      <c r="H300" s="155">
        <f>SUM(H298:H299)</f>
        <v>0</v>
      </c>
      <c r="I300" s="157"/>
      <c r="J300" s="155">
        <f>SUM(J298:J299)</f>
        <v>0</v>
      </c>
      <c r="K300" s="157"/>
      <c r="L300" s="155">
        <f>SUM(L298:L299)</f>
        <v>0</v>
      </c>
      <c r="M300" s="180">
        <f>IF(L$46=0,0,L300/L$46)</f>
        <v>0</v>
      </c>
      <c r="N300" s="155">
        <f>SUM(N298:N299)</f>
        <v>0</v>
      </c>
      <c r="O300" s="157"/>
      <c r="P300" s="155">
        <f>SUM(P298:P299)</f>
        <v>0</v>
      </c>
      <c r="Q300" s="157"/>
      <c r="R300" s="155">
        <f>SUM(R298:R299)</f>
        <v>0</v>
      </c>
      <c r="S300" s="180">
        <f>IF(R$46=0,0,R300/R$46)</f>
        <v>0</v>
      </c>
      <c r="T300" s="155">
        <f>SUM(T298:T299)</f>
        <v>0</v>
      </c>
      <c r="U300" s="157"/>
      <c r="V300" s="155">
        <f>SUM(V298:V299)</f>
        <v>0</v>
      </c>
      <c r="W300" s="157"/>
      <c r="X300" s="155">
        <f>SUM(X298:X299)</f>
        <v>0</v>
      </c>
      <c r="Y300" s="180">
        <f>IF(X$46=0,0,X300/X$46)</f>
        <v>0</v>
      </c>
      <c r="Z300" s="155">
        <f>SUM(Z298:Z299)</f>
        <v>0</v>
      </c>
      <c r="AA300" s="157"/>
      <c r="AB300" s="155">
        <f>SUM(AB298:AB299)</f>
        <v>0</v>
      </c>
      <c r="AC300" s="157"/>
      <c r="AD300" s="155">
        <f>SUM(AD298:AD299)</f>
        <v>0</v>
      </c>
      <c r="AE300" s="180">
        <f>IF(AD$46=0,0,AD300/AD$46)</f>
        <v>0</v>
      </c>
      <c r="AF300" s="155">
        <f>SUM(AF298:AF299)</f>
        <v>0</v>
      </c>
      <c r="AG300" s="136"/>
    </row>
    <row r="301" spans="1:33" s="129" customFormat="1" ht="15" outlineLevel="1">
      <c r="A301" s="134"/>
      <c r="H301" s="157"/>
      <c r="I301" s="157"/>
      <c r="J301" s="157"/>
      <c r="K301" s="157"/>
      <c r="L301" s="157"/>
      <c r="M301" s="176"/>
      <c r="N301" s="157"/>
      <c r="O301" s="157"/>
      <c r="P301" s="157"/>
      <c r="Q301" s="157"/>
      <c r="R301" s="157"/>
      <c r="S301" s="176"/>
      <c r="T301" s="157"/>
      <c r="U301" s="157"/>
      <c r="V301" s="157"/>
      <c r="W301" s="157"/>
      <c r="X301" s="157"/>
      <c r="Y301" s="176"/>
      <c r="Z301" s="157"/>
      <c r="AA301" s="157"/>
      <c r="AB301" s="157"/>
      <c r="AC301" s="157"/>
      <c r="AD301" s="157"/>
      <c r="AE301" s="176"/>
      <c r="AF301" s="157"/>
      <c r="AG301" s="136"/>
    </row>
    <row r="302" spans="1:33" outlineLevel="1">
      <c r="B302" s="127"/>
      <c r="C302" s="127"/>
      <c r="D302" s="128"/>
      <c r="E302" s="125"/>
      <c r="F302" s="129"/>
      <c r="G302" s="130"/>
      <c r="H302" s="131"/>
      <c r="I302" s="130"/>
      <c r="J302" s="131"/>
      <c r="K302" s="130"/>
      <c r="L302" s="131"/>
      <c r="M302" s="130"/>
      <c r="N302" s="131"/>
      <c r="O302" s="130"/>
      <c r="P302" s="131"/>
      <c r="Q302" s="130"/>
      <c r="R302" s="131"/>
      <c r="S302" s="130"/>
      <c r="T302" s="131"/>
      <c r="U302" s="130"/>
      <c r="V302" s="131"/>
      <c r="W302" s="130"/>
      <c r="X302" s="131"/>
      <c r="Y302" s="130"/>
      <c r="Z302" s="131"/>
      <c r="AA302" s="130"/>
      <c r="AB302" s="131"/>
      <c r="AC302" s="130"/>
      <c r="AD302" s="131"/>
      <c r="AE302" s="130"/>
      <c r="AF302" s="131"/>
      <c r="AG302" s="133"/>
    </row>
    <row r="303" spans="1:33" s="129" customFormat="1" ht="5.0999999999999996" customHeight="1" outlineLevel="1">
      <c r="A303" s="134"/>
      <c r="B303" s="128"/>
      <c r="C303" s="128"/>
      <c r="D303" s="128"/>
      <c r="E303" s="128"/>
      <c r="H303" s="158"/>
      <c r="I303" s="157"/>
      <c r="J303" s="158"/>
      <c r="K303" s="157"/>
      <c r="L303" s="158"/>
      <c r="M303" s="176"/>
      <c r="N303" s="158"/>
      <c r="O303" s="157"/>
      <c r="P303" s="158"/>
      <c r="Q303" s="157"/>
      <c r="R303" s="158"/>
      <c r="S303" s="176"/>
      <c r="T303" s="158"/>
      <c r="U303" s="157"/>
      <c r="V303" s="158"/>
      <c r="W303" s="157"/>
      <c r="X303" s="158"/>
      <c r="Y303" s="176"/>
      <c r="Z303" s="158"/>
      <c r="AA303" s="157"/>
      <c r="AB303" s="158"/>
      <c r="AC303" s="157"/>
      <c r="AD303" s="158"/>
      <c r="AE303" s="176"/>
      <c r="AF303" s="158"/>
      <c r="AG303" s="136"/>
    </row>
    <row r="304" spans="1:33" s="129" customFormat="1" ht="15">
      <c r="A304" s="134"/>
      <c r="D304" s="128" t="s">
        <v>321</v>
      </c>
      <c r="H304" s="155">
        <f>SUM(H302:H303)</f>
        <v>0</v>
      </c>
      <c r="I304" s="157"/>
      <c r="J304" s="155">
        <f>SUM(J302:J303)</f>
        <v>0</v>
      </c>
      <c r="K304" s="157"/>
      <c r="L304" s="155">
        <f>SUM(L302:L303)</f>
        <v>0</v>
      </c>
      <c r="M304" s="180">
        <f>IF(L$46=0,0,L304/L$46)</f>
        <v>0</v>
      </c>
      <c r="N304" s="155">
        <f>SUM(N302:N303)</f>
        <v>0</v>
      </c>
      <c r="O304" s="157"/>
      <c r="P304" s="155">
        <f>SUM(P302:P303)</f>
        <v>0</v>
      </c>
      <c r="Q304" s="157"/>
      <c r="R304" s="155">
        <f>SUM(R302:R303)</f>
        <v>0</v>
      </c>
      <c r="S304" s="180">
        <f>IF(R$46=0,0,R304/R$46)</f>
        <v>0</v>
      </c>
      <c r="T304" s="155">
        <f>SUM(T302:T303)</f>
        <v>0</v>
      </c>
      <c r="U304" s="157"/>
      <c r="V304" s="155">
        <f>SUM(V302:V303)</f>
        <v>0</v>
      </c>
      <c r="W304" s="157"/>
      <c r="X304" s="155">
        <f>SUM(X302:X303)</f>
        <v>0</v>
      </c>
      <c r="Y304" s="180">
        <f>IF(X$46=0,0,X304/X$46)</f>
        <v>0</v>
      </c>
      <c r="Z304" s="155">
        <f>SUM(Z302:Z303)</f>
        <v>0</v>
      </c>
      <c r="AA304" s="157"/>
      <c r="AB304" s="155">
        <f>SUM(AB302:AB303)</f>
        <v>0</v>
      </c>
      <c r="AC304" s="157"/>
      <c r="AD304" s="155">
        <f>SUM(AD302:AD303)</f>
        <v>0</v>
      </c>
      <c r="AE304" s="180">
        <f>IF(AD$46=0,0,AD304/AD$46)</f>
        <v>0</v>
      </c>
      <c r="AF304" s="155">
        <f>SUM(AF302:AF303)</f>
        <v>0</v>
      </c>
      <c r="AG304" s="136"/>
    </row>
    <row r="305" spans="1:33" s="129" customFormat="1" ht="6.75" customHeight="1">
      <c r="A305" s="134"/>
      <c r="H305" s="157"/>
      <c r="I305" s="157"/>
      <c r="J305" s="157"/>
      <c r="K305" s="157"/>
      <c r="L305" s="157"/>
      <c r="M305" s="176"/>
      <c r="N305" s="157"/>
      <c r="O305" s="157"/>
      <c r="P305" s="157"/>
      <c r="Q305" s="157"/>
      <c r="R305" s="157"/>
      <c r="S305" s="176"/>
      <c r="T305" s="157"/>
      <c r="U305" s="157"/>
      <c r="V305" s="157"/>
      <c r="W305" s="157"/>
      <c r="X305" s="157"/>
      <c r="Y305" s="176"/>
      <c r="Z305" s="157"/>
      <c r="AA305" s="157"/>
      <c r="AB305" s="157"/>
      <c r="AC305" s="157"/>
      <c r="AD305" s="157"/>
      <c r="AE305" s="176"/>
      <c r="AF305" s="157"/>
      <c r="AG305" s="136"/>
    </row>
    <row r="306" spans="1:33" s="129" customFormat="1" ht="15">
      <c r="A306" s="134"/>
      <c r="C306" s="160" t="s">
        <v>322</v>
      </c>
      <c r="H306" s="161">
        <f>+H292-H296-H300-H304</f>
        <v>146377.91999999981</v>
      </c>
      <c r="I306" s="157"/>
      <c r="J306" s="161">
        <f>+J292-J296-J300-J304</f>
        <v>111048.29999999967</v>
      </c>
      <c r="K306" s="157"/>
      <c r="L306" s="161">
        <f>+L292-L296-L300-L304</f>
        <v>100935.50999999976</v>
      </c>
      <c r="M306" s="180">
        <f>IF(L$46=0,0,L306/L$46)</f>
        <v>0</v>
      </c>
      <c r="N306" s="161">
        <f>+N292-N296-N300-N304</f>
        <v>162057.00999999969</v>
      </c>
      <c r="O306" s="157"/>
      <c r="P306" s="161">
        <f>+P292-P296-P300-P304</f>
        <v>82062.720000000001</v>
      </c>
      <c r="Q306" s="157"/>
      <c r="R306" s="161">
        <f>+R292-R296-R300-R304</f>
        <v>102113.74999999993</v>
      </c>
      <c r="S306" s="180">
        <f>IF(R$46=0,0,R306/R$46)</f>
        <v>0</v>
      </c>
      <c r="T306" s="161">
        <f>+T292-T296-T300-T304</f>
        <v>95493.800000000061</v>
      </c>
      <c r="U306" s="157"/>
      <c r="V306" s="161">
        <f>+V292-V296-V300-V304</f>
        <v>112883.77999999993</v>
      </c>
      <c r="W306" s="157"/>
      <c r="X306" s="161">
        <f>+X292-X296-X300-X304</f>
        <v>120782.40999999999</v>
      </c>
      <c r="Y306" s="180">
        <f>IF(X$46=0,0,X306/X$46)</f>
        <v>0</v>
      </c>
      <c r="Z306" s="161">
        <f>+Z292-Z296-Z300-Z304</f>
        <v>165607.02000000011</v>
      </c>
      <c r="AA306" s="157"/>
      <c r="AB306" s="161">
        <f>+AB292-AB296-AB300-AB304</f>
        <v>112716.75000000016</v>
      </c>
      <c r="AC306" s="157"/>
      <c r="AD306" s="161">
        <f>+AD292-AD296-AD300-AD304</f>
        <v>153815.81</v>
      </c>
      <c r="AE306" s="180">
        <f>IF(AD$46=0,0,AD306/AD$46)</f>
        <v>0</v>
      </c>
      <c r="AF306" s="161">
        <f>+AF292-AF296-AF300-AF304</f>
        <v>1465894.7800000014</v>
      </c>
      <c r="AG306" s="136"/>
    </row>
    <row r="307" spans="1:33" s="129" customFormat="1" ht="6.75" customHeight="1">
      <c r="A307" s="134"/>
      <c r="H307" s="157"/>
      <c r="I307" s="157"/>
      <c r="J307" s="157"/>
      <c r="K307" s="157"/>
      <c r="L307" s="157"/>
      <c r="M307" s="176"/>
      <c r="N307" s="157"/>
      <c r="O307" s="157"/>
      <c r="P307" s="157"/>
      <c r="Q307" s="157"/>
      <c r="R307" s="157"/>
      <c r="S307" s="176"/>
      <c r="T307" s="157"/>
      <c r="U307" s="157"/>
      <c r="V307" s="157"/>
      <c r="W307" s="157"/>
      <c r="X307" s="157"/>
      <c r="Y307" s="176"/>
      <c r="Z307" s="157"/>
      <c r="AA307" s="157"/>
      <c r="AB307" s="157"/>
      <c r="AC307" s="157"/>
      <c r="AD307" s="157"/>
      <c r="AE307" s="176"/>
      <c r="AF307" s="157"/>
      <c r="AG307" s="136"/>
    </row>
    <row r="308" spans="1:33" customFormat="1" ht="15" outlineLevel="1"/>
    <row r="309" spans="1:33" s="129" customFormat="1" ht="5.0999999999999996" customHeight="1" outlineLevel="1">
      <c r="A309" s="134"/>
      <c r="B309" s="128"/>
      <c r="C309" s="128"/>
      <c r="D309" s="128"/>
      <c r="E309" s="128"/>
      <c r="H309" s="158"/>
      <c r="I309" s="157"/>
      <c r="J309" s="158"/>
      <c r="K309" s="157"/>
      <c r="L309" s="158"/>
      <c r="M309" s="176"/>
      <c r="N309" s="158"/>
      <c r="O309" s="157"/>
      <c r="P309" s="158"/>
      <c r="Q309" s="157"/>
      <c r="R309" s="158"/>
      <c r="S309" s="176"/>
      <c r="T309" s="158"/>
      <c r="U309" s="157"/>
      <c r="V309" s="158"/>
      <c r="W309" s="157"/>
      <c r="X309" s="158"/>
      <c r="Y309" s="176"/>
      <c r="Z309" s="158"/>
      <c r="AA309" s="157"/>
      <c r="AB309" s="158"/>
      <c r="AC309" s="157"/>
      <c r="AD309" s="158"/>
      <c r="AE309" s="176"/>
      <c r="AF309" s="158"/>
      <c r="AG309" s="136"/>
    </row>
    <row r="310" spans="1:33" s="129" customFormat="1" ht="15">
      <c r="A310" s="134"/>
      <c r="D310" s="127" t="s">
        <v>323</v>
      </c>
      <c r="H310" s="155">
        <f>SUM(H308:H309)</f>
        <v>0</v>
      </c>
      <c r="I310" s="157"/>
      <c r="J310" s="155">
        <f>SUM(J308:J309)</f>
        <v>0</v>
      </c>
      <c r="K310" s="157"/>
      <c r="L310" s="155">
        <f>SUM(L308:L309)</f>
        <v>0</v>
      </c>
      <c r="M310" s="180">
        <f>IF(L$46=0,0,L310/L$46)</f>
        <v>0</v>
      </c>
      <c r="N310" s="155">
        <f>SUM(N308:N309)</f>
        <v>0</v>
      </c>
      <c r="O310" s="157"/>
      <c r="P310" s="155">
        <f>SUM(P308:P309)</f>
        <v>0</v>
      </c>
      <c r="Q310" s="157"/>
      <c r="R310" s="155">
        <f>SUM(R308:R309)</f>
        <v>0</v>
      </c>
      <c r="S310" s="180">
        <f>IF(R$46=0,0,R310/R$46)</f>
        <v>0</v>
      </c>
      <c r="T310" s="155">
        <f>SUM(T308:T309)</f>
        <v>0</v>
      </c>
      <c r="U310" s="157"/>
      <c r="V310" s="155">
        <f>SUM(V308:V309)</f>
        <v>0</v>
      </c>
      <c r="W310" s="157"/>
      <c r="X310" s="155">
        <f>SUM(X308:X309)</f>
        <v>0</v>
      </c>
      <c r="Y310" s="180">
        <f>IF(X$46=0,0,X310/X$46)</f>
        <v>0</v>
      </c>
      <c r="Z310" s="155">
        <f>SUM(Z308:Z309)</f>
        <v>0</v>
      </c>
      <c r="AA310" s="157"/>
      <c r="AB310" s="155">
        <f>SUM(AB308:AB309)</f>
        <v>0</v>
      </c>
      <c r="AC310" s="157"/>
      <c r="AD310" s="155">
        <f>SUM(AD308:AD309)</f>
        <v>0</v>
      </c>
      <c r="AE310" s="180">
        <f>IF(AD$46=0,0,AD310/AD$46)</f>
        <v>0</v>
      </c>
      <c r="AF310" s="155">
        <f>SUM(AF308:AF309)</f>
        <v>0</v>
      </c>
      <c r="AG310" s="136"/>
    </row>
    <row r="311" spans="1:33" s="129" customFormat="1" ht="6.75" customHeight="1">
      <c r="A311" s="134"/>
      <c r="H311" s="157"/>
      <c r="I311" s="157"/>
      <c r="J311" s="157"/>
      <c r="K311" s="157"/>
      <c r="L311" s="157"/>
      <c r="M311" s="176"/>
      <c r="N311" s="157"/>
      <c r="O311" s="157"/>
      <c r="P311" s="157"/>
      <c r="Q311" s="157"/>
      <c r="R311" s="157"/>
      <c r="S311" s="176"/>
      <c r="T311" s="157"/>
      <c r="U311" s="157"/>
      <c r="V311" s="157"/>
      <c r="W311" s="157"/>
      <c r="X311" s="157"/>
      <c r="Y311" s="176"/>
      <c r="Z311" s="157"/>
      <c r="AA311" s="157"/>
      <c r="AB311" s="157"/>
      <c r="AC311" s="157"/>
      <c r="AD311" s="157"/>
      <c r="AE311" s="176"/>
      <c r="AF311" s="157"/>
      <c r="AG311" s="136"/>
    </row>
    <row r="312" spans="1:33" s="129" customFormat="1" ht="15">
      <c r="A312" s="134"/>
      <c r="C312" s="160" t="s">
        <v>324</v>
      </c>
      <c r="H312" s="161">
        <f>+H306-H310</f>
        <v>146377.91999999981</v>
      </c>
      <c r="I312" s="157"/>
      <c r="J312" s="161">
        <f>+J306-J310</f>
        <v>111048.29999999967</v>
      </c>
      <c r="K312" s="157"/>
      <c r="L312" s="161">
        <f>+L306-L310</f>
        <v>100935.50999999976</v>
      </c>
      <c r="M312" s="180">
        <f>IF(L$46=0,0,L312/L$46)</f>
        <v>0</v>
      </c>
      <c r="N312" s="161">
        <f>+N306-N310</f>
        <v>162057.00999999969</v>
      </c>
      <c r="O312" s="157"/>
      <c r="P312" s="161">
        <f>+P306-P310</f>
        <v>82062.720000000001</v>
      </c>
      <c r="Q312" s="157"/>
      <c r="R312" s="161">
        <f>+R306-R310</f>
        <v>102113.74999999993</v>
      </c>
      <c r="S312" s="180">
        <f>IF(R$46=0,0,R312/R$46)</f>
        <v>0</v>
      </c>
      <c r="T312" s="161">
        <f>+T306-T310</f>
        <v>95493.800000000061</v>
      </c>
      <c r="U312" s="157"/>
      <c r="V312" s="161">
        <f>+V306-V310</f>
        <v>112883.77999999993</v>
      </c>
      <c r="W312" s="157"/>
      <c r="X312" s="161">
        <f>+X306-X310</f>
        <v>120782.40999999999</v>
      </c>
      <c r="Y312" s="180">
        <f>IF(X$46=0,0,X312/X$46)</f>
        <v>0</v>
      </c>
      <c r="Z312" s="161">
        <f>+Z306-Z310</f>
        <v>165607.02000000011</v>
      </c>
      <c r="AA312" s="157"/>
      <c r="AB312" s="161">
        <f>+AB306-AB310</f>
        <v>112716.75000000016</v>
      </c>
      <c r="AC312" s="157"/>
      <c r="AD312" s="161">
        <f>+AD306-AD310</f>
        <v>153815.81</v>
      </c>
      <c r="AE312" s="180">
        <f>IF(AD$46=0,0,AD312/AD$46)</f>
        <v>0</v>
      </c>
      <c r="AF312" s="161">
        <f>+AF306-AF310</f>
        <v>1465894.7800000014</v>
      </c>
      <c r="AG312" s="136"/>
    </row>
    <row r="313" spans="1:33" ht="6.75" customHeight="1">
      <c r="A313" s="134"/>
      <c r="H313" s="126"/>
      <c r="I313" s="126"/>
      <c r="J313" s="126"/>
      <c r="K313" s="126"/>
      <c r="L313" s="126"/>
      <c r="M313" s="176"/>
      <c r="N313" s="126"/>
      <c r="O313" s="126"/>
      <c r="P313" s="126"/>
      <c r="Q313" s="126"/>
      <c r="R313" s="126"/>
      <c r="S313" s="176"/>
      <c r="T313" s="126"/>
      <c r="U313" s="126"/>
      <c r="V313" s="126"/>
      <c r="W313" s="126"/>
      <c r="X313" s="126"/>
      <c r="Y313" s="176"/>
      <c r="Z313" s="126"/>
      <c r="AA313" s="126"/>
      <c r="AB313" s="126"/>
      <c r="AC313" s="126"/>
      <c r="AD313" s="126"/>
      <c r="AE313" s="176"/>
      <c r="AF313" s="126"/>
      <c r="AG313" s="136"/>
    </row>
    <row r="314" spans="1:33" customFormat="1" ht="15" outlineLevel="1"/>
    <row r="315" spans="1:33" s="129" customFormat="1" ht="5.0999999999999996" customHeight="1" outlineLevel="1">
      <c r="A315" s="134"/>
      <c r="B315" s="128"/>
      <c r="C315" s="128"/>
      <c r="D315" s="128"/>
      <c r="E315" s="128"/>
      <c r="H315" s="158"/>
      <c r="I315" s="157"/>
      <c r="J315" s="158"/>
      <c r="K315" s="157"/>
      <c r="L315" s="158"/>
      <c r="M315" s="176"/>
      <c r="N315" s="158"/>
      <c r="O315" s="157"/>
      <c r="P315" s="158"/>
      <c r="Q315" s="157"/>
      <c r="R315" s="158"/>
      <c r="S315" s="176"/>
      <c r="T315" s="158"/>
      <c r="U315" s="157"/>
      <c r="V315" s="158"/>
      <c r="W315" s="157"/>
      <c r="X315" s="158"/>
      <c r="Y315" s="176"/>
      <c r="Z315" s="158"/>
      <c r="AA315" s="157"/>
      <c r="AB315" s="158"/>
      <c r="AC315" s="157"/>
      <c r="AD315" s="158"/>
      <c r="AE315" s="176"/>
      <c r="AF315" s="158"/>
      <c r="AG315" s="136"/>
    </row>
    <row r="316" spans="1:33" s="129" customFormat="1" ht="15">
      <c r="A316" s="123"/>
      <c r="D316" s="127" t="s">
        <v>326</v>
      </c>
      <c r="H316" s="155">
        <f>SUM(H314:H315)</f>
        <v>0</v>
      </c>
      <c r="I316" s="157"/>
      <c r="J316" s="155">
        <f>SUM(J314:J315)</f>
        <v>0</v>
      </c>
      <c r="K316" s="157"/>
      <c r="L316" s="155">
        <f>SUM(L314:L315)</f>
        <v>0</v>
      </c>
      <c r="M316" s="180">
        <f>IF(L$46=0,0,L316/L$46)</f>
        <v>0</v>
      </c>
      <c r="N316" s="155">
        <f>SUM(N314:N315)</f>
        <v>0</v>
      </c>
      <c r="O316" s="157"/>
      <c r="P316" s="155">
        <f>SUM(P314:P315)</f>
        <v>0</v>
      </c>
      <c r="Q316" s="157"/>
      <c r="R316" s="155">
        <f>SUM(R314:R315)</f>
        <v>0</v>
      </c>
      <c r="S316" s="180">
        <f>IF(R$46=0,0,R316/R$46)</f>
        <v>0</v>
      </c>
      <c r="T316" s="155">
        <f>SUM(T314:T315)</f>
        <v>0</v>
      </c>
      <c r="U316" s="157"/>
      <c r="V316" s="155">
        <f>SUM(V314:V315)</f>
        <v>0</v>
      </c>
      <c r="W316" s="157"/>
      <c r="X316" s="155">
        <f>SUM(X314:X315)</f>
        <v>0</v>
      </c>
      <c r="Y316" s="180">
        <f>IF(X$46=0,0,X316/X$46)</f>
        <v>0</v>
      </c>
      <c r="Z316" s="155">
        <f>SUM(Z314:Z315)</f>
        <v>0</v>
      </c>
      <c r="AA316" s="157"/>
      <c r="AB316" s="155">
        <f>SUM(AB314:AB315)</f>
        <v>0</v>
      </c>
      <c r="AC316" s="157"/>
      <c r="AD316" s="155">
        <f>SUM(AD314:AD315)</f>
        <v>0</v>
      </c>
      <c r="AE316" s="180">
        <f>IF(AD$46=0,0,AD316/AD$46)</f>
        <v>0</v>
      </c>
      <c r="AF316" s="155">
        <f>SUM(AF314:AF315)</f>
        <v>0</v>
      </c>
      <c r="AG316" s="136"/>
    </row>
    <row r="317" spans="1:33" s="129" customFormat="1" ht="6.75" customHeight="1">
      <c r="A317" s="123"/>
      <c r="H317" s="157"/>
      <c r="I317" s="157"/>
      <c r="J317" s="157"/>
      <c r="K317" s="157"/>
      <c r="L317" s="157"/>
      <c r="M317" s="176"/>
      <c r="N317" s="157"/>
      <c r="O317" s="157"/>
      <c r="P317" s="157"/>
      <c r="Q317" s="157"/>
      <c r="R317" s="157"/>
      <c r="S317" s="176"/>
      <c r="T317" s="157"/>
      <c r="U317" s="157"/>
      <c r="V317" s="157"/>
      <c r="W317" s="157"/>
      <c r="X317" s="157"/>
      <c r="Y317" s="176"/>
      <c r="Z317" s="157"/>
      <c r="AA317" s="157"/>
      <c r="AB317" s="157"/>
      <c r="AC317" s="157"/>
      <c r="AD317" s="157"/>
      <c r="AE317" s="176"/>
      <c r="AF317" s="157"/>
      <c r="AG317" s="136"/>
    </row>
    <row r="318" spans="1:33" s="129" customFormat="1" ht="15">
      <c r="A318" s="123"/>
      <c r="C318" s="160" t="s">
        <v>327</v>
      </c>
      <c r="H318" s="161">
        <f>+H312-H316</f>
        <v>146377.91999999981</v>
      </c>
      <c r="I318" s="157"/>
      <c r="J318" s="161">
        <f>+J312-J316</f>
        <v>111048.29999999967</v>
      </c>
      <c r="K318" s="157"/>
      <c r="L318" s="161">
        <f>+L312-L316</f>
        <v>100935.50999999976</v>
      </c>
      <c r="M318" s="180">
        <f>IF(L$46=0,0,L318/L$46)</f>
        <v>0</v>
      </c>
      <c r="N318" s="161">
        <f>+N312-N316</f>
        <v>162057.00999999969</v>
      </c>
      <c r="O318" s="157"/>
      <c r="P318" s="161">
        <f>+P312-P316</f>
        <v>82062.720000000001</v>
      </c>
      <c r="Q318" s="157"/>
      <c r="R318" s="161">
        <f>+R312-R316</f>
        <v>102113.74999999993</v>
      </c>
      <c r="S318" s="180">
        <f>IF(R$46=0,0,R318/R$46)</f>
        <v>0</v>
      </c>
      <c r="T318" s="161">
        <f>+T312-T316</f>
        <v>95493.800000000061</v>
      </c>
      <c r="U318" s="157"/>
      <c r="V318" s="161">
        <f>+V312-V316</f>
        <v>112883.77999999993</v>
      </c>
      <c r="W318" s="157"/>
      <c r="X318" s="161">
        <f>+X312-X316</f>
        <v>120782.40999999999</v>
      </c>
      <c r="Y318" s="180">
        <f>IF(X$46=0,0,X318/X$46)</f>
        <v>0</v>
      </c>
      <c r="Z318" s="161">
        <f>+Z312-Z316</f>
        <v>165607.02000000011</v>
      </c>
      <c r="AA318" s="157"/>
      <c r="AB318" s="161">
        <f>+AB312-AB316</f>
        <v>112716.75000000016</v>
      </c>
      <c r="AC318" s="157"/>
      <c r="AD318" s="161">
        <f>+AD312-AD316</f>
        <v>153815.81</v>
      </c>
      <c r="AE318" s="180">
        <f>IF(AD$46=0,0,AD318/AD$46)</f>
        <v>0</v>
      </c>
      <c r="AF318" s="161">
        <f>+AF312-AF316</f>
        <v>1465894.7800000014</v>
      </c>
      <c r="AG318" s="136"/>
    </row>
    <row r="319" spans="1:33" s="129" customFormat="1" ht="6.75" customHeight="1">
      <c r="A319" s="123"/>
      <c r="H319" s="157"/>
      <c r="I319" s="157"/>
      <c r="J319" s="157"/>
      <c r="K319" s="157"/>
      <c r="L319" s="157"/>
      <c r="M319" s="176"/>
      <c r="N319" s="157"/>
      <c r="O319" s="157"/>
      <c r="P319" s="157"/>
      <c r="Q319" s="157"/>
      <c r="R319" s="157"/>
      <c r="S319" s="176"/>
      <c r="T319" s="157"/>
      <c r="U319" s="157"/>
      <c r="V319" s="157"/>
      <c r="W319" s="157"/>
      <c r="X319" s="157"/>
      <c r="Y319" s="176"/>
      <c r="Z319" s="157"/>
      <c r="AA319" s="157"/>
      <c r="AB319" s="157"/>
      <c r="AC319" s="157"/>
      <c r="AD319" s="157"/>
      <c r="AE319" s="176"/>
      <c r="AF319" s="157"/>
      <c r="AG319" s="136"/>
    </row>
    <row r="320" spans="1:33" customFormat="1" ht="15" outlineLevel="1"/>
    <row r="321" spans="1:33" s="129" customFormat="1" ht="5.0999999999999996" customHeight="1" outlineLevel="1">
      <c r="A321" s="134"/>
      <c r="B321" s="128"/>
      <c r="C321" s="128"/>
      <c r="D321" s="128"/>
      <c r="E321" s="128"/>
      <c r="H321" s="158"/>
      <c r="I321" s="157"/>
      <c r="J321" s="158"/>
      <c r="K321" s="157"/>
      <c r="L321" s="158"/>
      <c r="M321" s="176"/>
      <c r="N321" s="158"/>
      <c r="O321" s="157"/>
      <c r="P321" s="158"/>
      <c r="Q321" s="157"/>
      <c r="R321" s="158"/>
      <c r="S321" s="176"/>
      <c r="T321" s="158"/>
      <c r="U321" s="157"/>
      <c r="V321" s="158"/>
      <c r="W321" s="157"/>
      <c r="X321" s="158"/>
      <c r="Y321" s="176"/>
      <c r="Z321" s="158"/>
      <c r="AA321" s="157"/>
      <c r="AB321" s="158"/>
      <c r="AC321" s="157"/>
      <c r="AD321" s="158"/>
      <c r="AE321" s="176"/>
      <c r="AF321" s="158"/>
      <c r="AG321" s="136"/>
    </row>
    <row r="322" spans="1:33" s="129" customFormat="1" ht="15">
      <c r="A322" s="134"/>
      <c r="D322" s="127" t="s">
        <v>329</v>
      </c>
      <c r="H322" s="155">
        <f>SUM(H320:H321)</f>
        <v>0</v>
      </c>
      <c r="I322" s="157"/>
      <c r="J322" s="155">
        <f>SUM(J320:J321)</f>
        <v>0</v>
      </c>
      <c r="K322" s="157"/>
      <c r="L322" s="155">
        <f>SUM(L320:L321)</f>
        <v>0</v>
      </c>
      <c r="M322" s="180">
        <f>IF(L$46=0,0,L322/L$46)</f>
        <v>0</v>
      </c>
      <c r="N322" s="155">
        <f>SUM(N320:N321)</f>
        <v>0</v>
      </c>
      <c r="O322" s="157"/>
      <c r="P322" s="155">
        <f>SUM(P320:P321)</f>
        <v>0</v>
      </c>
      <c r="Q322" s="157"/>
      <c r="R322" s="155">
        <f>SUM(R320:R321)</f>
        <v>0</v>
      </c>
      <c r="S322" s="180">
        <f>IF(R$46=0,0,R322/R$46)</f>
        <v>0</v>
      </c>
      <c r="T322" s="155">
        <f>SUM(T320:T321)</f>
        <v>0</v>
      </c>
      <c r="U322" s="157"/>
      <c r="V322" s="155">
        <f>SUM(V320:V321)</f>
        <v>0</v>
      </c>
      <c r="W322" s="157"/>
      <c r="X322" s="155">
        <f>SUM(X320:X321)</f>
        <v>0</v>
      </c>
      <c r="Y322" s="180">
        <f>IF(X$46=0,0,X322/X$46)</f>
        <v>0</v>
      </c>
      <c r="Z322" s="155">
        <f>SUM(Z320:Z321)</f>
        <v>0</v>
      </c>
      <c r="AA322" s="157"/>
      <c r="AB322" s="155">
        <f>SUM(AB320:AB321)</f>
        <v>0</v>
      </c>
      <c r="AC322" s="157"/>
      <c r="AD322" s="155">
        <f>SUM(AD320:AD321)</f>
        <v>0</v>
      </c>
      <c r="AE322" s="180">
        <f>IF(AD$46=0,0,AD322/AD$46)</f>
        <v>0</v>
      </c>
      <c r="AF322" s="155">
        <f>SUM(AF320:AF321)</f>
        <v>0</v>
      </c>
      <c r="AG322" s="136"/>
    </row>
    <row r="323" spans="1:33" s="129" customFormat="1" ht="6.75" customHeight="1">
      <c r="A323" s="123"/>
      <c r="H323" s="157"/>
      <c r="I323" s="157"/>
      <c r="J323" s="157"/>
      <c r="K323" s="157"/>
      <c r="L323" s="157"/>
      <c r="M323" s="176"/>
      <c r="N323" s="157"/>
      <c r="O323" s="157"/>
      <c r="P323" s="157"/>
      <c r="Q323" s="157"/>
      <c r="R323" s="157"/>
      <c r="S323" s="176"/>
      <c r="T323" s="157"/>
      <c r="U323" s="157"/>
      <c r="V323" s="157"/>
      <c r="W323" s="157"/>
      <c r="X323" s="157"/>
      <c r="Y323" s="176"/>
      <c r="Z323" s="157"/>
      <c r="AA323" s="157"/>
      <c r="AB323" s="157"/>
      <c r="AC323" s="157"/>
      <c r="AD323" s="157"/>
      <c r="AE323" s="176"/>
      <c r="AF323" s="157"/>
      <c r="AG323" s="136"/>
    </row>
    <row r="324" spans="1:33" s="129" customFormat="1" ht="15.75" thickBot="1">
      <c r="A324" s="123"/>
      <c r="C324" s="160" t="s">
        <v>330</v>
      </c>
      <c r="H324" s="181">
        <f>+H318-H322</f>
        <v>146377.91999999981</v>
      </c>
      <c r="I324" s="157"/>
      <c r="J324" s="181">
        <f>+J318-J322</f>
        <v>111048.29999999967</v>
      </c>
      <c r="K324" s="157"/>
      <c r="L324" s="181">
        <f>+L318-L322</f>
        <v>100935.50999999976</v>
      </c>
      <c r="M324" s="180">
        <f>IF(L$46=0,0,L324/L$46)</f>
        <v>0</v>
      </c>
      <c r="N324" s="181">
        <f>+N318-N322</f>
        <v>162057.00999999969</v>
      </c>
      <c r="O324" s="157"/>
      <c r="P324" s="181">
        <f>+P318-P322</f>
        <v>82062.720000000001</v>
      </c>
      <c r="Q324" s="157"/>
      <c r="R324" s="181">
        <f>+R318-R322</f>
        <v>102113.74999999993</v>
      </c>
      <c r="S324" s="180">
        <f>IF(R$46=0,0,R324/R$46)</f>
        <v>0</v>
      </c>
      <c r="T324" s="181">
        <f>+T318-T322</f>
        <v>95493.800000000061</v>
      </c>
      <c r="U324" s="157"/>
      <c r="V324" s="181">
        <f>+V318-V322</f>
        <v>112883.77999999993</v>
      </c>
      <c r="W324" s="157"/>
      <c r="X324" s="181">
        <f>+X318-X322</f>
        <v>120782.40999999999</v>
      </c>
      <c r="Y324" s="180">
        <f>IF(X$46=0,0,X324/X$46)</f>
        <v>0</v>
      </c>
      <c r="Z324" s="181">
        <f>+Z318-Z322</f>
        <v>165607.02000000011</v>
      </c>
      <c r="AA324" s="157"/>
      <c r="AB324" s="181">
        <f>+AB318-AB322</f>
        <v>112716.75000000016</v>
      </c>
      <c r="AC324" s="157"/>
      <c r="AD324" s="181">
        <f>+AD318-AD322</f>
        <v>153815.81</v>
      </c>
      <c r="AE324" s="180">
        <f>IF(AD$46=0,0,AD324/AD$46)</f>
        <v>0</v>
      </c>
      <c r="AF324" s="181">
        <f>+AF318-AF322</f>
        <v>1465894.7800000014</v>
      </c>
      <c r="AG324" s="136"/>
    </row>
    <row r="325" spans="1:33" s="182" customFormat="1" ht="15.75" thickTop="1">
      <c r="A325" s="134"/>
      <c r="B325" s="129"/>
      <c r="C325" s="129"/>
      <c r="D325" s="127"/>
      <c r="E325" s="129"/>
      <c r="F325" s="123"/>
      <c r="G325" s="123"/>
      <c r="I325" s="123"/>
      <c r="K325" s="136"/>
      <c r="M325" s="136"/>
      <c r="O325" s="123"/>
      <c r="Q325" s="136"/>
      <c r="S325" s="136"/>
      <c r="U325" s="123"/>
      <c r="W325" s="136"/>
      <c r="Y325" s="136"/>
      <c r="AA325" s="123"/>
      <c r="AC325" s="136"/>
      <c r="AE325" s="136"/>
      <c r="AG325" s="123"/>
    </row>
    <row r="326" spans="1:33" customFormat="1" ht="15" outlineLevel="1"/>
    <row r="327" spans="1:33" ht="6" customHeight="1" outlineLevel="1">
      <c r="A327" s="134"/>
      <c r="H327" s="158"/>
      <c r="I327" s="157"/>
      <c r="J327" s="158"/>
      <c r="K327" s="157"/>
      <c r="L327" s="158"/>
      <c r="M327" s="176"/>
      <c r="N327" s="158"/>
      <c r="O327" s="157"/>
      <c r="P327" s="158"/>
      <c r="Q327" s="157"/>
      <c r="R327" s="158"/>
      <c r="S327" s="176"/>
      <c r="T327" s="158"/>
      <c r="U327" s="157"/>
      <c r="V327" s="158"/>
      <c r="W327" s="157"/>
      <c r="X327" s="158"/>
      <c r="Y327" s="176"/>
      <c r="Z327" s="158"/>
      <c r="AA327" s="157"/>
      <c r="AB327" s="158"/>
      <c r="AC327" s="157"/>
      <c r="AD327" s="158"/>
      <c r="AE327" s="176"/>
      <c r="AF327" s="158"/>
    </row>
    <row r="328" spans="1:33" s="126" customFormat="1">
      <c r="A328" s="627"/>
      <c r="C328" s="126" t="s">
        <v>332</v>
      </c>
      <c r="H328" s="183">
        <f>SUM(H326:H327)</f>
        <v>0</v>
      </c>
      <c r="I328" s="184"/>
      <c r="J328" s="183">
        <f>SUM(J326:J327)</f>
        <v>0</v>
      </c>
      <c r="K328" s="184"/>
      <c r="L328" s="183">
        <f>SUM(L326:L327)</f>
        <v>0</v>
      </c>
      <c r="M328" s="185"/>
      <c r="N328" s="183">
        <f>SUM(N326:N327)</f>
        <v>0</v>
      </c>
      <c r="O328" s="184"/>
      <c r="P328" s="183">
        <f>SUM(P326:P327)</f>
        <v>0</v>
      </c>
      <c r="Q328" s="184"/>
      <c r="R328" s="183">
        <f>SUM(R326:R327)</f>
        <v>0</v>
      </c>
      <c r="S328" s="185"/>
      <c r="T328" s="183">
        <f>SUM(T326:T327)</f>
        <v>0</v>
      </c>
      <c r="U328" s="184"/>
      <c r="V328" s="183">
        <f>SUM(V326:V327)</f>
        <v>0</v>
      </c>
      <c r="W328" s="184"/>
      <c r="X328" s="183">
        <f>SUM(X326:X327)</f>
        <v>0</v>
      </c>
      <c r="Y328" s="185"/>
      <c r="Z328" s="183">
        <f>SUM(Z326:Z327)</f>
        <v>0</v>
      </c>
      <c r="AA328" s="184"/>
      <c r="AB328" s="183">
        <f>SUM(AB326:AB327)</f>
        <v>0</v>
      </c>
      <c r="AC328" s="184"/>
      <c r="AD328" s="183">
        <f>SUM(AD326:AD327)</f>
        <v>0</v>
      </c>
      <c r="AE328" s="185"/>
      <c r="AF328" s="183">
        <f>SUM(AF326:AF327)</f>
        <v>0</v>
      </c>
    </row>
    <row r="329" spans="1:33">
      <c r="A329" s="134"/>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row>
    <row r="330" spans="1:33" ht="15">
      <c r="A330" s="134"/>
      <c r="B330" s="128"/>
      <c r="C330" s="128"/>
      <c r="D330" s="128"/>
      <c r="E330" s="128"/>
      <c r="K330" s="136"/>
      <c r="M330" s="136"/>
      <c r="Q330" s="136"/>
      <c r="S330" s="136"/>
      <c r="W330" s="136"/>
      <c r="Y330" s="136"/>
      <c r="AC330" s="136"/>
      <c r="AE330" s="136"/>
    </row>
    <row r="331" spans="1:33" ht="15.75">
      <c r="A331" s="134"/>
      <c r="B331" s="129"/>
      <c r="C331" s="129"/>
      <c r="D331" s="128"/>
      <c r="E331" s="129"/>
      <c r="K331" s="136"/>
      <c r="M331" s="136"/>
      <c r="Q331" s="136"/>
      <c r="S331" s="136"/>
      <c r="W331" s="136"/>
      <c r="Y331" s="136"/>
      <c r="AC331" s="136"/>
      <c r="AD331" s="186" t="s">
        <v>333</v>
      </c>
      <c r="AE331" s="187"/>
      <c r="AF331" s="188">
        <f>SUM(H324:AD324)-AF324</f>
        <v>-2.3283064365386963E-9</v>
      </c>
    </row>
    <row r="332" spans="1:33" s="182" customFormat="1" ht="15">
      <c r="A332" s="134"/>
      <c r="B332" s="129"/>
      <c r="C332" s="129"/>
      <c r="D332" s="129"/>
      <c r="E332" s="129"/>
      <c r="F332" s="123"/>
      <c r="G332" s="123"/>
      <c r="I332" s="123"/>
      <c r="K332" s="136"/>
      <c r="M332" s="136"/>
      <c r="O332" s="123"/>
      <c r="Q332" s="136"/>
      <c r="S332" s="136"/>
      <c r="U332" s="123"/>
      <c r="W332" s="136"/>
      <c r="Y332" s="136"/>
      <c r="AA332" s="123"/>
      <c r="AC332" s="136"/>
      <c r="AE332" s="136"/>
      <c r="AG332" s="123"/>
    </row>
    <row r="333" spans="1:33" s="182" customFormat="1" ht="15">
      <c r="A333" s="134"/>
      <c r="B333" s="129"/>
      <c r="C333" s="129"/>
      <c r="D333" s="127"/>
      <c r="E333" s="129"/>
      <c r="F333" s="123"/>
      <c r="G333" s="123"/>
      <c r="I333" s="123"/>
      <c r="K333" s="136"/>
      <c r="M333" s="136"/>
      <c r="O333" s="123"/>
      <c r="Q333" s="136"/>
      <c r="S333" s="136"/>
      <c r="U333" s="123"/>
      <c r="W333" s="136"/>
      <c r="Y333" s="136"/>
      <c r="AA333" s="123"/>
      <c r="AC333" s="136"/>
      <c r="AE333" s="136"/>
      <c r="AG333" s="123"/>
    </row>
    <row r="334" spans="1:33" s="182" customFormat="1" ht="15">
      <c r="A334" s="134"/>
      <c r="B334" s="129"/>
      <c r="C334" s="129"/>
      <c r="D334" s="129"/>
      <c r="E334" s="129"/>
      <c r="F334" s="123"/>
      <c r="G334" s="123"/>
      <c r="I334" s="123"/>
      <c r="K334" s="136"/>
      <c r="M334" s="136"/>
      <c r="O334" s="123"/>
      <c r="Q334" s="136"/>
      <c r="S334" s="136"/>
      <c r="U334" s="123"/>
      <c r="W334" s="136"/>
      <c r="Y334" s="136"/>
      <c r="AA334" s="123"/>
      <c r="AC334" s="136"/>
      <c r="AE334" s="136"/>
      <c r="AG334" s="123"/>
    </row>
    <row r="335" spans="1:33" s="182" customFormat="1" ht="15">
      <c r="A335" s="164"/>
      <c r="B335" s="164"/>
      <c r="C335" s="164"/>
      <c r="D335" s="164"/>
      <c r="E335" s="164"/>
      <c r="F335" s="123"/>
      <c r="G335" s="123"/>
      <c r="I335" s="123"/>
      <c r="K335" s="136"/>
      <c r="M335" s="136"/>
      <c r="O335" s="123"/>
      <c r="Q335" s="136"/>
      <c r="S335" s="136"/>
      <c r="U335" s="123"/>
      <c r="W335" s="136"/>
      <c r="Y335" s="136"/>
      <c r="AA335" s="123"/>
      <c r="AC335" s="136"/>
      <c r="AE335" s="136"/>
      <c r="AG335" s="123"/>
    </row>
    <row r="336" spans="1:33" s="182" customFormat="1" ht="15">
      <c r="A336" s="134"/>
      <c r="B336" s="128"/>
      <c r="C336" s="128"/>
      <c r="D336" s="128"/>
      <c r="E336" s="128"/>
      <c r="F336" s="123"/>
      <c r="G336" s="123"/>
      <c r="I336" s="123"/>
      <c r="K336" s="136"/>
      <c r="M336" s="136"/>
      <c r="O336" s="123"/>
      <c r="Q336" s="136"/>
      <c r="S336" s="136"/>
      <c r="U336" s="123"/>
      <c r="W336" s="136"/>
      <c r="Y336" s="136"/>
      <c r="AA336" s="123"/>
      <c r="AC336" s="136"/>
      <c r="AE336" s="136"/>
      <c r="AG336" s="123"/>
    </row>
    <row r="337" spans="1:33" s="182" customFormat="1" ht="15">
      <c r="A337" s="134"/>
      <c r="B337" s="129"/>
      <c r="C337" s="129"/>
      <c r="D337" s="128"/>
      <c r="E337" s="129"/>
      <c r="F337" s="123"/>
      <c r="G337" s="123"/>
      <c r="I337" s="123"/>
      <c r="K337" s="136"/>
      <c r="M337" s="136"/>
      <c r="O337" s="123"/>
      <c r="Q337" s="136"/>
      <c r="S337" s="136"/>
      <c r="U337" s="123"/>
      <c r="W337" s="136"/>
      <c r="Y337" s="136"/>
      <c r="AA337" s="123"/>
      <c r="AC337" s="136"/>
      <c r="AE337" s="136"/>
      <c r="AG337" s="123"/>
    </row>
    <row r="338" spans="1:33" s="182" customFormat="1" ht="15">
      <c r="A338" s="134"/>
      <c r="B338" s="129"/>
      <c r="C338" s="129"/>
      <c r="D338" s="129"/>
      <c r="E338" s="129"/>
      <c r="F338" s="123"/>
      <c r="G338" s="123"/>
      <c r="I338" s="123"/>
      <c r="K338" s="136"/>
      <c r="M338" s="136"/>
      <c r="O338" s="123"/>
      <c r="Q338" s="136"/>
      <c r="S338" s="136"/>
      <c r="U338" s="123"/>
      <c r="W338" s="136"/>
      <c r="Y338" s="136"/>
      <c r="AA338" s="123"/>
      <c r="AC338" s="136"/>
      <c r="AE338" s="136"/>
      <c r="AG338" s="123"/>
    </row>
    <row r="339" spans="1:33" s="182" customFormat="1" ht="15">
      <c r="A339" s="134"/>
      <c r="B339" s="129"/>
      <c r="C339" s="160"/>
      <c r="D339" s="129"/>
      <c r="E339" s="129"/>
      <c r="F339" s="123"/>
      <c r="G339" s="123"/>
      <c r="I339" s="123"/>
      <c r="K339" s="136"/>
      <c r="M339" s="136"/>
      <c r="O339" s="123"/>
      <c r="Q339" s="136"/>
      <c r="S339" s="136"/>
      <c r="U339" s="123"/>
      <c r="W339" s="136"/>
      <c r="Y339" s="136"/>
      <c r="AA339" s="123"/>
      <c r="AC339" s="136"/>
      <c r="AE339" s="136"/>
      <c r="AG339" s="123"/>
    </row>
    <row r="340" spans="1:33" s="182" customFormat="1" ht="15">
      <c r="A340" s="134"/>
      <c r="B340" s="129"/>
      <c r="C340" s="129"/>
      <c r="D340" s="129"/>
      <c r="E340" s="129"/>
      <c r="F340" s="123"/>
      <c r="G340" s="123"/>
      <c r="I340" s="123"/>
      <c r="K340" s="136"/>
      <c r="M340" s="136"/>
      <c r="O340" s="123"/>
      <c r="Q340" s="136"/>
      <c r="S340" s="136"/>
      <c r="U340" s="123"/>
      <c r="W340" s="136"/>
      <c r="Y340" s="136"/>
      <c r="AA340" s="123"/>
      <c r="AC340" s="136"/>
      <c r="AE340" s="136"/>
      <c r="AG340" s="123"/>
    </row>
    <row r="341" spans="1:33" s="182" customFormat="1" ht="15">
      <c r="A341" s="164"/>
      <c r="B341" s="164"/>
      <c r="C341" s="164"/>
      <c r="D341" s="164"/>
      <c r="E341" s="164"/>
      <c r="F341" s="123"/>
      <c r="G341" s="123"/>
      <c r="I341" s="123"/>
      <c r="K341" s="136"/>
      <c r="M341" s="136"/>
      <c r="O341" s="123"/>
      <c r="Q341" s="136"/>
      <c r="S341" s="136"/>
      <c r="U341" s="123"/>
      <c r="W341" s="136"/>
      <c r="Y341" s="136"/>
      <c r="AA341" s="123"/>
      <c r="AC341" s="136"/>
      <c r="AE341" s="136"/>
      <c r="AG341" s="123"/>
    </row>
    <row r="342" spans="1:33" s="182" customFormat="1" ht="15">
      <c r="A342" s="134"/>
      <c r="B342" s="128"/>
      <c r="C342" s="128"/>
      <c r="D342" s="128"/>
      <c r="E342" s="128"/>
      <c r="F342" s="123"/>
      <c r="G342" s="123"/>
      <c r="I342" s="123"/>
      <c r="K342" s="136"/>
      <c r="M342" s="136"/>
      <c r="O342" s="123"/>
      <c r="Q342" s="136"/>
      <c r="S342" s="136"/>
      <c r="U342" s="123"/>
      <c r="W342" s="136"/>
      <c r="Y342" s="136"/>
      <c r="AA342" s="123"/>
      <c r="AC342" s="136"/>
      <c r="AE342" s="136"/>
      <c r="AG342" s="123"/>
    </row>
    <row r="343" spans="1:33" s="182" customFormat="1" ht="15">
      <c r="A343" s="134"/>
      <c r="B343" s="129"/>
      <c r="C343" s="129"/>
      <c r="D343" s="127"/>
      <c r="E343" s="129"/>
      <c r="F343" s="123"/>
      <c r="G343" s="123"/>
      <c r="I343" s="123"/>
      <c r="K343" s="136"/>
      <c r="M343" s="136"/>
      <c r="O343" s="123"/>
      <c r="Q343" s="136"/>
      <c r="S343" s="136"/>
      <c r="U343" s="123"/>
      <c r="W343" s="136"/>
      <c r="Y343" s="136"/>
      <c r="AA343" s="123"/>
      <c r="AC343" s="136"/>
      <c r="AE343" s="136"/>
      <c r="AG343" s="123"/>
    </row>
    <row r="344" spans="1:33" s="182" customFormat="1" ht="15">
      <c r="A344" s="134"/>
      <c r="B344" s="129"/>
      <c r="C344" s="129"/>
      <c r="D344" s="129"/>
      <c r="E344" s="129"/>
      <c r="F344" s="123"/>
      <c r="G344" s="123"/>
      <c r="I344" s="123"/>
      <c r="K344" s="136"/>
      <c r="M344" s="136"/>
      <c r="O344" s="123"/>
      <c r="Q344" s="136"/>
      <c r="S344" s="136"/>
      <c r="U344" s="123"/>
      <c r="W344" s="136"/>
      <c r="Y344" s="136"/>
      <c r="AA344" s="123"/>
      <c r="AC344" s="136"/>
      <c r="AE344" s="136"/>
      <c r="AG344" s="123"/>
    </row>
    <row r="345" spans="1:33" s="182" customFormat="1" ht="15">
      <c r="A345" s="134"/>
      <c r="B345" s="129"/>
      <c r="C345" s="160"/>
      <c r="D345" s="129"/>
      <c r="E345" s="129"/>
      <c r="F345" s="123"/>
      <c r="G345" s="123"/>
      <c r="I345" s="123"/>
      <c r="K345" s="136"/>
      <c r="M345" s="136"/>
      <c r="O345" s="123"/>
      <c r="Q345" s="136"/>
      <c r="S345" s="136"/>
      <c r="U345" s="123"/>
      <c r="W345" s="136"/>
      <c r="Y345" s="136"/>
      <c r="AA345" s="123"/>
      <c r="AC345" s="136"/>
      <c r="AE345" s="136"/>
      <c r="AG345" s="123"/>
    </row>
    <row r="346" spans="1:33" s="182" customFormat="1" ht="15">
      <c r="A346" s="134"/>
      <c r="B346" s="123"/>
      <c r="C346" s="123"/>
      <c r="D346" s="123"/>
      <c r="E346" s="123"/>
      <c r="F346" s="123"/>
      <c r="G346" s="123"/>
      <c r="I346" s="123"/>
      <c r="K346" s="136"/>
      <c r="M346" s="136"/>
      <c r="O346" s="123"/>
      <c r="Q346" s="136"/>
      <c r="S346" s="136"/>
      <c r="U346" s="123"/>
      <c r="W346" s="136"/>
      <c r="Y346" s="136"/>
      <c r="AA346" s="123"/>
      <c r="AC346" s="136"/>
      <c r="AE346" s="136"/>
      <c r="AG346" s="123"/>
    </row>
    <row r="347" spans="1:33" s="182" customFormat="1" ht="15">
      <c r="A347" s="164"/>
      <c r="B347" s="164"/>
      <c r="C347" s="164"/>
      <c r="D347" s="164"/>
      <c r="E347" s="164"/>
      <c r="F347" s="123"/>
      <c r="G347" s="123"/>
      <c r="I347" s="123"/>
      <c r="K347" s="136"/>
      <c r="M347" s="136"/>
      <c r="O347" s="123"/>
      <c r="Q347" s="136"/>
      <c r="S347" s="136"/>
      <c r="U347" s="123"/>
      <c r="W347" s="136"/>
      <c r="Y347" s="136"/>
      <c r="AA347" s="123"/>
      <c r="AC347" s="136"/>
      <c r="AE347" s="136"/>
      <c r="AG347" s="123"/>
    </row>
    <row r="348" spans="1:33" s="182" customFormat="1" ht="15">
      <c r="A348" s="134"/>
      <c r="B348" s="128"/>
      <c r="C348" s="128"/>
      <c r="D348" s="128"/>
      <c r="E348" s="128"/>
      <c r="F348" s="123"/>
      <c r="G348" s="123"/>
      <c r="I348" s="123"/>
      <c r="K348" s="136"/>
      <c r="M348" s="136"/>
      <c r="O348" s="123"/>
      <c r="Q348" s="136"/>
      <c r="S348" s="136"/>
      <c r="U348" s="123"/>
      <c r="W348" s="136"/>
      <c r="Y348" s="136"/>
      <c r="AA348" s="123"/>
      <c r="AC348" s="136"/>
      <c r="AE348" s="136"/>
      <c r="AG348" s="123"/>
    </row>
    <row r="349" spans="1:33" s="182" customFormat="1" ht="15">
      <c r="A349" s="123"/>
      <c r="B349" s="129"/>
      <c r="C349" s="129"/>
      <c r="D349" s="127"/>
      <c r="E349" s="129"/>
      <c r="F349" s="123"/>
      <c r="G349" s="123"/>
      <c r="I349" s="123"/>
      <c r="K349" s="136"/>
      <c r="M349" s="136"/>
      <c r="O349" s="123"/>
      <c r="Q349" s="136"/>
      <c r="S349" s="136"/>
      <c r="U349" s="123"/>
      <c r="W349" s="136"/>
      <c r="Y349" s="136"/>
      <c r="AA349" s="123"/>
      <c r="AC349" s="136"/>
      <c r="AE349" s="136"/>
      <c r="AG349" s="123"/>
    </row>
    <row r="350" spans="1:33" s="182" customFormat="1" ht="15">
      <c r="A350" s="123"/>
      <c r="B350" s="129"/>
      <c r="C350" s="129"/>
      <c r="D350" s="129"/>
      <c r="E350" s="129"/>
      <c r="F350" s="123"/>
      <c r="G350" s="123"/>
      <c r="I350" s="123"/>
      <c r="K350" s="136"/>
      <c r="M350" s="136"/>
      <c r="O350" s="123"/>
      <c r="Q350" s="136"/>
      <c r="S350" s="136"/>
      <c r="U350" s="123"/>
      <c r="W350" s="136"/>
      <c r="Y350" s="136"/>
      <c r="AA350" s="123"/>
      <c r="AC350" s="136"/>
      <c r="AE350" s="136"/>
      <c r="AG350" s="123"/>
    </row>
    <row r="351" spans="1:33" s="182" customFormat="1" ht="15">
      <c r="A351" s="123"/>
      <c r="B351" s="129"/>
      <c r="C351" s="160"/>
      <c r="D351" s="129"/>
      <c r="E351" s="129"/>
      <c r="F351" s="123"/>
      <c r="G351" s="123"/>
      <c r="I351" s="123"/>
      <c r="K351" s="136"/>
      <c r="M351" s="136"/>
      <c r="O351" s="123"/>
      <c r="Q351" s="136"/>
      <c r="S351" s="136"/>
      <c r="U351" s="123"/>
      <c r="W351" s="136"/>
      <c r="Y351" s="136"/>
      <c r="AA351" s="123"/>
      <c r="AC351" s="136"/>
      <c r="AE351" s="136"/>
      <c r="AG351" s="123"/>
    </row>
    <row r="352" spans="1:33" s="182" customFormat="1" ht="15">
      <c r="A352" s="123"/>
      <c r="B352" s="129"/>
      <c r="C352" s="129"/>
      <c r="D352" s="129"/>
      <c r="E352" s="129"/>
      <c r="F352" s="123"/>
      <c r="G352" s="123"/>
      <c r="I352" s="123"/>
      <c r="K352" s="136"/>
      <c r="M352" s="136"/>
      <c r="O352" s="123"/>
      <c r="Q352" s="136"/>
      <c r="S352" s="136"/>
      <c r="U352" s="123"/>
      <c r="W352" s="136"/>
      <c r="Y352" s="136"/>
      <c r="AA352" s="123"/>
      <c r="AC352" s="136"/>
      <c r="AE352" s="136"/>
      <c r="AG352" s="123"/>
    </row>
    <row r="353" spans="1:33" s="182" customFormat="1" ht="15">
      <c r="A353" s="134"/>
      <c r="B353" s="134"/>
      <c r="C353" s="134"/>
      <c r="D353" s="134"/>
      <c r="E353" s="134"/>
      <c r="F353" s="123"/>
      <c r="G353" s="123"/>
      <c r="I353" s="123"/>
      <c r="K353" s="136"/>
      <c r="M353" s="136"/>
      <c r="O353" s="123"/>
      <c r="Q353" s="136"/>
      <c r="S353" s="136"/>
      <c r="U353" s="123"/>
      <c r="W353" s="136"/>
      <c r="Y353" s="136"/>
      <c r="AA353" s="123"/>
      <c r="AC353" s="136"/>
      <c r="AE353" s="136"/>
      <c r="AG353" s="123"/>
    </row>
    <row r="354" spans="1:33" s="182" customFormat="1" ht="15">
      <c r="A354" s="134"/>
      <c r="B354" s="128"/>
      <c r="C354" s="128"/>
      <c r="D354" s="128"/>
      <c r="E354" s="128"/>
      <c r="F354" s="123"/>
      <c r="G354" s="123"/>
      <c r="I354" s="123"/>
      <c r="K354" s="136"/>
      <c r="M354" s="136"/>
      <c r="O354" s="123"/>
      <c r="Q354" s="136"/>
      <c r="S354" s="136"/>
      <c r="U354" s="123"/>
      <c r="W354" s="136"/>
      <c r="Y354" s="136"/>
      <c r="AA354" s="123"/>
      <c r="AC354" s="136"/>
      <c r="AE354" s="136"/>
      <c r="AG354" s="123"/>
    </row>
    <row r="355" spans="1:33" s="182" customFormat="1" ht="15">
      <c r="A355" s="134"/>
      <c r="B355" s="129"/>
      <c r="C355" s="129"/>
      <c r="D355" s="127"/>
      <c r="E355" s="129"/>
      <c r="F355" s="123"/>
      <c r="G355" s="123"/>
      <c r="I355" s="123"/>
      <c r="K355" s="136"/>
      <c r="M355" s="136"/>
      <c r="O355" s="123"/>
      <c r="Q355" s="136"/>
      <c r="S355" s="136"/>
      <c r="U355" s="123"/>
      <c r="W355" s="136"/>
      <c r="Y355" s="136"/>
      <c r="AA355" s="123"/>
      <c r="AC355" s="136"/>
      <c r="AE355" s="136"/>
      <c r="AG355" s="123"/>
    </row>
    <row r="356" spans="1:33" s="182" customFormat="1" ht="15">
      <c r="A356" s="123"/>
      <c r="B356" s="129"/>
      <c r="C356" s="129"/>
      <c r="D356" s="129"/>
      <c r="E356" s="129"/>
      <c r="F356" s="123"/>
      <c r="G356" s="123"/>
      <c r="I356" s="123"/>
      <c r="K356" s="136"/>
      <c r="M356" s="136"/>
      <c r="O356" s="123"/>
      <c r="Q356" s="136"/>
      <c r="S356" s="136"/>
      <c r="U356" s="123"/>
      <c r="W356" s="136"/>
      <c r="Y356" s="136"/>
      <c r="AA356" s="123"/>
      <c r="AC356" s="136"/>
      <c r="AE356" s="136"/>
      <c r="AG356" s="123"/>
    </row>
    <row r="357" spans="1:33" s="182" customFormat="1" ht="15">
      <c r="A357" s="123"/>
      <c r="B357" s="129"/>
      <c r="C357" s="160"/>
      <c r="D357" s="129"/>
      <c r="E357" s="129"/>
      <c r="F357" s="123"/>
      <c r="G357" s="123"/>
      <c r="I357" s="123"/>
      <c r="K357" s="136"/>
      <c r="M357" s="136"/>
      <c r="O357" s="123"/>
      <c r="Q357" s="136"/>
      <c r="S357" s="136"/>
      <c r="U357" s="123"/>
      <c r="W357" s="136"/>
      <c r="Y357" s="136"/>
      <c r="AA357" s="123"/>
      <c r="AC357" s="136"/>
      <c r="AE357" s="136"/>
      <c r="AG357" s="123"/>
    </row>
    <row r="358" spans="1:33" s="182" customFormat="1" ht="15">
      <c r="A358" s="123"/>
      <c r="B358" s="123"/>
      <c r="C358" s="123"/>
      <c r="D358" s="123"/>
      <c r="E358" s="123"/>
      <c r="F358" s="123"/>
      <c r="G358" s="123"/>
      <c r="I358" s="123"/>
      <c r="K358" s="136"/>
      <c r="M358" s="136"/>
      <c r="O358" s="123"/>
      <c r="Q358" s="136"/>
      <c r="S358" s="136"/>
      <c r="U358" s="123"/>
      <c r="W358" s="136"/>
      <c r="Y358" s="136"/>
      <c r="AA358" s="123"/>
      <c r="AC358" s="136"/>
      <c r="AE358" s="136"/>
      <c r="AG358" s="123"/>
    </row>
    <row r="359" spans="1:33" s="182" customFormat="1" ht="15">
      <c r="B359" s="123"/>
      <c r="C359" s="123"/>
      <c r="D359" s="123"/>
      <c r="E359" s="123"/>
      <c r="F359" s="123"/>
      <c r="G359" s="123"/>
      <c r="I359" s="123"/>
      <c r="K359" s="136"/>
      <c r="M359" s="136"/>
      <c r="O359" s="123"/>
      <c r="Q359" s="136"/>
      <c r="S359" s="136"/>
      <c r="U359" s="123"/>
      <c r="W359" s="136"/>
      <c r="Y359" s="136"/>
      <c r="AA359" s="123"/>
      <c r="AC359" s="136"/>
      <c r="AE359" s="136"/>
      <c r="AG359" s="123"/>
    </row>
    <row r="360" spans="1:33" s="182" customFormat="1" ht="15">
      <c r="B360" s="123"/>
      <c r="C360" s="123"/>
      <c r="D360" s="123"/>
      <c r="E360" s="123"/>
      <c r="F360" s="123"/>
      <c r="G360" s="123"/>
      <c r="I360" s="123"/>
      <c r="K360" s="136"/>
      <c r="M360" s="136"/>
      <c r="O360" s="123"/>
      <c r="Q360" s="136"/>
      <c r="S360" s="136"/>
      <c r="U360" s="123"/>
      <c r="W360" s="136"/>
      <c r="Y360" s="136"/>
      <c r="AA360" s="123"/>
      <c r="AC360" s="136"/>
      <c r="AE360" s="136"/>
      <c r="AG360" s="123"/>
    </row>
    <row r="361" spans="1:33" s="182" customFormat="1" ht="15">
      <c r="B361" s="123"/>
      <c r="C361" s="123"/>
      <c r="D361" s="123"/>
      <c r="E361" s="123"/>
      <c r="F361" s="123"/>
      <c r="G361" s="123"/>
      <c r="I361" s="123"/>
      <c r="K361" s="136"/>
      <c r="M361" s="136"/>
      <c r="O361" s="123"/>
      <c r="Q361" s="136"/>
      <c r="S361" s="136"/>
      <c r="U361" s="123"/>
      <c r="W361" s="136"/>
      <c r="Y361" s="136"/>
      <c r="AA361" s="123"/>
      <c r="AC361" s="136"/>
      <c r="AE361" s="136"/>
      <c r="AG361" s="123"/>
    </row>
    <row r="362" spans="1:33" s="182" customFormat="1" ht="15">
      <c r="B362" s="123"/>
      <c r="C362" s="123"/>
      <c r="D362" s="123"/>
      <c r="E362" s="123"/>
      <c r="F362" s="123"/>
      <c r="G362" s="123"/>
      <c r="I362" s="123"/>
      <c r="K362" s="136"/>
      <c r="M362" s="136"/>
      <c r="O362" s="123"/>
      <c r="Q362" s="136"/>
      <c r="S362" s="136"/>
      <c r="U362" s="123"/>
      <c r="W362" s="136"/>
      <c r="Y362" s="136"/>
      <c r="AA362" s="123"/>
      <c r="AC362" s="136"/>
      <c r="AE362" s="136"/>
      <c r="AG362" s="123"/>
    </row>
    <row r="363" spans="1:33" s="182" customFormat="1" ht="15">
      <c r="B363" s="123"/>
      <c r="C363" s="123"/>
      <c r="D363" s="123"/>
      <c r="E363" s="123"/>
      <c r="F363" s="123"/>
      <c r="G363" s="123"/>
      <c r="I363" s="123"/>
      <c r="K363" s="136"/>
      <c r="M363" s="136"/>
      <c r="O363" s="123"/>
      <c r="Q363" s="136"/>
      <c r="S363" s="136"/>
      <c r="U363" s="123"/>
      <c r="W363" s="136"/>
      <c r="Y363" s="136"/>
      <c r="AA363" s="123"/>
      <c r="AC363" s="136"/>
      <c r="AE363" s="136"/>
      <c r="AG363" s="123"/>
    </row>
    <row r="364" spans="1:33" s="182" customFormat="1" ht="15">
      <c r="B364" s="123"/>
      <c r="C364" s="123"/>
      <c r="D364" s="123"/>
      <c r="E364" s="123"/>
      <c r="F364" s="123"/>
      <c r="G364" s="123"/>
      <c r="I364" s="123"/>
      <c r="K364" s="136"/>
      <c r="M364" s="136"/>
      <c r="O364" s="123"/>
      <c r="Q364" s="136"/>
      <c r="S364" s="136"/>
      <c r="U364" s="123"/>
      <c r="W364" s="136"/>
      <c r="Y364" s="136"/>
      <c r="AA364" s="123"/>
      <c r="AC364" s="136"/>
      <c r="AE364" s="136"/>
      <c r="AG364" s="123"/>
    </row>
    <row r="365" spans="1:33" s="182" customFormat="1" ht="15">
      <c r="B365" s="123"/>
      <c r="C365" s="123"/>
      <c r="D365" s="123"/>
      <c r="E365" s="123"/>
      <c r="F365" s="123"/>
      <c r="G365" s="123"/>
      <c r="I365" s="123"/>
      <c r="K365" s="136"/>
      <c r="M365" s="136"/>
      <c r="O365" s="123"/>
      <c r="Q365" s="136"/>
      <c r="S365" s="136"/>
      <c r="U365" s="123"/>
      <c r="W365" s="136"/>
      <c r="Y365" s="136"/>
      <c r="AA365" s="123"/>
      <c r="AC365" s="136"/>
      <c r="AE365" s="136"/>
      <c r="AG365" s="123"/>
    </row>
    <row r="366" spans="1:33" s="182" customFormat="1" ht="15">
      <c r="B366" s="123"/>
      <c r="C366" s="123"/>
      <c r="D366" s="123"/>
      <c r="E366" s="123"/>
      <c r="F366" s="123"/>
      <c r="G366" s="123"/>
      <c r="I366" s="123"/>
      <c r="K366" s="136"/>
      <c r="M366" s="136"/>
      <c r="O366" s="123"/>
      <c r="Q366" s="136"/>
      <c r="S366" s="136"/>
      <c r="U366" s="123"/>
      <c r="W366" s="136"/>
      <c r="Y366" s="136"/>
      <c r="AA366" s="123"/>
      <c r="AC366" s="136"/>
      <c r="AE366" s="136"/>
      <c r="AG366" s="123"/>
    </row>
    <row r="367" spans="1:33" s="182" customFormat="1" ht="15">
      <c r="B367" s="123"/>
      <c r="C367" s="123"/>
      <c r="D367" s="123"/>
      <c r="E367" s="123"/>
      <c r="F367" s="123"/>
      <c r="G367" s="123"/>
      <c r="I367" s="123"/>
      <c r="K367" s="136"/>
      <c r="M367" s="136"/>
      <c r="O367" s="123"/>
      <c r="Q367" s="136"/>
      <c r="S367" s="136"/>
      <c r="U367" s="123"/>
      <c r="W367" s="136"/>
      <c r="Y367" s="136"/>
      <c r="AA367" s="123"/>
      <c r="AC367" s="136"/>
      <c r="AE367" s="136"/>
      <c r="AG367" s="123"/>
    </row>
    <row r="368" spans="1:33" s="182" customFormat="1" ht="15">
      <c r="B368" s="123"/>
      <c r="C368" s="123"/>
      <c r="D368" s="123"/>
      <c r="E368" s="123"/>
      <c r="F368" s="123"/>
      <c r="G368" s="123"/>
      <c r="I368" s="123"/>
      <c r="K368" s="136"/>
      <c r="M368" s="136"/>
      <c r="O368" s="123"/>
      <c r="Q368" s="136"/>
      <c r="S368" s="136"/>
      <c r="U368" s="123"/>
      <c r="W368" s="136"/>
      <c r="Y368" s="136"/>
      <c r="AA368" s="123"/>
      <c r="AC368" s="136"/>
      <c r="AE368" s="136"/>
      <c r="AG368" s="123"/>
    </row>
    <row r="369" spans="2:33" s="182" customFormat="1" ht="15">
      <c r="B369" s="123"/>
      <c r="C369" s="123"/>
      <c r="D369" s="123"/>
      <c r="E369" s="123"/>
      <c r="F369" s="123"/>
      <c r="G369" s="123"/>
      <c r="I369" s="123"/>
      <c r="K369" s="136"/>
      <c r="M369" s="136"/>
      <c r="O369" s="123"/>
      <c r="Q369" s="136"/>
      <c r="S369" s="136"/>
      <c r="U369" s="123"/>
      <c r="W369" s="136"/>
      <c r="Y369" s="136"/>
      <c r="AA369" s="123"/>
      <c r="AC369" s="136"/>
      <c r="AE369" s="136"/>
      <c r="AG369" s="123"/>
    </row>
    <row r="370" spans="2:33" s="182" customFormat="1" ht="15">
      <c r="B370" s="123"/>
      <c r="C370" s="123"/>
      <c r="D370" s="123"/>
      <c r="E370" s="123"/>
      <c r="F370" s="123"/>
      <c r="G370" s="123"/>
      <c r="I370" s="123"/>
      <c r="K370" s="136"/>
      <c r="M370" s="136"/>
      <c r="O370" s="123"/>
      <c r="Q370" s="136"/>
      <c r="S370" s="136"/>
      <c r="U370" s="123"/>
      <c r="W370" s="136"/>
      <c r="Y370" s="136"/>
      <c r="AA370" s="123"/>
      <c r="AC370" s="136"/>
      <c r="AE370" s="136"/>
      <c r="AG370" s="123"/>
    </row>
    <row r="371" spans="2:33" s="182" customFormat="1" ht="15">
      <c r="B371" s="123"/>
      <c r="C371" s="123"/>
      <c r="D371" s="123"/>
      <c r="E371" s="123"/>
      <c r="F371" s="123"/>
      <c r="G371" s="123"/>
      <c r="I371" s="123"/>
      <c r="K371" s="136"/>
      <c r="M371" s="136"/>
      <c r="O371" s="123"/>
      <c r="Q371" s="136"/>
      <c r="S371" s="136"/>
      <c r="U371" s="123"/>
      <c r="W371" s="136"/>
      <c r="Y371" s="136"/>
      <c r="AA371" s="123"/>
      <c r="AC371" s="136"/>
      <c r="AE371" s="136"/>
      <c r="AG371" s="123"/>
    </row>
    <row r="372" spans="2:33" s="182" customFormat="1" ht="15">
      <c r="B372" s="123"/>
      <c r="C372" s="123"/>
      <c r="D372" s="123"/>
      <c r="E372" s="123"/>
      <c r="F372" s="123"/>
      <c r="G372" s="123"/>
      <c r="I372" s="123"/>
      <c r="K372" s="136"/>
      <c r="M372" s="136"/>
      <c r="O372" s="123"/>
      <c r="Q372" s="136"/>
      <c r="S372" s="136"/>
      <c r="U372" s="123"/>
      <c r="W372" s="136"/>
      <c r="Y372" s="136"/>
      <c r="AA372" s="123"/>
      <c r="AC372" s="136"/>
      <c r="AE372" s="136"/>
      <c r="AG372" s="123"/>
    </row>
    <row r="373" spans="2:33" s="182" customFormat="1" ht="15">
      <c r="B373" s="123"/>
      <c r="C373" s="123"/>
      <c r="D373" s="123"/>
      <c r="E373" s="123"/>
      <c r="F373" s="123"/>
      <c r="G373" s="123"/>
      <c r="I373" s="123"/>
      <c r="K373" s="136"/>
      <c r="M373" s="136"/>
      <c r="O373" s="123"/>
      <c r="Q373" s="136"/>
      <c r="S373" s="136"/>
      <c r="U373" s="123"/>
      <c r="W373" s="136"/>
      <c r="Y373" s="136"/>
      <c r="AA373" s="123"/>
      <c r="AC373" s="136"/>
      <c r="AE373" s="136"/>
      <c r="AG373" s="123"/>
    </row>
    <row r="374" spans="2:33" s="182" customFormat="1" ht="15">
      <c r="B374" s="123"/>
      <c r="C374" s="123"/>
      <c r="D374" s="123"/>
      <c r="E374" s="123"/>
      <c r="F374" s="123"/>
      <c r="G374" s="123"/>
      <c r="I374" s="123"/>
      <c r="K374" s="136"/>
      <c r="M374" s="136"/>
      <c r="O374" s="123"/>
      <c r="Q374" s="136"/>
      <c r="S374" s="136"/>
      <c r="U374" s="123"/>
      <c r="W374" s="136"/>
      <c r="Y374" s="136"/>
      <c r="AA374" s="123"/>
      <c r="AC374" s="136"/>
      <c r="AE374" s="136"/>
      <c r="AG374" s="123"/>
    </row>
    <row r="375" spans="2:33" s="182" customFormat="1" ht="15">
      <c r="B375" s="123"/>
      <c r="C375" s="123"/>
      <c r="D375" s="123"/>
      <c r="E375" s="123"/>
      <c r="F375" s="123"/>
      <c r="G375" s="123"/>
      <c r="I375" s="123"/>
      <c r="K375" s="136"/>
      <c r="M375" s="136"/>
      <c r="O375" s="123"/>
      <c r="Q375" s="136"/>
      <c r="S375" s="136"/>
      <c r="U375" s="123"/>
      <c r="W375" s="136"/>
      <c r="Y375" s="136"/>
      <c r="AA375" s="123"/>
      <c r="AC375" s="136"/>
      <c r="AE375" s="136"/>
      <c r="AG375" s="123"/>
    </row>
    <row r="376" spans="2:33" s="182" customFormat="1" ht="15">
      <c r="B376" s="123"/>
      <c r="C376" s="123"/>
      <c r="D376" s="123"/>
      <c r="E376" s="123"/>
      <c r="F376" s="123"/>
      <c r="G376" s="123"/>
      <c r="I376" s="123"/>
      <c r="K376" s="136"/>
      <c r="M376" s="136"/>
      <c r="O376" s="123"/>
      <c r="Q376" s="136"/>
      <c r="S376" s="136"/>
      <c r="U376" s="123"/>
      <c r="W376" s="136"/>
      <c r="Y376" s="136"/>
      <c r="AA376" s="123"/>
      <c r="AC376" s="136"/>
      <c r="AE376" s="136"/>
      <c r="AG376" s="123"/>
    </row>
    <row r="377" spans="2:33" s="182" customFormat="1" ht="15">
      <c r="B377" s="123"/>
      <c r="C377" s="123"/>
      <c r="D377" s="123"/>
      <c r="E377" s="123"/>
      <c r="F377" s="123"/>
      <c r="G377" s="123"/>
      <c r="I377" s="123"/>
      <c r="K377" s="136"/>
      <c r="M377" s="136"/>
      <c r="O377" s="123"/>
      <c r="Q377" s="136"/>
      <c r="S377" s="136"/>
      <c r="U377" s="123"/>
      <c r="W377" s="136"/>
      <c r="Y377" s="136"/>
      <c r="AA377" s="123"/>
      <c r="AC377" s="136"/>
      <c r="AE377" s="136"/>
      <c r="AG377" s="123"/>
    </row>
    <row r="378" spans="2:33" s="182" customFormat="1" ht="15">
      <c r="B378" s="123"/>
      <c r="C378" s="123"/>
      <c r="D378" s="123"/>
      <c r="E378" s="123"/>
      <c r="F378" s="123"/>
      <c r="G378" s="123"/>
      <c r="I378" s="123"/>
      <c r="K378" s="136"/>
      <c r="M378" s="136"/>
      <c r="O378" s="123"/>
      <c r="Q378" s="136"/>
      <c r="S378" s="136"/>
      <c r="U378" s="123"/>
      <c r="W378" s="136"/>
      <c r="Y378" s="136"/>
      <c r="AA378" s="123"/>
      <c r="AC378" s="136"/>
      <c r="AE378" s="136"/>
      <c r="AG378" s="123"/>
    </row>
    <row r="379" spans="2:33" s="182" customFormat="1" ht="15">
      <c r="B379" s="123"/>
      <c r="C379" s="123"/>
      <c r="D379" s="123"/>
      <c r="E379" s="123"/>
      <c r="F379" s="123"/>
      <c r="G379" s="123"/>
      <c r="I379" s="123"/>
      <c r="K379" s="136"/>
      <c r="M379" s="136"/>
      <c r="O379" s="123"/>
      <c r="Q379" s="136"/>
      <c r="S379" s="136"/>
      <c r="U379" s="123"/>
      <c r="W379" s="136"/>
      <c r="Y379" s="136"/>
      <c r="AA379" s="123"/>
      <c r="AC379" s="136"/>
      <c r="AE379" s="136"/>
      <c r="AG379" s="123"/>
    </row>
    <row r="380" spans="2:33" s="182" customFormat="1" ht="15">
      <c r="B380" s="123"/>
      <c r="C380" s="123"/>
      <c r="D380" s="123"/>
      <c r="E380" s="123"/>
      <c r="F380" s="123"/>
      <c r="G380" s="123"/>
      <c r="I380" s="123"/>
      <c r="K380" s="136"/>
      <c r="M380" s="136"/>
      <c r="O380" s="123"/>
      <c r="Q380" s="136"/>
      <c r="S380" s="136"/>
      <c r="U380" s="123"/>
      <c r="W380" s="136"/>
      <c r="Y380" s="136"/>
      <c r="AA380" s="123"/>
      <c r="AC380" s="136"/>
      <c r="AE380" s="136"/>
      <c r="AG380" s="123"/>
    </row>
    <row r="381" spans="2:33" s="182" customFormat="1" ht="15">
      <c r="B381" s="123"/>
      <c r="C381" s="123"/>
      <c r="D381" s="123"/>
      <c r="E381" s="123"/>
      <c r="F381" s="123"/>
      <c r="G381" s="123"/>
      <c r="I381" s="123"/>
      <c r="K381" s="136"/>
      <c r="M381" s="136"/>
      <c r="O381" s="123"/>
      <c r="Q381" s="136"/>
      <c r="S381" s="136"/>
      <c r="U381" s="123"/>
      <c r="W381" s="136"/>
      <c r="Y381" s="136"/>
      <c r="AA381" s="123"/>
      <c r="AC381" s="136"/>
      <c r="AE381" s="136"/>
      <c r="AG381" s="123"/>
    </row>
    <row r="382" spans="2:33" s="182" customFormat="1" ht="15">
      <c r="B382" s="123"/>
      <c r="C382" s="123"/>
      <c r="D382" s="123"/>
      <c r="E382" s="123"/>
      <c r="F382" s="123"/>
      <c r="G382" s="123"/>
      <c r="I382" s="123"/>
      <c r="K382" s="136"/>
      <c r="M382" s="136"/>
      <c r="O382" s="123"/>
      <c r="Q382" s="136"/>
      <c r="S382" s="136"/>
      <c r="U382" s="123"/>
      <c r="W382" s="136"/>
      <c r="Y382" s="136"/>
      <c r="AA382" s="123"/>
      <c r="AC382" s="136"/>
      <c r="AE382" s="136"/>
      <c r="AG382" s="123"/>
    </row>
    <row r="383" spans="2:33" s="182" customFormat="1" ht="15">
      <c r="B383" s="123"/>
      <c r="C383" s="123"/>
      <c r="D383" s="123"/>
      <c r="E383" s="123"/>
      <c r="F383" s="123"/>
      <c r="G383" s="123"/>
      <c r="I383" s="123"/>
      <c r="K383" s="136"/>
      <c r="M383" s="136"/>
      <c r="O383" s="123"/>
      <c r="Q383" s="136"/>
      <c r="S383" s="136"/>
      <c r="U383" s="123"/>
      <c r="W383" s="136"/>
      <c r="Y383" s="136"/>
      <c r="AA383" s="123"/>
      <c r="AC383" s="136"/>
      <c r="AE383" s="136"/>
      <c r="AG383" s="123"/>
    </row>
    <row r="384" spans="2:33" s="182" customFormat="1" ht="15">
      <c r="B384" s="123"/>
      <c r="C384" s="123"/>
      <c r="D384" s="123"/>
      <c r="E384" s="123"/>
      <c r="F384" s="123"/>
      <c r="G384" s="123"/>
      <c r="I384" s="123"/>
      <c r="K384" s="136"/>
      <c r="M384" s="136"/>
      <c r="O384" s="123"/>
      <c r="Q384" s="136"/>
      <c r="S384" s="136"/>
      <c r="U384" s="123"/>
      <c r="W384" s="136"/>
      <c r="Y384" s="136"/>
      <c r="AA384" s="123"/>
      <c r="AC384" s="136"/>
      <c r="AE384" s="136"/>
      <c r="AG384" s="123"/>
    </row>
    <row r="385" spans="2:33" s="182" customFormat="1" ht="15">
      <c r="B385" s="123"/>
      <c r="C385" s="123"/>
      <c r="D385" s="123"/>
      <c r="E385" s="123"/>
      <c r="F385" s="123"/>
      <c r="G385" s="123"/>
      <c r="I385" s="123"/>
      <c r="K385" s="136"/>
      <c r="M385" s="136"/>
      <c r="O385" s="123"/>
      <c r="Q385" s="136"/>
      <c r="S385" s="136"/>
      <c r="U385" s="123"/>
      <c r="W385" s="136"/>
      <c r="Y385" s="136"/>
      <c r="AA385" s="123"/>
      <c r="AC385" s="136"/>
      <c r="AE385" s="136"/>
      <c r="AG385" s="123"/>
    </row>
    <row r="386" spans="2:33" s="182" customFormat="1" ht="15">
      <c r="B386" s="123"/>
      <c r="C386" s="123"/>
      <c r="D386" s="123"/>
      <c r="E386" s="123"/>
      <c r="F386" s="123"/>
      <c r="G386" s="123"/>
      <c r="I386" s="123"/>
      <c r="K386" s="136"/>
      <c r="M386" s="136"/>
      <c r="O386" s="123"/>
      <c r="Q386" s="136"/>
      <c r="S386" s="136"/>
      <c r="U386" s="123"/>
      <c r="W386" s="136"/>
      <c r="Y386" s="136"/>
      <c r="AA386" s="123"/>
      <c r="AC386" s="136"/>
      <c r="AE386" s="136"/>
      <c r="AG386" s="123"/>
    </row>
    <row r="387" spans="2:33" s="182" customFormat="1" ht="15">
      <c r="B387" s="123"/>
      <c r="C387" s="123"/>
      <c r="D387" s="123"/>
      <c r="E387" s="123"/>
      <c r="F387" s="123"/>
      <c r="G387" s="123"/>
      <c r="I387" s="123"/>
      <c r="K387" s="136"/>
      <c r="M387" s="136"/>
      <c r="O387" s="123"/>
      <c r="Q387" s="136"/>
      <c r="S387" s="136"/>
      <c r="U387" s="123"/>
      <c r="W387" s="136"/>
      <c r="Y387" s="136"/>
      <c r="AA387" s="123"/>
      <c r="AC387" s="136"/>
      <c r="AE387" s="136"/>
      <c r="AG387" s="123"/>
    </row>
    <row r="388" spans="2:33" s="182" customFormat="1" ht="15">
      <c r="B388" s="123"/>
      <c r="C388" s="123"/>
      <c r="D388" s="123"/>
      <c r="E388" s="123"/>
      <c r="F388" s="123"/>
      <c r="G388" s="123"/>
      <c r="I388" s="123"/>
      <c r="K388" s="136"/>
      <c r="M388" s="136"/>
      <c r="O388" s="123"/>
      <c r="Q388" s="136"/>
      <c r="S388" s="136"/>
      <c r="U388" s="123"/>
      <c r="W388" s="136"/>
      <c r="Y388" s="136"/>
      <c r="AA388" s="123"/>
      <c r="AC388" s="136"/>
      <c r="AE388" s="136"/>
      <c r="AG388" s="123"/>
    </row>
    <row r="389" spans="2:33" s="182" customFormat="1" ht="15">
      <c r="B389" s="123"/>
      <c r="C389" s="123"/>
      <c r="D389" s="123"/>
      <c r="E389" s="123"/>
      <c r="F389" s="123"/>
      <c r="G389" s="123"/>
      <c r="I389" s="123"/>
      <c r="K389" s="136"/>
      <c r="M389" s="136"/>
      <c r="O389" s="123"/>
      <c r="Q389" s="136"/>
      <c r="S389" s="136"/>
      <c r="U389" s="123"/>
      <c r="W389" s="136"/>
      <c r="Y389" s="136"/>
      <c r="AA389" s="123"/>
      <c r="AC389" s="136"/>
      <c r="AE389" s="136"/>
      <c r="AG389" s="123"/>
    </row>
    <row r="390" spans="2:33" s="182" customFormat="1" ht="15">
      <c r="B390" s="123"/>
      <c r="C390" s="123"/>
      <c r="D390" s="123"/>
      <c r="E390" s="123"/>
      <c r="F390" s="123"/>
      <c r="G390" s="123"/>
      <c r="I390" s="123"/>
      <c r="K390" s="136"/>
      <c r="M390" s="136"/>
      <c r="O390" s="123"/>
      <c r="Q390" s="136"/>
      <c r="S390" s="136"/>
      <c r="U390" s="123"/>
      <c r="W390" s="136"/>
      <c r="Y390" s="136"/>
      <c r="AA390" s="123"/>
      <c r="AC390" s="136"/>
      <c r="AE390" s="136"/>
      <c r="AG390" s="123"/>
    </row>
    <row r="391" spans="2:33" s="182" customFormat="1" ht="15">
      <c r="B391" s="123"/>
      <c r="C391" s="123"/>
      <c r="D391" s="123"/>
      <c r="E391" s="123"/>
      <c r="F391" s="123"/>
      <c r="G391" s="123"/>
      <c r="I391" s="123"/>
      <c r="K391" s="136"/>
      <c r="M391" s="136"/>
      <c r="O391" s="123"/>
      <c r="Q391" s="136"/>
      <c r="S391" s="136"/>
      <c r="U391" s="123"/>
      <c r="W391" s="136"/>
      <c r="Y391" s="136"/>
      <c r="AA391" s="123"/>
      <c r="AC391" s="136"/>
      <c r="AE391" s="136"/>
      <c r="AG391" s="123"/>
    </row>
    <row r="392" spans="2:33" s="182" customFormat="1" ht="15">
      <c r="B392" s="123"/>
      <c r="C392" s="123"/>
      <c r="D392" s="123"/>
      <c r="E392" s="123"/>
      <c r="F392" s="123"/>
      <c r="G392" s="123"/>
      <c r="I392" s="123"/>
      <c r="K392" s="136"/>
      <c r="M392" s="136"/>
      <c r="O392" s="123"/>
      <c r="Q392" s="136"/>
      <c r="S392" s="136"/>
      <c r="U392" s="123"/>
      <c r="W392" s="136"/>
      <c r="Y392" s="136"/>
      <c r="AA392" s="123"/>
      <c r="AC392" s="136"/>
      <c r="AE392" s="136"/>
      <c r="AG392" s="123"/>
    </row>
    <row r="393" spans="2:33" s="182" customFormat="1" ht="15">
      <c r="B393" s="123"/>
      <c r="C393" s="123"/>
      <c r="D393" s="123"/>
      <c r="E393" s="123"/>
      <c r="F393" s="123"/>
      <c r="G393" s="123"/>
      <c r="I393" s="123"/>
      <c r="K393" s="136"/>
      <c r="M393" s="136"/>
      <c r="O393" s="123"/>
      <c r="Q393" s="136"/>
      <c r="S393" s="136"/>
      <c r="U393" s="123"/>
      <c r="W393" s="136"/>
      <c r="Y393" s="136"/>
      <c r="AA393" s="123"/>
      <c r="AC393" s="136"/>
      <c r="AE393" s="136"/>
      <c r="AG393" s="123"/>
    </row>
    <row r="394" spans="2:33" s="182" customFormat="1" ht="15">
      <c r="B394" s="123"/>
      <c r="C394" s="123"/>
      <c r="D394" s="123"/>
      <c r="E394" s="123"/>
      <c r="F394" s="123"/>
      <c r="G394" s="123"/>
      <c r="I394" s="123"/>
      <c r="K394" s="136"/>
      <c r="M394" s="136"/>
      <c r="O394" s="123"/>
      <c r="Q394" s="136"/>
      <c r="S394" s="136"/>
      <c r="U394" s="123"/>
      <c r="W394" s="136"/>
      <c r="Y394" s="136"/>
      <c r="AA394" s="123"/>
      <c r="AC394" s="136"/>
      <c r="AE394" s="136"/>
      <c r="AG394" s="123"/>
    </row>
    <row r="395" spans="2:33" s="182" customFormat="1" ht="15">
      <c r="B395" s="123"/>
      <c r="C395" s="123"/>
      <c r="D395" s="123"/>
      <c r="E395" s="123"/>
      <c r="F395" s="123"/>
      <c r="G395" s="123"/>
      <c r="I395" s="123"/>
      <c r="K395" s="136"/>
      <c r="M395" s="136"/>
      <c r="O395" s="123"/>
      <c r="Q395" s="136"/>
      <c r="S395" s="136"/>
      <c r="U395" s="123"/>
      <c r="W395" s="136"/>
      <c r="Y395" s="136"/>
      <c r="AA395" s="123"/>
      <c r="AC395" s="136"/>
      <c r="AE395" s="136"/>
      <c r="AG395" s="123"/>
    </row>
    <row r="396" spans="2:33" s="182" customFormat="1" ht="15">
      <c r="B396" s="123"/>
      <c r="C396" s="123"/>
      <c r="D396" s="123"/>
      <c r="E396" s="123"/>
      <c r="F396" s="123"/>
      <c r="G396" s="123"/>
      <c r="I396" s="123"/>
      <c r="K396" s="136"/>
      <c r="M396" s="136"/>
      <c r="O396" s="123"/>
      <c r="Q396" s="136"/>
      <c r="S396" s="136"/>
      <c r="U396" s="123"/>
      <c r="W396" s="136"/>
      <c r="Y396" s="136"/>
      <c r="AA396" s="123"/>
      <c r="AC396" s="136"/>
      <c r="AE396" s="136"/>
      <c r="AG396" s="123"/>
    </row>
    <row r="397" spans="2:33" s="182" customFormat="1" ht="15">
      <c r="B397" s="123"/>
      <c r="C397" s="123"/>
      <c r="D397" s="123"/>
      <c r="E397" s="123"/>
      <c r="F397" s="123"/>
      <c r="G397" s="123"/>
      <c r="I397" s="123"/>
      <c r="K397" s="136"/>
      <c r="M397" s="136"/>
      <c r="O397" s="123"/>
      <c r="Q397" s="136"/>
      <c r="S397" s="136"/>
      <c r="U397" s="123"/>
      <c r="W397" s="136"/>
      <c r="Y397" s="136"/>
      <c r="AA397" s="123"/>
      <c r="AC397" s="136"/>
      <c r="AE397" s="136"/>
      <c r="AG397" s="123"/>
    </row>
    <row r="398" spans="2:33" s="182" customFormat="1" ht="15">
      <c r="B398" s="123"/>
      <c r="C398" s="123"/>
      <c r="D398" s="123"/>
      <c r="E398" s="123"/>
      <c r="F398" s="123"/>
      <c r="G398" s="123"/>
      <c r="I398" s="123"/>
      <c r="K398" s="136"/>
      <c r="M398" s="136"/>
      <c r="O398" s="123"/>
      <c r="Q398" s="136"/>
      <c r="S398" s="136"/>
      <c r="U398" s="123"/>
      <c r="W398" s="136"/>
      <c r="Y398" s="136"/>
      <c r="AA398" s="123"/>
      <c r="AC398" s="136"/>
      <c r="AE398" s="136"/>
      <c r="AG398" s="123"/>
    </row>
    <row r="399" spans="2:33" s="182" customFormat="1" ht="15">
      <c r="B399" s="123"/>
      <c r="C399" s="123"/>
      <c r="D399" s="123"/>
      <c r="E399" s="123"/>
      <c r="F399" s="123"/>
      <c r="G399" s="123"/>
      <c r="I399" s="123"/>
      <c r="K399" s="136"/>
      <c r="M399" s="136"/>
      <c r="O399" s="123"/>
      <c r="Q399" s="136"/>
      <c r="S399" s="136"/>
      <c r="U399" s="123"/>
      <c r="W399" s="136"/>
      <c r="Y399" s="136"/>
      <c r="AA399" s="123"/>
      <c r="AC399" s="136"/>
      <c r="AE399" s="136"/>
      <c r="AG399" s="123"/>
    </row>
    <row r="400" spans="2:33" s="182" customFormat="1" ht="15">
      <c r="B400" s="123"/>
      <c r="C400" s="123"/>
      <c r="D400" s="123"/>
      <c r="E400" s="123"/>
      <c r="F400" s="123"/>
      <c r="G400" s="123"/>
      <c r="I400" s="123"/>
      <c r="K400" s="136"/>
      <c r="M400" s="136"/>
      <c r="O400" s="123"/>
      <c r="Q400" s="136"/>
      <c r="S400" s="136"/>
      <c r="U400" s="123"/>
      <c r="W400" s="136"/>
      <c r="Y400" s="136"/>
      <c r="AA400" s="123"/>
      <c r="AC400" s="136"/>
      <c r="AE400" s="136"/>
      <c r="AG400" s="123"/>
    </row>
    <row r="401" spans="2:33" s="182" customFormat="1" ht="15">
      <c r="B401" s="123"/>
      <c r="C401" s="123"/>
      <c r="D401" s="123"/>
      <c r="E401" s="123"/>
      <c r="F401" s="123"/>
      <c r="G401" s="123"/>
      <c r="I401" s="123"/>
      <c r="K401" s="136"/>
      <c r="M401" s="136"/>
      <c r="O401" s="123"/>
      <c r="Q401" s="136"/>
      <c r="S401" s="136"/>
      <c r="U401" s="123"/>
      <c r="W401" s="136"/>
      <c r="Y401" s="136"/>
      <c r="AA401" s="123"/>
      <c r="AC401" s="136"/>
      <c r="AE401" s="136"/>
      <c r="AG401" s="123"/>
    </row>
    <row r="402" spans="2:33" s="182" customFormat="1" ht="15">
      <c r="B402" s="123"/>
      <c r="C402" s="123"/>
      <c r="D402" s="123"/>
      <c r="E402" s="123"/>
      <c r="F402" s="123"/>
      <c r="G402" s="123"/>
      <c r="I402" s="123"/>
      <c r="K402" s="136"/>
      <c r="M402" s="136"/>
      <c r="O402" s="123"/>
      <c r="Q402" s="136"/>
      <c r="S402" s="136"/>
      <c r="U402" s="123"/>
      <c r="W402" s="136"/>
      <c r="Y402" s="136"/>
      <c r="AA402" s="123"/>
      <c r="AC402" s="136"/>
      <c r="AE402" s="136"/>
      <c r="AG402" s="123"/>
    </row>
    <row r="403" spans="2:33" s="182" customFormat="1" ht="15">
      <c r="B403" s="123"/>
      <c r="C403" s="123"/>
      <c r="D403" s="123"/>
      <c r="E403" s="123"/>
      <c r="F403" s="123"/>
      <c r="G403" s="123"/>
      <c r="I403" s="123"/>
      <c r="K403" s="136"/>
      <c r="M403" s="136"/>
      <c r="O403" s="123"/>
      <c r="Q403" s="136"/>
      <c r="S403" s="136"/>
      <c r="U403" s="123"/>
      <c r="W403" s="136"/>
      <c r="Y403" s="136"/>
      <c r="AA403" s="123"/>
      <c r="AC403" s="136"/>
      <c r="AE403" s="136"/>
      <c r="AG403" s="123"/>
    </row>
    <row r="404" spans="2:33" s="182" customFormat="1" ht="15">
      <c r="B404" s="123"/>
      <c r="C404" s="123"/>
      <c r="D404" s="123"/>
      <c r="E404" s="123"/>
      <c r="F404" s="123"/>
      <c r="G404" s="123"/>
      <c r="I404" s="123"/>
      <c r="K404" s="136"/>
      <c r="M404" s="136"/>
      <c r="O404" s="123"/>
      <c r="Q404" s="136"/>
      <c r="S404" s="136"/>
      <c r="U404" s="123"/>
      <c r="W404" s="136"/>
      <c r="Y404" s="136"/>
      <c r="AA404" s="123"/>
      <c r="AC404" s="136"/>
      <c r="AE404" s="136"/>
      <c r="AG404" s="123"/>
    </row>
    <row r="405" spans="2:33" s="182" customFormat="1" ht="15">
      <c r="B405" s="123"/>
      <c r="C405" s="123"/>
      <c r="D405" s="123"/>
      <c r="E405" s="123"/>
      <c r="F405" s="123"/>
      <c r="G405" s="123"/>
      <c r="I405" s="123"/>
      <c r="K405" s="136"/>
      <c r="M405" s="136"/>
      <c r="O405" s="123"/>
      <c r="Q405" s="136"/>
      <c r="S405" s="136"/>
      <c r="U405" s="123"/>
      <c r="W405" s="136"/>
      <c r="Y405" s="136"/>
      <c r="AA405" s="123"/>
      <c r="AC405" s="136"/>
      <c r="AE405" s="136"/>
      <c r="AG405" s="123"/>
    </row>
    <row r="406" spans="2:33" s="182" customFormat="1" ht="15">
      <c r="B406" s="123"/>
      <c r="C406" s="123"/>
      <c r="D406" s="123"/>
      <c r="E406" s="123"/>
      <c r="F406" s="123"/>
      <c r="G406" s="123"/>
      <c r="I406" s="123"/>
      <c r="K406" s="136"/>
      <c r="M406" s="136"/>
      <c r="O406" s="123"/>
      <c r="Q406" s="136"/>
      <c r="S406" s="136"/>
      <c r="U406" s="123"/>
      <c r="W406" s="136"/>
      <c r="Y406" s="136"/>
      <c r="AA406" s="123"/>
      <c r="AC406" s="136"/>
      <c r="AE406" s="136"/>
      <c r="AG406" s="123"/>
    </row>
    <row r="407" spans="2:33" s="182" customFormat="1" ht="15">
      <c r="B407" s="123"/>
      <c r="C407" s="123"/>
      <c r="D407" s="123"/>
      <c r="E407" s="123"/>
      <c r="F407" s="123"/>
      <c r="G407" s="123"/>
      <c r="I407" s="123"/>
      <c r="K407" s="136"/>
      <c r="M407" s="136"/>
      <c r="O407" s="123"/>
      <c r="Q407" s="136"/>
      <c r="S407" s="136"/>
      <c r="U407" s="123"/>
      <c r="W407" s="136"/>
      <c r="Y407" s="136"/>
      <c r="AA407" s="123"/>
      <c r="AC407" s="136"/>
      <c r="AE407" s="136"/>
      <c r="AG407" s="123"/>
    </row>
    <row r="408" spans="2:33" s="182" customFormat="1" ht="15">
      <c r="B408" s="123"/>
      <c r="C408" s="123"/>
      <c r="D408" s="123"/>
      <c r="E408" s="123"/>
      <c r="F408" s="123"/>
      <c r="G408" s="123"/>
      <c r="I408" s="123"/>
      <c r="K408" s="136"/>
      <c r="M408" s="136"/>
      <c r="O408" s="123"/>
      <c r="Q408" s="136"/>
      <c r="S408" s="136"/>
      <c r="U408" s="123"/>
      <c r="W408" s="136"/>
      <c r="Y408" s="136"/>
      <c r="AA408" s="123"/>
      <c r="AC408" s="136"/>
      <c r="AE408" s="136"/>
      <c r="AG408" s="123"/>
    </row>
    <row r="409" spans="2:33" s="182" customFormat="1" ht="15">
      <c r="B409" s="123"/>
      <c r="C409" s="123"/>
      <c r="D409" s="123"/>
      <c r="E409" s="123"/>
      <c r="F409" s="123"/>
      <c r="G409" s="123"/>
      <c r="I409" s="123"/>
      <c r="K409" s="136"/>
      <c r="M409" s="136"/>
      <c r="O409" s="123"/>
      <c r="Q409" s="136"/>
      <c r="S409" s="136"/>
      <c r="U409" s="123"/>
      <c r="W409" s="136"/>
      <c r="Y409" s="136"/>
      <c r="AA409" s="123"/>
      <c r="AC409" s="136"/>
      <c r="AE409" s="136"/>
      <c r="AG409" s="123"/>
    </row>
    <row r="410" spans="2:33" s="182" customFormat="1" ht="15">
      <c r="B410" s="123"/>
      <c r="C410" s="123"/>
      <c r="D410" s="123"/>
      <c r="E410" s="123"/>
      <c r="F410" s="123"/>
      <c r="G410" s="123"/>
      <c r="I410" s="123"/>
      <c r="K410" s="136"/>
      <c r="M410" s="136"/>
      <c r="O410" s="123"/>
      <c r="Q410" s="136"/>
      <c r="S410" s="136"/>
      <c r="U410" s="123"/>
      <c r="W410" s="136"/>
      <c r="Y410" s="136"/>
      <c r="AA410" s="123"/>
      <c r="AC410" s="136"/>
      <c r="AE410" s="136"/>
      <c r="AG410" s="123"/>
    </row>
    <row r="411" spans="2:33" s="182" customFormat="1" ht="15">
      <c r="B411" s="123"/>
      <c r="C411" s="123"/>
      <c r="D411" s="123"/>
      <c r="E411" s="123"/>
      <c r="F411" s="123"/>
      <c r="G411" s="123"/>
      <c r="I411" s="123"/>
      <c r="K411" s="136"/>
      <c r="M411" s="136"/>
      <c r="O411" s="123"/>
      <c r="Q411" s="136"/>
      <c r="S411" s="136"/>
      <c r="U411" s="123"/>
      <c r="W411" s="136"/>
      <c r="Y411" s="136"/>
      <c r="AA411" s="123"/>
      <c r="AC411" s="136"/>
      <c r="AE411" s="136"/>
      <c r="AG411" s="123"/>
    </row>
    <row r="412" spans="2:33" s="182" customFormat="1" ht="15">
      <c r="B412" s="123"/>
      <c r="C412" s="123"/>
      <c r="D412" s="123"/>
      <c r="E412" s="123"/>
      <c r="F412" s="123"/>
      <c r="G412" s="123"/>
      <c r="I412" s="123"/>
      <c r="K412" s="136"/>
      <c r="M412" s="136"/>
      <c r="O412" s="123"/>
      <c r="Q412" s="136"/>
      <c r="S412" s="136"/>
      <c r="U412" s="123"/>
      <c r="W412" s="136"/>
      <c r="Y412" s="136"/>
      <c r="AA412" s="123"/>
      <c r="AC412" s="136"/>
      <c r="AE412" s="136"/>
      <c r="AG412" s="123"/>
    </row>
    <row r="413" spans="2:33" s="182" customFormat="1" ht="15">
      <c r="B413" s="123"/>
      <c r="C413" s="123"/>
      <c r="D413" s="123"/>
      <c r="E413" s="123"/>
      <c r="F413" s="123"/>
      <c r="G413" s="123"/>
      <c r="I413" s="123"/>
      <c r="K413" s="136"/>
      <c r="M413" s="136"/>
      <c r="O413" s="123"/>
      <c r="Q413" s="136"/>
      <c r="S413" s="136"/>
      <c r="U413" s="123"/>
      <c r="W413" s="136"/>
      <c r="Y413" s="136"/>
      <c r="AA413" s="123"/>
      <c r="AC413" s="136"/>
      <c r="AE413" s="136"/>
      <c r="AG413" s="123"/>
    </row>
    <row r="414" spans="2:33" s="182" customFormat="1" ht="15">
      <c r="B414" s="123"/>
      <c r="C414" s="123"/>
      <c r="D414" s="123"/>
      <c r="E414" s="123"/>
      <c r="F414" s="123"/>
      <c r="G414" s="123"/>
      <c r="I414" s="123"/>
      <c r="K414" s="136"/>
      <c r="M414" s="136"/>
      <c r="O414" s="123"/>
      <c r="Q414" s="136"/>
      <c r="S414" s="136"/>
      <c r="U414" s="123"/>
      <c r="W414" s="136"/>
      <c r="Y414" s="136"/>
      <c r="AA414" s="123"/>
      <c r="AC414" s="136"/>
      <c r="AE414" s="136"/>
      <c r="AG414" s="123"/>
    </row>
    <row r="415" spans="2:33" s="182" customFormat="1" ht="15">
      <c r="B415" s="123"/>
      <c r="C415" s="123"/>
      <c r="D415" s="123"/>
      <c r="E415" s="123"/>
      <c r="F415" s="123"/>
      <c r="G415" s="123"/>
      <c r="I415" s="123"/>
      <c r="K415" s="136"/>
      <c r="M415" s="136"/>
      <c r="O415" s="123"/>
      <c r="Q415" s="136"/>
      <c r="S415" s="136"/>
      <c r="U415" s="123"/>
      <c r="W415" s="136"/>
      <c r="Y415" s="136"/>
      <c r="AA415" s="123"/>
      <c r="AC415" s="136"/>
      <c r="AE415" s="136"/>
      <c r="AG415" s="123"/>
    </row>
    <row r="416" spans="2:33" s="182" customFormat="1" ht="15">
      <c r="B416" s="123"/>
      <c r="C416" s="123"/>
      <c r="D416" s="123"/>
      <c r="E416" s="123"/>
      <c r="F416" s="123"/>
      <c r="G416" s="123"/>
      <c r="I416" s="123"/>
      <c r="K416" s="136"/>
      <c r="M416" s="136"/>
      <c r="O416" s="123"/>
      <c r="Q416" s="136"/>
      <c r="S416" s="136"/>
      <c r="U416" s="123"/>
      <c r="W416" s="136"/>
      <c r="Y416" s="136"/>
      <c r="AA416" s="123"/>
      <c r="AC416" s="136"/>
      <c r="AE416" s="136"/>
      <c r="AG416" s="123"/>
    </row>
    <row r="417" spans="2:33" s="182" customFormat="1" ht="15">
      <c r="B417" s="123"/>
      <c r="C417" s="123"/>
      <c r="D417" s="123"/>
      <c r="E417" s="123"/>
      <c r="F417" s="123"/>
      <c r="G417" s="123"/>
      <c r="I417" s="123"/>
      <c r="K417" s="136"/>
      <c r="M417" s="136"/>
      <c r="O417" s="123"/>
      <c r="Q417" s="136"/>
      <c r="S417" s="136"/>
      <c r="U417" s="123"/>
      <c r="W417" s="136"/>
      <c r="Y417" s="136"/>
      <c r="AA417" s="123"/>
      <c r="AC417" s="136"/>
      <c r="AE417" s="136"/>
      <c r="AG417" s="123"/>
    </row>
    <row r="418" spans="2:33" s="182" customFormat="1" ht="15">
      <c r="B418" s="123"/>
      <c r="C418" s="123"/>
      <c r="D418" s="123"/>
      <c r="E418" s="123"/>
      <c r="F418" s="123"/>
      <c r="G418" s="123"/>
      <c r="I418" s="123"/>
      <c r="K418" s="136"/>
      <c r="M418" s="136"/>
      <c r="O418" s="123"/>
      <c r="Q418" s="136"/>
      <c r="S418" s="136"/>
      <c r="U418" s="123"/>
      <c r="W418" s="136"/>
      <c r="Y418" s="136"/>
      <c r="AA418" s="123"/>
      <c r="AC418" s="136"/>
      <c r="AE418" s="136"/>
      <c r="AG418" s="123"/>
    </row>
    <row r="419" spans="2:33" s="182" customFormat="1" ht="15">
      <c r="B419" s="123"/>
      <c r="C419" s="123"/>
      <c r="D419" s="123"/>
      <c r="E419" s="123"/>
      <c r="F419" s="123"/>
      <c r="G419" s="123"/>
      <c r="I419" s="123"/>
      <c r="K419" s="136"/>
      <c r="M419" s="136"/>
      <c r="O419" s="123"/>
      <c r="Q419" s="136"/>
      <c r="S419" s="136"/>
      <c r="U419" s="123"/>
      <c r="W419" s="136"/>
      <c r="Y419" s="136"/>
      <c r="AA419" s="123"/>
      <c r="AC419" s="136"/>
      <c r="AE419" s="136"/>
      <c r="AG419" s="123"/>
    </row>
    <row r="420" spans="2:33" s="182" customFormat="1" ht="15">
      <c r="B420" s="123"/>
      <c r="C420" s="123"/>
      <c r="D420" s="123"/>
      <c r="E420" s="123"/>
      <c r="F420" s="123"/>
      <c r="G420" s="123"/>
      <c r="I420" s="123"/>
      <c r="K420" s="136"/>
      <c r="M420" s="136"/>
      <c r="O420" s="123"/>
      <c r="Q420" s="136"/>
      <c r="S420" s="136"/>
      <c r="U420" s="123"/>
      <c r="W420" s="136"/>
      <c r="Y420" s="136"/>
      <c r="AA420" s="123"/>
      <c r="AC420" s="136"/>
      <c r="AE420" s="136"/>
      <c r="AG420" s="123"/>
    </row>
    <row r="421" spans="2:33" s="182" customFormat="1" ht="15">
      <c r="B421" s="123"/>
      <c r="C421" s="123"/>
      <c r="D421" s="123"/>
      <c r="E421" s="123"/>
      <c r="F421" s="123"/>
      <c r="G421" s="123"/>
      <c r="I421" s="123"/>
      <c r="K421" s="136"/>
      <c r="M421" s="136"/>
      <c r="O421" s="123"/>
      <c r="Q421" s="136"/>
      <c r="S421" s="136"/>
      <c r="U421" s="123"/>
      <c r="W421" s="136"/>
      <c r="Y421" s="136"/>
      <c r="AA421" s="123"/>
      <c r="AC421" s="136"/>
      <c r="AE421" s="136"/>
      <c r="AG421" s="123"/>
    </row>
    <row r="422" spans="2:33" s="182" customFormat="1" ht="15">
      <c r="B422" s="123"/>
      <c r="C422" s="123"/>
      <c r="D422" s="123"/>
      <c r="E422" s="123"/>
      <c r="F422" s="123"/>
      <c r="G422" s="123"/>
      <c r="I422" s="123"/>
      <c r="K422" s="136"/>
      <c r="M422" s="136"/>
      <c r="O422" s="123"/>
      <c r="Q422" s="136"/>
      <c r="S422" s="136"/>
      <c r="U422" s="123"/>
      <c r="W422" s="136"/>
      <c r="Y422" s="136"/>
      <c r="AA422" s="123"/>
      <c r="AC422" s="136"/>
      <c r="AE422" s="136"/>
      <c r="AG422" s="123"/>
    </row>
    <row r="423" spans="2:33" s="182" customFormat="1" ht="15">
      <c r="B423" s="123"/>
      <c r="C423" s="123"/>
      <c r="D423" s="123"/>
      <c r="E423" s="123"/>
      <c r="F423" s="123"/>
      <c r="G423" s="123"/>
      <c r="I423" s="123"/>
      <c r="K423" s="136"/>
      <c r="M423" s="136"/>
      <c r="O423" s="123"/>
      <c r="Q423" s="136"/>
      <c r="S423" s="136"/>
      <c r="U423" s="123"/>
      <c r="W423" s="136"/>
      <c r="Y423" s="136"/>
      <c r="AA423" s="123"/>
      <c r="AC423" s="136"/>
      <c r="AE423" s="136"/>
      <c r="AG423" s="123"/>
    </row>
    <row r="424" spans="2:33" s="182" customFormat="1" ht="15">
      <c r="B424" s="123"/>
      <c r="C424" s="123"/>
      <c r="D424" s="123"/>
      <c r="E424" s="123"/>
      <c r="F424" s="123"/>
      <c r="G424" s="123"/>
      <c r="I424" s="123"/>
      <c r="K424" s="136"/>
      <c r="M424" s="136"/>
      <c r="O424" s="123"/>
      <c r="Q424" s="136"/>
      <c r="S424" s="136"/>
      <c r="U424" s="123"/>
      <c r="W424" s="136"/>
      <c r="Y424" s="136"/>
      <c r="AA424" s="123"/>
      <c r="AC424" s="136"/>
      <c r="AE424" s="136"/>
      <c r="AG424" s="123"/>
    </row>
    <row r="425" spans="2:33" s="182" customFormat="1" ht="15">
      <c r="B425" s="123"/>
      <c r="C425" s="123"/>
      <c r="D425" s="123"/>
      <c r="E425" s="123"/>
      <c r="F425" s="123"/>
      <c r="G425" s="123"/>
      <c r="I425" s="123"/>
      <c r="K425" s="136"/>
      <c r="M425" s="136"/>
      <c r="O425" s="123"/>
      <c r="Q425" s="136"/>
      <c r="S425" s="136"/>
      <c r="U425" s="123"/>
      <c r="W425" s="136"/>
      <c r="Y425" s="136"/>
      <c r="AA425" s="123"/>
      <c r="AC425" s="136"/>
      <c r="AE425" s="136"/>
      <c r="AG425" s="123"/>
    </row>
    <row r="426" spans="2:33" s="182" customFormat="1" ht="15">
      <c r="B426" s="123"/>
      <c r="C426" s="123"/>
      <c r="D426" s="123"/>
      <c r="E426" s="123"/>
      <c r="F426" s="123"/>
      <c r="G426" s="123"/>
      <c r="I426" s="123"/>
      <c r="K426" s="136"/>
      <c r="M426" s="136"/>
      <c r="O426" s="123"/>
      <c r="Q426" s="136"/>
      <c r="S426" s="136"/>
      <c r="U426" s="123"/>
      <c r="W426" s="136"/>
      <c r="Y426" s="136"/>
      <c r="AA426" s="123"/>
      <c r="AC426" s="136"/>
      <c r="AE426" s="136"/>
      <c r="AG426" s="123"/>
    </row>
    <row r="427" spans="2:33" s="182" customFormat="1" ht="15">
      <c r="B427" s="123"/>
      <c r="C427" s="123"/>
      <c r="D427" s="123"/>
      <c r="E427" s="123"/>
      <c r="F427" s="123"/>
      <c r="G427" s="123"/>
      <c r="I427" s="123"/>
      <c r="K427" s="136"/>
      <c r="M427" s="136"/>
      <c r="O427" s="123"/>
      <c r="Q427" s="136"/>
      <c r="S427" s="136"/>
      <c r="U427" s="123"/>
      <c r="W427" s="136"/>
      <c r="Y427" s="136"/>
      <c r="AA427" s="123"/>
      <c r="AC427" s="136"/>
      <c r="AE427" s="136"/>
      <c r="AG427" s="123"/>
    </row>
    <row r="428" spans="2:33" s="182" customFormat="1" ht="15">
      <c r="B428" s="123"/>
      <c r="C428" s="123"/>
      <c r="D428" s="123"/>
      <c r="E428" s="123"/>
      <c r="F428" s="123"/>
      <c r="G428" s="123"/>
      <c r="I428" s="123"/>
      <c r="K428" s="136"/>
      <c r="M428" s="136"/>
      <c r="O428" s="123"/>
      <c r="Q428" s="136"/>
      <c r="S428" s="136"/>
      <c r="U428" s="123"/>
      <c r="W428" s="136"/>
      <c r="Y428" s="136"/>
      <c r="AA428" s="123"/>
      <c r="AC428" s="136"/>
      <c r="AE428" s="136"/>
      <c r="AG428" s="123"/>
    </row>
    <row r="429" spans="2:33" s="182" customFormat="1" ht="15">
      <c r="B429" s="123"/>
      <c r="C429" s="123"/>
      <c r="D429" s="123"/>
      <c r="E429" s="123"/>
      <c r="F429" s="123"/>
      <c r="G429" s="123"/>
      <c r="I429" s="123"/>
      <c r="K429" s="136"/>
      <c r="M429" s="136"/>
      <c r="O429" s="123"/>
      <c r="Q429" s="136"/>
      <c r="S429" s="136"/>
      <c r="U429" s="123"/>
      <c r="W429" s="136"/>
      <c r="Y429" s="136"/>
      <c r="AA429" s="123"/>
      <c r="AC429" s="136"/>
      <c r="AE429" s="136"/>
      <c r="AG429" s="123"/>
    </row>
    <row r="430" spans="2:33" s="182" customFormat="1" ht="15">
      <c r="B430" s="123"/>
      <c r="C430" s="123"/>
      <c r="D430" s="123"/>
      <c r="E430" s="123"/>
      <c r="F430" s="123"/>
      <c r="G430" s="123"/>
      <c r="I430" s="123"/>
      <c r="K430" s="136"/>
      <c r="M430" s="136"/>
      <c r="O430" s="123"/>
      <c r="Q430" s="136"/>
      <c r="S430" s="136"/>
      <c r="U430" s="123"/>
      <c r="W430" s="136"/>
      <c r="Y430" s="136"/>
      <c r="AA430" s="123"/>
      <c r="AC430" s="136"/>
      <c r="AE430" s="136"/>
      <c r="AG430" s="123"/>
    </row>
    <row r="431" spans="2:33" s="182" customFormat="1" ht="15">
      <c r="B431" s="123"/>
      <c r="C431" s="123"/>
      <c r="D431" s="123"/>
      <c r="E431" s="123"/>
      <c r="F431" s="123"/>
      <c r="G431" s="123"/>
      <c r="I431" s="123"/>
      <c r="K431" s="136"/>
      <c r="M431" s="136"/>
      <c r="O431" s="123"/>
      <c r="Q431" s="136"/>
      <c r="S431" s="136"/>
      <c r="U431" s="123"/>
      <c r="W431" s="136"/>
      <c r="Y431" s="136"/>
      <c r="AA431" s="123"/>
      <c r="AC431" s="136"/>
      <c r="AE431" s="136"/>
      <c r="AG431" s="123"/>
    </row>
    <row r="432" spans="2:33" s="182" customFormat="1" ht="15">
      <c r="B432" s="123"/>
      <c r="C432" s="123"/>
      <c r="D432" s="123"/>
      <c r="E432" s="123"/>
      <c r="F432" s="123"/>
      <c r="G432" s="123"/>
      <c r="I432" s="123"/>
      <c r="K432" s="136"/>
      <c r="M432" s="136"/>
      <c r="O432" s="123"/>
      <c r="Q432" s="136"/>
      <c r="S432" s="136"/>
      <c r="U432" s="123"/>
      <c r="W432" s="136"/>
      <c r="Y432" s="136"/>
      <c r="AA432" s="123"/>
      <c r="AC432" s="136"/>
      <c r="AE432" s="136"/>
      <c r="AG432" s="123"/>
    </row>
    <row r="433" spans="2:33" s="182" customFormat="1" ht="15">
      <c r="B433" s="123"/>
      <c r="C433" s="123"/>
      <c r="D433" s="123"/>
      <c r="E433" s="123"/>
      <c r="F433" s="123"/>
      <c r="G433" s="123"/>
      <c r="I433" s="123"/>
      <c r="K433" s="136"/>
      <c r="M433" s="136"/>
      <c r="O433" s="123"/>
      <c r="Q433" s="136"/>
      <c r="S433" s="136"/>
      <c r="U433" s="123"/>
      <c r="W433" s="136"/>
      <c r="Y433" s="136"/>
      <c r="AA433" s="123"/>
      <c r="AC433" s="136"/>
      <c r="AE433" s="136"/>
      <c r="AG433" s="123"/>
    </row>
    <row r="434" spans="2:33" s="182" customFormat="1" ht="15">
      <c r="B434" s="123"/>
      <c r="C434" s="123"/>
      <c r="D434" s="123"/>
      <c r="E434" s="123"/>
      <c r="F434" s="123"/>
      <c r="G434" s="123"/>
      <c r="I434" s="123"/>
      <c r="K434" s="136"/>
      <c r="M434" s="136"/>
      <c r="O434" s="123"/>
      <c r="Q434" s="136"/>
      <c r="S434" s="136"/>
      <c r="U434" s="123"/>
      <c r="W434" s="136"/>
      <c r="Y434" s="136"/>
      <c r="AA434" s="123"/>
      <c r="AC434" s="136"/>
      <c r="AE434" s="136"/>
      <c r="AG434" s="123"/>
    </row>
    <row r="435" spans="2:33" s="182" customFormat="1" ht="15">
      <c r="B435" s="123"/>
      <c r="C435" s="123"/>
      <c r="D435" s="123"/>
      <c r="E435" s="123"/>
      <c r="F435" s="123"/>
      <c r="G435" s="123"/>
      <c r="I435" s="123"/>
      <c r="K435" s="136"/>
      <c r="M435" s="136"/>
      <c r="O435" s="123"/>
      <c r="Q435" s="136"/>
      <c r="S435" s="136"/>
      <c r="U435" s="123"/>
      <c r="W435" s="136"/>
      <c r="Y435" s="136"/>
      <c r="AA435" s="123"/>
      <c r="AC435" s="136"/>
      <c r="AE435" s="136"/>
      <c r="AG435" s="123"/>
    </row>
    <row r="436" spans="2:33" s="182" customFormat="1" ht="15">
      <c r="B436" s="123"/>
      <c r="C436" s="123"/>
      <c r="D436" s="123"/>
      <c r="E436" s="123"/>
      <c r="F436" s="123"/>
      <c r="G436" s="123"/>
      <c r="I436" s="123"/>
      <c r="K436" s="136"/>
      <c r="M436" s="136"/>
      <c r="O436" s="123"/>
      <c r="Q436" s="136"/>
      <c r="S436" s="136"/>
      <c r="U436" s="123"/>
      <c r="W436" s="136"/>
      <c r="Y436" s="136"/>
      <c r="AA436" s="123"/>
      <c r="AC436" s="136"/>
      <c r="AE436" s="136"/>
      <c r="AG436" s="123"/>
    </row>
    <row r="437" spans="2:33" s="182" customFormat="1" ht="15">
      <c r="B437" s="123"/>
      <c r="C437" s="123"/>
      <c r="D437" s="123"/>
      <c r="E437" s="123"/>
      <c r="F437" s="123"/>
      <c r="G437" s="123"/>
      <c r="I437" s="123"/>
      <c r="K437" s="136"/>
      <c r="M437" s="136"/>
      <c r="O437" s="123"/>
      <c r="Q437" s="136"/>
      <c r="S437" s="136"/>
      <c r="U437" s="123"/>
      <c r="W437" s="136"/>
      <c r="Y437" s="136"/>
      <c r="AA437" s="123"/>
      <c r="AC437" s="136"/>
      <c r="AE437" s="136"/>
      <c r="AG437" s="123"/>
    </row>
    <row r="438" spans="2:33" s="182" customFormat="1" ht="15">
      <c r="B438" s="123"/>
      <c r="C438" s="123"/>
      <c r="D438" s="123"/>
      <c r="E438" s="123"/>
      <c r="F438" s="123"/>
      <c r="G438" s="123"/>
      <c r="I438" s="123"/>
      <c r="K438" s="136"/>
      <c r="M438" s="136"/>
      <c r="O438" s="123"/>
      <c r="Q438" s="136"/>
      <c r="S438" s="136"/>
      <c r="U438" s="123"/>
      <c r="W438" s="136"/>
      <c r="Y438" s="136"/>
      <c r="AA438" s="123"/>
      <c r="AC438" s="136"/>
      <c r="AE438" s="136"/>
      <c r="AG438" s="123"/>
    </row>
    <row r="439" spans="2:33" s="182" customFormat="1" ht="15">
      <c r="B439" s="123"/>
      <c r="C439" s="123"/>
      <c r="D439" s="123"/>
      <c r="E439" s="123"/>
      <c r="F439" s="123"/>
      <c r="G439" s="123"/>
      <c r="I439" s="123"/>
      <c r="K439" s="136"/>
      <c r="M439" s="136"/>
      <c r="O439" s="123"/>
      <c r="Q439" s="136"/>
      <c r="S439" s="136"/>
      <c r="U439" s="123"/>
      <c r="W439" s="136"/>
      <c r="Y439" s="136"/>
      <c r="AA439" s="123"/>
      <c r="AC439" s="136"/>
      <c r="AE439" s="136"/>
      <c r="AG439" s="123"/>
    </row>
    <row r="440" spans="2:33" s="182" customFormat="1" ht="15">
      <c r="B440" s="123"/>
      <c r="C440" s="123"/>
      <c r="D440" s="123"/>
      <c r="E440" s="123"/>
      <c r="F440" s="123"/>
      <c r="G440" s="123"/>
      <c r="I440" s="123"/>
      <c r="K440" s="136"/>
      <c r="M440" s="136"/>
      <c r="O440" s="123"/>
      <c r="Q440" s="136"/>
      <c r="S440" s="136"/>
      <c r="U440" s="123"/>
      <c r="W440" s="136"/>
      <c r="Y440" s="136"/>
      <c r="AA440" s="123"/>
      <c r="AC440" s="136"/>
      <c r="AE440" s="136"/>
      <c r="AG440" s="123"/>
    </row>
    <row r="441" spans="2:33" s="182" customFormat="1" ht="15">
      <c r="B441" s="123"/>
      <c r="C441" s="123"/>
      <c r="D441" s="123"/>
      <c r="E441" s="123"/>
      <c r="F441" s="123"/>
      <c r="G441" s="123"/>
      <c r="I441" s="123"/>
      <c r="K441" s="136"/>
      <c r="M441" s="136"/>
      <c r="O441" s="123"/>
      <c r="Q441" s="136"/>
      <c r="S441" s="136"/>
      <c r="U441" s="123"/>
      <c r="W441" s="136"/>
      <c r="Y441" s="136"/>
      <c r="AA441" s="123"/>
      <c r="AC441" s="136"/>
      <c r="AE441" s="136"/>
      <c r="AG441" s="123"/>
    </row>
    <row r="442" spans="2:33" s="182" customFormat="1" ht="15">
      <c r="B442" s="123"/>
      <c r="C442" s="123"/>
      <c r="D442" s="123"/>
      <c r="E442" s="123"/>
      <c r="F442" s="123"/>
      <c r="G442" s="123"/>
      <c r="I442" s="123"/>
      <c r="K442" s="136"/>
      <c r="M442" s="136"/>
      <c r="O442" s="123"/>
      <c r="Q442" s="136"/>
      <c r="S442" s="136"/>
      <c r="U442" s="123"/>
      <c r="W442" s="136"/>
      <c r="Y442" s="136"/>
      <c r="AA442" s="123"/>
      <c r="AC442" s="136"/>
      <c r="AE442" s="136"/>
      <c r="AG442" s="123"/>
    </row>
    <row r="443" spans="2:33" s="182" customFormat="1" ht="15">
      <c r="B443" s="123"/>
      <c r="C443" s="123"/>
      <c r="D443" s="123"/>
      <c r="E443" s="123"/>
      <c r="F443" s="123"/>
      <c r="G443" s="123"/>
      <c r="I443" s="123"/>
      <c r="K443" s="136"/>
      <c r="M443" s="136"/>
      <c r="O443" s="123"/>
      <c r="Q443" s="136"/>
      <c r="S443" s="136"/>
      <c r="U443" s="123"/>
      <c r="W443" s="136"/>
      <c r="Y443" s="136"/>
      <c r="AA443" s="123"/>
      <c r="AC443" s="136"/>
      <c r="AE443" s="136"/>
      <c r="AG443" s="123"/>
    </row>
    <row r="444" spans="2:33" s="182" customFormat="1" ht="15">
      <c r="B444" s="123"/>
      <c r="C444" s="123"/>
      <c r="D444" s="123"/>
      <c r="E444" s="123"/>
      <c r="F444" s="123"/>
      <c r="G444" s="123"/>
      <c r="I444" s="123"/>
      <c r="K444" s="136"/>
      <c r="M444" s="136"/>
      <c r="O444" s="123"/>
      <c r="Q444" s="136"/>
      <c r="S444" s="136"/>
      <c r="U444" s="123"/>
      <c r="W444" s="136"/>
      <c r="Y444" s="136"/>
      <c r="AA444" s="123"/>
      <c r="AC444" s="136"/>
      <c r="AE444" s="136"/>
      <c r="AG444" s="123"/>
    </row>
    <row r="445" spans="2:33" s="182" customFormat="1" ht="15">
      <c r="B445" s="123"/>
      <c r="C445" s="123"/>
      <c r="D445" s="123"/>
      <c r="E445" s="123"/>
      <c r="F445" s="123"/>
      <c r="G445" s="123"/>
      <c r="I445" s="123"/>
      <c r="K445" s="136"/>
      <c r="M445" s="136"/>
      <c r="O445" s="123"/>
      <c r="Q445" s="136"/>
      <c r="S445" s="136"/>
      <c r="U445" s="123"/>
      <c r="W445" s="136"/>
      <c r="Y445" s="136"/>
      <c r="AA445" s="123"/>
      <c r="AC445" s="136"/>
      <c r="AE445" s="136"/>
      <c r="AG445" s="123"/>
    </row>
    <row r="446" spans="2:33" s="182" customFormat="1" ht="15">
      <c r="B446" s="123"/>
      <c r="C446" s="123"/>
      <c r="D446" s="123"/>
      <c r="E446" s="123"/>
      <c r="F446" s="123"/>
      <c r="G446" s="123"/>
      <c r="I446" s="123"/>
      <c r="K446" s="136"/>
      <c r="M446" s="136"/>
      <c r="O446" s="123"/>
      <c r="Q446" s="136"/>
      <c r="S446" s="136"/>
      <c r="U446" s="123"/>
      <c r="W446" s="136"/>
      <c r="Y446" s="136"/>
      <c r="AA446" s="123"/>
      <c r="AC446" s="136"/>
      <c r="AE446" s="136"/>
      <c r="AG446" s="123"/>
    </row>
    <row r="447" spans="2:33" s="182" customFormat="1" ht="15">
      <c r="B447" s="123"/>
      <c r="C447" s="123"/>
      <c r="D447" s="123"/>
      <c r="E447" s="123"/>
      <c r="F447" s="123"/>
      <c r="G447" s="123"/>
      <c r="I447" s="123"/>
      <c r="K447" s="136"/>
      <c r="M447" s="136"/>
      <c r="O447" s="123"/>
      <c r="Q447" s="136"/>
      <c r="S447" s="136"/>
      <c r="U447" s="123"/>
      <c r="W447" s="136"/>
      <c r="Y447" s="136"/>
      <c r="AA447" s="123"/>
      <c r="AC447" s="136"/>
      <c r="AE447" s="136"/>
      <c r="AG447" s="123"/>
    </row>
    <row r="448" spans="2:33" s="182" customFormat="1" ht="15">
      <c r="B448" s="123"/>
      <c r="C448" s="123"/>
      <c r="D448" s="123"/>
      <c r="E448" s="123"/>
      <c r="F448" s="123"/>
      <c r="G448" s="123"/>
      <c r="I448" s="123"/>
      <c r="K448" s="136"/>
      <c r="M448" s="136"/>
      <c r="O448" s="123"/>
      <c r="Q448" s="136"/>
      <c r="S448" s="136"/>
      <c r="U448" s="123"/>
      <c r="W448" s="136"/>
      <c r="Y448" s="136"/>
      <c r="AA448" s="123"/>
      <c r="AC448" s="136"/>
      <c r="AE448" s="136"/>
      <c r="AG448" s="123"/>
    </row>
    <row r="449" spans="2:33" s="182" customFormat="1" ht="15">
      <c r="B449" s="123"/>
      <c r="C449" s="123"/>
      <c r="D449" s="123"/>
      <c r="E449" s="123"/>
      <c r="F449" s="123"/>
      <c r="G449" s="123"/>
      <c r="I449" s="123"/>
      <c r="K449" s="136"/>
      <c r="M449" s="136"/>
      <c r="O449" s="123"/>
      <c r="Q449" s="136"/>
      <c r="S449" s="136"/>
      <c r="U449" s="123"/>
      <c r="W449" s="136"/>
      <c r="Y449" s="136"/>
      <c r="AA449" s="123"/>
      <c r="AC449" s="136"/>
      <c r="AE449" s="136"/>
      <c r="AG449" s="123"/>
    </row>
    <row r="450" spans="2:33" s="182" customFormat="1" ht="15">
      <c r="B450" s="123"/>
      <c r="C450" s="123"/>
      <c r="D450" s="123"/>
      <c r="E450" s="123"/>
      <c r="F450" s="123"/>
      <c r="G450" s="123"/>
      <c r="I450" s="123"/>
      <c r="K450" s="136"/>
      <c r="M450" s="136"/>
      <c r="O450" s="123"/>
      <c r="Q450" s="136"/>
      <c r="S450" s="136"/>
      <c r="U450" s="123"/>
      <c r="W450" s="136"/>
      <c r="Y450" s="136"/>
      <c r="AA450" s="123"/>
      <c r="AC450" s="136"/>
      <c r="AE450" s="136"/>
      <c r="AG450" s="123"/>
    </row>
    <row r="451" spans="2:33" s="182" customFormat="1" ht="15">
      <c r="B451" s="123"/>
      <c r="C451" s="123"/>
      <c r="D451" s="123"/>
      <c r="E451" s="123"/>
      <c r="F451" s="123"/>
      <c r="G451" s="123"/>
      <c r="I451" s="123"/>
      <c r="K451" s="136"/>
      <c r="M451" s="136"/>
      <c r="O451" s="123"/>
      <c r="Q451" s="136"/>
      <c r="S451" s="136"/>
      <c r="U451" s="123"/>
      <c r="W451" s="136"/>
      <c r="Y451" s="136"/>
      <c r="AA451" s="123"/>
      <c r="AC451" s="136"/>
      <c r="AE451" s="136"/>
      <c r="AG451" s="123"/>
    </row>
    <row r="452" spans="2:33" s="182" customFormat="1" ht="15">
      <c r="B452" s="123"/>
      <c r="C452" s="123"/>
      <c r="D452" s="123"/>
      <c r="E452" s="123"/>
      <c r="F452" s="123"/>
      <c r="G452" s="123"/>
      <c r="I452" s="123"/>
      <c r="K452" s="136"/>
      <c r="M452" s="136"/>
      <c r="O452" s="123"/>
      <c r="Q452" s="136"/>
      <c r="S452" s="136"/>
      <c r="U452" s="123"/>
      <c r="W452" s="136"/>
      <c r="Y452" s="136"/>
      <c r="AA452" s="123"/>
      <c r="AC452" s="136"/>
      <c r="AE452" s="136"/>
      <c r="AG452" s="123"/>
    </row>
    <row r="453" spans="2:33" s="182" customFormat="1" ht="15">
      <c r="B453" s="123"/>
      <c r="C453" s="123"/>
      <c r="D453" s="123"/>
      <c r="E453" s="123"/>
      <c r="F453" s="123"/>
      <c r="G453" s="123"/>
      <c r="I453" s="123"/>
      <c r="K453" s="136"/>
      <c r="M453" s="136"/>
      <c r="O453" s="123"/>
      <c r="Q453" s="136"/>
      <c r="S453" s="136"/>
      <c r="U453" s="123"/>
      <c r="W453" s="136"/>
      <c r="Y453" s="136"/>
      <c r="AA453" s="123"/>
      <c r="AC453" s="136"/>
      <c r="AE453" s="136"/>
      <c r="AG453" s="123"/>
    </row>
    <row r="454" spans="2:33" s="182" customFormat="1" ht="15">
      <c r="B454" s="123"/>
      <c r="C454" s="123"/>
      <c r="D454" s="123"/>
      <c r="E454" s="123"/>
      <c r="F454" s="123"/>
      <c r="G454" s="123"/>
      <c r="I454" s="123"/>
      <c r="K454" s="136"/>
      <c r="M454" s="136"/>
      <c r="O454" s="123"/>
      <c r="Q454" s="136"/>
      <c r="S454" s="136"/>
      <c r="U454" s="123"/>
      <c r="W454" s="136"/>
      <c r="Y454" s="136"/>
      <c r="AA454" s="123"/>
      <c r="AC454" s="136"/>
      <c r="AE454" s="136"/>
      <c r="AG454" s="123"/>
    </row>
    <row r="455" spans="2:33" s="182" customFormat="1" ht="15">
      <c r="B455" s="123"/>
      <c r="C455" s="123"/>
      <c r="D455" s="123"/>
      <c r="E455" s="123"/>
      <c r="F455" s="123"/>
      <c r="G455" s="123"/>
      <c r="I455" s="123"/>
      <c r="K455" s="136"/>
      <c r="M455" s="136"/>
      <c r="O455" s="123"/>
      <c r="Q455" s="136"/>
      <c r="S455" s="136"/>
      <c r="U455" s="123"/>
      <c r="W455" s="136"/>
      <c r="Y455" s="136"/>
      <c r="AA455" s="123"/>
      <c r="AC455" s="136"/>
      <c r="AE455" s="136"/>
      <c r="AG455" s="123"/>
    </row>
    <row r="456" spans="2:33" s="182" customFormat="1" ht="15">
      <c r="B456" s="123"/>
      <c r="C456" s="123"/>
      <c r="D456" s="123"/>
      <c r="E456" s="123"/>
      <c r="F456" s="123"/>
      <c r="G456" s="123"/>
      <c r="I456" s="123"/>
      <c r="K456" s="136"/>
      <c r="M456" s="136"/>
      <c r="O456" s="123"/>
      <c r="Q456" s="136"/>
      <c r="S456" s="136"/>
      <c r="U456" s="123"/>
      <c r="W456" s="136"/>
      <c r="Y456" s="136"/>
      <c r="AA456" s="123"/>
      <c r="AC456" s="136"/>
      <c r="AE456" s="136"/>
      <c r="AG456" s="123"/>
    </row>
    <row r="457" spans="2:33" s="182" customFormat="1" ht="15">
      <c r="B457" s="123"/>
      <c r="C457" s="123"/>
      <c r="D457" s="123"/>
      <c r="E457" s="123"/>
      <c r="F457" s="123"/>
      <c r="G457" s="123"/>
      <c r="I457" s="123"/>
      <c r="K457" s="136"/>
      <c r="M457" s="136"/>
      <c r="O457" s="123"/>
      <c r="Q457" s="136"/>
      <c r="S457" s="136"/>
      <c r="U457" s="123"/>
      <c r="W457" s="136"/>
      <c r="Y457" s="136"/>
      <c r="AA457" s="123"/>
      <c r="AC457" s="136"/>
      <c r="AE457" s="136"/>
      <c r="AG457" s="123"/>
    </row>
    <row r="458" spans="2:33" s="182" customFormat="1" ht="15">
      <c r="B458" s="123"/>
      <c r="C458" s="123"/>
      <c r="D458" s="123"/>
      <c r="E458" s="123"/>
      <c r="F458" s="123"/>
      <c r="G458" s="123"/>
      <c r="I458" s="123"/>
      <c r="K458" s="136"/>
      <c r="M458" s="136"/>
      <c r="O458" s="123"/>
      <c r="Q458" s="136"/>
      <c r="S458" s="136"/>
      <c r="U458" s="123"/>
      <c r="W458" s="136"/>
      <c r="Y458" s="136"/>
      <c r="AA458" s="123"/>
      <c r="AC458" s="136"/>
      <c r="AE458" s="136"/>
      <c r="AG458" s="123"/>
    </row>
    <row r="459" spans="2:33" s="182" customFormat="1" ht="15">
      <c r="B459" s="123"/>
      <c r="C459" s="123"/>
      <c r="D459" s="123"/>
      <c r="E459" s="123"/>
      <c r="F459" s="123"/>
      <c r="G459" s="123"/>
      <c r="I459" s="123"/>
      <c r="K459" s="136"/>
      <c r="M459" s="136"/>
      <c r="O459" s="123"/>
      <c r="Q459" s="136"/>
      <c r="S459" s="136"/>
      <c r="U459" s="123"/>
      <c r="W459" s="136"/>
      <c r="Y459" s="136"/>
      <c r="AA459" s="123"/>
      <c r="AC459" s="136"/>
      <c r="AE459" s="136"/>
      <c r="AG459" s="123"/>
    </row>
    <row r="460" spans="2:33" s="182" customFormat="1" ht="15">
      <c r="B460" s="123"/>
      <c r="C460" s="123"/>
      <c r="D460" s="123"/>
      <c r="E460" s="123"/>
      <c r="F460" s="123"/>
      <c r="G460" s="123"/>
      <c r="I460" s="123"/>
      <c r="K460" s="136"/>
      <c r="M460" s="136"/>
      <c r="O460" s="123"/>
      <c r="Q460" s="136"/>
      <c r="S460" s="136"/>
      <c r="U460" s="123"/>
      <c r="W460" s="136"/>
      <c r="Y460" s="136"/>
      <c r="AA460" s="123"/>
      <c r="AC460" s="136"/>
      <c r="AE460" s="136"/>
      <c r="AG460" s="123"/>
    </row>
    <row r="461" spans="2:33" s="182" customFormat="1" ht="15">
      <c r="B461" s="123"/>
      <c r="C461" s="123"/>
      <c r="D461" s="123"/>
      <c r="E461" s="123"/>
      <c r="F461" s="123"/>
      <c r="G461" s="123"/>
      <c r="I461" s="123"/>
      <c r="K461" s="136"/>
      <c r="M461" s="136"/>
      <c r="O461" s="123"/>
      <c r="Q461" s="136"/>
      <c r="S461" s="136"/>
      <c r="U461" s="123"/>
      <c r="W461" s="136"/>
      <c r="Y461" s="136"/>
      <c r="AA461" s="123"/>
      <c r="AC461" s="136"/>
      <c r="AE461" s="136"/>
      <c r="AG461" s="123"/>
    </row>
    <row r="462" spans="2:33" s="182" customFormat="1" ht="15">
      <c r="B462" s="123"/>
      <c r="C462" s="123"/>
      <c r="D462" s="123"/>
      <c r="E462" s="123"/>
      <c r="F462" s="123"/>
      <c r="G462" s="123"/>
      <c r="I462" s="123"/>
      <c r="K462" s="136"/>
      <c r="M462" s="136"/>
      <c r="O462" s="123"/>
      <c r="Q462" s="136"/>
      <c r="S462" s="136"/>
      <c r="U462" s="123"/>
      <c r="W462" s="136"/>
      <c r="Y462" s="136"/>
      <c r="AA462" s="123"/>
      <c r="AC462" s="136"/>
      <c r="AE462" s="136"/>
      <c r="AG462" s="123"/>
    </row>
    <row r="463" spans="2:33" s="182" customFormat="1" ht="15">
      <c r="B463" s="123"/>
      <c r="C463" s="123"/>
      <c r="D463" s="123"/>
      <c r="E463" s="123"/>
      <c r="F463" s="123"/>
      <c r="G463" s="123"/>
      <c r="I463" s="123"/>
      <c r="K463" s="136"/>
      <c r="M463" s="136"/>
      <c r="O463" s="123"/>
      <c r="Q463" s="136"/>
      <c r="S463" s="136"/>
      <c r="U463" s="123"/>
      <c r="W463" s="136"/>
      <c r="Y463" s="136"/>
      <c r="AA463" s="123"/>
      <c r="AC463" s="136"/>
      <c r="AE463" s="136"/>
      <c r="AG463" s="123"/>
    </row>
    <row r="464" spans="2:33" s="182" customFormat="1" ht="15">
      <c r="B464" s="123"/>
      <c r="C464" s="123"/>
      <c r="D464" s="123"/>
      <c r="E464" s="123"/>
      <c r="F464" s="123"/>
      <c r="G464" s="123"/>
      <c r="I464" s="123"/>
      <c r="K464" s="136"/>
      <c r="M464" s="136"/>
      <c r="O464" s="123"/>
      <c r="Q464" s="136"/>
      <c r="S464" s="136"/>
      <c r="U464" s="123"/>
      <c r="W464" s="136"/>
      <c r="Y464" s="136"/>
      <c r="AA464" s="123"/>
      <c r="AC464" s="136"/>
      <c r="AE464" s="136"/>
      <c r="AG464" s="123"/>
    </row>
    <row r="465" spans="2:33" s="182" customFormat="1" ht="15">
      <c r="B465" s="123"/>
      <c r="C465" s="123"/>
      <c r="D465" s="123"/>
      <c r="E465" s="123"/>
      <c r="F465" s="123"/>
      <c r="G465" s="123"/>
      <c r="I465" s="123"/>
      <c r="K465" s="136"/>
      <c r="M465" s="136"/>
      <c r="O465" s="123"/>
      <c r="Q465" s="136"/>
      <c r="S465" s="136"/>
      <c r="U465" s="123"/>
      <c r="W465" s="136"/>
      <c r="Y465" s="136"/>
      <c r="AA465" s="123"/>
      <c r="AC465" s="136"/>
      <c r="AE465" s="136"/>
      <c r="AG465" s="123"/>
    </row>
    <row r="466" spans="2:33" s="182" customFormat="1" ht="15">
      <c r="B466" s="123"/>
      <c r="C466" s="123"/>
      <c r="D466" s="123"/>
      <c r="E466" s="123"/>
      <c r="F466" s="123"/>
      <c r="G466" s="123"/>
      <c r="I466" s="123"/>
      <c r="K466" s="136"/>
      <c r="M466" s="136"/>
      <c r="O466" s="123"/>
      <c r="Q466" s="136"/>
      <c r="S466" s="136"/>
      <c r="U466" s="123"/>
      <c r="W466" s="136"/>
      <c r="Y466" s="136"/>
      <c r="AA466" s="123"/>
      <c r="AC466" s="136"/>
      <c r="AE466" s="136"/>
      <c r="AG466" s="123"/>
    </row>
    <row r="467" spans="2:33" s="182" customFormat="1" ht="15">
      <c r="B467" s="123"/>
      <c r="C467" s="123"/>
      <c r="D467" s="123"/>
      <c r="E467" s="123"/>
      <c r="F467" s="123"/>
      <c r="G467" s="123"/>
      <c r="I467" s="123"/>
      <c r="K467" s="136"/>
      <c r="M467" s="136"/>
      <c r="O467" s="123"/>
      <c r="Q467" s="136"/>
      <c r="S467" s="136"/>
      <c r="U467" s="123"/>
      <c r="W467" s="136"/>
      <c r="Y467" s="136"/>
      <c r="AA467" s="123"/>
      <c r="AC467" s="136"/>
      <c r="AE467" s="136"/>
      <c r="AG467" s="123"/>
    </row>
    <row r="468" spans="2:33" s="182" customFormat="1" ht="15">
      <c r="B468" s="123"/>
      <c r="C468" s="123"/>
      <c r="D468" s="123"/>
      <c r="E468" s="123"/>
      <c r="F468" s="123"/>
      <c r="G468" s="123"/>
      <c r="I468" s="123"/>
      <c r="K468" s="136"/>
      <c r="M468" s="136"/>
      <c r="O468" s="123"/>
      <c r="Q468" s="136"/>
      <c r="S468" s="136"/>
      <c r="U468" s="123"/>
      <c r="W468" s="136"/>
      <c r="Y468" s="136"/>
      <c r="AA468" s="123"/>
      <c r="AC468" s="136"/>
      <c r="AE468" s="136"/>
      <c r="AG468" s="123"/>
    </row>
    <row r="469" spans="2:33" s="182" customFormat="1" ht="15">
      <c r="B469" s="123"/>
      <c r="C469" s="123"/>
      <c r="D469" s="123"/>
      <c r="E469" s="123"/>
      <c r="F469" s="123"/>
      <c r="G469" s="123"/>
      <c r="I469" s="123"/>
      <c r="K469" s="136"/>
      <c r="M469" s="136"/>
      <c r="O469" s="123"/>
      <c r="Q469" s="136"/>
      <c r="S469" s="136"/>
      <c r="U469" s="123"/>
      <c r="W469" s="136"/>
      <c r="Y469" s="136"/>
      <c r="AA469" s="123"/>
      <c r="AC469" s="136"/>
      <c r="AE469" s="136"/>
      <c r="AG469" s="123"/>
    </row>
    <row r="470" spans="2:33" s="182" customFormat="1" ht="15">
      <c r="B470" s="123"/>
      <c r="C470" s="123"/>
      <c r="D470" s="123"/>
      <c r="E470" s="123"/>
      <c r="F470" s="123"/>
      <c r="G470" s="123"/>
      <c r="I470" s="123"/>
      <c r="K470" s="136"/>
      <c r="M470" s="136"/>
      <c r="O470" s="123"/>
      <c r="Q470" s="136"/>
      <c r="S470" s="136"/>
      <c r="U470" s="123"/>
      <c r="W470" s="136"/>
      <c r="Y470" s="136"/>
      <c r="AA470" s="123"/>
      <c r="AC470" s="136"/>
      <c r="AE470" s="136"/>
      <c r="AG470" s="123"/>
    </row>
    <row r="471" spans="2:33" s="182" customFormat="1" ht="15">
      <c r="B471" s="123"/>
      <c r="C471" s="123"/>
      <c r="D471" s="123"/>
      <c r="E471" s="123"/>
      <c r="F471" s="123"/>
      <c r="G471" s="123"/>
      <c r="I471" s="123"/>
      <c r="K471" s="136"/>
      <c r="M471" s="136"/>
      <c r="O471" s="123"/>
      <c r="Q471" s="136"/>
      <c r="S471" s="136"/>
      <c r="U471" s="123"/>
      <c r="W471" s="136"/>
      <c r="Y471" s="136"/>
      <c r="AA471" s="123"/>
      <c r="AC471" s="136"/>
      <c r="AE471" s="136"/>
      <c r="AG471" s="123"/>
    </row>
    <row r="472" spans="2:33" s="182" customFormat="1" ht="15">
      <c r="B472" s="123"/>
      <c r="C472" s="123"/>
      <c r="D472" s="123"/>
      <c r="E472" s="123"/>
      <c r="F472" s="123"/>
      <c r="G472" s="123"/>
      <c r="I472" s="123"/>
      <c r="K472" s="136"/>
      <c r="M472" s="136"/>
      <c r="O472" s="123"/>
      <c r="Q472" s="136"/>
      <c r="S472" s="136"/>
      <c r="U472" s="123"/>
      <c r="W472" s="136"/>
      <c r="Y472" s="136"/>
      <c r="AA472" s="123"/>
      <c r="AC472" s="136"/>
      <c r="AE472" s="136"/>
      <c r="AG472" s="123"/>
    </row>
    <row r="473" spans="2:33" s="182" customFormat="1" ht="15">
      <c r="B473" s="123"/>
      <c r="C473" s="123"/>
      <c r="D473" s="123"/>
      <c r="E473" s="123"/>
      <c r="F473" s="123"/>
      <c r="G473" s="123"/>
      <c r="I473" s="123"/>
      <c r="K473" s="136"/>
      <c r="M473" s="136"/>
      <c r="O473" s="123"/>
      <c r="Q473" s="136"/>
      <c r="S473" s="136"/>
      <c r="U473" s="123"/>
      <c r="W473" s="136"/>
      <c r="Y473" s="136"/>
      <c r="AA473" s="123"/>
      <c r="AC473" s="136"/>
      <c r="AE473" s="136"/>
      <c r="AG473" s="123"/>
    </row>
    <row r="474" spans="2:33" s="182" customFormat="1" ht="15">
      <c r="B474" s="123"/>
      <c r="C474" s="123"/>
      <c r="D474" s="123"/>
      <c r="E474" s="123"/>
      <c r="F474" s="123"/>
      <c r="G474" s="123"/>
      <c r="I474" s="123"/>
      <c r="K474" s="136"/>
      <c r="M474" s="136"/>
      <c r="O474" s="123"/>
      <c r="Q474" s="136"/>
      <c r="S474" s="136"/>
      <c r="U474" s="123"/>
      <c r="W474" s="136"/>
      <c r="Y474" s="136"/>
      <c r="AA474" s="123"/>
      <c r="AC474" s="136"/>
      <c r="AE474" s="136"/>
      <c r="AG474" s="123"/>
    </row>
    <row r="475" spans="2:33" s="182" customFormat="1" ht="15">
      <c r="B475" s="123"/>
      <c r="C475" s="123"/>
      <c r="D475" s="123"/>
      <c r="E475" s="123"/>
      <c r="F475" s="123"/>
      <c r="G475" s="123"/>
      <c r="I475" s="123"/>
      <c r="K475" s="136"/>
      <c r="M475" s="136"/>
      <c r="O475" s="123"/>
      <c r="Q475" s="136"/>
      <c r="S475" s="136"/>
      <c r="U475" s="123"/>
      <c r="W475" s="136"/>
      <c r="Y475" s="136"/>
      <c r="AA475" s="123"/>
      <c r="AC475" s="136"/>
      <c r="AE475" s="136"/>
      <c r="AG475" s="123"/>
    </row>
    <row r="476" spans="2:33" s="182" customFormat="1" ht="15">
      <c r="B476" s="123"/>
      <c r="C476" s="123"/>
      <c r="D476" s="123"/>
      <c r="E476" s="123"/>
      <c r="F476" s="123"/>
      <c r="G476" s="123"/>
      <c r="I476" s="123"/>
      <c r="K476" s="136"/>
      <c r="M476" s="136"/>
      <c r="O476" s="123"/>
      <c r="Q476" s="136"/>
      <c r="S476" s="136"/>
      <c r="U476" s="123"/>
      <c r="W476" s="136"/>
      <c r="Y476" s="136"/>
      <c r="AA476" s="123"/>
      <c r="AC476" s="136"/>
      <c r="AE476" s="136"/>
      <c r="AG476" s="123"/>
    </row>
    <row r="477" spans="2:33" s="182" customFormat="1" ht="15">
      <c r="B477" s="123"/>
      <c r="C477" s="123"/>
      <c r="D477" s="123"/>
      <c r="E477" s="123"/>
      <c r="F477" s="123"/>
      <c r="G477" s="123"/>
      <c r="I477" s="123"/>
      <c r="K477" s="136"/>
      <c r="M477" s="136"/>
      <c r="O477" s="123"/>
      <c r="Q477" s="136"/>
      <c r="S477" s="136"/>
      <c r="U477" s="123"/>
      <c r="W477" s="136"/>
      <c r="Y477" s="136"/>
      <c r="AA477" s="123"/>
      <c r="AC477" s="136"/>
      <c r="AE477" s="136"/>
      <c r="AG477" s="123"/>
    </row>
    <row r="478" spans="2:33" s="182" customFormat="1" ht="15">
      <c r="B478" s="123"/>
      <c r="C478" s="123"/>
      <c r="D478" s="123"/>
      <c r="E478" s="123"/>
      <c r="F478" s="123"/>
      <c r="G478" s="123"/>
      <c r="I478" s="123"/>
      <c r="K478" s="136"/>
      <c r="M478" s="136"/>
      <c r="O478" s="123"/>
      <c r="Q478" s="136"/>
      <c r="S478" s="136"/>
      <c r="U478" s="123"/>
      <c r="W478" s="136"/>
      <c r="Y478" s="136"/>
      <c r="AA478" s="123"/>
      <c r="AC478" s="136"/>
      <c r="AE478" s="136"/>
      <c r="AG478" s="123"/>
    </row>
    <row r="479" spans="2:33" s="182" customFormat="1" ht="15">
      <c r="B479" s="123"/>
      <c r="C479" s="123"/>
      <c r="D479" s="123"/>
      <c r="E479" s="123"/>
      <c r="F479" s="123"/>
      <c r="G479" s="123"/>
      <c r="I479" s="123"/>
      <c r="K479" s="136"/>
      <c r="M479" s="136"/>
      <c r="O479" s="123"/>
      <c r="Q479" s="136"/>
      <c r="S479" s="136"/>
      <c r="U479" s="123"/>
      <c r="W479" s="136"/>
      <c r="Y479" s="136"/>
      <c r="AA479" s="123"/>
      <c r="AC479" s="136"/>
      <c r="AE479" s="136"/>
      <c r="AG479" s="123"/>
    </row>
    <row r="480" spans="2:33" s="182" customFormat="1" ht="15">
      <c r="B480" s="123"/>
      <c r="C480" s="123"/>
      <c r="D480" s="123"/>
      <c r="E480" s="123"/>
      <c r="F480" s="123"/>
      <c r="G480" s="123"/>
      <c r="I480" s="123"/>
      <c r="K480" s="136"/>
      <c r="M480" s="136"/>
      <c r="O480" s="123"/>
      <c r="Q480" s="136"/>
      <c r="S480" s="136"/>
      <c r="U480" s="123"/>
      <c r="W480" s="136"/>
      <c r="Y480" s="136"/>
      <c r="AA480" s="123"/>
      <c r="AC480" s="136"/>
      <c r="AE480" s="136"/>
      <c r="AG480" s="123"/>
    </row>
    <row r="481" spans="2:33" s="182" customFormat="1" ht="15">
      <c r="B481" s="123"/>
      <c r="C481" s="123"/>
      <c r="D481" s="123"/>
      <c r="E481" s="123"/>
      <c r="F481" s="123"/>
      <c r="G481" s="123"/>
      <c r="I481" s="123"/>
      <c r="K481" s="136"/>
      <c r="M481" s="136"/>
      <c r="O481" s="123"/>
      <c r="Q481" s="136"/>
      <c r="S481" s="136"/>
      <c r="U481" s="123"/>
      <c r="W481" s="136"/>
      <c r="Y481" s="136"/>
      <c r="AA481" s="123"/>
      <c r="AC481" s="136"/>
      <c r="AE481" s="136"/>
      <c r="AG481" s="123"/>
    </row>
    <row r="482" spans="2:33" s="182" customFormat="1" ht="15">
      <c r="B482" s="123"/>
      <c r="C482" s="123"/>
      <c r="D482" s="123"/>
      <c r="E482" s="123"/>
      <c r="F482" s="123"/>
      <c r="G482" s="123"/>
      <c r="I482" s="123"/>
      <c r="K482" s="136"/>
      <c r="M482" s="136"/>
      <c r="O482" s="123"/>
      <c r="Q482" s="136"/>
      <c r="S482" s="136"/>
      <c r="U482" s="123"/>
      <c r="W482" s="136"/>
      <c r="Y482" s="136"/>
      <c r="AA482" s="123"/>
      <c r="AC482" s="136"/>
      <c r="AE482" s="136"/>
      <c r="AG482" s="123"/>
    </row>
    <row r="483" spans="2:33" s="182" customFormat="1" ht="15">
      <c r="B483" s="123"/>
      <c r="C483" s="123"/>
      <c r="D483" s="123"/>
      <c r="E483" s="123"/>
      <c r="F483" s="123"/>
      <c r="G483" s="123"/>
      <c r="I483" s="123"/>
      <c r="K483" s="136"/>
      <c r="M483" s="136"/>
      <c r="O483" s="123"/>
      <c r="Q483" s="136"/>
      <c r="S483" s="136"/>
      <c r="U483" s="123"/>
      <c r="W483" s="136"/>
      <c r="Y483" s="136"/>
      <c r="AA483" s="123"/>
      <c r="AC483" s="136"/>
      <c r="AE483" s="136"/>
      <c r="AG483" s="123"/>
    </row>
    <row r="484" spans="2:33" s="182" customFormat="1" ht="15">
      <c r="B484" s="123"/>
      <c r="C484" s="123"/>
      <c r="D484" s="123"/>
      <c r="E484" s="123"/>
      <c r="F484" s="123"/>
      <c r="G484" s="123"/>
      <c r="I484" s="123"/>
      <c r="K484" s="136"/>
      <c r="M484" s="136"/>
      <c r="O484" s="123"/>
      <c r="Q484" s="136"/>
      <c r="S484" s="136"/>
      <c r="U484" s="123"/>
      <c r="W484" s="136"/>
      <c r="Y484" s="136"/>
      <c r="AA484" s="123"/>
      <c r="AC484" s="136"/>
      <c r="AE484" s="136"/>
      <c r="AG484" s="123"/>
    </row>
    <row r="485" spans="2:33" s="182" customFormat="1" ht="15">
      <c r="B485" s="123"/>
      <c r="C485" s="123"/>
      <c r="D485" s="123"/>
      <c r="E485" s="123"/>
      <c r="F485" s="123"/>
      <c r="G485" s="123"/>
      <c r="I485" s="123"/>
      <c r="K485" s="136"/>
      <c r="M485" s="136"/>
      <c r="O485" s="123"/>
      <c r="Q485" s="136"/>
      <c r="S485" s="136"/>
      <c r="U485" s="123"/>
      <c r="W485" s="136"/>
      <c r="Y485" s="136"/>
      <c r="AA485" s="123"/>
      <c r="AC485" s="136"/>
      <c r="AE485" s="136"/>
      <c r="AG485" s="123"/>
    </row>
    <row r="486" spans="2:33" s="182" customFormat="1" ht="15">
      <c r="B486" s="123"/>
      <c r="C486" s="123"/>
      <c r="D486" s="123"/>
      <c r="E486" s="123"/>
      <c r="F486" s="123"/>
      <c r="G486" s="123"/>
      <c r="I486" s="123"/>
      <c r="K486" s="136"/>
      <c r="M486" s="136"/>
      <c r="O486" s="123"/>
      <c r="Q486" s="136"/>
      <c r="S486" s="136"/>
      <c r="U486" s="123"/>
      <c r="W486" s="136"/>
      <c r="Y486" s="136"/>
      <c r="AA486" s="123"/>
      <c r="AC486" s="136"/>
      <c r="AE486" s="136"/>
      <c r="AG486" s="123"/>
    </row>
    <row r="487" spans="2:33" s="182" customFormat="1" ht="15">
      <c r="B487" s="123"/>
      <c r="C487" s="123"/>
      <c r="D487" s="123"/>
      <c r="E487" s="123"/>
      <c r="F487" s="123"/>
      <c r="G487" s="123"/>
      <c r="I487" s="123"/>
      <c r="K487" s="136"/>
      <c r="M487" s="136"/>
      <c r="O487" s="123"/>
      <c r="Q487" s="136"/>
      <c r="S487" s="136"/>
      <c r="U487" s="123"/>
      <c r="W487" s="136"/>
      <c r="Y487" s="136"/>
      <c r="AA487" s="123"/>
      <c r="AC487" s="136"/>
      <c r="AE487" s="136"/>
      <c r="AG487" s="123"/>
    </row>
    <row r="488" spans="2:33" s="182" customFormat="1" ht="15">
      <c r="B488" s="123"/>
      <c r="C488" s="123"/>
      <c r="D488" s="123"/>
      <c r="E488" s="123"/>
      <c r="F488" s="123"/>
      <c r="G488" s="123"/>
      <c r="I488" s="123"/>
      <c r="K488" s="136"/>
      <c r="M488" s="136"/>
      <c r="O488" s="123"/>
      <c r="Q488" s="136"/>
      <c r="S488" s="136"/>
      <c r="U488" s="123"/>
      <c r="W488" s="136"/>
      <c r="Y488" s="136"/>
      <c r="AA488" s="123"/>
      <c r="AC488" s="136"/>
      <c r="AE488" s="136"/>
      <c r="AG488" s="123"/>
    </row>
    <row r="489" spans="2:33" s="182" customFormat="1" ht="15">
      <c r="B489" s="123"/>
      <c r="C489" s="123"/>
      <c r="D489" s="123"/>
      <c r="E489" s="123"/>
      <c r="F489" s="123"/>
      <c r="G489" s="123"/>
      <c r="I489" s="123"/>
      <c r="K489" s="136"/>
      <c r="M489" s="136"/>
      <c r="O489" s="123"/>
      <c r="Q489" s="136"/>
      <c r="S489" s="136"/>
      <c r="U489" s="123"/>
      <c r="W489" s="136"/>
      <c r="Y489" s="136"/>
      <c r="AA489" s="123"/>
      <c r="AC489" s="136"/>
      <c r="AE489" s="136"/>
      <c r="AG489" s="123"/>
    </row>
    <row r="490" spans="2:33" s="182" customFormat="1" ht="15">
      <c r="B490" s="123"/>
      <c r="C490" s="123"/>
      <c r="D490" s="123"/>
      <c r="E490" s="123"/>
      <c r="F490" s="123"/>
      <c r="G490" s="123"/>
      <c r="I490" s="123"/>
      <c r="K490" s="136"/>
      <c r="M490" s="136"/>
      <c r="O490" s="123"/>
      <c r="Q490" s="136"/>
      <c r="S490" s="136"/>
      <c r="U490" s="123"/>
      <c r="W490" s="136"/>
      <c r="Y490" s="136"/>
      <c r="AA490" s="123"/>
      <c r="AC490" s="136"/>
      <c r="AE490" s="136"/>
      <c r="AG490" s="123"/>
    </row>
    <row r="491" spans="2:33" s="182" customFormat="1" ht="15">
      <c r="B491" s="123"/>
      <c r="C491" s="123"/>
      <c r="D491" s="123"/>
      <c r="E491" s="123"/>
      <c r="F491" s="123"/>
      <c r="G491" s="123"/>
      <c r="I491" s="123"/>
      <c r="K491" s="136"/>
      <c r="M491" s="136"/>
      <c r="O491" s="123"/>
      <c r="Q491" s="136"/>
      <c r="S491" s="136"/>
      <c r="U491" s="123"/>
      <c r="W491" s="136"/>
      <c r="Y491" s="136"/>
      <c r="AA491" s="123"/>
      <c r="AC491" s="136"/>
      <c r="AE491" s="136"/>
      <c r="AG491" s="123"/>
    </row>
    <row r="492" spans="2:33" s="182" customFormat="1" ht="15">
      <c r="B492" s="123"/>
      <c r="C492" s="123"/>
      <c r="D492" s="123"/>
      <c r="E492" s="123"/>
      <c r="F492" s="123"/>
      <c r="G492" s="123"/>
      <c r="I492" s="123"/>
      <c r="K492" s="136"/>
      <c r="M492" s="136"/>
      <c r="O492" s="123"/>
      <c r="Q492" s="136"/>
      <c r="S492" s="136"/>
      <c r="U492" s="123"/>
      <c r="W492" s="136"/>
      <c r="Y492" s="136"/>
      <c r="AA492" s="123"/>
      <c r="AC492" s="136"/>
      <c r="AE492" s="136"/>
      <c r="AG492" s="123"/>
    </row>
    <row r="493" spans="2:33" s="182" customFormat="1" ht="15">
      <c r="B493" s="123"/>
      <c r="C493" s="123"/>
      <c r="D493" s="123"/>
      <c r="E493" s="123"/>
      <c r="F493" s="123"/>
      <c r="G493" s="123"/>
      <c r="I493" s="123"/>
      <c r="K493" s="136"/>
      <c r="M493" s="136"/>
      <c r="O493" s="123"/>
      <c r="Q493" s="136"/>
      <c r="S493" s="136"/>
      <c r="U493" s="123"/>
      <c r="W493" s="136"/>
      <c r="Y493" s="136"/>
      <c r="AA493" s="123"/>
      <c r="AC493" s="136"/>
      <c r="AE493" s="136"/>
      <c r="AG493" s="123"/>
    </row>
    <row r="494" spans="2:33" s="182" customFormat="1" ht="15">
      <c r="B494" s="123"/>
      <c r="C494" s="123"/>
      <c r="D494" s="123"/>
      <c r="E494" s="123"/>
      <c r="F494" s="123"/>
      <c r="G494" s="123"/>
      <c r="I494" s="123"/>
      <c r="K494" s="136"/>
      <c r="M494" s="136"/>
      <c r="O494" s="123"/>
      <c r="Q494" s="136"/>
      <c r="S494" s="136"/>
      <c r="U494" s="123"/>
      <c r="W494" s="136"/>
      <c r="Y494" s="136"/>
      <c r="AA494" s="123"/>
      <c r="AC494" s="136"/>
      <c r="AE494" s="136"/>
      <c r="AG494" s="123"/>
    </row>
    <row r="495" spans="2:33" s="182" customFormat="1" ht="15">
      <c r="B495" s="123"/>
      <c r="C495" s="123"/>
      <c r="D495" s="123"/>
      <c r="E495" s="123"/>
      <c r="F495" s="123"/>
      <c r="G495" s="123"/>
      <c r="I495" s="123"/>
      <c r="K495" s="136"/>
      <c r="M495" s="136"/>
      <c r="O495" s="123"/>
      <c r="Q495" s="136"/>
      <c r="S495" s="136"/>
      <c r="U495" s="123"/>
      <c r="W495" s="136"/>
      <c r="Y495" s="136"/>
      <c r="AA495" s="123"/>
      <c r="AC495" s="136"/>
      <c r="AE495" s="136"/>
      <c r="AG495" s="123"/>
    </row>
    <row r="496" spans="2:33" s="182" customFormat="1" ht="15">
      <c r="B496" s="123"/>
      <c r="C496" s="123"/>
      <c r="D496" s="123"/>
      <c r="E496" s="123"/>
      <c r="F496" s="123"/>
      <c r="G496" s="123"/>
      <c r="I496" s="123"/>
      <c r="K496" s="136"/>
      <c r="M496" s="136"/>
      <c r="O496" s="123"/>
      <c r="Q496" s="136"/>
      <c r="S496" s="136"/>
      <c r="U496" s="123"/>
      <c r="W496" s="136"/>
      <c r="Y496" s="136"/>
      <c r="AA496" s="123"/>
      <c r="AC496" s="136"/>
      <c r="AE496" s="136"/>
      <c r="AG496" s="123"/>
    </row>
    <row r="497" spans="2:33" s="182" customFormat="1" ht="15">
      <c r="B497" s="123"/>
      <c r="C497" s="123"/>
      <c r="D497" s="123"/>
      <c r="E497" s="123"/>
      <c r="F497" s="123"/>
      <c r="G497" s="123"/>
      <c r="I497" s="123"/>
      <c r="K497" s="136"/>
      <c r="M497" s="136"/>
      <c r="O497" s="123"/>
      <c r="Q497" s="136"/>
      <c r="S497" s="136"/>
      <c r="U497" s="123"/>
      <c r="W497" s="136"/>
      <c r="Y497" s="136"/>
      <c r="AA497" s="123"/>
      <c r="AC497" s="136"/>
      <c r="AE497" s="136"/>
      <c r="AG497" s="123"/>
    </row>
    <row r="498" spans="2:33" s="182" customFormat="1" ht="15">
      <c r="B498" s="123"/>
      <c r="C498" s="123"/>
      <c r="D498" s="123"/>
      <c r="E498" s="123"/>
      <c r="F498" s="123"/>
      <c r="G498" s="123"/>
      <c r="I498" s="123"/>
      <c r="K498" s="136"/>
      <c r="M498" s="136"/>
      <c r="O498" s="123"/>
      <c r="Q498" s="136"/>
      <c r="S498" s="136"/>
      <c r="U498" s="123"/>
      <c r="W498" s="136"/>
      <c r="Y498" s="136"/>
      <c r="AA498" s="123"/>
      <c r="AC498" s="136"/>
      <c r="AE498" s="136"/>
      <c r="AG498" s="123"/>
    </row>
    <row r="499" spans="2:33" s="182" customFormat="1" ht="15">
      <c r="B499" s="123"/>
      <c r="C499" s="123"/>
      <c r="D499" s="123"/>
      <c r="E499" s="123"/>
      <c r="F499" s="123"/>
      <c r="G499" s="123"/>
      <c r="I499" s="123"/>
      <c r="K499" s="136"/>
      <c r="M499" s="136"/>
      <c r="O499" s="123"/>
      <c r="Q499" s="136"/>
      <c r="S499" s="136"/>
      <c r="U499" s="123"/>
      <c r="W499" s="136"/>
      <c r="Y499" s="136"/>
      <c r="AA499" s="123"/>
      <c r="AC499" s="136"/>
      <c r="AE499" s="136"/>
      <c r="AG499" s="123"/>
    </row>
    <row r="500" spans="2:33" s="182" customFormat="1" ht="15">
      <c r="B500" s="123"/>
      <c r="C500" s="123"/>
      <c r="D500" s="123"/>
      <c r="E500" s="123"/>
      <c r="F500" s="123"/>
      <c r="G500" s="123"/>
      <c r="I500" s="123"/>
      <c r="K500" s="136"/>
      <c r="M500" s="136"/>
      <c r="O500" s="123"/>
      <c r="Q500" s="136"/>
      <c r="S500" s="136"/>
      <c r="U500" s="123"/>
      <c r="W500" s="136"/>
      <c r="Y500" s="136"/>
      <c r="AA500" s="123"/>
      <c r="AC500" s="136"/>
      <c r="AE500" s="136"/>
      <c r="AG500" s="123"/>
    </row>
    <row r="501" spans="2:33" s="182" customFormat="1" ht="15">
      <c r="B501" s="123"/>
      <c r="C501" s="123"/>
      <c r="D501" s="123"/>
      <c r="E501" s="123"/>
      <c r="F501" s="123"/>
      <c r="G501" s="123"/>
      <c r="I501" s="123"/>
      <c r="K501" s="136"/>
      <c r="M501" s="136"/>
      <c r="O501" s="123"/>
      <c r="Q501" s="136"/>
      <c r="S501" s="136"/>
      <c r="U501" s="123"/>
      <c r="W501" s="136"/>
      <c r="Y501" s="136"/>
      <c r="AA501" s="123"/>
      <c r="AC501" s="136"/>
      <c r="AE501" s="136"/>
      <c r="AG501" s="123"/>
    </row>
    <row r="502" spans="2:33" s="182" customFormat="1" ht="15">
      <c r="B502" s="123"/>
      <c r="C502" s="123"/>
      <c r="D502" s="123"/>
      <c r="E502" s="123"/>
      <c r="F502" s="123"/>
      <c r="G502" s="123"/>
      <c r="I502" s="123"/>
      <c r="K502" s="136"/>
      <c r="M502" s="136"/>
      <c r="O502" s="123"/>
      <c r="Q502" s="136"/>
      <c r="S502" s="136"/>
      <c r="U502" s="123"/>
      <c r="W502" s="136"/>
      <c r="Y502" s="136"/>
      <c r="AA502" s="123"/>
      <c r="AC502" s="136"/>
      <c r="AE502" s="136"/>
      <c r="AG502" s="123"/>
    </row>
    <row r="503" spans="2:33" s="182" customFormat="1" ht="15">
      <c r="B503" s="123"/>
      <c r="C503" s="123"/>
      <c r="D503" s="123"/>
      <c r="E503" s="123"/>
      <c r="F503" s="123"/>
      <c r="G503" s="123"/>
      <c r="I503" s="123"/>
      <c r="K503" s="136"/>
      <c r="M503" s="136"/>
      <c r="O503" s="123"/>
      <c r="Q503" s="136"/>
      <c r="S503" s="136"/>
      <c r="U503" s="123"/>
      <c r="W503" s="136"/>
      <c r="Y503" s="136"/>
      <c r="AA503" s="123"/>
      <c r="AC503" s="136"/>
      <c r="AE503" s="136"/>
      <c r="AG503" s="123"/>
    </row>
    <row r="504" spans="2:33" s="182" customFormat="1" ht="15">
      <c r="B504" s="123"/>
      <c r="C504" s="123"/>
      <c r="D504" s="123"/>
      <c r="E504" s="123"/>
      <c r="F504" s="123"/>
      <c r="G504" s="123"/>
      <c r="I504" s="123"/>
      <c r="K504" s="136"/>
      <c r="M504" s="136"/>
      <c r="O504" s="123"/>
      <c r="Q504" s="136"/>
      <c r="S504" s="136"/>
      <c r="U504" s="123"/>
      <c r="W504" s="136"/>
      <c r="Y504" s="136"/>
      <c r="AA504" s="123"/>
      <c r="AC504" s="136"/>
      <c r="AE504" s="136"/>
      <c r="AG504" s="123"/>
    </row>
    <row r="505" spans="2:33" s="182" customFormat="1" ht="15">
      <c r="B505" s="123"/>
      <c r="C505" s="123"/>
      <c r="D505" s="123"/>
      <c r="E505" s="123"/>
      <c r="F505" s="123"/>
      <c r="G505" s="123"/>
      <c r="I505" s="123"/>
      <c r="K505" s="136"/>
      <c r="M505" s="136"/>
      <c r="O505" s="123"/>
      <c r="Q505" s="136"/>
      <c r="S505" s="136"/>
      <c r="U505" s="123"/>
      <c r="W505" s="136"/>
      <c r="Y505" s="136"/>
      <c r="AA505" s="123"/>
      <c r="AC505" s="136"/>
      <c r="AE505" s="136"/>
      <c r="AG505" s="123"/>
    </row>
    <row r="506" spans="2:33" s="182" customFormat="1" ht="15">
      <c r="B506" s="123"/>
      <c r="C506" s="123"/>
      <c r="D506" s="123"/>
      <c r="E506" s="123"/>
      <c r="F506" s="123"/>
      <c r="G506" s="123"/>
      <c r="I506" s="123"/>
      <c r="K506" s="136"/>
      <c r="M506" s="136"/>
      <c r="O506" s="123"/>
      <c r="Q506" s="136"/>
      <c r="S506" s="136"/>
      <c r="U506" s="123"/>
      <c r="W506" s="136"/>
      <c r="Y506" s="136"/>
      <c r="AA506" s="123"/>
      <c r="AC506" s="136"/>
      <c r="AE506" s="136"/>
      <c r="AG506" s="123"/>
    </row>
    <row r="507" spans="2:33" s="182" customFormat="1" ht="15">
      <c r="B507" s="123"/>
      <c r="C507" s="123"/>
      <c r="D507" s="123"/>
      <c r="E507" s="123"/>
      <c r="F507" s="123"/>
      <c r="G507" s="123"/>
      <c r="I507" s="123"/>
      <c r="K507" s="136"/>
      <c r="M507" s="136"/>
      <c r="O507" s="123"/>
      <c r="Q507" s="136"/>
      <c r="S507" s="136"/>
      <c r="U507" s="123"/>
      <c r="W507" s="136"/>
      <c r="Y507" s="136"/>
      <c r="AA507" s="123"/>
      <c r="AC507" s="136"/>
      <c r="AE507" s="136"/>
      <c r="AG507" s="123"/>
    </row>
    <row r="508" spans="2:33" s="182" customFormat="1" ht="15">
      <c r="B508" s="123"/>
      <c r="C508" s="123"/>
      <c r="D508" s="123"/>
      <c r="E508" s="123"/>
      <c r="F508" s="123"/>
      <c r="G508" s="123"/>
      <c r="I508" s="123"/>
      <c r="K508" s="136"/>
      <c r="M508" s="136"/>
      <c r="O508" s="123"/>
      <c r="Q508" s="136"/>
      <c r="S508" s="136"/>
      <c r="U508" s="123"/>
      <c r="W508" s="136"/>
      <c r="Y508" s="136"/>
      <c r="AA508" s="123"/>
      <c r="AC508" s="136"/>
      <c r="AE508" s="136"/>
      <c r="AG508" s="123"/>
    </row>
    <row r="509" spans="2:33" s="182" customFormat="1" ht="15">
      <c r="B509" s="123"/>
      <c r="C509" s="123"/>
      <c r="D509" s="123"/>
      <c r="E509" s="123"/>
      <c r="F509" s="123"/>
      <c r="G509" s="123"/>
      <c r="I509" s="123"/>
      <c r="K509" s="136"/>
      <c r="M509" s="136"/>
      <c r="O509" s="123"/>
      <c r="Q509" s="136"/>
      <c r="S509" s="136"/>
      <c r="U509" s="123"/>
      <c r="W509" s="136"/>
      <c r="Y509" s="136"/>
      <c r="AA509" s="123"/>
      <c r="AC509" s="136"/>
      <c r="AE509" s="136"/>
      <c r="AG509" s="123"/>
    </row>
    <row r="510" spans="2:33" s="182" customFormat="1" ht="15">
      <c r="B510" s="123"/>
      <c r="C510" s="123"/>
      <c r="D510" s="123"/>
      <c r="E510" s="123"/>
      <c r="F510" s="123"/>
      <c r="G510" s="123"/>
      <c r="I510" s="123"/>
      <c r="K510" s="136"/>
      <c r="M510" s="136"/>
      <c r="O510" s="123"/>
      <c r="Q510" s="136"/>
      <c r="S510" s="136"/>
      <c r="U510" s="123"/>
      <c r="W510" s="136"/>
      <c r="Y510" s="136"/>
      <c r="AA510" s="123"/>
      <c r="AC510" s="136"/>
      <c r="AE510" s="136"/>
      <c r="AG510" s="123"/>
    </row>
    <row r="511" spans="2:33" s="182" customFormat="1" ht="15">
      <c r="B511" s="123"/>
      <c r="C511" s="123"/>
      <c r="D511" s="123"/>
      <c r="E511" s="123"/>
      <c r="F511" s="123"/>
      <c r="G511" s="123"/>
      <c r="I511" s="123"/>
      <c r="K511" s="136"/>
      <c r="M511" s="136"/>
      <c r="O511" s="123"/>
      <c r="Q511" s="136"/>
      <c r="S511" s="136"/>
      <c r="U511" s="123"/>
      <c r="W511" s="136"/>
      <c r="Y511" s="136"/>
      <c r="AA511" s="123"/>
      <c r="AC511" s="136"/>
      <c r="AE511" s="136"/>
      <c r="AG511" s="123"/>
    </row>
    <row r="512" spans="2:33" s="182" customFormat="1" ht="15">
      <c r="B512" s="123"/>
      <c r="C512" s="123"/>
      <c r="D512" s="123"/>
      <c r="E512" s="123"/>
      <c r="F512" s="123"/>
      <c r="G512" s="123"/>
      <c r="I512" s="123"/>
      <c r="K512" s="136"/>
      <c r="M512" s="136"/>
      <c r="O512" s="123"/>
      <c r="Q512" s="136"/>
      <c r="S512" s="136"/>
      <c r="U512" s="123"/>
      <c r="W512" s="136"/>
      <c r="Y512" s="136"/>
      <c r="AA512" s="123"/>
      <c r="AC512" s="136"/>
      <c r="AE512" s="136"/>
      <c r="AG512" s="123"/>
    </row>
    <row r="513" spans="1:33" s="182" customFormat="1" ht="15">
      <c r="B513" s="123"/>
      <c r="C513" s="123"/>
      <c r="D513" s="123"/>
      <c r="E513" s="123"/>
      <c r="F513" s="123"/>
      <c r="G513" s="123"/>
      <c r="I513" s="123"/>
      <c r="K513" s="136"/>
      <c r="M513" s="136"/>
      <c r="O513" s="123"/>
      <c r="Q513" s="136"/>
      <c r="S513" s="136"/>
      <c r="U513" s="123"/>
      <c r="W513" s="136"/>
      <c r="Y513" s="136"/>
      <c r="AA513" s="123"/>
      <c r="AC513" s="136"/>
      <c r="AE513" s="136"/>
      <c r="AG513" s="123"/>
    </row>
    <row r="514" spans="1:33" s="182" customFormat="1" ht="15">
      <c r="B514" s="123"/>
      <c r="C514" s="123"/>
      <c r="D514" s="123"/>
      <c r="E514" s="123"/>
      <c r="F514" s="123"/>
      <c r="G514" s="123"/>
      <c r="I514" s="123"/>
      <c r="K514" s="136"/>
      <c r="M514" s="136"/>
      <c r="O514" s="123"/>
      <c r="Q514" s="136"/>
      <c r="S514" s="136"/>
      <c r="U514" s="123"/>
      <c r="W514" s="136"/>
      <c r="Y514" s="136"/>
      <c r="AA514" s="123"/>
      <c r="AC514" s="136"/>
      <c r="AE514" s="136"/>
      <c r="AG514" s="123"/>
    </row>
    <row r="515" spans="1:33" s="182" customFormat="1" ht="15">
      <c r="B515" s="123"/>
      <c r="C515" s="123"/>
      <c r="D515" s="123"/>
      <c r="E515" s="123"/>
      <c r="F515" s="123"/>
      <c r="G515" s="123"/>
      <c r="I515" s="123"/>
      <c r="K515" s="136"/>
      <c r="M515" s="136"/>
      <c r="O515" s="123"/>
      <c r="Q515" s="136"/>
      <c r="S515" s="136"/>
      <c r="U515" s="123"/>
      <c r="W515" s="136"/>
      <c r="Y515" s="136"/>
      <c r="AA515" s="123"/>
      <c r="AC515" s="136"/>
      <c r="AE515" s="136"/>
      <c r="AG515" s="123"/>
    </row>
    <row r="516" spans="1:33" s="182" customFormat="1" ht="15">
      <c r="B516" s="123"/>
      <c r="C516" s="123"/>
      <c r="D516" s="123"/>
      <c r="E516" s="123"/>
      <c r="F516" s="123"/>
      <c r="G516" s="123"/>
      <c r="I516" s="123"/>
      <c r="K516" s="136"/>
      <c r="M516" s="136"/>
      <c r="O516" s="123"/>
      <c r="Q516" s="136"/>
      <c r="S516" s="136"/>
      <c r="U516" s="123"/>
      <c r="W516" s="136"/>
      <c r="Y516" s="136"/>
      <c r="AA516" s="123"/>
      <c r="AC516" s="136"/>
      <c r="AE516" s="136"/>
      <c r="AG516" s="123"/>
    </row>
    <row r="517" spans="1:33" s="182" customFormat="1" ht="15">
      <c r="B517" s="123"/>
      <c r="C517" s="123"/>
      <c r="D517" s="123"/>
      <c r="E517" s="123"/>
      <c r="F517" s="123"/>
      <c r="G517" s="123"/>
      <c r="I517" s="123"/>
      <c r="K517" s="136"/>
      <c r="M517" s="136"/>
      <c r="O517" s="123"/>
      <c r="Q517" s="136"/>
      <c r="S517" s="136"/>
      <c r="U517" s="123"/>
      <c r="W517" s="136"/>
      <c r="Y517" s="136"/>
      <c r="AA517" s="123"/>
      <c r="AC517" s="136"/>
      <c r="AE517" s="136"/>
      <c r="AG517" s="123"/>
    </row>
    <row r="518" spans="1:33" s="182" customFormat="1" ht="15">
      <c r="B518" s="123"/>
      <c r="C518" s="123"/>
      <c r="D518" s="123"/>
      <c r="E518" s="123"/>
      <c r="F518" s="123"/>
      <c r="G518" s="123"/>
      <c r="I518" s="123"/>
      <c r="K518" s="136"/>
      <c r="M518" s="136"/>
      <c r="O518" s="123"/>
      <c r="Q518" s="136"/>
      <c r="S518" s="136"/>
      <c r="U518" s="123"/>
      <c r="W518" s="136"/>
      <c r="Y518" s="136"/>
      <c r="AA518" s="123"/>
      <c r="AC518" s="136"/>
      <c r="AE518" s="136"/>
      <c r="AG518" s="123"/>
    </row>
    <row r="519" spans="1:33" s="182" customFormat="1" ht="15">
      <c r="B519" s="123"/>
      <c r="C519" s="123"/>
      <c r="D519" s="123"/>
      <c r="E519" s="123"/>
      <c r="F519" s="123"/>
      <c r="G519" s="123"/>
      <c r="I519" s="123"/>
      <c r="K519" s="136"/>
      <c r="M519" s="136"/>
      <c r="O519" s="123"/>
      <c r="Q519" s="136"/>
      <c r="S519" s="136"/>
      <c r="U519" s="123"/>
      <c r="W519" s="136"/>
      <c r="Y519" s="136"/>
      <c r="AA519" s="123"/>
      <c r="AC519" s="136"/>
      <c r="AE519" s="136"/>
      <c r="AG519" s="123"/>
    </row>
    <row r="520" spans="1:33" s="182" customFormat="1" ht="15">
      <c r="B520" s="123"/>
      <c r="C520" s="123"/>
      <c r="D520" s="123"/>
      <c r="E520" s="123"/>
      <c r="F520" s="123"/>
      <c r="G520" s="123"/>
      <c r="I520" s="123"/>
      <c r="K520" s="136"/>
      <c r="M520" s="136"/>
      <c r="O520" s="123"/>
      <c r="Q520" s="136"/>
      <c r="S520" s="136"/>
      <c r="U520" s="123"/>
      <c r="W520" s="136"/>
      <c r="Y520" s="136"/>
      <c r="AA520" s="123"/>
      <c r="AC520" s="136"/>
      <c r="AE520" s="136"/>
      <c r="AG520" s="123"/>
    </row>
    <row r="521" spans="1:33" s="182" customFormat="1" ht="15">
      <c r="B521" s="123"/>
      <c r="C521" s="123"/>
      <c r="D521" s="123"/>
      <c r="E521" s="123"/>
      <c r="F521" s="123"/>
      <c r="G521" s="123"/>
      <c r="I521" s="123"/>
      <c r="K521" s="136"/>
      <c r="M521" s="136"/>
      <c r="O521" s="123"/>
      <c r="Q521" s="136"/>
      <c r="S521" s="136"/>
      <c r="U521" s="123"/>
      <c r="W521" s="136"/>
      <c r="Y521" s="136"/>
      <c r="AA521" s="123"/>
      <c r="AC521" s="136"/>
      <c r="AE521" s="136"/>
      <c r="AG521" s="123"/>
    </row>
    <row r="522" spans="1:33" s="182" customFormat="1" ht="15">
      <c r="B522" s="123"/>
      <c r="C522" s="123"/>
      <c r="D522" s="123"/>
      <c r="E522" s="123"/>
      <c r="F522" s="123"/>
      <c r="G522" s="123"/>
      <c r="I522" s="123"/>
      <c r="K522" s="136"/>
      <c r="M522" s="136"/>
      <c r="O522" s="123"/>
      <c r="Q522" s="136"/>
      <c r="S522" s="136"/>
      <c r="U522" s="123"/>
      <c r="W522" s="136"/>
      <c r="Y522" s="136"/>
      <c r="AA522" s="123"/>
      <c r="AC522" s="136"/>
      <c r="AE522" s="136"/>
      <c r="AG522" s="123"/>
    </row>
    <row r="523" spans="1:33" s="182" customFormat="1">
      <c r="A523" s="123"/>
      <c r="B523" s="123"/>
      <c r="C523" s="123"/>
      <c r="D523" s="123"/>
      <c r="E523" s="123"/>
      <c r="F523" s="123"/>
      <c r="G523" s="123"/>
      <c r="I523" s="123"/>
      <c r="K523" s="123"/>
      <c r="M523" s="123"/>
      <c r="O523" s="123"/>
      <c r="Q523" s="123"/>
      <c r="S523" s="123"/>
      <c r="U523" s="123"/>
      <c r="W523" s="123"/>
      <c r="Y523" s="123"/>
      <c r="AA523" s="123"/>
      <c r="AC523" s="123"/>
      <c r="AE523" s="123"/>
      <c r="AG523" s="123"/>
    </row>
    <row r="524" spans="1:33" s="182" customFormat="1">
      <c r="A524" s="123"/>
      <c r="B524" s="123"/>
      <c r="C524" s="123"/>
      <c r="D524" s="123"/>
      <c r="E524" s="123"/>
      <c r="F524" s="123"/>
      <c r="G524" s="123"/>
      <c r="I524" s="123"/>
      <c r="K524" s="123"/>
      <c r="M524" s="123"/>
      <c r="O524" s="123"/>
      <c r="Q524" s="123"/>
      <c r="S524" s="123"/>
      <c r="U524" s="123"/>
      <c r="W524" s="123"/>
      <c r="Y524" s="123"/>
      <c r="AA524" s="123"/>
      <c r="AC524" s="123"/>
      <c r="AE524" s="123"/>
      <c r="AG524" s="123"/>
    </row>
    <row r="525" spans="1:33" s="182" customFormat="1">
      <c r="A525" s="123"/>
      <c r="B525" s="123"/>
      <c r="C525" s="123"/>
      <c r="D525" s="123"/>
      <c r="E525" s="123"/>
      <c r="F525" s="123"/>
      <c r="G525" s="123"/>
      <c r="I525" s="123"/>
      <c r="K525" s="123"/>
      <c r="M525" s="123"/>
      <c r="O525" s="123"/>
      <c r="Q525" s="123"/>
      <c r="S525" s="123"/>
      <c r="U525" s="123"/>
      <c r="W525" s="123"/>
      <c r="Y525" s="123"/>
      <c r="AA525" s="123"/>
      <c r="AC525" s="123"/>
      <c r="AE525" s="123"/>
      <c r="AG525" s="123"/>
    </row>
    <row r="526" spans="1:33" s="182" customFormat="1">
      <c r="A526" s="123"/>
      <c r="B526" s="123"/>
      <c r="C526" s="123"/>
      <c r="D526" s="123"/>
      <c r="E526" s="123"/>
      <c r="F526" s="123"/>
      <c r="G526" s="123"/>
      <c r="I526" s="123"/>
      <c r="K526" s="123"/>
      <c r="M526" s="123"/>
      <c r="O526" s="123"/>
      <c r="Q526" s="123"/>
      <c r="S526" s="123"/>
      <c r="U526" s="123"/>
      <c r="W526" s="123"/>
      <c r="Y526" s="123"/>
      <c r="AA526" s="123"/>
      <c r="AC526" s="123"/>
      <c r="AE526" s="123"/>
      <c r="AG526" s="123"/>
    </row>
    <row r="527" spans="1:33" s="182" customFormat="1">
      <c r="A527" s="123"/>
      <c r="B527" s="123"/>
      <c r="C527" s="123"/>
      <c r="D527" s="123"/>
      <c r="E527" s="123"/>
      <c r="F527" s="123"/>
      <c r="G527" s="123"/>
      <c r="I527" s="123"/>
      <c r="K527" s="123"/>
      <c r="M527" s="123"/>
      <c r="O527" s="123"/>
      <c r="Q527" s="123"/>
      <c r="S527" s="123"/>
      <c r="U527" s="123"/>
      <c r="W527" s="123"/>
      <c r="Y527" s="123"/>
      <c r="AA527" s="123"/>
      <c r="AC527" s="123"/>
      <c r="AE527" s="123"/>
      <c r="AG527" s="123"/>
    </row>
    <row r="528" spans="1:33" s="182" customFormat="1">
      <c r="A528" s="123"/>
      <c r="B528" s="123"/>
      <c r="C528" s="123"/>
      <c r="D528" s="123"/>
      <c r="E528" s="123"/>
      <c r="F528" s="123"/>
      <c r="G528" s="123"/>
      <c r="I528" s="123"/>
      <c r="K528" s="123"/>
      <c r="M528" s="123"/>
      <c r="O528" s="123"/>
      <c r="Q528" s="123"/>
      <c r="S528" s="123"/>
      <c r="U528" s="123"/>
      <c r="W528" s="123"/>
      <c r="Y528" s="123"/>
      <c r="AA528" s="123"/>
      <c r="AC528" s="123"/>
      <c r="AE528" s="123"/>
      <c r="AG528" s="123"/>
    </row>
    <row r="529" spans="1:33" s="182" customFormat="1">
      <c r="A529" s="123"/>
      <c r="B529" s="123"/>
      <c r="C529" s="123"/>
      <c r="D529" s="123"/>
      <c r="E529" s="123"/>
      <c r="F529" s="123"/>
      <c r="G529" s="123"/>
      <c r="I529" s="123"/>
      <c r="K529" s="123"/>
      <c r="M529" s="123"/>
      <c r="O529" s="123"/>
      <c r="Q529" s="123"/>
      <c r="S529" s="123"/>
      <c r="U529" s="123"/>
      <c r="W529" s="123"/>
      <c r="Y529" s="123"/>
      <c r="AA529" s="123"/>
      <c r="AC529" s="123"/>
      <c r="AE529" s="123"/>
      <c r="AG529" s="123"/>
    </row>
    <row r="530" spans="1:33" s="182" customFormat="1">
      <c r="A530" s="123"/>
      <c r="B530" s="123"/>
      <c r="C530" s="123"/>
      <c r="D530" s="123"/>
      <c r="E530" s="123"/>
      <c r="F530" s="123"/>
      <c r="G530" s="123"/>
      <c r="I530" s="123"/>
      <c r="K530" s="123"/>
      <c r="M530" s="123"/>
      <c r="O530" s="123"/>
      <c r="Q530" s="123"/>
      <c r="S530" s="123"/>
      <c r="U530" s="123"/>
      <c r="W530" s="123"/>
      <c r="Y530" s="123"/>
      <c r="AA530" s="123"/>
      <c r="AC530" s="123"/>
      <c r="AE530" s="123"/>
      <c r="AG530" s="123"/>
    </row>
    <row r="531" spans="1:33" s="182" customFormat="1">
      <c r="A531" s="123"/>
      <c r="B531" s="123"/>
      <c r="C531" s="123"/>
      <c r="D531" s="123"/>
      <c r="E531" s="123"/>
      <c r="F531" s="123"/>
      <c r="G531" s="123"/>
      <c r="I531" s="123"/>
      <c r="K531" s="123"/>
      <c r="M531" s="123"/>
      <c r="O531" s="123"/>
      <c r="Q531" s="123"/>
      <c r="S531" s="123"/>
      <c r="U531" s="123"/>
      <c r="W531" s="123"/>
      <c r="Y531" s="123"/>
      <c r="AA531" s="123"/>
      <c r="AC531" s="123"/>
      <c r="AE531" s="123"/>
      <c r="AG531" s="123"/>
    </row>
    <row r="532" spans="1:33" s="182" customFormat="1">
      <c r="A532" s="123"/>
      <c r="B532" s="123"/>
      <c r="C532" s="123"/>
      <c r="D532" s="123"/>
      <c r="E532" s="123"/>
      <c r="F532" s="123"/>
      <c r="G532" s="123"/>
      <c r="I532" s="123"/>
      <c r="K532" s="123"/>
      <c r="M532" s="123"/>
      <c r="O532" s="123"/>
      <c r="Q532" s="123"/>
      <c r="S532" s="123"/>
      <c r="U532" s="123"/>
      <c r="W532" s="123"/>
      <c r="Y532" s="123"/>
      <c r="AA532" s="123"/>
      <c r="AC532" s="123"/>
      <c r="AE532" s="123"/>
      <c r="AG532" s="123"/>
    </row>
    <row r="533" spans="1:33" s="182" customFormat="1">
      <c r="A533" s="123"/>
      <c r="B533" s="123"/>
      <c r="C533" s="123"/>
      <c r="D533" s="123"/>
      <c r="E533" s="123"/>
      <c r="F533" s="123"/>
      <c r="G533" s="123"/>
      <c r="I533" s="123"/>
      <c r="K533" s="123"/>
      <c r="M533" s="123"/>
      <c r="O533" s="123"/>
      <c r="Q533" s="123"/>
      <c r="S533" s="123"/>
      <c r="U533" s="123"/>
      <c r="W533" s="123"/>
      <c r="Y533" s="123"/>
      <c r="AA533" s="123"/>
      <c r="AC533" s="123"/>
      <c r="AE533" s="123"/>
      <c r="AG533" s="123"/>
    </row>
    <row r="534" spans="1:33" s="182" customFormat="1">
      <c r="A534" s="123"/>
      <c r="B534" s="123"/>
      <c r="C534" s="123"/>
      <c r="D534" s="123"/>
      <c r="E534" s="123"/>
      <c r="F534" s="123"/>
      <c r="G534" s="123"/>
      <c r="I534" s="123"/>
      <c r="K534" s="123"/>
      <c r="M534" s="123"/>
      <c r="O534" s="123"/>
      <c r="Q534" s="123"/>
      <c r="S534" s="123"/>
      <c r="U534" s="123"/>
      <c r="W534" s="123"/>
      <c r="Y534" s="123"/>
      <c r="AA534" s="123"/>
      <c r="AC534" s="123"/>
      <c r="AE534" s="123"/>
      <c r="AG534" s="123"/>
    </row>
    <row r="535" spans="1:33" s="182" customFormat="1">
      <c r="A535" s="123"/>
      <c r="B535" s="123"/>
      <c r="C535" s="123"/>
      <c r="D535" s="123"/>
      <c r="E535" s="123"/>
      <c r="F535" s="123"/>
      <c r="G535" s="123"/>
      <c r="I535" s="123"/>
      <c r="K535" s="123"/>
      <c r="M535" s="123"/>
      <c r="O535" s="123"/>
      <c r="Q535" s="123"/>
      <c r="S535" s="123"/>
      <c r="U535" s="123"/>
      <c r="W535" s="123"/>
      <c r="Y535" s="123"/>
      <c r="AA535" s="123"/>
      <c r="AC535" s="123"/>
      <c r="AE535" s="123"/>
      <c r="AG535" s="123"/>
    </row>
    <row r="536" spans="1:33" s="182" customFormat="1">
      <c r="A536" s="123"/>
      <c r="B536" s="123"/>
      <c r="C536" s="123"/>
      <c r="D536" s="123"/>
      <c r="E536" s="123"/>
      <c r="F536" s="123"/>
      <c r="G536" s="123"/>
      <c r="I536" s="123"/>
      <c r="K536" s="123"/>
      <c r="M536" s="123"/>
      <c r="O536" s="123"/>
      <c r="Q536" s="123"/>
      <c r="S536" s="123"/>
      <c r="U536" s="123"/>
      <c r="W536" s="123"/>
      <c r="Y536" s="123"/>
      <c r="AA536" s="123"/>
      <c r="AC536" s="123"/>
      <c r="AE536" s="123"/>
      <c r="AG536" s="123"/>
    </row>
    <row r="537" spans="1:33" s="182" customFormat="1">
      <c r="A537" s="123"/>
      <c r="B537" s="123"/>
      <c r="C537" s="123"/>
      <c r="D537" s="123"/>
      <c r="E537" s="123"/>
      <c r="F537" s="123"/>
      <c r="G537" s="123"/>
      <c r="I537" s="123"/>
      <c r="K537" s="123"/>
      <c r="M537" s="123"/>
      <c r="O537" s="123"/>
      <c r="Q537" s="123"/>
      <c r="S537" s="123"/>
      <c r="U537" s="123"/>
      <c r="W537" s="123"/>
      <c r="Y537" s="123"/>
      <c r="AA537" s="123"/>
      <c r="AC537" s="123"/>
      <c r="AE537" s="123"/>
      <c r="AG537" s="123"/>
    </row>
  </sheetData>
  <mergeCells count="1">
    <mergeCell ref="H1:R2"/>
  </mergeCells>
  <pageMargins left="0.25" right="0.25" top="0.27" bottom="0.4" header="0.18" footer="0.25"/>
  <pageSetup scale="54" fitToHeight="0" pageOrder="overThenDown" orientation="portrait" errors="blank" r:id="rId1"/>
  <headerFooter alignWithMargins="0">
    <oddFooter>&amp;L&amp;F - &amp;A&amp;CPrinted &amp;D - &amp;T&amp;RPage &amp;P of &amp;N</oddFooter>
  </headerFooter>
  <rowBreaks count="1" manualBreakCount="1">
    <brk id="212" min="1" max="32" man="1"/>
  </rowBreaks>
  <colBreaks count="1" manualBreakCount="1">
    <brk id="19" max="32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view="pageBreakPreview" zoomScale="60" zoomScaleNormal="100" workbookViewId="0">
      <pane ySplit="6" topLeftCell="A7" activePane="bottomLeft" state="frozen"/>
      <selection activeCell="G20" sqref="G20"/>
      <selection pane="bottomLeft" activeCell="G20" sqref="G20"/>
    </sheetView>
  </sheetViews>
  <sheetFormatPr defaultRowHeight="12.75"/>
  <cols>
    <col min="1" max="1" width="20" style="873" bestFit="1" customWidth="1"/>
    <col min="2" max="2" width="21.42578125" style="873" bestFit="1" customWidth="1"/>
    <col min="3" max="3" width="16.42578125" style="873" bestFit="1" customWidth="1"/>
    <col min="4" max="4" width="12.5703125" style="873" bestFit="1" customWidth="1"/>
    <col min="5" max="5" width="10.42578125" style="873" bestFit="1" customWidth="1"/>
    <col min="6" max="6" width="9" style="873" bestFit="1" customWidth="1"/>
    <col min="7" max="7" width="7.7109375" style="873" bestFit="1" customWidth="1"/>
    <col min="8" max="8" width="8.85546875" style="873" bestFit="1" customWidth="1"/>
    <col min="9" max="9" width="7.28515625" style="873" bestFit="1" customWidth="1"/>
    <col min="10" max="10" width="10.140625" style="873" bestFit="1" customWidth="1"/>
    <col min="11" max="11" width="11.85546875" style="873" bestFit="1" customWidth="1"/>
    <col min="12" max="12" width="7.7109375" style="873" bestFit="1" customWidth="1"/>
    <col min="13" max="13" width="11.7109375" style="873" bestFit="1" customWidth="1"/>
    <col min="14" max="14" width="11.42578125" style="873" bestFit="1" customWidth="1"/>
    <col min="15" max="15" width="17" style="873" bestFit="1" customWidth="1"/>
    <col min="16" max="16" width="12.85546875" style="873" bestFit="1" customWidth="1"/>
    <col min="17" max="17" width="16.5703125" style="873" bestFit="1" customWidth="1"/>
    <col min="18" max="18" width="9.28515625" style="873" bestFit="1" customWidth="1"/>
    <col min="19" max="19" width="10.7109375" style="873" bestFit="1" customWidth="1"/>
    <col min="20" max="256" width="9.140625" style="873"/>
    <col min="257" max="257" width="20" style="873" bestFit="1" customWidth="1"/>
    <col min="258" max="258" width="21.42578125" style="873" bestFit="1" customWidth="1"/>
    <col min="259" max="259" width="16.42578125" style="873" bestFit="1" customWidth="1"/>
    <col min="260" max="260" width="12.5703125" style="873" bestFit="1" customWidth="1"/>
    <col min="261" max="261" width="10.42578125" style="873" bestFit="1" customWidth="1"/>
    <col min="262" max="262" width="9" style="873" bestFit="1" customWidth="1"/>
    <col min="263" max="263" width="7.7109375" style="873" bestFit="1" customWidth="1"/>
    <col min="264" max="264" width="8.85546875" style="873" bestFit="1" customWidth="1"/>
    <col min="265" max="265" width="7.28515625" style="873" bestFit="1" customWidth="1"/>
    <col min="266" max="266" width="10.140625" style="873" bestFit="1" customWidth="1"/>
    <col min="267" max="267" width="11.85546875" style="873" bestFit="1" customWidth="1"/>
    <col min="268" max="268" width="7.7109375" style="873" bestFit="1" customWidth="1"/>
    <col min="269" max="269" width="11.7109375" style="873" bestFit="1" customWidth="1"/>
    <col min="270" max="270" width="11.42578125" style="873" bestFit="1" customWidth="1"/>
    <col min="271" max="271" width="17" style="873" bestFit="1" customWidth="1"/>
    <col min="272" max="272" width="12.85546875" style="873" bestFit="1" customWidth="1"/>
    <col min="273" max="273" width="16.5703125" style="873" bestFit="1" customWidth="1"/>
    <col min="274" max="274" width="9.28515625" style="873" bestFit="1" customWidth="1"/>
    <col min="275" max="275" width="10.7109375" style="873" bestFit="1" customWidth="1"/>
    <col min="276" max="512" width="9.140625" style="873"/>
    <col min="513" max="513" width="20" style="873" bestFit="1" customWidth="1"/>
    <col min="514" max="514" width="21.42578125" style="873" bestFit="1" customWidth="1"/>
    <col min="515" max="515" width="16.42578125" style="873" bestFit="1" customWidth="1"/>
    <col min="516" max="516" width="12.5703125" style="873" bestFit="1" customWidth="1"/>
    <col min="517" max="517" width="10.42578125" style="873" bestFit="1" customWidth="1"/>
    <col min="518" max="518" width="9" style="873" bestFit="1" customWidth="1"/>
    <col min="519" max="519" width="7.7109375" style="873" bestFit="1" customWidth="1"/>
    <col min="520" max="520" width="8.85546875" style="873" bestFit="1" customWidth="1"/>
    <col min="521" max="521" width="7.28515625" style="873" bestFit="1" customWidth="1"/>
    <col min="522" max="522" width="10.140625" style="873" bestFit="1" customWidth="1"/>
    <col min="523" max="523" width="11.85546875" style="873" bestFit="1" customWidth="1"/>
    <col min="524" max="524" width="7.7109375" style="873" bestFit="1" customWidth="1"/>
    <col min="525" max="525" width="11.7109375" style="873" bestFit="1" customWidth="1"/>
    <col min="526" max="526" width="11.42578125" style="873" bestFit="1" customWidth="1"/>
    <col min="527" max="527" width="17" style="873" bestFit="1" customWidth="1"/>
    <col min="528" max="528" width="12.85546875" style="873" bestFit="1" customWidth="1"/>
    <col min="529" max="529" width="16.5703125" style="873" bestFit="1" customWidth="1"/>
    <col min="530" max="530" width="9.28515625" style="873" bestFit="1" customWidth="1"/>
    <col min="531" max="531" width="10.7109375" style="873" bestFit="1" customWidth="1"/>
    <col min="532" max="768" width="9.140625" style="873"/>
    <col min="769" max="769" width="20" style="873" bestFit="1" customWidth="1"/>
    <col min="770" max="770" width="21.42578125" style="873" bestFit="1" customWidth="1"/>
    <col min="771" max="771" width="16.42578125" style="873" bestFit="1" customWidth="1"/>
    <col min="772" max="772" width="12.5703125" style="873" bestFit="1" customWidth="1"/>
    <col min="773" max="773" width="10.42578125" style="873" bestFit="1" customWidth="1"/>
    <col min="774" max="774" width="9" style="873" bestFit="1" customWidth="1"/>
    <col min="775" max="775" width="7.7109375" style="873" bestFit="1" customWidth="1"/>
    <col min="776" max="776" width="8.85546875" style="873" bestFit="1" customWidth="1"/>
    <col min="777" max="777" width="7.28515625" style="873" bestFit="1" customWidth="1"/>
    <col min="778" max="778" width="10.140625" style="873" bestFit="1" customWidth="1"/>
    <col min="779" max="779" width="11.85546875" style="873" bestFit="1" customWidth="1"/>
    <col min="780" max="780" width="7.7109375" style="873" bestFit="1" customWidth="1"/>
    <col min="781" max="781" width="11.7109375" style="873" bestFit="1" customWidth="1"/>
    <col min="782" max="782" width="11.42578125" style="873" bestFit="1" customWidth="1"/>
    <col min="783" max="783" width="17" style="873" bestFit="1" customWidth="1"/>
    <col min="784" max="784" width="12.85546875" style="873" bestFit="1" customWidth="1"/>
    <col min="785" max="785" width="16.5703125" style="873" bestFit="1" customWidth="1"/>
    <col min="786" max="786" width="9.28515625" style="873" bestFit="1" customWidth="1"/>
    <col min="787" max="787" width="10.7109375" style="873" bestFit="1" customWidth="1"/>
    <col min="788" max="1024" width="9.140625" style="873"/>
    <col min="1025" max="1025" width="20" style="873" bestFit="1" customWidth="1"/>
    <col min="1026" max="1026" width="21.42578125" style="873" bestFit="1" customWidth="1"/>
    <col min="1027" max="1027" width="16.42578125" style="873" bestFit="1" customWidth="1"/>
    <col min="1028" max="1028" width="12.5703125" style="873" bestFit="1" customWidth="1"/>
    <col min="1029" max="1029" width="10.42578125" style="873" bestFit="1" customWidth="1"/>
    <col min="1030" max="1030" width="9" style="873" bestFit="1" customWidth="1"/>
    <col min="1031" max="1031" width="7.7109375" style="873" bestFit="1" customWidth="1"/>
    <col min="1032" max="1032" width="8.85546875" style="873" bestFit="1" customWidth="1"/>
    <col min="1033" max="1033" width="7.28515625" style="873" bestFit="1" customWidth="1"/>
    <col min="1034" max="1034" width="10.140625" style="873" bestFit="1" customWidth="1"/>
    <col min="1035" max="1035" width="11.85546875" style="873" bestFit="1" customWidth="1"/>
    <col min="1036" max="1036" width="7.7109375" style="873" bestFit="1" customWidth="1"/>
    <col min="1037" max="1037" width="11.7109375" style="873" bestFit="1" customWidth="1"/>
    <col min="1038" max="1038" width="11.42578125" style="873" bestFit="1" customWidth="1"/>
    <col min="1039" max="1039" width="17" style="873" bestFit="1" customWidth="1"/>
    <col min="1040" max="1040" width="12.85546875" style="873" bestFit="1" customWidth="1"/>
    <col min="1041" max="1041" width="16.5703125" style="873" bestFit="1" customWidth="1"/>
    <col min="1042" max="1042" width="9.28515625" style="873" bestFit="1" customWidth="1"/>
    <col min="1043" max="1043" width="10.7109375" style="873" bestFit="1" customWidth="1"/>
    <col min="1044" max="1280" width="9.140625" style="873"/>
    <col min="1281" max="1281" width="20" style="873" bestFit="1" customWidth="1"/>
    <col min="1282" max="1282" width="21.42578125" style="873" bestFit="1" customWidth="1"/>
    <col min="1283" max="1283" width="16.42578125" style="873" bestFit="1" customWidth="1"/>
    <col min="1284" max="1284" width="12.5703125" style="873" bestFit="1" customWidth="1"/>
    <col min="1285" max="1285" width="10.42578125" style="873" bestFit="1" customWidth="1"/>
    <col min="1286" max="1286" width="9" style="873" bestFit="1" customWidth="1"/>
    <col min="1287" max="1287" width="7.7109375" style="873" bestFit="1" customWidth="1"/>
    <col min="1288" max="1288" width="8.85546875" style="873" bestFit="1" customWidth="1"/>
    <col min="1289" max="1289" width="7.28515625" style="873" bestFit="1" customWidth="1"/>
    <col min="1290" max="1290" width="10.140625" style="873" bestFit="1" customWidth="1"/>
    <col min="1291" max="1291" width="11.85546875" style="873" bestFit="1" customWidth="1"/>
    <col min="1292" max="1292" width="7.7109375" style="873" bestFit="1" customWidth="1"/>
    <col min="1293" max="1293" width="11.7109375" style="873" bestFit="1" customWidth="1"/>
    <col min="1294" max="1294" width="11.42578125" style="873" bestFit="1" customWidth="1"/>
    <col min="1295" max="1295" width="17" style="873" bestFit="1" customWidth="1"/>
    <col min="1296" max="1296" width="12.85546875" style="873" bestFit="1" customWidth="1"/>
    <col min="1297" max="1297" width="16.5703125" style="873" bestFit="1" customWidth="1"/>
    <col min="1298" max="1298" width="9.28515625" style="873" bestFit="1" customWidth="1"/>
    <col min="1299" max="1299" width="10.7109375" style="873" bestFit="1" customWidth="1"/>
    <col min="1300" max="1536" width="9.140625" style="873"/>
    <col min="1537" max="1537" width="20" style="873" bestFit="1" customWidth="1"/>
    <col min="1538" max="1538" width="21.42578125" style="873" bestFit="1" customWidth="1"/>
    <col min="1539" max="1539" width="16.42578125" style="873" bestFit="1" customWidth="1"/>
    <col min="1540" max="1540" width="12.5703125" style="873" bestFit="1" customWidth="1"/>
    <col min="1541" max="1541" width="10.42578125" style="873" bestFit="1" customWidth="1"/>
    <col min="1542" max="1542" width="9" style="873" bestFit="1" customWidth="1"/>
    <col min="1543" max="1543" width="7.7109375" style="873" bestFit="1" customWidth="1"/>
    <col min="1544" max="1544" width="8.85546875" style="873" bestFit="1" customWidth="1"/>
    <col min="1545" max="1545" width="7.28515625" style="873" bestFit="1" customWidth="1"/>
    <col min="1546" max="1546" width="10.140625" style="873" bestFit="1" customWidth="1"/>
    <col min="1547" max="1547" width="11.85546875" style="873" bestFit="1" customWidth="1"/>
    <col min="1548" max="1548" width="7.7109375" style="873" bestFit="1" customWidth="1"/>
    <col min="1549" max="1549" width="11.7109375" style="873" bestFit="1" customWidth="1"/>
    <col min="1550" max="1550" width="11.42578125" style="873" bestFit="1" customWidth="1"/>
    <col min="1551" max="1551" width="17" style="873" bestFit="1" customWidth="1"/>
    <col min="1552" max="1552" width="12.85546875" style="873" bestFit="1" customWidth="1"/>
    <col min="1553" max="1553" width="16.5703125" style="873" bestFit="1" customWidth="1"/>
    <col min="1554" max="1554" width="9.28515625" style="873" bestFit="1" customWidth="1"/>
    <col min="1555" max="1555" width="10.7109375" style="873" bestFit="1" customWidth="1"/>
    <col min="1556" max="1792" width="9.140625" style="873"/>
    <col min="1793" max="1793" width="20" style="873" bestFit="1" customWidth="1"/>
    <col min="1794" max="1794" width="21.42578125" style="873" bestFit="1" customWidth="1"/>
    <col min="1795" max="1795" width="16.42578125" style="873" bestFit="1" customWidth="1"/>
    <col min="1796" max="1796" width="12.5703125" style="873" bestFit="1" customWidth="1"/>
    <col min="1797" max="1797" width="10.42578125" style="873" bestFit="1" customWidth="1"/>
    <col min="1798" max="1798" width="9" style="873" bestFit="1" customWidth="1"/>
    <col min="1799" max="1799" width="7.7109375" style="873" bestFit="1" customWidth="1"/>
    <col min="1800" max="1800" width="8.85546875" style="873" bestFit="1" customWidth="1"/>
    <col min="1801" max="1801" width="7.28515625" style="873" bestFit="1" customWidth="1"/>
    <col min="1802" max="1802" width="10.140625" style="873" bestFit="1" customWidth="1"/>
    <col min="1803" max="1803" width="11.85546875" style="873" bestFit="1" customWidth="1"/>
    <col min="1804" max="1804" width="7.7109375" style="873" bestFit="1" customWidth="1"/>
    <col min="1805" max="1805" width="11.7109375" style="873" bestFit="1" customWidth="1"/>
    <col min="1806" max="1806" width="11.42578125" style="873" bestFit="1" customWidth="1"/>
    <col min="1807" max="1807" width="17" style="873" bestFit="1" customWidth="1"/>
    <col min="1808" max="1808" width="12.85546875" style="873" bestFit="1" customWidth="1"/>
    <col min="1809" max="1809" width="16.5703125" style="873" bestFit="1" customWidth="1"/>
    <col min="1810" max="1810" width="9.28515625" style="873" bestFit="1" customWidth="1"/>
    <col min="1811" max="1811" width="10.7109375" style="873" bestFit="1" customWidth="1"/>
    <col min="1812" max="2048" width="9.140625" style="873"/>
    <col min="2049" max="2049" width="20" style="873" bestFit="1" customWidth="1"/>
    <col min="2050" max="2050" width="21.42578125" style="873" bestFit="1" customWidth="1"/>
    <col min="2051" max="2051" width="16.42578125" style="873" bestFit="1" customWidth="1"/>
    <col min="2052" max="2052" width="12.5703125" style="873" bestFit="1" customWidth="1"/>
    <col min="2053" max="2053" width="10.42578125" style="873" bestFit="1" customWidth="1"/>
    <col min="2054" max="2054" width="9" style="873" bestFit="1" customWidth="1"/>
    <col min="2055" max="2055" width="7.7109375" style="873" bestFit="1" customWidth="1"/>
    <col min="2056" max="2056" width="8.85546875" style="873" bestFit="1" customWidth="1"/>
    <col min="2057" max="2057" width="7.28515625" style="873" bestFit="1" customWidth="1"/>
    <col min="2058" max="2058" width="10.140625" style="873" bestFit="1" customWidth="1"/>
    <col min="2059" max="2059" width="11.85546875" style="873" bestFit="1" customWidth="1"/>
    <col min="2060" max="2060" width="7.7109375" style="873" bestFit="1" customWidth="1"/>
    <col min="2061" max="2061" width="11.7109375" style="873" bestFit="1" customWidth="1"/>
    <col min="2062" max="2062" width="11.42578125" style="873" bestFit="1" customWidth="1"/>
    <col min="2063" max="2063" width="17" style="873" bestFit="1" customWidth="1"/>
    <col min="2064" max="2064" width="12.85546875" style="873" bestFit="1" customWidth="1"/>
    <col min="2065" max="2065" width="16.5703125" style="873" bestFit="1" customWidth="1"/>
    <col min="2066" max="2066" width="9.28515625" style="873" bestFit="1" customWidth="1"/>
    <col min="2067" max="2067" width="10.7109375" style="873" bestFit="1" customWidth="1"/>
    <col min="2068" max="2304" width="9.140625" style="873"/>
    <col min="2305" max="2305" width="20" style="873" bestFit="1" customWidth="1"/>
    <col min="2306" max="2306" width="21.42578125" style="873" bestFit="1" customWidth="1"/>
    <col min="2307" max="2307" width="16.42578125" style="873" bestFit="1" customWidth="1"/>
    <col min="2308" max="2308" width="12.5703125" style="873" bestFit="1" customWidth="1"/>
    <col min="2309" max="2309" width="10.42578125" style="873" bestFit="1" customWidth="1"/>
    <col min="2310" max="2310" width="9" style="873" bestFit="1" customWidth="1"/>
    <col min="2311" max="2311" width="7.7109375" style="873" bestFit="1" customWidth="1"/>
    <col min="2312" max="2312" width="8.85546875" style="873" bestFit="1" customWidth="1"/>
    <col min="2313" max="2313" width="7.28515625" style="873" bestFit="1" customWidth="1"/>
    <col min="2314" max="2314" width="10.140625" style="873" bestFit="1" customWidth="1"/>
    <col min="2315" max="2315" width="11.85546875" style="873" bestFit="1" customWidth="1"/>
    <col min="2316" max="2316" width="7.7109375" style="873" bestFit="1" customWidth="1"/>
    <col min="2317" max="2317" width="11.7109375" style="873" bestFit="1" customWidth="1"/>
    <col min="2318" max="2318" width="11.42578125" style="873" bestFit="1" customWidth="1"/>
    <col min="2319" max="2319" width="17" style="873" bestFit="1" customWidth="1"/>
    <col min="2320" max="2320" width="12.85546875" style="873" bestFit="1" customWidth="1"/>
    <col min="2321" max="2321" width="16.5703125" style="873" bestFit="1" customWidth="1"/>
    <col min="2322" max="2322" width="9.28515625" style="873" bestFit="1" customWidth="1"/>
    <col min="2323" max="2323" width="10.7109375" style="873" bestFit="1" customWidth="1"/>
    <col min="2324" max="2560" width="9.140625" style="873"/>
    <col min="2561" max="2561" width="20" style="873" bestFit="1" customWidth="1"/>
    <col min="2562" max="2562" width="21.42578125" style="873" bestFit="1" customWidth="1"/>
    <col min="2563" max="2563" width="16.42578125" style="873" bestFit="1" customWidth="1"/>
    <col min="2564" max="2564" width="12.5703125" style="873" bestFit="1" customWidth="1"/>
    <col min="2565" max="2565" width="10.42578125" style="873" bestFit="1" customWidth="1"/>
    <col min="2566" max="2566" width="9" style="873" bestFit="1" customWidth="1"/>
    <col min="2567" max="2567" width="7.7109375" style="873" bestFit="1" customWidth="1"/>
    <col min="2568" max="2568" width="8.85546875" style="873" bestFit="1" customWidth="1"/>
    <col min="2569" max="2569" width="7.28515625" style="873" bestFit="1" customWidth="1"/>
    <col min="2570" max="2570" width="10.140625" style="873" bestFit="1" customWidth="1"/>
    <col min="2571" max="2571" width="11.85546875" style="873" bestFit="1" customWidth="1"/>
    <col min="2572" max="2572" width="7.7109375" style="873" bestFit="1" customWidth="1"/>
    <col min="2573" max="2573" width="11.7109375" style="873" bestFit="1" customWidth="1"/>
    <col min="2574" max="2574" width="11.42578125" style="873" bestFit="1" customWidth="1"/>
    <col min="2575" max="2575" width="17" style="873" bestFit="1" customWidth="1"/>
    <col min="2576" max="2576" width="12.85546875" style="873" bestFit="1" customWidth="1"/>
    <col min="2577" max="2577" width="16.5703125" style="873" bestFit="1" customWidth="1"/>
    <col min="2578" max="2578" width="9.28515625" style="873" bestFit="1" customWidth="1"/>
    <col min="2579" max="2579" width="10.7109375" style="873" bestFit="1" customWidth="1"/>
    <col min="2580" max="2816" width="9.140625" style="873"/>
    <col min="2817" max="2817" width="20" style="873" bestFit="1" customWidth="1"/>
    <col min="2818" max="2818" width="21.42578125" style="873" bestFit="1" customWidth="1"/>
    <col min="2819" max="2819" width="16.42578125" style="873" bestFit="1" customWidth="1"/>
    <col min="2820" max="2820" width="12.5703125" style="873" bestFit="1" customWidth="1"/>
    <col min="2821" max="2821" width="10.42578125" style="873" bestFit="1" customWidth="1"/>
    <col min="2822" max="2822" width="9" style="873" bestFit="1" customWidth="1"/>
    <col min="2823" max="2823" width="7.7109375" style="873" bestFit="1" customWidth="1"/>
    <col min="2824" max="2824" width="8.85546875" style="873" bestFit="1" customWidth="1"/>
    <col min="2825" max="2825" width="7.28515625" style="873" bestFit="1" customWidth="1"/>
    <col min="2826" max="2826" width="10.140625" style="873" bestFit="1" customWidth="1"/>
    <col min="2827" max="2827" width="11.85546875" style="873" bestFit="1" customWidth="1"/>
    <col min="2828" max="2828" width="7.7109375" style="873" bestFit="1" customWidth="1"/>
    <col min="2829" max="2829" width="11.7109375" style="873" bestFit="1" customWidth="1"/>
    <col min="2830" max="2830" width="11.42578125" style="873" bestFit="1" customWidth="1"/>
    <col min="2831" max="2831" width="17" style="873" bestFit="1" customWidth="1"/>
    <col min="2832" max="2832" width="12.85546875" style="873" bestFit="1" customWidth="1"/>
    <col min="2833" max="2833" width="16.5703125" style="873" bestFit="1" customWidth="1"/>
    <col min="2834" max="2834" width="9.28515625" style="873" bestFit="1" customWidth="1"/>
    <col min="2835" max="2835" width="10.7109375" style="873" bestFit="1" customWidth="1"/>
    <col min="2836" max="3072" width="9.140625" style="873"/>
    <col min="3073" max="3073" width="20" style="873" bestFit="1" customWidth="1"/>
    <col min="3074" max="3074" width="21.42578125" style="873" bestFit="1" customWidth="1"/>
    <col min="3075" max="3075" width="16.42578125" style="873" bestFit="1" customWidth="1"/>
    <col min="3076" max="3076" width="12.5703125" style="873" bestFit="1" customWidth="1"/>
    <col min="3077" max="3077" width="10.42578125" style="873" bestFit="1" customWidth="1"/>
    <col min="3078" max="3078" width="9" style="873" bestFit="1" customWidth="1"/>
    <col min="3079" max="3079" width="7.7109375" style="873" bestFit="1" customWidth="1"/>
    <col min="3080" max="3080" width="8.85546875" style="873" bestFit="1" customWidth="1"/>
    <col min="3081" max="3081" width="7.28515625" style="873" bestFit="1" customWidth="1"/>
    <col min="3082" max="3082" width="10.140625" style="873" bestFit="1" customWidth="1"/>
    <col min="3083" max="3083" width="11.85546875" style="873" bestFit="1" customWidth="1"/>
    <col min="3084" max="3084" width="7.7109375" style="873" bestFit="1" customWidth="1"/>
    <col min="3085" max="3085" width="11.7109375" style="873" bestFit="1" customWidth="1"/>
    <col min="3086" max="3086" width="11.42578125" style="873" bestFit="1" customWidth="1"/>
    <col min="3087" max="3087" width="17" style="873" bestFit="1" customWidth="1"/>
    <col min="3088" max="3088" width="12.85546875" style="873" bestFit="1" customWidth="1"/>
    <col min="3089" max="3089" width="16.5703125" style="873" bestFit="1" customWidth="1"/>
    <col min="3090" max="3090" width="9.28515625" style="873" bestFit="1" customWidth="1"/>
    <col min="3091" max="3091" width="10.7109375" style="873" bestFit="1" customWidth="1"/>
    <col min="3092" max="3328" width="9.140625" style="873"/>
    <col min="3329" max="3329" width="20" style="873" bestFit="1" customWidth="1"/>
    <col min="3330" max="3330" width="21.42578125" style="873" bestFit="1" customWidth="1"/>
    <col min="3331" max="3331" width="16.42578125" style="873" bestFit="1" customWidth="1"/>
    <col min="3332" max="3332" width="12.5703125" style="873" bestFit="1" customWidth="1"/>
    <col min="3333" max="3333" width="10.42578125" style="873" bestFit="1" customWidth="1"/>
    <col min="3334" max="3334" width="9" style="873" bestFit="1" customWidth="1"/>
    <col min="3335" max="3335" width="7.7109375" style="873" bestFit="1" customWidth="1"/>
    <col min="3336" max="3336" width="8.85546875" style="873" bestFit="1" customWidth="1"/>
    <col min="3337" max="3337" width="7.28515625" style="873" bestFit="1" customWidth="1"/>
    <col min="3338" max="3338" width="10.140625" style="873" bestFit="1" customWidth="1"/>
    <col min="3339" max="3339" width="11.85546875" style="873" bestFit="1" customWidth="1"/>
    <col min="3340" max="3340" width="7.7109375" style="873" bestFit="1" customWidth="1"/>
    <col min="3341" max="3341" width="11.7109375" style="873" bestFit="1" customWidth="1"/>
    <col min="3342" max="3342" width="11.42578125" style="873" bestFit="1" customWidth="1"/>
    <col min="3343" max="3343" width="17" style="873" bestFit="1" customWidth="1"/>
    <col min="3344" max="3344" width="12.85546875" style="873" bestFit="1" customWidth="1"/>
    <col min="3345" max="3345" width="16.5703125" style="873" bestFit="1" customWidth="1"/>
    <col min="3346" max="3346" width="9.28515625" style="873" bestFit="1" customWidth="1"/>
    <col min="3347" max="3347" width="10.7109375" style="873" bestFit="1" customWidth="1"/>
    <col min="3348" max="3584" width="9.140625" style="873"/>
    <col min="3585" max="3585" width="20" style="873" bestFit="1" customWidth="1"/>
    <col min="3586" max="3586" width="21.42578125" style="873" bestFit="1" customWidth="1"/>
    <col min="3587" max="3587" width="16.42578125" style="873" bestFit="1" customWidth="1"/>
    <col min="3588" max="3588" width="12.5703125" style="873" bestFit="1" customWidth="1"/>
    <col min="3589" max="3589" width="10.42578125" style="873" bestFit="1" customWidth="1"/>
    <col min="3590" max="3590" width="9" style="873" bestFit="1" customWidth="1"/>
    <col min="3591" max="3591" width="7.7109375" style="873" bestFit="1" customWidth="1"/>
    <col min="3592" max="3592" width="8.85546875" style="873" bestFit="1" customWidth="1"/>
    <col min="3593" max="3593" width="7.28515625" style="873" bestFit="1" customWidth="1"/>
    <col min="3594" max="3594" width="10.140625" style="873" bestFit="1" customWidth="1"/>
    <col min="3595" max="3595" width="11.85546875" style="873" bestFit="1" customWidth="1"/>
    <col min="3596" max="3596" width="7.7109375" style="873" bestFit="1" customWidth="1"/>
    <col min="3597" max="3597" width="11.7109375" style="873" bestFit="1" customWidth="1"/>
    <col min="3598" max="3598" width="11.42578125" style="873" bestFit="1" customWidth="1"/>
    <col min="3599" max="3599" width="17" style="873" bestFit="1" customWidth="1"/>
    <col min="3600" max="3600" width="12.85546875" style="873" bestFit="1" customWidth="1"/>
    <col min="3601" max="3601" width="16.5703125" style="873" bestFit="1" customWidth="1"/>
    <col min="3602" max="3602" width="9.28515625" style="873" bestFit="1" customWidth="1"/>
    <col min="3603" max="3603" width="10.7109375" style="873" bestFit="1" customWidth="1"/>
    <col min="3604" max="3840" width="9.140625" style="873"/>
    <col min="3841" max="3841" width="20" style="873" bestFit="1" customWidth="1"/>
    <col min="3842" max="3842" width="21.42578125" style="873" bestFit="1" customWidth="1"/>
    <col min="3843" max="3843" width="16.42578125" style="873" bestFit="1" customWidth="1"/>
    <col min="3844" max="3844" width="12.5703125" style="873" bestFit="1" customWidth="1"/>
    <col min="3845" max="3845" width="10.42578125" style="873" bestFit="1" customWidth="1"/>
    <col min="3846" max="3846" width="9" style="873" bestFit="1" customWidth="1"/>
    <col min="3847" max="3847" width="7.7109375" style="873" bestFit="1" customWidth="1"/>
    <col min="3848" max="3848" width="8.85546875" style="873" bestFit="1" customWidth="1"/>
    <col min="3849" max="3849" width="7.28515625" style="873" bestFit="1" customWidth="1"/>
    <col min="3850" max="3850" width="10.140625" style="873" bestFit="1" customWidth="1"/>
    <col min="3851" max="3851" width="11.85546875" style="873" bestFit="1" customWidth="1"/>
    <col min="3852" max="3852" width="7.7109375" style="873" bestFit="1" customWidth="1"/>
    <col min="3853" max="3853" width="11.7109375" style="873" bestFit="1" customWidth="1"/>
    <col min="3854" max="3854" width="11.42578125" style="873" bestFit="1" customWidth="1"/>
    <col min="3855" max="3855" width="17" style="873" bestFit="1" customWidth="1"/>
    <col min="3856" max="3856" width="12.85546875" style="873" bestFit="1" customWidth="1"/>
    <col min="3857" max="3857" width="16.5703125" style="873" bestFit="1" customWidth="1"/>
    <col min="3858" max="3858" width="9.28515625" style="873" bestFit="1" customWidth="1"/>
    <col min="3859" max="3859" width="10.7109375" style="873" bestFit="1" customWidth="1"/>
    <col min="3860" max="4096" width="9.140625" style="873"/>
    <col min="4097" max="4097" width="20" style="873" bestFit="1" customWidth="1"/>
    <col min="4098" max="4098" width="21.42578125" style="873" bestFit="1" customWidth="1"/>
    <col min="4099" max="4099" width="16.42578125" style="873" bestFit="1" customWidth="1"/>
    <col min="4100" max="4100" width="12.5703125" style="873" bestFit="1" customWidth="1"/>
    <col min="4101" max="4101" width="10.42578125" style="873" bestFit="1" customWidth="1"/>
    <col min="4102" max="4102" width="9" style="873" bestFit="1" customWidth="1"/>
    <col min="4103" max="4103" width="7.7109375" style="873" bestFit="1" customWidth="1"/>
    <col min="4104" max="4104" width="8.85546875" style="873" bestFit="1" customWidth="1"/>
    <col min="4105" max="4105" width="7.28515625" style="873" bestFit="1" customWidth="1"/>
    <col min="4106" max="4106" width="10.140625" style="873" bestFit="1" customWidth="1"/>
    <col min="4107" max="4107" width="11.85546875" style="873" bestFit="1" customWidth="1"/>
    <col min="4108" max="4108" width="7.7109375" style="873" bestFit="1" customWidth="1"/>
    <col min="4109" max="4109" width="11.7109375" style="873" bestFit="1" customWidth="1"/>
    <col min="4110" max="4110" width="11.42578125" style="873" bestFit="1" customWidth="1"/>
    <col min="4111" max="4111" width="17" style="873" bestFit="1" customWidth="1"/>
    <col min="4112" max="4112" width="12.85546875" style="873" bestFit="1" customWidth="1"/>
    <col min="4113" max="4113" width="16.5703125" style="873" bestFit="1" customWidth="1"/>
    <col min="4114" max="4114" width="9.28515625" style="873" bestFit="1" customWidth="1"/>
    <col min="4115" max="4115" width="10.7109375" style="873" bestFit="1" customWidth="1"/>
    <col min="4116" max="4352" width="9.140625" style="873"/>
    <col min="4353" max="4353" width="20" style="873" bestFit="1" customWidth="1"/>
    <col min="4354" max="4354" width="21.42578125" style="873" bestFit="1" customWidth="1"/>
    <col min="4355" max="4355" width="16.42578125" style="873" bestFit="1" customWidth="1"/>
    <col min="4356" max="4356" width="12.5703125" style="873" bestFit="1" customWidth="1"/>
    <col min="4357" max="4357" width="10.42578125" style="873" bestFit="1" customWidth="1"/>
    <col min="4358" max="4358" width="9" style="873" bestFit="1" customWidth="1"/>
    <col min="4359" max="4359" width="7.7109375" style="873" bestFit="1" customWidth="1"/>
    <col min="4360" max="4360" width="8.85546875" style="873" bestFit="1" customWidth="1"/>
    <col min="4361" max="4361" width="7.28515625" style="873" bestFit="1" customWidth="1"/>
    <col min="4362" max="4362" width="10.140625" style="873" bestFit="1" customWidth="1"/>
    <col min="4363" max="4363" width="11.85546875" style="873" bestFit="1" customWidth="1"/>
    <col min="4364" max="4364" width="7.7109375" style="873" bestFit="1" customWidth="1"/>
    <col min="4365" max="4365" width="11.7109375" style="873" bestFit="1" customWidth="1"/>
    <col min="4366" max="4366" width="11.42578125" style="873" bestFit="1" customWidth="1"/>
    <col min="4367" max="4367" width="17" style="873" bestFit="1" customWidth="1"/>
    <col min="4368" max="4368" width="12.85546875" style="873" bestFit="1" customWidth="1"/>
    <col min="4369" max="4369" width="16.5703125" style="873" bestFit="1" customWidth="1"/>
    <col min="4370" max="4370" width="9.28515625" style="873" bestFit="1" customWidth="1"/>
    <col min="4371" max="4371" width="10.7109375" style="873" bestFit="1" customWidth="1"/>
    <col min="4372" max="4608" width="9.140625" style="873"/>
    <col min="4609" max="4609" width="20" style="873" bestFit="1" customWidth="1"/>
    <col min="4610" max="4610" width="21.42578125" style="873" bestFit="1" customWidth="1"/>
    <col min="4611" max="4611" width="16.42578125" style="873" bestFit="1" customWidth="1"/>
    <col min="4612" max="4612" width="12.5703125" style="873" bestFit="1" customWidth="1"/>
    <col min="4613" max="4613" width="10.42578125" style="873" bestFit="1" customWidth="1"/>
    <col min="4614" max="4614" width="9" style="873" bestFit="1" customWidth="1"/>
    <col min="4615" max="4615" width="7.7109375" style="873" bestFit="1" customWidth="1"/>
    <col min="4616" max="4616" width="8.85546875" style="873" bestFit="1" customWidth="1"/>
    <col min="4617" max="4617" width="7.28515625" style="873" bestFit="1" customWidth="1"/>
    <col min="4618" max="4618" width="10.140625" style="873" bestFit="1" customWidth="1"/>
    <col min="4619" max="4619" width="11.85546875" style="873" bestFit="1" customWidth="1"/>
    <col min="4620" max="4620" width="7.7109375" style="873" bestFit="1" customWidth="1"/>
    <col min="4621" max="4621" width="11.7109375" style="873" bestFit="1" customWidth="1"/>
    <col min="4622" max="4622" width="11.42578125" style="873" bestFit="1" customWidth="1"/>
    <col min="4623" max="4623" width="17" style="873" bestFit="1" customWidth="1"/>
    <col min="4624" max="4624" width="12.85546875" style="873" bestFit="1" customWidth="1"/>
    <col min="4625" max="4625" width="16.5703125" style="873" bestFit="1" customWidth="1"/>
    <col min="4626" max="4626" width="9.28515625" style="873" bestFit="1" customWidth="1"/>
    <col min="4627" max="4627" width="10.7109375" style="873" bestFit="1" customWidth="1"/>
    <col min="4628" max="4864" width="9.140625" style="873"/>
    <col min="4865" max="4865" width="20" style="873" bestFit="1" customWidth="1"/>
    <col min="4866" max="4866" width="21.42578125" style="873" bestFit="1" customWidth="1"/>
    <col min="4867" max="4867" width="16.42578125" style="873" bestFit="1" customWidth="1"/>
    <col min="4868" max="4868" width="12.5703125" style="873" bestFit="1" customWidth="1"/>
    <col min="4869" max="4869" width="10.42578125" style="873" bestFit="1" customWidth="1"/>
    <col min="4870" max="4870" width="9" style="873" bestFit="1" customWidth="1"/>
    <col min="4871" max="4871" width="7.7109375" style="873" bestFit="1" customWidth="1"/>
    <col min="4872" max="4872" width="8.85546875" style="873" bestFit="1" customWidth="1"/>
    <col min="4873" max="4873" width="7.28515625" style="873" bestFit="1" customWidth="1"/>
    <col min="4874" max="4874" width="10.140625" style="873" bestFit="1" customWidth="1"/>
    <col min="4875" max="4875" width="11.85546875" style="873" bestFit="1" customWidth="1"/>
    <col min="4876" max="4876" width="7.7109375" style="873" bestFit="1" customWidth="1"/>
    <col min="4877" max="4877" width="11.7109375" style="873" bestFit="1" customWidth="1"/>
    <col min="4878" max="4878" width="11.42578125" style="873" bestFit="1" customWidth="1"/>
    <col min="4879" max="4879" width="17" style="873" bestFit="1" customWidth="1"/>
    <col min="4880" max="4880" width="12.85546875" style="873" bestFit="1" customWidth="1"/>
    <col min="4881" max="4881" width="16.5703125" style="873" bestFit="1" customWidth="1"/>
    <col min="4882" max="4882" width="9.28515625" style="873" bestFit="1" customWidth="1"/>
    <col min="4883" max="4883" width="10.7109375" style="873" bestFit="1" customWidth="1"/>
    <col min="4884" max="5120" width="9.140625" style="873"/>
    <col min="5121" max="5121" width="20" style="873" bestFit="1" customWidth="1"/>
    <col min="5122" max="5122" width="21.42578125" style="873" bestFit="1" customWidth="1"/>
    <col min="5123" max="5123" width="16.42578125" style="873" bestFit="1" customWidth="1"/>
    <col min="5124" max="5124" width="12.5703125" style="873" bestFit="1" customWidth="1"/>
    <col min="5125" max="5125" width="10.42578125" style="873" bestFit="1" customWidth="1"/>
    <col min="5126" max="5126" width="9" style="873" bestFit="1" customWidth="1"/>
    <col min="5127" max="5127" width="7.7109375" style="873" bestFit="1" customWidth="1"/>
    <col min="5128" max="5128" width="8.85546875" style="873" bestFit="1" customWidth="1"/>
    <col min="5129" max="5129" width="7.28515625" style="873" bestFit="1" customWidth="1"/>
    <col min="5130" max="5130" width="10.140625" style="873" bestFit="1" customWidth="1"/>
    <col min="5131" max="5131" width="11.85546875" style="873" bestFit="1" customWidth="1"/>
    <col min="5132" max="5132" width="7.7109375" style="873" bestFit="1" customWidth="1"/>
    <col min="5133" max="5133" width="11.7109375" style="873" bestFit="1" customWidth="1"/>
    <col min="5134" max="5134" width="11.42578125" style="873" bestFit="1" customWidth="1"/>
    <col min="5135" max="5135" width="17" style="873" bestFit="1" customWidth="1"/>
    <col min="5136" max="5136" width="12.85546875" style="873" bestFit="1" customWidth="1"/>
    <col min="5137" max="5137" width="16.5703125" style="873" bestFit="1" customWidth="1"/>
    <col min="5138" max="5138" width="9.28515625" style="873" bestFit="1" customWidth="1"/>
    <col min="5139" max="5139" width="10.7109375" style="873" bestFit="1" customWidth="1"/>
    <col min="5140" max="5376" width="9.140625" style="873"/>
    <col min="5377" max="5377" width="20" style="873" bestFit="1" customWidth="1"/>
    <col min="5378" max="5378" width="21.42578125" style="873" bestFit="1" customWidth="1"/>
    <col min="5379" max="5379" width="16.42578125" style="873" bestFit="1" customWidth="1"/>
    <col min="5380" max="5380" width="12.5703125" style="873" bestFit="1" customWidth="1"/>
    <col min="5381" max="5381" width="10.42578125" style="873" bestFit="1" customWidth="1"/>
    <col min="5382" max="5382" width="9" style="873" bestFit="1" customWidth="1"/>
    <col min="5383" max="5383" width="7.7109375" style="873" bestFit="1" customWidth="1"/>
    <col min="5384" max="5384" width="8.85546875" style="873" bestFit="1" customWidth="1"/>
    <col min="5385" max="5385" width="7.28515625" style="873" bestFit="1" customWidth="1"/>
    <col min="5386" max="5386" width="10.140625" style="873" bestFit="1" customWidth="1"/>
    <col min="5387" max="5387" width="11.85546875" style="873" bestFit="1" customWidth="1"/>
    <col min="5388" max="5388" width="7.7109375" style="873" bestFit="1" customWidth="1"/>
    <col min="5389" max="5389" width="11.7109375" style="873" bestFit="1" customWidth="1"/>
    <col min="5390" max="5390" width="11.42578125" style="873" bestFit="1" customWidth="1"/>
    <col min="5391" max="5391" width="17" style="873" bestFit="1" customWidth="1"/>
    <col min="5392" max="5392" width="12.85546875" style="873" bestFit="1" customWidth="1"/>
    <col min="5393" max="5393" width="16.5703125" style="873" bestFit="1" customWidth="1"/>
    <col min="5394" max="5394" width="9.28515625" style="873" bestFit="1" customWidth="1"/>
    <col min="5395" max="5395" width="10.7109375" style="873" bestFit="1" customWidth="1"/>
    <col min="5396" max="5632" width="9.140625" style="873"/>
    <col min="5633" max="5633" width="20" style="873" bestFit="1" customWidth="1"/>
    <col min="5634" max="5634" width="21.42578125" style="873" bestFit="1" customWidth="1"/>
    <col min="5635" max="5635" width="16.42578125" style="873" bestFit="1" customWidth="1"/>
    <col min="5636" max="5636" width="12.5703125" style="873" bestFit="1" customWidth="1"/>
    <col min="5637" max="5637" width="10.42578125" style="873" bestFit="1" customWidth="1"/>
    <col min="5638" max="5638" width="9" style="873" bestFit="1" customWidth="1"/>
    <col min="5639" max="5639" width="7.7109375" style="873" bestFit="1" customWidth="1"/>
    <col min="5640" max="5640" width="8.85546875" style="873" bestFit="1" customWidth="1"/>
    <col min="5641" max="5641" width="7.28515625" style="873" bestFit="1" customWidth="1"/>
    <col min="5642" max="5642" width="10.140625" style="873" bestFit="1" customWidth="1"/>
    <col min="5643" max="5643" width="11.85546875" style="873" bestFit="1" customWidth="1"/>
    <col min="5644" max="5644" width="7.7109375" style="873" bestFit="1" customWidth="1"/>
    <col min="5645" max="5645" width="11.7109375" style="873" bestFit="1" customWidth="1"/>
    <col min="5646" max="5646" width="11.42578125" style="873" bestFit="1" customWidth="1"/>
    <col min="5647" max="5647" width="17" style="873" bestFit="1" customWidth="1"/>
    <col min="5648" max="5648" width="12.85546875" style="873" bestFit="1" customWidth="1"/>
    <col min="5649" max="5649" width="16.5703125" style="873" bestFit="1" customWidth="1"/>
    <col min="5650" max="5650" width="9.28515625" style="873" bestFit="1" customWidth="1"/>
    <col min="5651" max="5651" width="10.7109375" style="873" bestFit="1" customWidth="1"/>
    <col min="5652" max="5888" width="9.140625" style="873"/>
    <col min="5889" max="5889" width="20" style="873" bestFit="1" customWidth="1"/>
    <col min="5890" max="5890" width="21.42578125" style="873" bestFit="1" customWidth="1"/>
    <col min="5891" max="5891" width="16.42578125" style="873" bestFit="1" customWidth="1"/>
    <col min="5892" max="5892" width="12.5703125" style="873" bestFit="1" customWidth="1"/>
    <col min="5893" max="5893" width="10.42578125" style="873" bestFit="1" customWidth="1"/>
    <col min="5894" max="5894" width="9" style="873" bestFit="1" customWidth="1"/>
    <col min="5895" max="5895" width="7.7109375" style="873" bestFit="1" customWidth="1"/>
    <col min="5896" max="5896" width="8.85546875" style="873" bestFit="1" customWidth="1"/>
    <col min="5897" max="5897" width="7.28515625" style="873" bestFit="1" customWidth="1"/>
    <col min="5898" max="5898" width="10.140625" style="873" bestFit="1" customWidth="1"/>
    <col min="5899" max="5899" width="11.85546875" style="873" bestFit="1" customWidth="1"/>
    <col min="5900" max="5900" width="7.7109375" style="873" bestFit="1" customWidth="1"/>
    <col min="5901" max="5901" width="11.7109375" style="873" bestFit="1" customWidth="1"/>
    <col min="5902" max="5902" width="11.42578125" style="873" bestFit="1" customWidth="1"/>
    <col min="5903" max="5903" width="17" style="873" bestFit="1" customWidth="1"/>
    <col min="5904" max="5904" width="12.85546875" style="873" bestFit="1" customWidth="1"/>
    <col min="5905" max="5905" width="16.5703125" style="873" bestFit="1" customWidth="1"/>
    <col min="5906" max="5906" width="9.28515625" style="873" bestFit="1" customWidth="1"/>
    <col min="5907" max="5907" width="10.7109375" style="873" bestFit="1" customWidth="1"/>
    <col min="5908" max="6144" width="9.140625" style="873"/>
    <col min="6145" max="6145" width="20" style="873" bestFit="1" customWidth="1"/>
    <col min="6146" max="6146" width="21.42578125" style="873" bestFit="1" customWidth="1"/>
    <col min="6147" max="6147" width="16.42578125" style="873" bestFit="1" customWidth="1"/>
    <col min="6148" max="6148" width="12.5703125" style="873" bestFit="1" customWidth="1"/>
    <col min="6149" max="6149" width="10.42578125" style="873" bestFit="1" customWidth="1"/>
    <col min="6150" max="6150" width="9" style="873" bestFit="1" customWidth="1"/>
    <col min="6151" max="6151" width="7.7109375" style="873" bestFit="1" customWidth="1"/>
    <col min="6152" max="6152" width="8.85546875" style="873" bestFit="1" customWidth="1"/>
    <col min="6153" max="6153" width="7.28515625" style="873" bestFit="1" customWidth="1"/>
    <col min="6154" max="6154" width="10.140625" style="873" bestFit="1" customWidth="1"/>
    <col min="6155" max="6155" width="11.85546875" style="873" bestFit="1" customWidth="1"/>
    <col min="6156" max="6156" width="7.7109375" style="873" bestFit="1" customWidth="1"/>
    <col min="6157" max="6157" width="11.7109375" style="873" bestFit="1" customWidth="1"/>
    <col min="6158" max="6158" width="11.42578125" style="873" bestFit="1" customWidth="1"/>
    <col min="6159" max="6159" width="17" style="873" bestFit="1" customWidth="1"/>
    <col min="6160" max="6160" width="12.85546875" style="873" bestFit="1" customWidth="1"/>
    <col min="6161" max="6161" width="16.5703125" style="873" bestFit="1" customWidth="1"/>
    <col min="6162" max="6162" width="9.28515625" style="873" bestFit="1" customWidth="1"/>
    <col min="6163" max="6163" width="10.7109375" style="873" bestFit="1" customWidth="1"/>
    <col min="6164" max="6400" width="9.140625" style="873"/>
    <col min="6401" max="6401" width="20" style="873" bestFit="1" customWidth="1"/>
    <col min="6402" max="6402" width="21.42578125" style="873" bestFit="1" customWidth="1"/>
    <col min="6403" max="6403" width="16.42578125" style="873" bestFit="1" customWidth="1"/>
    <col min="6404" max="6404" width="12.5703125" style="873" bestFit="1" customWidth="1"/>
    <col min="6405" max="6405" width="10.42578125" style="873" bestFit="1" customWidth="1"/>
    <col min="6406" max="6406" width="9" style="873" bestFit="1" customWidth="1"/>
    <col min="6407" max="6407" width="7.7109375" style="873" bestFit="1" customWidth="1"/>
    <col min="6408" max="6408" width="8.85546875" style="873" bestFit="1" customWidth="1"/>
    <col min="6409" max="6409" width="7.28515625" style="873" bestFit="1" customWidth="1"/>
    <col min="6410" max="6410" width="10.140625" style="873" bestFit="1" customWidth="1"/>
    <col min="6411" max="6411" width="11.85546875" style="873" bestFit="1" customWidth="1"/>
    <col min="6412" max="6412" width="7.7109375" style="873" bestFit="1" customWidth="1"/>
    <col min="6413" max="6413" width="11.7109375" style="873" bestFit="1" customWidth="1"/>
    <col min="6414" max="6414" width="11.42578125" style="873" bestFit="1" customWidth="1"/>
    <col min="6415" max="6415" width="17" style="873" bestFit="1" customWidth="1"/>
    <col min="6416" max="6416" width="12.85546875" style="873" bestFit="1" customWidth="1"/>
    <col min="6417" max="6417" width="16.5703125" style="873" bestFit="1" customWidth="1"/>
    <col min="6418" max="6418" width="9.28515625" style="873" bestFit="1" customWidth="1"/>
    <col min="6419" max="6419" width="10.7109375" style="873" bestFit="1" customWidth="1"/>
    <col min="6420" max="6656" width="9.140625" style="873"/>
    <col min="6657" max="6657" width="20" style="873" bestFit="1" customWidth="1"/>
    <col min="6658" max="6658" width="21.42578125" style="873" bestFit="1" customWidth="1"/>
    <col min="6659" max="6659" width="16.42578125" style="873" bestFit="1" customWidth="1"/>
    <col min="6660" max="6660" width="12.5703125" style="873" bestFit="1" customWidth="1"/>
    <col min="6661" max="6661" width="10.42578125" style="873" bestFit="1" customWidth="1"/>
    <col min="6662" max="6662" width="9" style="873" bestFit="1" customWidth="1"/>
    <col min="6663" max="6663" width="7.7109375" style="873" bestFit="1" customWidth="1"/>
    <col min="6664" max="6664" width="8.85546875" style="873" bestFit="1" customWidth="1"/>
    <col min="6665" max="6665" width="7.28515625" style="873" bestFit="1" customWidth="1"/>
    <col min="6666" max="6666" width="10.140625" style="873" bestFit="1" customWidth="1"/>
    <col min="6667" max="6667" width="11.85546875" style="873" bestFit="1" customWidth="1"/>
    <col min="6668" max="6668" width="7.7109375" style="873" bestFit="1" customWidth="1"/>
    <col min="6669" max="6669" width="11.7109375" style="873" bestFit="1" customWidth="1"/>
    <col min="6670" max="6670" width="11.42578125" style="873" bestFit="1" customWidth="1"/>
    <col min="6671" max="6671" width="17" style="873" bestFit="1" customWidth="1"/>
    <col min="6672" max="6672" width="12.85546875" style="873" bestFit="1" customWidth="1"/>
    <col min="6673" max="6673" width="16.5703125" style="873" bestFit="1" customWidth="1"/>
    <col min="6674" max="6674" width="9.28515625" style="873" bestFit="1" customWidth="1"/>
    <col min="6675" max="6675" width="10.7109375" style="873" bestFit="1" customWidth="1"/>
    <col min="6676" max="6912" width="9.140625" style="873"/>
    <col min="6913" max="6913" width="20" style="873" bestFit="1" customWidth="1"/>
    <col min="6914" max="6914" width="21.42578125" style="873" bestFit="1" customWidth="1"/>
    <col min="6915" max="6915" width="16.42578125" style="873" bestFit="1" customWidth="1"/>
    <col min="6916" max="6916" width="12.5703125" style="873" bestFit="1" customWidth="1"/>
    <col min="6917" max="6917" width="10.42578125" style="873" bestFit="1" customWidth="1"/>
    <col min="6918" max="6918" width="9" style="873" bestFit="1" customWidth="1"/>
    <col min="6919" max="6919" width="7.7109375" style="873" bestFit="1" customWidth="1"/>
    <col min="6920" max="6920" width="8.85546875" style="873" bestFit="1" customWidth="1"/>
    <col min="6921" max="6921" width="7.28515625" style="873" bestFit="1" customWidth="1"/>
    <col min="6922" max="6922" width="10.140625" style="873" bestFit="1" customWidth="1"/>
    <col min="6923" max="6923" width="11.85546875" style="873" bestFit="1" customWidth="1"/>
    <col min="6924" max="6924" width="7.7109375" style="873" bestFit="1" customWidth="1"/>
    <col min="6925" max="6925" width="11.7109375" style="873" bestFit="1" customWidth="1"/>
    <col min="6926" max="6926" width="11.42578125" style="873" bestFit="1" customWidth="1"/>
    <col min="6927" max="6927" width="17" style="873" bestFit="1" customWidth="1"/>
    <col min="6928" max="6928" width="12.85546875" style="873" bestFit="1" customWidth="1"/>
    <col min="6929" max="6929" width="16.5703125" style="873" bestFit="1" customWidth="1"/>
    <col min="6930" max="6930" width="9.28515625" style="873" bestFit="1" customWidth="1"/>
    <col min="6931" max="6931" width="10.7109375" style="873" bestFit="1" customWidth="1"/>
    <col min="6932" max="7168" width="9.140625" style="873"/>
    <col min="7169" max="7169" width="20" style="873" bestFit="1" customWidth="1"/>
    <col min="7170" max="7170" width="21.42578125" style="873" bestFit="1" customWidth="1"/>
    <col min="7171" max="7171" width="16.42578125" style="873" bestFit="1" customWidth="1"/>
    <col min="7172" max="7172" width="12.5703125" style="873" bestFit="1" customWidth="1"/>
    <col min="7173" max="7173" width="10.42578125" style="873" bestFit="1" customWidth="1"/>
    <col min="7174" max="7174" width="9" style="873" bestFit="1" customWidth="1"/>
    <col min="7175" max="7175" width="7.7109375" style="873" bestFit="1" customWidth="1"/>
    <col min="7176" max="7176" width="8.85546875" style="873" bestFit="1" customWidth="1"/>
    <col min="7177" max="7177" width="7.28515625" style="873" bestFit="1" customWidth="1"/>
    <col min="7178" max="7178" width="10.140625" style="873" bestFit="1" customWidth="1"/>
    <col min="7179" max="7179" width="11.85546875" style="873" bestFit="1" customWidth="1"/>
    <col min="7180" max="7180" width="7.7109375" style="873" bestFit="1" customWidth="1"/>
    <col min="7181" max="7181" width="11.7109375" style="873" bestFit="1" customWidth="1"/>
    <col min="7182" max="7182" width="11.42578125" style="873" bestFit="1" customWidth="1"/>
    <col min="7183" max="7183" width="17" style="873" bestFit="1" customWidth="1"/>
    <col min="7184" max="7184" width="12.85546875" style="873" bestFit="1" customWidth="1"/>
    <col min="7185" max="7185" width="16.5703125" style="873" bestFit="1" customWidth="1"/>
    <col min="7186" max="7186" width="9.28515625" style="873" bestFit="1" customWidth="1"/>
    <col min="7187" max="7187" width="10.7109375" style="873" bestFit="1" customWidth="1"/>
    <col min="7188" max="7424" width="9.140625" style="873"/>
    <col min="7425" max="7425" width="20" style="873" bestFit="1" customWidth="1"/>
    <col min="7426" max="7426" width="21.42578125" style="873" bestFit="1" customWidth="1"/>
    <col min="7427" max="7427" width="16.42578125" style="873" bestFit="1" customWidth="1"/>
    <col min="7428" max="7428" width="12.5703125" style="873" bestFit="1" customWidth="1"/>
    <col min="7429" max="7429" width="10.42578125" style="873" bestFit="1" customWidth="1"/>
    <col min="7430" max="7430" width="9" style="873" bestFit="1" customWidth="1"/>
    <col min="7431" max="7431" width="7.7109375" style="873" bestFit="1" customWidth="1"/>
    <col min="7432" max="7432" width="8.85546875" style="873" bestFit="1" customWidth="1"/>
    <col min="7433" max="7433" width="7.28515625" style="873" bestFit="1" customWidth="1"/>
    <col min="7434" max="7434" width="10.140625" style="873" bestFit="1" customWidth="1"/>
    <col min="7435" max="7435" width="11.85546875" style="873" bestFit="1" customWidth="1"/>
    <col min="7436" max="7436" width="7.7109375" style="873" bestFit="1" customWidth="1"/>
    <col min="7437" max="7437" width="11.7109375" style="873" bestFit="1" customWidth="1"/>
    <col min="7438" max="7438" width="11.42578125" style="873" bestFit="1" customWidth="1"/>
    <col min="7439" max="7439" width="17" style="873" bestFit="1" customWidth="1"/>
    <col min="7440" max="7440" width="12.85546875" style="873" bestFit="1" customWidth="1"/>
    <col min="7441" max="7441" width="16.5703125" style="873" bestFit="1" customWidth="1"/>
    <col min="7442" max="7442" width="9.28515625" style="873" bestFit="1" customWidth="1"/>
    <col min="7443" max="7443" width="10.7109375" style="873" bestFit="1" customWidth="1"/>
    <col min="7444" max="7680" width="9.140625" style="873"/>
    <col min="7681" max="7681" width="20" style="873" bestFit="1" customWidth="1"/>
    <col min="7682" max="7682" width="21.42578125" style="873" bestFit="1" customWidth="1"/>
    <col min="7683" max="7683" width="16.42578125" style="873" bestFit="1" customWidth="1"/>
    <col min="7684" max="7684" width="12.5703125" style="873" bestFit="1" customWidth="1"/>
    <col min="7685" max="7685" width="10.42578125" style="873" bestFit="1" customWidth="1"/>
    <col min="7686" max="7686" width="9" style="873" bestFit="1" customWidth="1"/>
    <col min="7687" max="7687" width="7.7109375" style="873" bestFit="1" customWidth="1"/>
    <col min="7688" max="7688" width="8.85546875" style="873" bestFit="1" customWidth="1"/>
    <col min="7689" max="7689" width="7.28515625" style="873" bestFit="1" customWidth="1"/>
    <col min="7690" max="7690" width="10.140625" style="873" bestFit="1" customWidth="1"/>
    <col min="7691" max="7691" width="11.85546875" style="873" bestFit="1" customWidth="1"/>
    <col min="7692" max="7692" width="7.7109375" style="873" bestFit="1" customWidth="1"/>
    <col min="7693" max="7693" width="11.7109375" style="873" bestFit="1" customWidth="1"/>
    <col min="7694" max="7694" width="11.42578125" style="873" bestFit="1" customWidth="1"/>
    <col min="7695" max="7695" width="17" style="873" bestFit="1" customWidth="1"/>
    <col min="7696" max="7696" width="12.85546875" style="873" bestFit="1" customWidth="1"/>
    <col min="7697" max="7697" width="16.5703125" style="873" bestFit="1" customWidth="1"/>
    <col min="7698" max="7698" width="9.28515625" style="873" bestFit="1" customWidth="1"/>
    <col min="7699" max="7699" width="10.7109375" style="873" bestFit="1" customWidth="1"/>
    <col min="7700" max="7936" width="9.140625" style="873"/>
    <col min="7937" max="7937" width="20" style="873" bestFit="1" customWidth="1"/>
    <col min="7938" max="7938" width="21.42578125" style="873" bestFit="1" customWidth="1"/>
    <col min="7939" max="7939" width="16.42578125" style="873" bestFit="1" customWidth="1"/>
    <col min="7940" max="7940" width="12.5703125" style="873" bestFit="1" customWidth="1"/>
    <col min="7941" max="7941" width="10.42578125" style="873" bestFit="1" customWidth="1"/>
    <col min="7942" max="7942" width="9" style="873" bestFit="1" customWidth="1"/>
    <col min="7943" max="7943" width="7.7109375" style="873" bestFit="1" customWidth="1"/>
    <col min="7944" max="7944" width="8.85546875" style="873" bestFit="1" customWidth="1"/>
    <col min="7945" max="7945" width="7.28515625" style="873" bestFit="1" customWidth="1"/>
    <col min="7946" max="7946" width="10.140625" style="873" bestFit="1" customWidth="1"/>
    <col min="7947" max="7947" width="11.85546875" style="873" bestFit="1" customWidth="1"/>
    <col min="7948" max="7948" width="7.7109375" style="873" bestFit="1" customWidth="1"/>
    <col min="7949" max="7949" width="11.7109375" style="873" bestFit="1" customWidth="1"/>
    <col min="7950" max="7950" width="11.42578125" style="873" bestFit="1" customWidth="1"/>
    <col min="7951" max="7951" width="17" style="873" bestFit="1" customWidth="1"/>
    <col min="7952" max="7952" width="12.85546875" style="873" bestFit="1" customWidth="1"/>
    <col min="7953" max="7953" width="16.5703125" style="873" bestFit="1" customWidth="1"/>
    <col min="7954" max="7954" width="9.28515625" style="873" bestFit="1" customWidth="1"/>
    <col min="7955" max="7955" width="10.7109375" style="873" bestFit="1" customWidth="1"/>
    <col min="7956" max="8192" width="9.140625" style="873"/>
    <col min="8193" max="8193" width="20" style="873" bestFit="1" customWidth="1"/>
    <col min="8194" max="8194" width="21.42578125" style="873" bestFit="1" customWidth="1"/>
    <col min="8195" max="8195" width="16.42578125" style="873" bestFit="1" customWidth="1"/>
    <col min="8196" max="8196" width="12.5703125" style="873" bestFit="1" customWidth="1"/>
    <col min="8197" max="8197" width="10.42578125" style="873" bestFit="1" customWidth="1"/>
    <col min="8198" max="8198" width="9" style="873" bestFit="1" customWidth="1"/>
    <col min="8199" max="8199" width="7.7109375" style="873" bestFit="1" customWidth="1"/>
    <col min="8200" max="8200" width="8.85546875" style="873" bestFit="1" customWidth="1"/>
    <col min="8201" max="8201" width="7.28515625" style="873" bestFit="1" customWidth="1"/>
    <col min="8202" max="8202" width="10.140625" style="873" bestFit="1" customWidth="1"/>
    <col min="8203" max="8203" width="11.85546875" style="873" bestFit="1" customWidth="1"/>
    <col min="8204" max="8204" width="7.7109375" style="873" bestFit="1" customWidth="1"/>
    <col min="8205" max="8205" width="11.7109375" style="873" bestFit="1" customWidth="1"/>
    <col min="8206" max="8206" width="11.42578125" style="873" bestFit="1" customWidth="1"/>
    <col min="8207" max="8207" width="17" style="873" bestFit="1" customWidth="1"/>
    <col min="8208" max="8208" width="12.85546875" style="873" bestFit="1" customWidth="1"/>
    <col min="8209" max="8209" width="16.5703125" style="873" bestFit="1" customWidth="1"/>
    <col min="8210" max="8210" width="9.28515625" style="873" bestFit="1" customWidth="1"/>
    <col min="8211" max="8211" width="10.7109375" style="873" bestFit="1" customWidth="1"/>
    <col min="8212" max="8448" width="9.140625" style="873"/>
    <col min="8449" max="8449" width="20" style="873" bestFit="1" customWidth="1"/>
    <col min="8450" max="8450" width="21.42578125" style="873" bestFit="1" customWidth="1"/>
    <col min="8451" max="8451" width="16.42578125" style="873" bestFit="1" customWidth="1"/>
    <col min="8452" max="8452" width="12.5703125" style="873" bestFit="1" customWidth="1"/>
    <col min="8453" max="8453" width="10.42578125" style="873" bestFit="1" customWidth="1"/>
    <col min="8454" max="8454" width="9" style="873" bestFit="1" customWidth="1"/>
    <col min="8455" max="8455" width="7.7109375" style="873" bestFit="1" customWidth="1"/>
    <col min="8456" max="8456" width="8.85546875" style="873" bestFit="1" customWidth="1"/>
    <col min="8457" max="8457" width="7.28515625" style="873" bestFit="1" customWidth="1"/>
    <col min="8458" max="8458" width="10.140625" style="873" bestFit="1" customWidth="1"/>
    <col min="8459" max="8459" width="11.85546875" style="873" bestFit="1" customWidth="1"/>
    <col min="8460" max="8460" width="7.7109375" style="873" bestFit="1" customWidth="1"/>
    <col min="8461" max="8461" width="11.7109375" style="873" bestFit="1" customWidth="1"/>
    <col min="8462" max="8462" width="11.42578125" style="873" bestFit="1" customWidth="1"/>
    <col min="8463" max="8463" width="17" style="873" bestFit="1" customWidth="1"/>
    <col min="8464" max="8464" width="12.85546875" style="873" bestFit="1" customWidth="1"/>
    <col min="8465" max="8465" width="16.5703125" style="873" bestFit="1" customWidth="1"/>
    <col min="8466" max="8466" width="9.28515625" style="873" bestFit="1" customWidth="1"/>
    <col min="8467" max="8467" width="10.7109375" style="873" bestFit="1" customWidth="1"/>
    <col min="8468" max="8704" width="9.140625" style="873"/>
    <col min="8705" max="8705" width="20" style="873" bestFit="1" customWidth="1"/>
    <col min="8706" max="8706" width="21.42578125" style="873" bestFit="1" customWidth="1"/>
    <col min="8707" max="8707" width="16.42578125" style="873" bestFit="1" customWidth="1"/>
    <col min="8708" max="8708" width="12.5703125" style="873" bestFit="1" customWidth="1"/>
    <col min="8709" max="8709" width="10.42578125" style="873" bestFit="1" customWidth="1"/>
    <col min="8710" max="8710" width="9" style="873" bestFit="1" customWidth="1"/>
    <col min="8711" max="8711" width="7.7109375" style="873" bestFit="1" customWidth="1"/>
    <col min="8712" max="8712" width="8.85546875" style="873" bestFit="1" customWidth="1"/>
    <col min="8713" max="8713" width="7.28515625" style="873" bestFit="1" customWidth="1"/>
    <col min="8714" max="8714" width="10.140625" style="873" bestFit="1" customWidth="1"/>
    <col min="8715" max="8715" width="11.85546875" style="873" bestFit="1" customWidth="1"/>
    <col min="8716" max="8716" width="7.7109375" style="873" bestFit="1" customWidth="1"/>
    <col min="8717" max="8717" width="11.7109375" style="873" bestFit="1" customWidth="1"/>
    <col min="8718" max="8718" width="11.42578125" style="873" bestFit="1" customWidth="1"/>
    <col min="8719" max="8719" width="17" style="873" bestFit="1" customWidth="1"/>
    <col min="8720" max="8720" width="12.85546875" style="873" bestFit="1" customWidth="1"/>
    <col min="8721" max="8721" width="16.5703125" style="873" bestFit="1" customWidth="1"/>
    <col min="8722" max="8722" width="9.28515625" style="873" bestFit="1" customWidth="1"/>
    <col min="8723" max="8723" width="10.7109375" style="873" bestFit="1" customWidth="1"/>
    <col min="8724" max="8960" width="9.140625" style="873"/>
    <col min="8961" max="8961" width="20" style="873" bestFit="1" customWidth="1"/>
    <col min="8962" max="8962" width="21.42578125" style="873" bestFit="1" customWidth="1"/>
    <col min="8963" max="8963" width="16.42578125" style="873" bestFit="1" customWidth="1"/>
    <col min="8964" max="8964" width="12.5703125" style="873" bestFit="1" customWidth="1"/>
    <col min="8965" max="8965" width="10.42578125" style="873" bestFit="1" customWidth="1"/>
    <col min="8966" max="8966" width="9" style="873" bestFit="1" customWidth="1"/>
    <col min="8967" max="8967" width="7.7109375" style="873" bestFit="1" customWidth="1"/>
    <col min="8968" max="8968" width="8.85546875" style="873" bestFit="1" customWidth="1"/>
    <col min="8969" max="8969" width="7.28515625" style="873" bestFit="1" customWidth="1"/>
    <col min="8970" max="8970" width="10.140625" style="873" bestFit="1" customWidth="1"/>
    <col min="8971" max="8971" width="11.85546875" style="873" bestFit="1" customWidth="1"/>
    <col min="8972" max="8972" width="7.7109375" style="873" bestFit="1" customWidth="1"/>
    <col min="8973" max="8973" width="11.7109375" style="873" bestFit="1" customWidth="1"/>
    <col min="8974" max="8974" width="11.42578125" style="873" bestFit="1" customWidth="1"/>
    <col min="8975" max="8975" width="17" style="873" bestFit="1" customWidth="1"/>
    <col min="8976" max="8976" width="12.85546875" style="873" bestFit="1" customWidth="1"/>
    <col min="8977" max="8977" width="16.5703125" style="873" bestFit="1" customWidth="1"/>
    <col min="8978" max="8978" width="9.28515625" style="873" bestFit="1" customWidth="1"/>
    <col min="8979" max="8979" width="10.7109375" style="873" bestFit="1" customWidth="1"/>
    <col min="8980" max="9216" width="9.140625" style="873"/>
    <col min="9217" max="9217" width="20" style="873" bestFit="1" customWidth="1"/>
    <col min="9218" max="9218" width="21.42578125" style="873" bestFit="1" customWidth="1"/>
    <col min="9219" max="9219" width="16.42578125" style="873" bestFit="1" customWidth="1"/>
    <col min="9220" max="9220" width="12.5703125" style="873" bestFit="1" customWidth="1"/>
    <col min="9221" max="9221" width="10.42578125" style="873" bestFit="1" customWidth="1"/>
    <col min="9222" max="9222" width="9" style="873" bestFit="1" customWidth="1"/>
    <col min="9223" max="9223" width="7.7109375" style="873" bestFit="1" customWidth="1"/>
    <col min="9224" max="9224" width="8.85546875" style="873" bestFit="1" customWidth="1"/>
    <col min="9225" max="9225" width="7.28515625" style="873" bestFit="1" customWidth="1"/>
    <col min="9226" max="9226" width="10.140625" style="873" bestFit="1" customWidth="1"/>
    <col min="9227" max="9227" width="11.85546875" style="873" bestFit="1" customWidth="1"/>
    <col min="9228" max="9228" width="7.7109375" style="873" bestFit="1" customWidth="1"/>
    <col min="9229" max="9229" width="11.7109375" style="873" bestFit="1" customWidth="1"/>
    <col min="9230" max="9230" width="11.42578125" style="873" bestFit="1" customWidth="1"/>
    <col min="9231" max="9231" width="17" style="873" bestFit="1" customWidth="1"/>
    <col min="9232" max="9232" width="12.85546875" style="873" bestFit="1" customWidth="1"/>
    <col min="9233" max="9233" width="16.5703125" style="873" bestFit="1" customWidth="1"/>
    <col min="9234" max="9234" width="9.28515625" style="873" bestFit="1" customWidth="1"/>
    <col min="9235" max="9235" width="10.7109375" style="873" bestFit="1" customWidth="1"/>
    <col min="9236" max="9472" width="9.140625" style="873"/>
    <col min="9473" max="9473" width="20" style="873" bestFit="1" customWidth="1"/>
    <col min="9474" max="9474" width="21.42578125" style="873" bestFit="1" customWidth="1"/>
    <col min="9475" max="9475" width="16.42578125" style="873" bestFit="1" customWidth="1"/>
    <col min="9476" max="9476" width="12.5703125" style="873" bestFit="1" customWidth="1"/>
    <col min="9477" max="9477" width="10.42578125" style="873" bestFit="1" customWidth="1"/>
    <col min="9478" max="9478" width="9" style="873" bestFit="1" customWidth="1"/>
    <col min="9479" max="9479" width="7.7109375" style="873" bestFit="1" customWidth="1"/>
    <col min="9480" max="9480" width="8.85546875" style="873" bestFit="1" customWidth="1"/>
    <col min="9481" max="9481" width="7.28515625" style="873" bestFit="1" customWidth="1"/>
    <col min="9482" max="9482" width="10.140625" style="873" bestFit="1" customWidth="1"/>
    <col min="9483" max="9483" width="11.85546875" style="873" bestFit="1" customWidth="1"/>
    <col min="9484" max="9484" width="7.7109375" style="873" bestFit="1" customWidth="1"/>
    <col min="9485" max="9485" width="11.7109375" style="873" bestFit="1" customWidth="1"/>
    <col min="9486" max="9486" width="11.42578125" style="873" bestFit="1" customWidth="1"/>
    <col min="9487" max="9487" width="17" style="873" bestFit="1" customWidth="1"/>
    <col min="9488" max="9488" width="12.85546875" style="873" bestFit="1" customWidth="1"/>
    <col min="9489" max="9489" width="16.5703125" style="873" bestFit="1" customWidth="1"/>
    <col min="9490" max="9490" width="9.28515625" style="873" bestFit="1" customWidth="1"/>
    <col min="9491" max="9491" width="10.7109375" style="873" bestFit="1" customWidth="1"/>
    <col min="9492" max="9728" width="9.140625" style="873"/>
    <col min="9729" max="9729" width="20" style="873" bestFit="1" customWidth="1"/>
    <col min="9730" max="9730" width="21.42578125" style="873" bestFit="1" customWidth="1"/>
    <col min="9731" max="9731" width="16.42578125" style="873" bestFit="1" customWidth="1"/>
    <col min="9732" max="9732" width="12.5703125" style="873" bestFit="1" customWidth="1"/>
    <col min="9733" max="9733" width="10.42578125" style="873" bestFit="1" customWidth="1"/>
    <col min="9734" max="9734" width="9" style="873" bestFit="1" customWidth="1"/>
    <col min="9735" max="9735" width="7.7109375" style="873" bestFit="1" customWidth="1"/>
    <col min="9736" max="9736" width="8.85546875" style="873" bestFit="1" customWidth="1"/>
    <col min="9737" max="9737" width="7.28515625" style="873" bestFit="1" customWidth="1"/>
    <col min="9738" max="9738" width="10.140625" style="873" bestFit="1" customWidth="1"/>
    <col min="9739" max="9739" width="11.85546875" style="873" bestFit="1" customWidth="1"/>
    <col min="9740" max="9740" width="7.7109375" style="873" bestFit="1" customWidth="1"/>
    <col min="9741" max="9741" width="11.7109375" style="873" bestFit="1" customWidth="1"/>
    <col min="9742" max="9742" width="11.42578125" style="873" bestFit="1" customWidth="1"/>
    <col min="9743" max="9743" width="17" style="873" bestFit="1" customWidth="1"/>
    <col min="9744" max="9744" width="12.85546875" style="873" bestFit="1" customWidth="1"/>
    <col min="9745" max="9745" width="16.5703125" style="873" bestFit="1" customWidth="1"/>
    <col min="9746" max="9746" width="9.28515625" style="873" bestFit="1" customWidth="1"/>
    <col min="9747" max="9747" width="10.7109375" style="873" bestFit="1" customWidth="1"/>
    <col min="9748" max="9984" width="9.140625" style="873"/>
    <col min="9985" max="9985" width="20" style="873" bestFit="1" customWidth="1"/>
    <col min="9986" max="9986" width="21.42578125" style="873" bestFit="1" customWidth="1"/>
    <col min="9987" max="9987" width="16.42578125" style="873" bestFit="1" customWidth="1"/>
    <col min="9988" max="9988" width="12.5703125" style="873" bestFit="1" customWidth="1"/>
    <col min="9989" max="9989" width="10.42578125" style="873" bestFit="1" customWidth="1"/>
    <col min="9990" max="9990" width="9" style="873" bestFit="1" customWidth="1"/>
    <col min="9991" max="9991" width="7.7109375" style="873" bestFit="1" customWidth="1"/>
    <col min="9992" max="9992" width="8.85546875" style="873" bestFit="1" customWidth="1"/>
    <col min="9993" max="9993" width="7.28515625" style="873" bestFit="1" customWidth="1"/>
    <col min="9994" max="9994" width="10.140625" style="873" bestFit="1" customWidth="1"/>
    <col min="9995" max="9995" width="11.85546875" style="873" bestFit="1" customWidth="1"/>
    <col min="9996" max="9996" width="7.7109375" style="873" bestFit="1" customWidth="1"/>
    <col min="9997" max="9997" width="11.7109375" style="873" bestFit="1" customWidth="1"/>
    <col min="9998" max="9998" width="11.42578125" style="873" bestFit="1" customWidth="1"/>
    <col min="9999" max="9999" width="17" style="873" bestFit="1" customWidth="1"/>
    <col min="10000" max="10000" width="12.85546875" style="873" bestFit="1" customWidth="1"/>
    <col min="10001" max="10001" width="16.5703125" style="873" bestFit="1" customWidth="1"/>
    <col min="10002" max="10002" width="9.28515625" style="873" bestFit="1" customWidth="1"/>
    <col min="10003" max="10003" width="10.7109375" style="873" bestFit="1" customWidth="1"/>
    <col min="10004" max="10240" width="9.140625" style="873"/>
    <col min="10241" max="10241" width="20" style="873" bestFit="1" customWidth="1"/>
    <col min="10242" max="10242" width="21.42578125" style="873" bestFit="1" customWidth="1"/>
    <col min="10243" max="10243" width="16.42578125" style="873" bestFit="1" customWidth="1"/>
    <col min="10244" max="10244" width="12.5703125" style="873" bestFit="1" customWidth="1"/>
    <col min="10245" max="10245" width="10.42578125" style="873" bestFit="1" customWidth="1"/>
    <col min="10246" max="10246" width="9" style="873" bestFit="1" customWidth="1"/>
    <col min="10247" max="10247" width="7.7109375" style="873" bestFit="1" customWidth="1"/>
    <col min="10248" max="10248" width="8.85546875" style="873" bestFit="1" customWidth="1"/>
    <col min="10249" max="10249" width="7.28515625" style="873" bestFit="1" customWidth="1"/>
    <col min="10250" max="10250" width="10.140625" style="873" bestFit="1" customWidth="1"/>
    <col min="10251" max="10251" width="11.85546875" style="873" bestFit="1" customWidth="1"/>
    <col min="10252" max="10252" width="7.7109375" style="873" bestFit="1" customWidth="1"/>
    <col min="10253" max="10253" width="11.7109375" style="873" bestFit="1" customWidth="1"/>
    <col min="10254" max="10254" width="11.42578125" style="873" bestFit="1" customWidth="1"/>
    <col min="10255" max="10255" width="17" style="873" bestFit="1" customWidth="1"/>
    <col min="10256" max="10256" width="12.85546875" style="873" bestFit="1" customWidth="1"/>
    <col min="10257" max="10257" width="16.5703125" style="873" bestFit="1" customWidth="1"/>
    <col min="10258" max="10258" width="9.28515625" style="873" bestFit="1" customWidth="1"/>
    <col min="10259" max="10259" width="10.7109375" style="873" bestFit="1" customWidth="1"/>
    <col min="10260" max="10496" width="9.140625" style="873"/>
    <col min="10497" max="10497" width="20" style="873" bestFit="1" customWidth="1"/>
    <col min="10498" max="10498" width="21.42578125" style="873" bestFit="1" customWidth="1"/>
    <col min="10499" max="10499" width="16.42578125" style="873" bestFit="1" customWidth="1"/>
    <col min="10500" max="10500" width="12.5703125" style="873" bestFit="1" customWidth="1"/>
    <col min="10501" max="10501" width="10.42578125" style="873" bestFit="1" customWidth="1"/>
    <col min="10502" max="10502" width="9" style="873" bestFit="1" customWidth="1"/>
    <col min="10503" max="10503" width="7.7109375" style="873" bestFit="1" customWidth="1"/>
    <col min="10504" max="10504" width="8.85546875" style="873" bestFit="1" customWidth="1"/>
    <col min="10505" max="10505" width="7.28515625" style="873" bestFit="1" customWidth="1"/>
    <col min="10506" max="10506" width="10.140625" style="873" bestFit="1" customWidth="1"/>
    <col min="10507" max="10507" width="11.85546875" style="873" bestFit="1" customWidth="1"/>
    <col min="10508" max="10508" width="7.7109375" style="873" bestFit="1" customWidth="1"/>
    <col min="10509" max="10509" width="11.7109375" style="873" bestFit="1" customWidth="1"/>
    <col min="10510" max="10510" width="11.42578125" style="873" bestFit="1" customWidth="1"/>
    <col min="10511" max="10511" width="17" style="873" bestFit="1" customWidth="1"/>
    <col min="10512" max="10512" width="12.85546875" style="873" bestFit="1" customWidth="1"/>
    <col min="10513" max="10513" width="16.5703125" style="873" bestFit="1" customWidth="1"/>
    <col min="10514" max="10514" width="9.28515625" style="873" bestFit="1" customWidth="1"/>
    <col min="10515" max="10515" width="10.7109375" style="873" bestFit="1" customWidth="1"/>
    <col min="10516" max="10752" width="9.140625" style="873"/>
    <col min="10753" max="10753" width="20" style="873" bestFit="1" customWidth="1"/>
    <col min="10754" max="10754" width="21.42578125" style="873" bestFit="1" customWidth="1"/>
    <col min="10755" max="10755" width="16.42578125" style="873" bestFit="1" customWidth="1"/>
    <col min="10756" max="10756" width="12.5703125" style="873" bestFit="1" customWidth="1"/>
    <col min="10757" max="10757" width="10.42578125" style="873" bestFit="1" customWidth="1"/>
    <col min="10758" max="10758" width="9" style="873" bestFit="1" customWidth="1"/>
    <col min="10759" max="10759" width="7.7109375" style="873" bestFit="1" customWidth="1"/>
    <col min="10760" max="10760" width="8.85546875" style="873" bestFit="1" customWidth="1"/>
    <col min="10761" max="10761" width="7.28515625" style="873" bestFit="1" customWidth="1"/>
    <col min="10762" max="10762" width="10.140625" style="873" bestFit="1" customWidth="1"/>
    <col min="10763" max="10763" width="11.85546875" style="873" bestFit="1" customWidth="1"/>
    <col min="10764" max="10764" width="7.7109375" style="873" bestFit="1" customWidth="1"/>
    <col min="10765" max="10765" width="11.7109375" style="873" bestFit="1" customWidth="1"/>
    <col min="10766" max="10766" width="11.42578125" style="873" bestFit="1" customWidth="1"/>
    <col min="10767" max="10767" width="17" style="873" bestFit="1" customWidth="1"/>
    <col min="10768" max="10768" width="12.85546875" style="873" bestFit="1" customWidth="1"/>
    <col min="10769" max="10769" width="16.5703125" style="873" bestFit="1" customWidth="1"/>
    <col min="10770" max="10770" width="9.28515625" style="873" bestFit="1" customWidth="1"/>
    <col min="10771" max="10771" width="10.7109375" style="873" bestFit="1" customWidth="1"/>
    <col min="10772" max="11008" width="9.140625" style="873"/>
    <col min="11009" max="11009" width="20" style="873" bestFit="1" customWidth="1"/>
    <col min="11010" max="11010" width="21.42578125" style="873" bestFit="1" customWidth="1"/>
    <col min="11011" max="11011" width="16.42578125" style="873" bestFit="1" customWidth="1"/>
    <col min="11012" max="11012" width="12.5703125" style="873" bestFit="1" customWidth="1"/>
    <col min="11013" max="11013" width="10.42578125" style="873" bestFit="1" customWidth="1"/>
    <col min="11014" max="11014" width="9" style="873" bestFit="1" customWidth="1"/>
    <col min="11015" max="11015" width="7.7109375" style="873" bestFit="1" customWidth="1"/>
    <col min="11016" max="11016" width="8.85546875" style="873" bestFit="1" customWidth="1"/>
    <col min="11017" max="11017" width="7.28515625" style="873" bestFit="1" customWidth="1"/>
    <col min="11018" max="11018" width="10.140625" style="873" bestFit="1" customWidth="1"/>
    <col min="11019" max="11019" width="11.85546875" style="873" bestFit="1" customWidth="1"/>
    <col min="11020" max="11020" width="7.7109375" style="873" bestFit="1" customWidth="1"/>
    <col min="11021" max="11021" width="11.7109375" style="873" bestFit="1" customWidth="1"/>
    <col min="11022" max="11022" width="11.42578125" style="873" bestFit="1" customWidth="1"/>
    <col min="11023" max="11023" width="17" style="873" bestFit="1" customWidth="1"/>
    <col min="11024" max="11024" width="12.85546875" style="873" bestFit="1" customWidth="1"/>
    <col min="11025" max="11025" width="16.5703125" style="873" bestFit="1" customWidth="1"/>
    <col min="11026" max="11026" width="9.28515625" style="873" bestFit="1" customWidth="1"/>
    <col min="11027" max="11027" width="10.7109375" style="873" bestFit="1" customWidth="1"/>
    <col min="11028" max="11264" width="9.140625" style="873"/>
    <col min="11265" max="11265" width="20" style="873" bestFit="1" customWidth="1"/>
    <col min="11266" max="11266" width="21.42578125" style="873" bestFit="1" customWidth="1"/>
    <col min="11267" max="11267" width="16.42578125" style="873" bestFit="1" customWidth="1"/>
    <col min="11268" max="11268" width="12.5703125" style="873" bestFit="1" customWidth="1"/>
    <col min="11269" max="11269" width="10.42578125" style="873" bestFit="1" customWidth="1"/>
    <col min="11270" max="11270" width="9" style="873" bestFit="1" customWidth="1"/>
    <col min="11271" max="11271" width="7.7109375" style="873" bestFit="1" customWidth="1"/>
    <col min="11272" max="11272" width="8.85546875" style="873" bestFit="1" customWidth="1"/>
    <col min="11273" max="11273" width="7.28515625" style="873" bestFit="1" customWidth="1"/>
    <col min="11274" max="11274" width="10.140625" style="873" bestFit="1" customWidth="1"/>
    <col min="11275" max="11275" width="11.85546875" style="873" bestFit="1" customWidth="1"/>
    <col min="11276" max="11276" width="7.7109375" style="873" bestFit="1" customWidth="1"/>
    <col min="11277" max="11277" width="11.7109375" style="873" bestFit="1" customWidth="1"/>
    <col min="11278" max="11278" width="11.42578125" style="873" bestFit="1" customWidth="1"/>
    <col min="11279" max="11279" width="17" style="873" bestFit="1" customWidth="1"/>
    <col min="11280" max="11280" width="12.85546875" style="873" bestFit="1" customWidth="1"/>
    <col min="11281" max="11281" width="16.5703125" style="873" bestFit="1" customWidth="1"/>
    <col min="11282" max="11282" width="9.28515625" style="873" bestFit="1" customWidth="1"/>
    <col min="11283" max="11283" width="10.7109375" style="873" bestFit="1" customWidth="1"/>
    <col min="11284" max="11520" width="9.140625" style="873"/>
    <col min="11521" max="11521" width="20" style="873" bestFit="1" customWidth="1"/>
    <col min="11522" max="11522" width="21.42578125" style="873" bestFit="1" customWidth="1"/>
    <col min="11523" max="11523" width="16.42578125" style="873" bestFit="1" customWidth="1"/>
    <col min="11524" max="11524" width="12.5703125" style="873" bestFit="1" customWidth="1"/>
    <col min="11525" max="11525" width="10.42578125" style="873" bestFit="1" customWidth="1"/>
    <col min="11526" max="11526" width="9" style="873" bestFit="1" customWidth="1"/>
    <col min="11527" max="11527" width="7.7109375" style="873" bestFit="1" customWidth="1"/>
    <col min="11528" max="11528" width="8.85546875" style="873" bestFit="1" customWidth="1"/>
    <col min="11529" max="11529" width="7.28515625" style="873" bestFit="1" customWidth="1"/>
    <col min="11530" max="11530" width="10.140625" style="873" bestFit="1" customWidth="1"/>
    <col min="11531" max="11531" width="11.85546875" style="873" bestFit="1" customWidth="1"/>
    <col min="11532" max="11532" width="7.7109375" style="873" bestFit="1" customWidth="1"/>
    <col min="11533" max="11533" width="11.7109375" style="873" bestFit="1" customWidth="1"/>
    <col min="11534" max="11534" width="11.42578125" style="873" bestFit="1" customWidth="1"/>
    <col min="11535" max="11535" width="17" style="873" bestFit="1" customWidth="1"/>
    <col min="11536" max="11536" width="12.85546875" style="873" bestFit="1" customWidth="1"/>
    <col min="11537" max="11537" width="16.5703125" style="873" bestFit="1" customWidth="1"/>
    <col min="11538" max="11538" width="9.28515625" style="873" bestFit="1" customWidth="1"/>
    <col min="11539" max="11539" width="10.7109375" style="873" bestFit="1" customWidth="1"/>
    <col min="11540" max="11776" width="9.140625" style="873"/>
    <col min="11777" max="11777" width="20" style="873" bestFit="1" customWidth="1"/>
    <col min="11778" max="11778" width="21.42578125" style="873" bestFit="1" customWidth="1"/>
    <col min="11779" max="11779" width="16.42578125" style="873" bestFit="1" customWidth="1"/>
    <col min="11780" max="11780" width="12.5703125" style="873" bestFit="1" customWidth="1"/>
    <col min="11781" max="11781" width="10.42578125" style="873" bestFit="1" customWidth="1"/>
    <col min="11782" max="11782" width="9" style="873" bestFit="1" customWidth="1"/>
    <col min="11783" max="11783" width="7.7109375" style="873" bestFit="1" customWidth="1"/>
    <col min="11784" max="11784" width="8.85546875" style="873" bestFit="1" customWidth="1"/>
    <col min="11785" max="11785" width="7.28515625" style="873" bestFit="1" customWidth="1"/>
    <col min="11786" max="11786" width="10.140625" style="873" bestFit="1" customWidth="1"/>
    <col min="11787" max="11787" width="11.85546875" style="873" bestFit="1" customWidth="1"/>
    <col min="11788" max="11788" width="7.7109375" style="873" bestFit="1" customWidth="1"/>
    <col min="11789" max="11789" width="11.7109375" style="873" bestFit="1" customWidth="1"/>
    <col min="11790" max="11790" width="11.42578125" style="873" bestFit="1" customWidth="1"/>
    <col min="11791" max="11791" width="17" style="873" bestFit="1" customWidth="1"/>
    <col min="11792" max="11792" width="12.85546875" style="873" bestFit="1" customWidth="1"/>
    <col min="11793" max="11793" width="16.5703125" style="873" bestFit="1" customWidth="1"/>
    <col min="11794" max="11794" width="9.28515625" style="873" bestFit="1" customWidth="1"/>
    <col min="11795" max="11795" width="10.7109375" style="873" bestFit="1" customWidth="1"/>
    <col min="11796" max="12032" width="9.140625" style="873"/>
    <col min="12033" max="12033" width="20" style="873" bestFit="1" customWidth="1"/>
    <col min="12034" max="12034" width="21.42578125" style="873" bestFit="1" customWidth="1"/>
    <col min="12035" max="12035" width="16.42578125" style="873" bestFit="1" customWidth="1"/>
    <col min="12036" max="12036" width="12.5703125" style="873" bestFit="1" customWidth="1"/>
    <col min="12037" max="12037" width="10.42578125" style="873" bestFit="1" customWidth="1"/>
    <col min="12038" max="12038" width="9" style="873" bestFit="1" customWidth="1"/>
    <col min="12039" max="12039" width="7.7109375" style="873" bestFit="1" customWidth="1"/>
    <col min="12040" max="12040" width="8.85546875" style="873" bestFit="1" customWidth="1"/>
    <col min="12041" max="12041" width="7.28515625" style="873" bestFit="1" customWidth="1"/>
    <col min="12042" max="12042" width="10.140625" style="873" bestFit="1" customWidth="1"/>
    <col min="12043" max="12043" width="11.85546875" style="873" bestFit="1" customWidth="1"/>
    <col min="12044" max="12044" width="7.7109375" style="873" bestFit="1" customWidth="1"/>
    <col min="12045" max="12045" width="11.7109375" style="873" bestFit="1" customWidth="1"/>
    <col min="12046" max="12046" width="11.42578125" style="873" bestFit="1" customWidth="1"/>
    <col min="12047" max="12047" width="17" style="873" bestFit="1" customWidth="1"/>
    <col min="12048" max="12048" width="12.85546875" style="873" bestFit="1" customWidth="1"/>
    <col min="12049" max="12049" width="16.5703125" style="873" bestFit="1" customWidth="1"/>
    <col min="12050" max="12050" width="9.28515625" style="873" bestFit="1" customWidth="1"/>
    <col min="12051" max="12051" width="10.7109375" style="873" bestFit="1" customWidth="1"/>
    <col min="12052" max="12288" width="9.140625" style="873"/>
    <col min="12289" max="12289" width="20" style="873" bestFit="1" customWidth="1"/>
    <col min="12290" max="12290" width="21.42578125" style="873" bestFit="1" customWidth="1"/>
    <col min="12291" max="12291" width="16.42578125" style="873" bestFit="1" customWidth="1"/>
    <col min="12292" max="12292" width="12.5703125" style="873" bestFit="1" customWidth="1"/>
    <col min="12293" max="12293" width="10.42578125" style="873" bestFit="1" customWidth="1"/>
    <col min="12294" max="12294" width="9" style="873" bestFit="1" customWidth="1"/>
    <col min="12295" max="12295" width="7.7109375" style="873" bestFit="1" customWidth="1"/>
    <col min="12296" max="12296" width="8.85546875" style="873" bestFit="1" customWidth="1"/>
    <col min="12297" max="12297" width="7.28515625" style="873" bestFit="1" customWidth="1"/>
    <col min="12298" max="12298" width="10.140625" style="873" bestFit="1" customWidth="1"/>
    <col min="12299" max="12299" width="11.85546875" style="873" bestFit="1" customWidth="1"/>
    <col min="12300" max="12300" width="7.7109375" style="873" bestFit="1" customWidth="1"/>
    <col min="12301" max="12301" width="11.7109375" style="873" bestFit="1" customWidth="1"/>
    <col min="12302" max="12302" width="11.42578125" style="873" bestFit="1" customWidth="1"/>
    <col min="12303" max="12303" width="17" style="873" bestFit="1" customWidth="1"/>
    <col min="12304" max="12304" width="12.85546875" style="873" bestFit="1" customWidth="1"/>
    <col min="12305" max="12305" width="16.5703125" style="873" bestFit="1" customWidth="1"/>
    <col min="12306" max="12306" width="9.28515625" style="873" bestFit="1" customWidth="1"/>
    <col min="12307" max="12307" width="10.7109375" style="873" bestFit="1" customWidth="1"/>
    <col min="12308" max="12544" width="9.140625" style="873"/>
    <col min="12545" max="12545" width="20" style="873" bestFit="1" customWidth="1"/>
    <col min="12546" max="12546" width="21.42578125" style="873" bestFit="1" customWidth="1"/>
    <col min="12547" max="12547" width="16.42578125" style="873" bestFit="1" customWidth="1"/>
    <col min="12548" max="12548" width="12.5703125" style="873" bestFit="1" customWidth="1"/>
    <col min="12549" max="12549" width="10.42578125" style="873" bestFit="1" customWidth="1"/>
    <col min="12550" max="12550" width="9" style="873" bestFit="1" customWidth="1"/>
    <col min="12551" max="12551" width="7.7109375" style="873" bestFit="1" customWidth="1"/>
    <col min="12552" max="12552" width="8.85546875" style="873" bestFit="1" customWidth="1"/>
    <col min="12553" max="12553" width="7.28515625" style="873" bestFit="1" customWidth="1"/>
    <col min="12554" max="12554" width="10.140625" style="873" bestFit="1" customWidth="1"/>
    <col min="12555" max="12555" width="11.85546875" style="873" bestFit="1" customWidth="1"/>
    <col min="12556" max="12556" width="7.7109375" style="873" bestFit="1" customWidth="1"/>
    <col min="12557" max="12557" width="11.7109375" style="873" bestFit="1" customWidth="1"/>
    <col min="12558" max="12558" width="11.42578125" style="873" bestFit="1" customWidth="1"/>
    <col min="12559" max="12559" width="17" style="873" bestFit="1" customWidth="1"/>
    <col min="12560" max="12560" width="12.85546875" style="873" bestFit="1" customWidth="1"/>
    <col min="12561" max="12561" width="16.5703125" style="873" bestFit="1" customWidth="1"/>
    <col min="12562" max="12562" width="9.28515625" style="873" bestFit="1" customWidth="1"/>
    <col min="12563" max="12563" width="10.7109375" style="873" bestFit="1" customWidth="1"/>
    <col min="12564" max="12800" width="9.140625" style="873"/>
    <col min="12801" max="12801" width="20" style="873" bestFit="1" customWidth="1"/>
    <col min="12802" max="12802" width="21.42578125" style="873" bestFit="1" customWidth="1"/>
    <col min="12803" max="12803" width="16.42578125" style="873" bestFit="1" customWidth="1"/>
    <col min="12804" max="12804" width="12.5703125" style="873" bestFit="1" customWidth="1"/>
    <col min="12805" max="12805" width="10.42578125" style="873" bestFit="1" customWidth="1"/>
    <col min="12806" max="12806" width="9" style="873" bestFit="1" customWidth="1"/>
    <col min="12807" max="12807" width="7.7109375" style="873" bestFit="1" customWidth="1"/>
    <col min="12808" max="12808" width="8.85546875" style="873" bestFit="1" customWidth="1"/>
    <col min="12809" max="12809" width="7.28515625" style="873" bestFit="1" customWidth="1"/>
    <col min="12810" max="12810" width="10.140625" style="873" bestFit="1" customWidth="1"/>
    <col min="12811" max="12811" width="11.85546875" style="873" bestFit="1" customWidth="1"/>
    <col min="12812" max="12812" width="7.7109375" style="873" bestFit="1" customWidth="1"/>
    <col min="12813" max="12813" width="11.7109375" style="873" bestFit="1" customWidth="1"/>
    <col min="12814" max="12814" width="11.42578125" style="873" bestFit="1" customWidth="1"/>
    <col min="12815" max="12815" width="17" style="873" bestFit="1" customWidth="1"/>
    <col min="12816" max="12816" width="12.85546875" style="873" bestFit="1" customWidth="1"/>
    <col min="12817" max="12817" width="16.5703125" style="873" bestFit="1" customWidth="1"/>
    <col min="12818" max="12818" width="9.28515625" style="873" bestFit="1" customWidth="1"/>
    <col min="12819" max="12819" width="10.7109375" style="873" bestFit="1" customWidth="1"/>
    <col min="12820" max="13056" width="9.140625" style="873"/>
    <col min="13057" max="13057" width="20" style="873" bestFit="1" customWidth="1"/>
    <col min="13058" max="13058" width="21.42578125" style="873" bestFit="1" customWidth="1"/>
    <col min="13059" max="13059" width="16.42578125" style="873" bestFit="1" customWidth="1"/>
    <col min="13060" max="13060" width="12.5703125" style="873" bestFit="1" customWidth="1"/>
    <col min="13061" max="13061" width="10.42578125" style="873" bestFit="1" customWidth="1"/>
    <col min="13062" max="13062" width="9" style="873" bestFit="1" customWidth="1"/>
    <col min="13063" max="13063" width="7.7109375" style="873" bestFit="1" customWidth="1"/>
    <col min="13064" max="13064" width="8.85546875" style="873" bestFit="1" customWidth="1"/>
    <col min="13065" max="13065" width="7.28515625" style="873" bestFit="1" customWidth="1"/>
    <col min="13066" max="13066" width="10.140625" style="873" bestFit="1" customWidth="1"/>
    <col min="13067" max="13067" width="11.85546875" style="873" bestFit="1" customWidth="1"/>
    <col min="13068" max="13068" width="7.7109375" style="873" bestFit="1" customWidth="1"/>
    <col min="13069" max="13069" width="11.7109375" style="873" bestFit="1" customWidth="1"/>
    <col min="13070" max="13070" width="11.42578125" style="873" bestFit="1" customWidth="1"/>
    <col min="13071" max="13071" width="17" style="873" bestFit="1" customWidth="1"/>
    <col min="13072" max="13072" width="12.85546875" style="873" bestFit="1" customWidth="1"/>
    <col min="13073" max="13073" width="16.5703125" style="873" bestFit="1" customWidth="1"/>
    <col min="13074" max="13074" width="9.28515625" style="873" bestFit="1" customWidth="1"/>
    <col min="13075" max="13075" width="10.7109375" style="873" bestFit="1" customWidth="1"/>
    <col min="13076" max="13312" width="9.140625" style="873"/>
    <col min="13313" max="13313" width="20" style="873" bestFit="1" customWidth="1"/>
    <col min="13314" max="13314" width="21.42578125" style="873" bestFit="1" customWidth="1"/>
    <col min="13315" max="13315" width="16.42578125" style="873" bestFit="1" customWidth="1"/>
    <col min="13316" max="13316" width="12.5703125" style="873" bestFit="1" customWidth="1"/>
    <col min="13317" max="13317" width="10.42578125" style="873" bestFit="1" customWidth="1"/>
    <col min="13318" max="13318" width="9" style="873" bestFit="1" customWidth="1"/>
    <col min="13319" max="13319" width="7.7109375" style="873" bestFit="1" customWidth="1"/>
    <col min="13320" max="13320" width="8.85546875" style="873" bestFit="1" customWidth="1"/>
    <col min="13321" max="13321" width="7.28515625" style="873" bestFit="1" customWidth="1"/>
    <col min="13322" max="13322" width="10.140625" style="873" bestFit="1" customWidth="1"/>
    <col min="13323" max="13323" width="11.85546875" style="873" bestFit="1" customWidth="1"/>
    <col min="13324" max="13324" width="7.7109375" style="873" bestFit="1" customWidth="1"/>
    <col min="13325" max="13325" width="11.7109375" style="873" bestFit="1" customWidth="1"/>
    <col min="13326" max="13326" width="11.42578125" style="873" bestFit="1" customWidth="1"/>
    <col min="13327" max="13327" width="17" style="873" bestFit="1" customWidth="1"/>
    <col min="13328" max="13328" width="12.85546875" style="873" bestFit="1" customWidth="1"/>
    <col min="13329" max="13329" width="16.5703125" style="873" bestFit="1" customWidth="1"/>
    <col min="13330" max="13330" width="9.28515625" style="873" bestFit="1" customWidth="1"/>
    <col min="13331" max="13331" width="10.7109375" style="873" bestFit="1" customWidth="1"/>
    <col min="13332" max="13568" width="9.140625" style="873"/>
    <col min="13569" max="13569" width="20" style="873" bestFit="1" customWidth="1"/>
    <col min="13570" max="13570" width="21.42578125" style="873" bestFit="1" customWidth="1"/>
    <col min="13571" max="13571" width="16.42578125" style="873" bestFit="1" customWidth="1"/>
    <col min="13572" max="13572" width="12.5703125" style="873" bestFit="1" customWidth="1"/>
    <col min="13573" max="13573" width="10.42578125" style="873" bestFit="1" customWidth="1"/>
    <col min="13574" max="13574" width="9" style="873" bestFit="1" customWidth="1"/>
    <col min="13575" max="13575" width="7.7109375" style="873" bestFit="1" customWidth="1"/>
    <col min="13576" max="13576" width="8.85546875" style="873" bestFit="1" customWidth="1"/>
    <col min="13577" max="13577" width="7.28515625" style="873" bestFit="1" customWidth="1"/>
    <col min="13578" max="13578" width="10.140625" style="873" bestFit="1" customWidth="1"/>
    <col min="13579" max="13579" width="11.85546875" style="873" bestFit="1" customWidth="1"/>
    <col min="13580" max="13580" width="7.7109375" style="873" bestFit="1" customWidth="1"/>
    <col min="13581" max="13581" width="11.7109375" style="873" bestFit="1" customWidth="1"/>
    <col min="13582" max="13582" width="11.42578125" style="873" bestFit="1" customWidth="1"/>
    <col min="13583" max="13583" width="17" style="873" bestFit="1" customWidth="1"/>
    <col min="13584" max="13584" width="12.85546875" style="873" bestFit="1" customWidth="1"/>
    <col min="13585" max="13585" width="16.5703125" style="873" bestFit="1" customWidth="1"/>
    <col min="13586" max="13586" width="9.28515625" style="873" bestFit="1" customWidth="1"/>
    <col min="13587" max="13587" width="10.7109375" style="873" bestFit="1" customWidth="1"/>
    <col min="13588" max="13824" width="9.140625" style="873"/>
    <col min="13825" max="13825" width="20" style="873" bestFit="1" customWidth="1"/>
    <col min="13826" max="13826" width="21.42578125" style="873" bestFit="1" customWidth="1"/>
    <col min="13827" max="13827" width="16.42578125" style="873" bestFit="1" customWidth="1"/>
    <col min="13828" max="13828" width="12.5703125" style="873" bestFit="1" customWidth="1"/>
    <col min="13829" max="13829" width="10.42578125" style="873" bestFit="1" customWidth="1"/>
    <col min="13830" max="13830" width="9" style="873" bestFit="1" customWidth="1"/>
    <col min="13831" max="13831" width="7.7109375" style="873" bestFit="1" customWidth="1"/>
    <col min="13832" max="13832" width="8.85546875" style="873" bestFit="1" customWidth="1"/>
    <col min="13833" max="13833" width="7.28515625" style="873" bestFit="1" customWidth="1"/>
    <col min="13834" max="13834" width="10.140625" style="873" bestFit="1" customWidth="1"/>
    <col min="13835" max="13835" width="11.85546875" style="873" bestFit="1" customWidth="1"/>
    <col min="13836" max="13836" width="7.7109375" style="873" bestFit="1" customWidth="1"/>
    <col min="13837" max="13837" width="11.7109375" style="873" bestFit="1" customWidth="1"/>
    <col min="13838" max="13838" width="11.42578125" style="873" bestFit="1" customWidth="1"/>
    <col min="13839" max="13839" width="17" style="873" bestFit="1" customWidth="1"/>
    <col min="13840" max="13840" width="12.85546875" style="873" bestFit="1" customWidth="1"/>
    <col min="13841" max="13841" width="16.5703125" style="873" bestFit="1" customWidth="1"/>
    <col min="13842" max="13842" width="9.28515625" style="873" bestFit="1" customWidth="1"/>
    <col min="13843" max="13843" width="10.7109375" style="873" bestFit="1" customWidth="1"/>
    <col min="13844" max="14080" width="9.140625" style="873"/>
    <col min="14081" max="14081" width="20" style="873" bestFit="1" customWidth="1"/>
    <col min="14082" max="14082" width="21.42578125" style="873" bestFit="1" customWidth="1"/>
    <col min="14083" max="14083" width="16.42578125" style="873" bestFit="1" customWidth="1"/>
    <col min="14084" max="14084" width="12.5703125" style="873" bestFit="1" customWidth="1"/>
    <col min="14085" max="14085" width="10.42578125" style="873" bestFit="1" customWidth="1"/>
    <col min="14086" max="14086" width="9" style="873" bestFit="1" customWidth="1"/>
    <col min="14087" max="14087" width="7.7109375" style="873" bestFit="1" customWidth="1"/>
    <col min="14088" max="14088" width="8.85546875" style="873" bestFit="1" customWidth="1"/>
    <col min="14089" max="14089" width="7.28515625" style="873" bestFit="1" customWidth="1"/>
    <col min="14090" max="14090" width="10.140625" style="873" bestFit="1" customWidth="1"/>
    <col min="14091" max="14091" width="11.85546875" style="873" bestFit="1" customWidth="1"/>
    <col min="14092" max="14092" width="7.7109375" style="873" bestFit="1" customWidth="1"/>
    <col min="14093" max="14093" width="11.7109375" style="873" bestFit="1" customWidth="1"/>
    <col min="14094" max="14094" width="11.42578125" style="873" bestFit="1" customWidth="1"/>
    <col min="14095" max="14095" width="17" style="873" bestFit="1" customWidth="1"/>
    <col min="14096" max="14096" width="12.85546875" style="873" bestFit="1" customWidth="1"/>
    <col min="14097" max="14097" width="16.5703125" style="873" bestFit="1" customWidth="1"/>
    <col min="14098" max="14098" width="9.28515625" style="873" bestFit="1" customWidth="1"/>
    <col min="14099" max="14099" width="10.7109375" style="873" bestFit="1" customWidth="1"/>
    <col min="14100" max="14336" width="9.140625" style="873"/>
    <col min="14337" max="14337" width="20" style="873" bestFit="1" customWidth="1"/>
    <col min="14338" max="14338" width="21.42578125" style="873" bestFit="1" customWidth="1"/>
    <col min="14339" max="14339" width="16.42578125" style="873" bestFit="1" customWidth="1"/>
    <col min="14340" max="14340" width="12.5703125" style="873" bestFit="1" customWidth="1"/>
    <col min="14341" max="14341" width="10.42578125" style="873" bestFit="1" customWidth="1"/>
    <col min="14342" max="14342" width="9" style="873" bestFit="1" customWidth="1"/>
    <col min="14343" max="14343" width="7.7109375" style="873" bestFit="1" customWidth="1"/>
    <col min="14344" max="14344" width="8.85546875" style="873" bestFit="1" customWidth="1"/>
    <col min="14345" max="14345" width="7.28515625" style="873" bestFit="1" customWidth="1"/>
    <col min="14346" max="14346" width="10.140625" style="873" bestFit="1" customWidth="1"/>
    <col min="14347" max="14347" width="11.85546875" style="873" bestFit="1" customWidth="1"/>
    <col min="14348" max="14348" width="7.7109375" style="873" bestFit="1" customWidth="1"/>
    <col min="14349" max="14349" width="11.7109375" style="873" bestFit="1" customWidth="1"/>
    <col min="14350" max="14350" width="11.42578125" style="873" bestFit="1" customWidth="1"/>
    <col min="14351" max="14351" width="17" style="873" bestFit="1" customWidth="1"/>
    <col min="14352" max="14352" width="12.85546875" style="873" bestFit="1" customWidth="1"/>
    <col min="14353" max="14353" width="16.5703125" style="873" bestFit="1" customWidth="1"/>
    <col min="14354" max="14354" width="9.28515625" style="873" bestFit="1" customWidth="1"/>
    <col min="14355" max="14355" width="10.7109375" style="873" bestFit="1" customWidth="1"/>
    <col min="14356" max="14592" width="9.140625" style="873"/>
    <col min="14593" max="14593" width="20" style="873" bestFit="1" customWidth="1"/>
    <col min="14594" max="14594" width="21.42578125" style="873" bestFit="1" customWidth="1"/>
    <col min="14595" max="14595" width="16.42578125" style="873" bestFit="1" customWidth="1"/>
    <col min="14596" max="14596" width="12.5703125" style="873" bestFit="1" customWidth="1"/>
    <col min="14597" max="14597" width="10.42578125" style="873" bestFit="1" customWidth="1"/>
    <col min="14598" max="14598" width="9" style="873" bestFit="1" customWidth="1"/>
    <col min="14599" max="14599" width="7.7109375" style="873" bestFit="1" customWidth="1"/>
    <col min="14600" max="14600" width="8.85546875" style="873" bestFit="1" customWidth="1"/>
    <col min="14601" max="14601" width="7.28515625" style="873" bestFit="1" customWidth="1"/>
    <col min="14602" max="14602" width="10.140625" style="873" bestFit="1" customWidth="1"/>
    <col min="14603" max="14603" width="11.85546875" style="873" bestFit="1" customWidth="1"/>
    <col min="14604" max="14604" width="7.7109375" style="873" bestFit="1" customWidth="1"/>
    <col min="14605" max="14605" width="11.7109375" style="873" bestFit="1" customWidth="1"/>
    <col min="14606" max="14606" width="11.42578125" style="873" bestFit="1" customWidth="1"/>
    <col min="14607" max="14607" width="17" style="873" bestFit="1" customWidth="1"/>
    <col min="14608" max="14608" width="12.85546875" style="873" bestFit="1" customWidth="1"/>
    <col min="14609" max="14609" width="16.5703125" style="873" bestFit="1" customWidth="1"/>
    <col min="14610" max="14610" width="9.28515625" style="873" bestFit="1" customWidth="1"/>
    <col min="14611" max="14611" width="10.7109375" style="873" bestFit="1" customWidth="1"/>
    <col min="14612" max="14848" width="9.140625" style="873"/>
    <col min="14849" max="14849" width="20" style="873" bestFit="1" customWidth="1"/>
    <col min="14850" max="14850" width="21.42578125" style="873" bestFit="1" customWidth="1"/>
    <col min="14851" max="14851" width="16.42578125" style="873" bestFit="1" customWidth="1"/>
    <col min="14852" max="14852" width="12.5703125" style="873" bestFit="1" customWidth="1"/>
    <col min="14853" max="14853" width="10.42578125" style="873" bestFit="1" customWidth="1"/>
    <col min="14854" max="14854" width="9" style="873" bestFit="1" customWidth="1"/>
    <col min="14855" max="14855" width="7.7109375" style="873" bestFit="1" customWidth="1"/>
    <col min="14856" max="14856" width="8.85546875" style="873" bestFit="1" customWidth="1"/>
    <col min="14857" max="14857" width="7.28515625" style="873" bestFit="1" customWidth="1"/>
    <col min="14858" max="14858" width="10.140625" style="873" bestFit="1" customWidth="1"/>
    <col min="14859" max="14859" width="11.85546875" style="873" bestFit="1" customWidth="1"/>
    <col min="14860" max="14860" width="7.7109375" style="873" bestFit="1" customWidth="1"/>
    <col min="14861" max="14861" width="11.7109375" style="873" bestFit="1" customWidth="1"/>
    <col min="14862" max="14862" width="11.42578125" style="873" bestFit="1" customWidth="1"/>
    <col min="14863" max="14863" width="17" style="873" bestFit="1" customWidth="1"/>
    <col min="14864" max="14864" width="12.85546875" style="873" bestFit="1" customWidth="1"/>
    <col min="14865" max="14865" width="16.5703125" style="873" bestFit="1" customWidth="1"/>
    <col min="14866" max="14866" width="9.28515625" style="873" bestFit="1" customWidth="1"/>
    <col min="14867" max="14867" width="10.7109375" style="873" bestFit="1" customWidth="1"/>
    <col min="14868" max="15104" width="9.140625" style="873"/>
    <col min="15105" max="15105" width="20" style="873" bestFit="1" customWidth="1"/>
    <col min="15106" max="15106" width="21.42578125" style="873" bestFit="1" customWidth="1"/>
    <col min="15107" max="15107" width="16.42578125" style="873" bestFit="1" customWidth="1"/>
    <col min="15108" max="15108" width="12.5703125" style="873" bestFit="1" customWidth="1"/>
    <col min="15109" max="15109" width="10.42578125" style="873" bestFit="1" customWidth="1"/>
    <col min="15110" max="15110" width="9" style="873" bestFit="1" customWidth="1"/>
    <col min="15111" max="15111" width="7.7109375" style="873" bestFit="1" customWidth="1"/>
    <col min="15112" max="15112" width="8.85546875" style="873" bestFit="1" customWidth="1"/>
    <col min="15113" max="15113" width="7.28515625" style="873" bestFit="1" customWidth="1"/>
    <col min="15114" max="15114" width="10.140625" style="873" bestFit="1" customWidth="1"/>
    <col min="15115" max="15115" width="11.85546875" style="873" bestFit="1" customWidth="1"/>
    <col min="15116" max="15116" width="7.7109375" style="873" bestFit="1" customWidth="1"/>
    <col min="15117" max="15117" width="11.7109375" style="873" bestFit="1" customWidth="1"/>
    <col min="15118" max="15118" width="11.42578125" style="873" bestFit="1" customWidth="1"/>
    <col min="15119" max="15119" width="17" style="873" bestFit="1" customWidth="1"/>
    <col min="15120" max="15120" width="12.85546875" style="873" bestFit="1" customWidth="1"/>
    <col min="15121" max="15121" width="16.5703125" style="873" bestFit="1" customWidth="1"/>
    <col min="15122" max="15122" width="9.28515625" style="873" bestFit="1" customWidth="1"/>
    <col min="15123" max="15123" width="10.7109375" style="873" bestFit="1" customWidth="1"/>
    <col min="15124" max="15360" width="9.140625" style="873"/>
    <col min="15361" max="15361" width="20" style="873" bestFit="1" customWidth="1"/>
    <col min="15362" max="15362" width="21.42578125" style="873" bestFit="1" customWidth="1"/>
    <col min="15363" max="15363" width="16.42578125" style="873" bestFit="1" customWidth="1"/>
    <col min="15364" max="15364" width="12.5703125" style="873" bestFit="1" customWidth="1"/>
    <col min="15365" max="15365" width="10.42578125" style="873" bestFit="1" customWidth="1"/>
    <col min="15366" max="15366" width="9" style="873" bestFit="1" customWidth="1"/>
    <col min="15367" max="15367" width="7.7109375" style="873" bestFit="1" customWidth="1"/>
    <col min="15368" max="15368" width="8.85546875" style="873" bestFit="1" customWidth="1"/>
    <col min="15369" max="15369" width="7.28515625" style="873" bestFit="1" customWidth="1"/>
    <col min="15370" max="15370" width="10.140625" style="873" bestFit="1" customWidth="1"/>
    <col min="15371" max="15371" width="11.85546875" style="873" bestFit="1" customWidth="1"/>
    <col min="15372" max="15372" width="7.7109375" style="873" bestFit="1" customWidth="1"/>
    <col min="15373" max="15373" width="11.7109375" style="873" bestFit="1" customWidth="1"/>
    <col min="15374" max="15374" width="11.42578125" style="873" bestFit="1" customWidth="1"/>
    <col min="15375" max="15375" width="17" style="873" bestFit="1" customWidth="1"/>
    <col min="15376" max="15376" width="12.85546875" style="873" bestFit="1" customWidth="1"/>
    <col min="15377" max="15377" width="16.5703125" style="873" bestFit="1" customWidth="1"/>
    <col min="15378" max="15378" width="9.28515625" style="873" bestFit="1" customWidth="1"/>
    <col min="15379" max="15379" width="10.7109375" style="873" bestFit="1" customWidth="1"/>
    <col min="15380" max="15616" width="9.140625" style="873"/>
    <col min="15617" max="15617" width="20" style="873" bestFit="1" customWidth="1"/>
    <col min="15618" max="15618" width="21.42578125" style="873" bestFit="1" customWidth="1"/>
    <col min="15619" max="15619" width="16.42578125" style="873" bestFit="1" customWidth="1"/>
    <col min="15620" max="15620" width="12.5703125" style="873" bestFit="1" customWidth="1"/>
    <col min="15621" max="15621" width="10.42578125" style="873" bestFit="1" customWidth="1"/>
    <col min="15622" max="15622" width="9" style="873" bestFit="1" customWidth="1"/>
    <col min="15623" max="15623" width="7.7109375" style="873" bestFit="1" customWidth="1"/>
    <col min="15624" max="15624" width="8.85546875" style="873" bestFit="1" customWidth="1"/>
    <col min="15625" max="15625" width="7.28515625" style="873" bestFit="1" customWidth="1"/>
    <col min="15626" max="15626" width="10.140625" style="873" bestFit="1" customWidth="1"/>
    <col min="15627" max="15627" width="11.85546875" style="873" bestFit="1" customWidth="1"/>
    <col min="15628" max="15628" width="7.7109375" style="873" bestFit="1" customWidth="1"/>
    <col min="15629" max="15629" width="11.7109375" style="873" bestFit="1" customWidth="1"/>
    <col min="15630" max="15630" width="11.42578125" style="873" bestFit="1" customWidth="1"/>
    <col min="15631" max="15631" width="17" style="873" bestFit="1" customWidth="1"/>
    <col min="15632" max="15632" width="12.85546875" style="873" bestFit="1" customWidth="1"/>
    <col min="15633" max="15633" width="16.5703125" style="873" bestFit="1" customWidth="1"/>
    <col min="15634" max="15634" width="9.28515625" style="873" bestFit="1" customWidth="1"/>
    <col min="15635" max="15635" width="10.7109375" style="873" bestFit="1" customWidth="1"/>
    <col min="15636" max="15872" width="9.140625" style="873"/>
    <col min="15873" max="15873" width="20" style="873" bestFit="1" customWidth="1"/>
    <col min="15874" max="15874" width="21.42578125" style="873" bestFit="1" customWidth="1"/>
    <col min="15875" max="15875" width="16.42578125" style="873" bestFit="1" customWidth="1"/>
    <col min="15876" max="15876" width="12.5703125" style="873" bestFit="1" customWidth="1"/>
    <col min="15877" max="15877" width="10.42578125" style="873" bestFit="1" customWidth="1"/>
    <col min="15878" max="15878" width="9" style="873" bestFit="1" customWidth="1"/>
    <col min="15879" max="15879" width="7.7109375" style="873" bestFit="1" customWidth="1"/>
    <col min="15880" max="15880" width="8.85546875" style="873" bestFit="1" customWidth="1"/>
    <col min="15881" max="15881" width="7.28515625" style="873" bestFit="1" customWidth="1"/>
    <col min="15882" max="15882" width="10.140625" style="873" bestFit="1" customWidth="1"/>
    <col min="15883" max="15883" width="11.85546875" style="873" bestFit="1" customWidth="1"/>
    <col min="15884" max="15884" width="7.7109375" style="873" bestFit="1" customWidth="1"/>
    <col min="15885" max="15885" width="11.7109375" style="873" bestFit="1" customWidth="1"/>
    <col min="15886" max="15886" width="11.42578125" style="873" bestFit="1" customWidth="1"/>
    <col min="15887" max="15887" width="17" style="873" bestFit="1" customWidth="1"/>
    <col min="15888" max="15888" width="12.85546875" style="873" bestFit="1" customWidth="1"/>
    <col min="15889" max="15889" width="16.5703125" style="873" bestFit="1" customWidth="1"/>
    <col min="15890" max="15890" width="9.28515625" style="873" bestFit="1" customWidth="1"/>
    <col min="15891" max="15891" width="10.7109375" style="873" bestFit="1" customWidth="1"/>
    <col min="15892" max="16128" width="9.140625" style="873"/>
    <col min="16129" max="16129" width="20" style="873" bestFit="1" customWidth="1"/>
    <col min="16130" max="16130" width="21.42578125" style="873" bestFit="1" customWidth="1"/>
    <col min="16131" max="16131" width="16.42578125" style="873" bestFit="1" customWidth="1"/>
    <col min="16132" max="16132" width="12.5703125" style="873" bestFit="1" customWidth="1"/>
    <col min="16133" max="16133" width="10.42578125" style="873" bestFit="1" customWidth="1"/>
    <col min="16134" max="16134" width="9" style="873" bestFit="1" customWidth="1"/>
    <col min="16135" max="16135" width="7.7109375" style="873" bestFit="1" customWidth="1"/>
    <col min="16136" max="16136" width="8.85546875" style="873" bestFit="1" customWidth="1"/>
    <col min="16137" max="16137" width="7.28515625" style="873" bestFit="1" customWidth="1"/>
    <col min="16138" max="16138" width="10.140625" style="873" bestFit="1" customWidth="1"/>
    <col min="16139" max="16139" width="11.85546875" style="873" bestFit="1" customWidth="1"/>
    <col min="16140" max="16140" width="7.7109375" style="873" bestFit="1" customWidth="1"/>
    <col min="16141" max="16141" width="11.7109375" style="873" bestFit="1" customWidth="1"/>
    <col min="16142" max="16142" width="11.42578125" style="873" bestFit="1" customWidth="1"/>
    <col min="16143" max="16143" width="17" style="873" bestFit="1" customWidth="1"/>
    <col min="16144" max="16144" width="12.85546875" style="873" bestFit="1" customWidth="1"/>
    <col min="16145" max="16145" width="16.5703125" style="873" bestFit="1" customWidth="1"/>
    <col min="16146" max="16146" width="9.28515625" style="873" bestFit="1" customWidth="1"/>
    <col min="16147" max="16147" width="10.7109375" style="873" bestFit="1" customWidth="1"/>
    <col min="16148" max="16384" width="9.140625" style="873"/>
  </cols>
  <sheetData>
    <row r="1" spans="1:21">
      <c r="A1" s="739" t="s">
        <v>1733</v>
      </c>
      <c r="C1" s="1460" t="s">
        <v>2168</v>
      </c>
      <c r="D1" s="1460"/>
      <c r="E1" s="1460"/>
      <c r="F1" s="1460"/>
      <c r="G1" s="1460"/>
      <c r="H1" s="1460"/>
      <c r="I1" s="1460"/>
      <c r="J1" s="1460"/>
      <c r="K1" s="1460"/>
    </row>
    <row r="2" spans="1:21">
      <c r="A2" s="739" t="s">
        <v>2167</v>
      </c>
      <c r="C2" s="1460"/>
      <c r="D2" s="1460"/>
      <c r="E2" s="1460"/>
      <c r="F2" s="1460"/>
      <c r="G2" s="1460"/>
      <c r="H2" s="1460"/>
      <c r="I2" s="1460"/>
      <c r="J2" s="1460"/>
      <c r="K2" s="1460"/>
    </row>
    <row r="3" spans="1:21">
      <c r="A3" s="739"/>
    </row>
    <row r="4" spans="1:21">
      <c r="A4" s="739"/>
    </row>
    <row r="5" spans="1:21">
      <c r="A5" s="873" t="s">
        <v>2140</v>
      </c>
      <c r="C5" s="873" t="s">
        <v>2141</v>
      </c>
    </row>
    <row r="6" spans="1:21">
      <c r="A6" s="872" t="s">
        <v>1559</v>
      </c>
      <c r="B6" s="872" t="s">
        <v>1493</v>
      </c>
      <c r="C6" s="872" t="s">
        <v>2142</v>
      </c>
      <c r="D6" s="872" t="s">
        <v>2143</v>
      </c>
      <c r="E6" s="872" t="s">
        <v>2144</v>
      </c>
      <c r="F6" s="872" t="s">
        <v>2145</v>
      </c>
      <c r="G6" s="872" t="s">
        <v>2146</v>
      </c>
      <c r="H6" s="872" t="s">
        <v>2147</v>
      </c>
      <c r="I6" s="872" t="s">
        <v>2148</v>
      </c>
      <c r="J6" s="872" t="s">
        <v>2149</v>
      </c>
      <c r="K6" s="872" t="s">
        <v>2150</v>
      </c>
      <c r="L6" s="872" t="s">
        <v>2151</v>
      </c>
      <c r="M6" s="872" t="s">
        <v>2152</v>
      </c>
      <c r="N6" s="872" t="s">
        <v>2153</v>
      </c>
      <c r="O6" s="872" t="s">
        <v>2154</v>
      </c>
      <c r="P6" s="872" t="s">
        <v>2155</v>
      </c>
      <c r="Q6" s="872" t="s">
        <v>2156</v>
      </c>
      <c r="R6" s="872" t="s">
        <v>2157</v>
      </c>
      <c r="S6" s="871" t="s">
        <v>994</v>
      </c>
    </row>
    <row r="7" spans="1:21" ht="15">
      <c r="A7" s="869" t="s">
        <v>2158</v>
      </c>
      <c r="B7" s="869" t="s">
        <v>2042</v>
      </c>
      <c r="C7" s="870"/>
      <c r="D7" s="870">
        <v>4</v>
      </c>
      <c r="E7" s="870"/>
      <c r="F7" s="870">
        <v>2</v>
      </c>
      <c r="G7" s="870"/>
      <c r="H7" s="870">
        <v>1</v>
      </c>
      <c r="I7" s="870"/>
      <c r="J7" s="870"/>
      <c r="K7" s="870">
        <v>40</v>
      </c>
      <c r="L7" s="870"/>
      <c r="M7" s="870">
        <v>13</v>
      </c>
      <c r="N7" s="870">
        <v>1</v>
      </c>
      <c r="O7" s="870">
        <v>91</v>
      </c>
      <c r="P7" s="870">
        <v>160</v>
      </c>
      <c r="Q7" s="870">
        <v>200</v>
      </c>
      <c r="R7" s="870">
        <v>1</v>
      </c>
      <c r="S7" s="868">
        <v>513</v>
      </c>
    </row>
    <row r="8" spans="1:21" ht="15">
      <c r="A8" s="869"/>
      <c r="B8" s="869" t="s">
        <v>1994</v>
      </c>
      <c r="C8" s="870"/>
      <c r="D8" s="870"/>
      <c r="E8" s="870"/>
      <c r="F8" s="870"/>
      <c r="G8" s="870"/>
      <c r="H8" s="870"/>
      <c r="I8" s="870"/>
      <c r="J8" s="870"/>
      <c r="K8" s="870"/>
      <c r="L8" s="870"/>
      <c r="M8" s="870"/>
      <c r="N8" s="870"/>
      <c r="O8" s="870"/>
      <c r="P8" s="870">
        <v>4</v>
      </c>
      <c r="Q8" s="870">
        <v>1</v>
      </c>
      <c r="R8" s="870"/>
      <c r="S8" s="868">
        <v>5</v>
      </c>
      <c r="U8" s="865"/>
    </row>
    <row r="9" spans="1:21" ht="15">
      <c r="A9" s="869"/>
      <c r="B9" s="869" t="s">
        <v>1996</v>
      </c>
      <c r="C9" s="870"/>
      <c r="D9" s="870"/>
      <c r="E9" s="870"/>
      <c r="F9" s="870"/>
      <c r="G9" s="870"/>
      <c r="H9" s="870"/>
      <c r="I9" s="870"/>
      <c r="J9" s="870"/>
      <c r="K9" s="870">
        <v>6</v>
      </c>
      <c r="L9" s="870"/>
      <c r="M9" s="870">
        <v>2</v>
      </c>
      <c r="N9" s="870"/>
      <c r="O9" s="870"/>
      <c r="P9" s="870">
        <v>12</v>
      </c>
      <c r="Q9" s="870"/>
      <c r="R9" s="870">
        <v>1</v>
      </c>
      <c r="S9" s="868">
        <v>21</v>
      </c>
    </row>
    <row r="10" spans="1:21" ht="15">
      <c r="A10" s="869"/>
      <c r="B10" s="869" t="s">
        <v>2159</v>
      </c>
      <c r="C10" s="870">
        <v>5</v>
      </c>
      <c r="D10" s="870"/>
      <c r="E10" s="870"/>
      <c r="F10" s="870"/>
      <c r="G10" s="870"/>
      <c r="H10" s="870"/>
      <c r="I10" s="870"/>
      <c r="J10" s="870"/>
      <c r="K10" s="870"/>
      <c r="L10" s="870"/>
      <c r="M10" s="870"/>
      <c r="N10" s="870"/>
      <c r="O10" s="870"/>
      <c r="P10" s="870"/>
      <c r="Q10" s="870"/>
      <c r="R10" s="870"/>
      <c r="S10" s="868">
        <v>5</v>
      </c>
    </row>
    <row r="11" spans="1:21" ht="15">
      <c r="A11" s="869"/>
      <c r="B11" s="869" t="s">
        <v>1986</v>
      </c>
      <c r="C11" s="870"/>
      <c r="D11" s="870"/>
      <c r="E11" s="870"/>
      <c r="F11" s="870">
        <v>2</v>
      </c>
      <c r="G11" s="870"/>
      <c r="H11" s="870"/>
      <c r="I11" s="870"/>
      <c r="J11" s="870"/>
      <c r="K11" s="870">
        <v>6</v>
      </c>
      <c r="L11" s="870"/>
      <c r="M11" s="870">
        <v>2</v>
      </c>
      <c r="N11" s="870"/>
      <c r="O11" s="870">
        <v>13</v>
      </c>
      <c r="P11" s="870">
        <v>25</v>
      </c>
      <c r="Q11" s="870">
        <v>28</v>
      </c>
      <c r="R11" s="870">
        <v>1</v>
      </c>
      <c r="S11" s="868">
        <v>77</v>
      </c>
    </row>
    <row r="12" spans="1:21" ht="15">
      <c r="A12" s="869"/>
      <c r="B12" s="869" t="s">
        <v>2008</v>
      </c>
      <c r="C12" s="870"/>
      <c r="D12" s="870"/>
      <c r="E12" s="870"/>
      <c r="F12" s="870">
        <v>1</v>
      </c>
      <c r="G12" s="870"/>
      <c r="H12" s="870"/>
      <c r="I12" s="870"/>
      <c r="J12" s="870"/>
      <c r="K12" s="870"/>
      <c r="L12" s="870"/>
      <c r="M12" s="870"/>
      <c r="N12" s="870"/>
      <c r="O12" s="870"/>
      <c r="P12" s="870">
        <v>16</v>
      </c>
      <c r="Q12" s="870">
        <v>42</v>
      </c>
      <c r="R12" s="870">
        <v>1</v>
      </c>
      <c r="S12" s="868">
        <v>60</v>
      </c>
    </row>
    <row r="13" spans="1:21" ht="15">
      <c r="A13" s="869"/>
      <c r="B13" s="869" t="s">
        <v>1998</v>
      </c>
      <c r="C13" s="870"/>
      <c r="D13" s="870"/>
      <c r="E13" s="870"/>
      <c r="F13" s="870"/>
      <c r="G13" s="870"/>
      <c r="H13" s="870"/>
      <c r="I13" s="870"/>
      <c r="J13" s="870"/>
      <c r="K13" s="870"/>
      <c r="L13" s="870"/>
      <c r="M13" s="870"/>
      <c r="N13" s="870"/>
      <c r="O13" s="870"/>
      <c r="P13" s="870">
        <v>6</v>
      </c>
      <c r="Q13" s="870"/>
      <c r="R13" s="870"/>
      <c r="S13" s="868">
        <v>6</v>
      </c>
    </row>
    <row r="14" spans="1:21" ht="15">
      <c r="A14" s="869"/>
      <c r="B14" s="869" t="s">
        <v>2000</v>
      </c>
      <c r="C14" s="870"/>
      <c r="D14" s="870"/>
      <c r="E14" s="870"/>
      <c r="F14" s="870"/>
      <c r="G14" s="870"/>
      <c r="H14" s="870"/>
      <c r="I14" s="870"/>
      <c r="J14" s="870"/>
      <c r="K14" s="870">
        <v>1</v>
      </c>
      <c r="L14" s="870"/>
      <c r="M14" s="870">
        <v>1</v>
      </c>
      <c r="N14" s="870"/>
      <c r="O14" s="870">
        <v>2</v>
      </c>
      <c r="P14" s="870">
        <v>4</v>
      </c>
      <c r="Q14" s="870">
        <v>1</v>
      </c>
      <c r="R14" s="870"/>
      <c r="S14" s="868">
        <v>9</v>
      </c>
    </row>
    <row r="15" spans="1:21" ht="15">
      <c r="A15" s="869"/>
      <c r="B15" s="869" t="s">
        <v>2160</v>
      </c>
      <c r="C15" s="870">
        <v>4</v>
      </c>
      <c r="D15" s="870"/>
      <c r="E15" s="870"/>
      <c r="F15" s="870"/>
      <c r="G15" s="870"/>
      <c r="H15" s="870"/>
      <c r="I15" s="870"/>
      <c r="J15" s="870"/>
      <c r="K15" s="870"/>
      <c r="L15" s="870"/>
      <c r="M15" s="870"/>
      <c r="N15" s="870"/>
      <c r="O15" s="870">
        <v>1</v>
      </c>
      <c r="P15" s="870"/>
      <c r="Q15" s="870">
        <v>1</v>
      </c>
      <c r="R15" s="870"/>
      <c r="S15" s="868">
        <v>6</v>
      </c>
    </row>
    <row r="16" spans="1:21" ht="15">
      <c r="A16" s="869"/>
      <c r="B16" s="869" t="s">
        <v>1988</v>
      </c>
      <c r="C16" s="870"/>
      <c r="D16" s="870"/>
      <c r="E16" s="870"/>
      <c r="F16" s="870">
        <v>1</v>
      </c>
      <c r="G16" s="870"/>
      <c r="H16" s="870">
        <v>4</v>
      </c>
      <c r="I16" s="870"/>
      <c r="J16" s="870"/>
      <c r="K16" s="870">
        <v>23</v>
      </c>
      <c r="L16" s="870"/>
      <c r="M16" s="870">
        <v>8</v>
      </c>
      <c r="N16" s="870"/>
      <c r="O16" s="870">
        <v>73</v>
      </c>
      <c r="P16" s="870">
        <v>31</v>
      </c>
      <c r="Q16" s="870">
        <v>30</v>
      </c>
      <c r="R16" s="870">
        <v>1</v>
      </c>
      <c r="S16" s="868">
        <v>171</v>
      </c>
    </row>
    <row r="17" spans="1:19" ht="15">
      <c r="A17" s="869"/>
      <c r="B17" s="869" t="s">
        <v>2010</v>
      </c>
      <c r="C17" s="870"/>
      <c r="D17" s="870">
        <v>2</v>
      </c>
      <c r="E17" s="870"/>
      <c r="F17" s="870"/>
      <c r="G17" s="870"/>
      <c r="H17" s="870"/>
      <c r="I17" s="870"/>
      <c r="J17" s="870"/>
      <c r="K17" s="870">
        <v>1</v>
      </c>
      <c r="L17" s="870"/>
      <c r="M17" s="870"/>
      <c r="N17" s="870"/>
      <c r="O17" s="870">
        <v>2</v>
      </c>
      <c r="P17" s="870">
        <v>43</v>
      </c>
      <c r="Q17" s="870">
        <v>64</v>
      </c>
      <c r="R17" s="870"/>
      <c r="S17" s="868">
        <v>112</v>
      </c>
    </row>
    <row r="18" spans="1:19" ht="15">
      <c r="A18" s="869"/>
      <c r="B18" s="869" t="s">
        <v>2002</v>
      </c>
      <c r="C18" s="870"/>
      <c r="D18" s="870"/>
      <c r="E18" s="870"/>
      <c r="F18" s="870"/>
      <c r="G18" s="870"/>
      <c r="H18" s="870"/>
      <c r="I18" s="870"/>
      <c r="J18" s="870"/>
      <c r="K18" s="870"/>
      <c r="L18" s="870"/>
      <c r="M18" s="870"/>
      <c r="N18" s="870"/>
      <c r="O18" s="870"/>
      <c r="P18" s="870">
        <v>5</v>
      </c>
      <c r="Q18" s="870"/>
      <c r="R18" s="870"/>
      <c r="S18" s="868">
        <v>5</v>
      </c>
    </row>
    <row r="19" spans="1:19" ht="15">
      <c r="A19" s="869"/>
      <c r="B19" s="869" t="s">
        <v>2006</v>
      </c>
      <c r="C19" s="870"/>
      <c r="D19" s="870"/>
      <c r="E19" s="870"/>
      <c r="F19" s="870"/>
      <c r="G19" s="870"/>
      <c r="H19" s="870"/>
      <c r="I19" s="870"/>
      <c r="J19" s="870"/>
      <c r="K19" s="870">
        <v>1</v>
      </c>
      <c r="L19" s="870"/>
      <c r="M19" s="870"/>
      <c r="N19" s="870"/>
      <c r="O19" s="870"/>
      <c r="P19" s="870">
        <v>5</v>
      </c>
      <c r="Q19" s="870">
        <v>2</v>
      </c>
      <c r="R19" s="870"/>
      <c r="S19" s="868">
        <v>8</v>
      </c>
    </row>
    <row r="20" spans="1:19" ht="15">
      <c r="A20" s="869"/>
      <c r="B20" s="869" t="s">
        <v>2161</v>
      </c>
      <c r="C20" s="870">
        <v>3</v>
      </c>
      <c r="D20" s="870"/>
      <c r="E20" s="870"/>
      <c r="F20" s="870"/>
      <c r="G20" s="870"/>
      <c r="H20" s="870"/>
      <c r="I20" s="870"/>
      <c r="J20" s="870"/>
      <c r="K20" s="870"/>
      <c r="L20" s="870"/>
      <c r="M20" s="870"/>
      <c r="N20" s="870"/>
      <c r="O20" s="870"/>
      <c r="P20" s="870"/>
      <c r="Q20" s="870"/>
      <c r="R20" s="870"/>
      <c r="S20" s="868">
        <v>3</v>
      </c>
    </row>
    <row r="21" spans="1:19" ht="15">
      <c r="A21" s="869"/>
      <c r="B21" s="869" t="s">
        <v>1990</v>
      </c>
      <c r="C21" s="870"/>
      <c r="D21" s="870"/>
      <c r="E21" s="870"/>
      <c r="F21" s="870">
        <v>1</v>
      </c>
      <c r="G21" s="870"/>
      <c r="H21" s="870"/>
      <c r="I21" s="870"/>
      <c r="J21" s="870"/>
      <c r="K21" s="870">
        <v>3</v>
      </c>
      <c r="L21" s="870"/>
      <c r="M21" s="870"/>
      <c r="N21" s="870">
        <v>1</v>
      </c>
      <c r="O21" s="870"/>
      <c r="P21" s="870">
        <v>12</v>
      </c>
      <c r="Q21" s="870">
        <v>5</v>
      </c>
      <c r="R21" s="870"/>
      <c r="S21" s="868">
        <v>22</v>
      </c>
    </row>
    <row r="22" spans="1:19" ht="15">
      <c r="A22" s="869"/>
      <c r="B22" s="869" t="s">
        <v>2012</v>
      </c>
      <c r="C22" s="870"/>
      <c r="D22" s="870">
        <v>2</v>
      </c>
      <c r="E22" s="870"/>
      <c r="F22" s="870"/>
      <c r="G22" s="870"/>
      <c r="H22" s="870"/>
      <c r="I22" s="870"/>
      <c r="J22" s="870"/>
      <c r="K22" s="870"/>
      <c r="L22" s="870"/>
      <c r="M22" s="870"/>
      <c r="N22" s="870"/>
      <c r="O22" s="870"/>
      <c r="P22" s="870">
        <v>6</v>
      </c>
      <c r="Q22" s="870">
        <v>28</v>
      </c>
      <c r="R22" s="870"/>
      <c r="S22" s="868">
        <v>36</v>
      </c>
    </row>
    <row r="23" spans="1:19" ht="15">
      <c r="A23" s="869"/>
      <c r="B23" s="869" t="s">
        <v>1992</v>
      </c>
      <c r="C23" s="870"/>
      <c r="D23" s="870"/>
      <c r="E23" s="870"/>
      <c r="F23" s="870"/>
      <c r="G23" s="870"/>
      <c r="H23" s="870"/>
      <c r="I23" s="870"/>
      <c r="J23" s="870"/>
      <c r="K23" s="870"/>
      <c r="L23" s="870"/>
      <c r="M23" s="870"/>
      <c r="N23" s="870"/>
      <c r="O23" s="870"/>
      <c r="P23" s="870"/>
      <c r="Q23" s="870">
        <v>3</v>
      </c>
      <c r="R23" s="870"/>
      <c r="S23" s="868">
        <v>3</v>
      </c>
    </row>
    <row r="24" spans="1:19" ht="15">
      <c r="A24" s="869"/>
      <c r="B24" s="869" t="s">
        <v>2162</v>
      </c>
      <c r="C24" s="870">
        <v>2</v>
      </c>
      <c r="D24" s="870"/>
      <c r="E24" s="870"/>
      <c r="F24" s="870"/>
      <c r="G24" s="870"/>
      <c r="H24" s="870"/>
      <c r="I24" s="870"/>
      <c r="J24" s="870"/>
      <c r="K24" s="870"/>
      <c r="L24" s="870"/>
      <c r="M24" s="870"/>
      <c r="N24" s="870"/>
      <c r="O24" s="870"/>
      <c r="P24" s="870"/>
      <c r="Q24" s="870"/>
      <c r="R24" s="870"/>
      <c r="S24" s="868">
        <v>2</v>
      </c>
    </row>
    <row r="25" spans="1:19" ht="15">
      <c r="A25" s="869"/>
      <c r="B25" s="869" t="s">
        <v>2034</v>
      </c>
      <c r="C25" s="870">
        <v>2</v>
      </c>
      <c r="D25" s="870">
        <v>1</v>
      </c>
      <c r="E25" s="870"/>
      <c r="F25" s="870">
        <v>1</v>
      </c>
      <c r="G25" s="870"/>
      <c r="H25" s="870"/>
      <c r="I25" s="870"/>
      <c r="J25" s="870"/>
      <c r="K25" s="870">
        <v>7</v>
      </c>
      <c r="L25" s="870"/>
      <c r="M25" s="870">
        <v>3</v>
      </c>
      <c r="N25" s="870"/>
      <c r="O25" s="870">
        <v>33</v>
      </c>
      <c r="P25" s="870"/>
      <c r="Q25" s="870">
        <v>14</v>
      </c>
      <c r="R25" s="870"/>
      <c r="S25" s="868">
        <v>61</v>
      </c>
    </row>
    <row r="26" spans="1:19" ht="15">
      <c r="A26" s="869"/>
      <c r="B26" s="869" t="s">
        <v>2022</v>
      </c>
      <c r="C26" s="870"/>
      <c r="D26" s="870"/>
      <c r="E26" s="870"/>
      <c r="F26" s="870"/>
      <c r="G26" s="870"/>
      <c r="H26" s="870"/>
      <c r="I26" s="870"/>
      <c r="J26" s="870"/>
      <c r="K26" s="870">
        <v>2</v>
      </c>
      <c r="L26" s="870"/>
      <c r="M26" s="870">
        <v>1</v>
      </c>
      <c r="N26" s="870"/>
      <c r="O26" s="870">
        <v>10</v>
      </c>
      <c r="P26" s="870">
        <v>21</v>
      </c>
      <c r="Q26" s="870">
        <v>49</v>
      </c>
      <c r="R26" s="870"/>
      <c r="S26" s="868">
        <v>83</v>
      </c>
    </row>
    <row r="27" spans="1:19" ht="15">
      <c r="A27" s="869"/>
      <c r="B27" s="869" t="s">
        <v>2016</v>
      </c>
      <c r="C27" s="870"/>
      <c r="D27" s="870"/>
      <c r="E27" s="870"/>
      <c r="F27" s="870">
        <v>2</v>
      </c>
      <c r="G27" s="870"/>
      <c r="H27" s="870"/>
      <c r="I27" s="870"/>
      <c r="J27" s="870"/>
      <c r="K27" s="870">
        <v>5</v>
      </c>
      <c r="L27" s="870"/>
      <c r="M27" s="870">
        <v>1</v>
      </c>
      <c r="N27" s="870"/>
      <c r="O27" s="870">
        <v>6</v>
      </c>
      <c r="P27" s="870">
        <v>31</v>
      </c>
      <c r="Q27" s="870">
        <v>31</v>
      </c>
      <c r="R27" s="870"/>
      <c r="S27" s="868">
        <v>76</v>
      </c>
    </row>
    <row r="28" spans="1:19" ht="15">
      <c r="A28" s="869"/>
      <c r="B28" s="869" t="s">
        <v>2163</v>
      </c>
      <c r="C28" s="870">
        <v>5</v>
      </c>
      <c r="D28" s="870"/>
      <c r="E28" s="870"/>
      <c r="F28" s="870"/>
      <c r="G28" s="870"/>
      <c r="H28" s="870"/>
      <c r="I28" s="870"/>
      <c r="J28" s="870"/>
      <c r="K28" s="870"/>
      <c r="L28" s="870"/>
      <c r="M28" s="870"/>
      <c r="N28" s="870"/>
      <c r="O28" s="870"/>
      <c r="P28" s="870"/>
      <c r="Q28" s="870"/>
      <c r="R28" s="870"/>
      <c r="S28" s="868">
        <v>5</v>
      </c>
    </row>
    <row r="29" spans="1:19" ht="15">
      <c r="A29" s="869"/>
      <c r="B29" s="869" t="s">
        <v>2024</v>
      </c>
      <c r="C29" s="870"/>
      <c r="D29" s="870"/>
      <c r="E29" s="870"/>
      <c r="F29" s="870"/>
      <c r="G29" s="870"/>
      <c r="H29" s="870"/>
      <c r="I29" s="870"/>
      <c r="J29" s="870"/>
      <c r="K29" s="870">
        <v>12</v>
      </c>
      <c r="L29" s="870"/>
      <c r="M29" s="870">
        <v>1</v>
      </c>
      <c r="N29" s="870"/>
      <c r="O29" s="870">
        <v>61</v>
      </c>
      <c r="P29" s="870">
        <v>55</v>
      </c>
      <c r="Q29" s="870">
        <v>70</v>
      </c>
      <c r="R29" s="870">
        <v>1</v>
      </c>
      <c r="S29" s="868">
        <v>200</v>
      </c>
    </row>
    <row r="30" spans="1:19" ht="15">
      <c r="A30" s="869"/>
      <c r="B30" s="869" t="s">
        <v>2018</v>
      </c>
      <c r="C30" s="870"/>
      <c r="D30" s="870">
        <v>2</v>
      </c>
      <c r="E30" s="870"/>
      <c r="F30" s="870"/>
      <c r="G30" s="870"/>
      <c r="H30" s="870">
        <v>2</v>
      </c>
      <c r="I30" s="870"/>
      <c r="J30" s="870"/>
      <c r="K30" s="870">
        <v>14</v>
      </c>
      <c r="L30" s="870"/>
      <c r="M30" s="870">
        <v>9</v>
      </c>
      <c r="N30" s="870"/>
      <c r="O30" s="870">
        <v>45</v>
      </c>
      <c r="P30" s="870">
        <v>33</v>
      </c>
      <c r="Q30" s="870">
        <v>31</v>
      </c>
      <c r="R30" s="870">
        <v>3</v>
      </c>
      <c r="S30" s="868">
        <v>139</v>
      </c>
    </row>
    <row r="31" spans="1:19" ht="15">
      <c r="A31" s="869"/>
      <c r="B31" s="869" t="s">
        <v>2164</v>
      </c>
      <c r="C31" s="870">
        <v>3</v>
      </c>
      <c r="D31" s="870"/>
      <c r="E31" s="870"/>
      <c r="F31" s="870"/>
      <c r="G31" s="870"/>
      <c r="H31" s="870"/>
      <c r="I31" s="870"/>
      <c r="J31" s="870"/>
      <c r="K31" s="870"/>
      <c r="L31" s="870"/>
      <c r="M31" s="870"/>
      <c r="N31" s="870"/>
      <c r="O31" s="870"/>
      <c r="P31" s="870"/>
      <c r="Q31" s="870"/>
      <c r="R31" s="870"/>
      <c r="S31" s="868">
        <v>3</v>
      </c>
    </row>
    <row r="32" spans="1:19" ht="15">
      <c r="A32" s="869"/>
      <c r="B32" s="869" t="s">
        <v>2026</v>
      </c>
      <c r="C32" s="870"/>
      <c r="D32" s="870">
        <v>2</v>
      </c>
      <c r="E32" s="870"/>
      <c r="F32" s="870"/>
      <c r="G32" s="870"/>
      <c r="H32" s="870"/>
      <c r="I32" s="870"/>
      <c r="J32" s="870"/>
      <c r="K32" s="870">
        <v>2</v>
      </c>
      <c r="L32" s="870"/>
      <c r="M32" s="870"/>
      <c r="N32" s="870"/>
      <c r="O32" s="870"/>
      <c r="P32" s="870">
        <v>6</v>
      </c>
      <c r="Q32" s="870">
        <v>30</v>
      </c>
      <c r="R32" s="870"/>
      <c r="S32" s="868">
        <v>40</v>
      </c>
    </row>
    <row r="33" spans="1:19" ht="15">
      <c r="A33" s="869"/>
      <c r="B33" s="869" t="s">
        <v>2020</v>
      </c>
      <c r="C33" s="870"/>
      <c r="D33" s="870">
        <v>1</v>
      </c>
      <c r="E33" s="870"/>
      <c r="F33" s="870"/>
      <c r="G33" s="870"/>
      <c r="H33" s="870"/>
      <c r="I33" s="870"/>
      <c r="J33" s="870"/>
      <c r="K33" s="870">
        <v>1</v>
      </c>
      <c r="L33" s="870"/>
      <c r="M33" s="870"/>
      <c r="N33" s="870">
        <v>1</v>
      </c>
      <c r="O33" s="870"/>
      <c r="P33" s="870">
        <v>15</v>
      </c>
      <c r="Q33" s="870">
        <v>5</v>
      </c>
      <c r="R33" s="870"/>
      <c r="S33" s="868">
        <v>23</v>
      </c>
    </row>
    <row r="34" spans="1:19" ht="15">
      <c r="A34" s="869"/>
      <c r="B34" s="869" t="s">
        <v>2165</v>
      </c>
      <c r="C34" s="870"/>
      <c r="D34" s="870"/>
      <c r="E34" s="870"/>
      <c r="F34" s="870"/>
      <c r="G34" s="870"/>
      <c r="H34" s="870"/>
      <c r="I34" s="870"/>
      <c r="J34" s="870">
        <v>5</v>
      </c>
      <c r="K34" s="870"/>
      <c r="L34" s="870"/>
      <c r="M34" s="870"/>
      <c r="N34" s="870"/>
      <c r="O34" s="870"/>
      <c r="P34" s="870"/>
      <c r="Q34" s="870"/>
      <c r="R34" s="870"/>
      <c r="S34" s="868">
        <v>5</v>
      </c>
    </row>
    <row r="35" spans="1:19" ht="15">
      <c r="A35" s="864" t="s">
        <v>2166</v>
      </c>
      <c r="B35" s="864"/>
      <c r="C35" s="867">
        <v>24</v>
      </c>
      <c r="D35" s="867">
        <v>14</v>
      </c>
      <c r="E35" s="867"/>
      <c r="F35" s="867">
        <v>10</v>
      </c>
      <c r="G35" s="867"/>
      <c r="H35" s="867">
        <v>7</v>
      </c>
      <c r="I35" s="867"/>
      <c r="J35" s="867">
        <v>5</v>
      </c>
      <c r="K35" s="867">
        <v>124</v>
      </c>
      <c r="L35" s="867"/>
      <c r="M35" s="867">
        <v>41</v>
      </c>
      <c r="N35" s="867">
        <v>3</v>
      </c>
      <c r="O35" s="867">
        <v>337</v>
      </c>
      <c r="P35" s="867">
        <v>490</v>
      </c>
      <c r="Q35" s="867">
        <v>635</v>
      </c>
      <c r="R35" s="867">
        <v>9</v>
      </c>
      <c r="S35" s="866">
        <v>1699</v>
      </c>
    </row>
    <row r="36" spans="1:19" ht="15.75" thickBot="1">
      <c r="A36" s="863" t="s">
        <v>994</v>
      </c>
      <c r="B36" s="863"/>
      <c r="C36" s="862">
        <v>944</v>
      </c>
      <c r="D36" s="862">
        <v>14</v>
      </c>
      <c r="E36" s="862">
        <v>2</v>
      </c>
      <c r="F36" s="862">
        <v>486</v>
      </c>
      <c r="G36" s="862">
        <v>131</v>
      </c>
      <c r="H36" s="862">
        <v>459</v>
      </c>
      <c r="I36" s="862">
        <v>7</v>
      </c>
      <c r="J36" s="862">
        <v>5</v>
      </c>
      <c r="K36" s="862">
        <v>3458</v>
      </c>
      <c r="L36" s="862">
        <v>414</v>
      </c>
      <c r="M36" s="862">
        <v>41</v>
      </c>
      <c r="N36" s="862">
        <v>25</v>
      </c>
      <c r="O36" s="862">
        <v>3958</v>
      </c>
      <c r="P36" s="862">
        <v>6926</v>
      </c>
      <c r="Q36" s="862">
        <v>22893</v>
      </c>
      <c r="R36" s="862">
        <v>1395</v>
      </c>
      <c r="S36" s="861">
        <v>41158</v>
      </c>
    </row>
    <row r="37" spans="1:19" ht="13.5" thickTop="1">
      <c r="A37" s="1410" t="s">
        <v>2167</v>
      </c>
      <c r="C37" s="865">
        <f>+SUM(C8:C24)</f>
        <v>14</v>
      </c>
      <c r="D37" s="865">
        <f t="shared" ref="D37:S37" si="0">+SUM(D8:D24)</f>
        <v>4</v>
      </c>
      <c r="E37" s="865">
        <f t="shared" si="0"/>
        <v>0</v>
      </c>
      <c r="F37" s="865">
        <f t="shared" si="0"/>
        <v>5</v>
      </c>
      <c r="G37" s="865">
        <f t="shared" si="0"/>
        <v>0</v>
      </c>
      <c r="H37" s="865">
        <f t="shared" si="0"/>
        <v>4</v>
      </c>
      <c r="I37" s="865">
        <f t="shared" si="0"/>
        <v>0</v>
      </c>
      <c r="J37" s="865">
        <f t="shared" si="0"/>
        <v>0</v>
      </c>
      <c r="K37" s="865">
        <f t="shared" si="0"/>
        <v>41</v>
      </c>
      <c r="L37" s="865">
        <f t="shared" si="0"/>
        <v>0</v>
      </c>
      <c r="M37" s="865">
        <f t="shared" si="0"/>
        <v>13</v>
      </c>
      <c r="N37" s="865">
        <f t="shared" si="0"/>
        <v>1</v>
      </c>
      <c r="O37" s="1411">
        <f t="shared" si="0"/>
        <v>91</v>
      </c>
      <c r="P37" s="1411">
        <f t="shared" si="0"/>
        <v>169</v>
      </c>
      <c r="Q37" s="1411">
        <f t="shared" si="0"/>
        <v>205</v>
      </c>
      <c r="R37" s="1411">
        <f t="shared" si="0"/>
        <v>4</v>
      </c>
      <c r="S37" s="865">
        <f t="shared" si="0"/>
        <v>551</v>
      </c>
    </row>
  </sheetData>
  <mergeCells count="1">
    <mergeCell ref="C1:K2"/>
  </mergeCells>
  <pageMargins left="0.7" right="0.7" top="0.75" bottom="0.75" header="0.3" footer="0.3"/>
  <pageSetup scale="8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26"/>
  <sheetViews>
    <sheetView view="pageBreakPreview" zoomScaleNormal="100" zoomScaleSheetLayoutView="100" workbookViewId="0">
      <selection activeCell="G20" sqref="G20"/>
    </sheetView>
  </sheetViews>
  <sheetFormatPr defaultRowHeight="15"/>
  <cols>
    <col min="1" max="1" width="29.42578125" style="787" customWidth="1"/>
    <col min="2" max="2" width="13.7109375" style="787" bestFit="1" customWidth="1"/>
    <col min="3" max="3" width="15.85546875" style="787" bestFit="1" customWidth="1"/>
    <col min="4" max="16384" width="9.140625" style="787"/>
  </cols>
  <sheetData>
    <row r="1" spans="1:7">
      <c r="A1" s="754" t="s">
        <v>1351</v>
      </c>
    </row>
    <row r="2" spans="1:7">
      <c r="A2" s="754" t="s">
        <v>1333</v>
      </c>
    </row>
    <row r="4" spans="1:7" ht="75" customHeight="1">
      <c r="A4" s="1461" t="s">
        <v>1334</v>
      </c>
      <c r="B4" s="1461"/>
      <c r="C4" s="1461"/>
      <c r="D4" s="1461"/>
      <c r="E4" s="1461"/>
      <c r="F4" s="1461"/>
      <c r="G4" s="1461"/>
    </row>
    <row r="6" spans="1:7">
      <c r="A6" s="1305"/>
      <c r="B6" s="1306"/>
      <c r="C6" s="1307"/>
    </row>
    <row r="7" spans="1:7">
      <c r="A7" s="412" t="s">
        <v>1335</v>
      </c>
      <c r="B7" s="411" t="s">
        <v>105</v>
      </c>
      <c r="C7" s="413" t="s">
        <v>1336</v>
      </c>
    </row>
    <row r="8" spans="1:7">
      <c r="A8" s="1308" t="s">
        <v>1337</v>
      </c>
      <c r="B8" s="1309">
        <v>65704341</v>
      </c>
      <c r="C8" s="1310">
        <v>0.31917684170163879</v>
      </c>
    </row>
    <row r="9" spans="1:7">
      <c r="A9" s="1311" t="s">
        <v>1338</v>
      </c>
      <c r="B9" s="1309">
        <v>40673585</v>
      </c>
      <c r="C9" s="1312">
        <v>0.20824875360126602</v>
      </c>
    </row>
    <row r="10" spans="1:7">
      <c r="A10" s="1311" t="s">
        <v>1339</v>
      </c>
      <c r="B10" s="1309">
        <v>870716</v>
      </c>
      <c r="C10" s="1312">
        <v>4.4972423691523418E-3</v>
      </c>
    </row>
    <row r="11" spans="1:7">
      <c r="A11" s="1311" t="s">
        <v>1340</v>
      </c>
      <c r="B11" s="1309">
        <v>3010502</v>
      </c>
      <c r="C11" s="1312">
        <v>1.4981090544568039E-2</v>
      </c>
    </row>
    <row r="12" spans="1:7">
      <c r="A12" s="1311" t="s">
        <v>1341</v>
      </c>
      <c r="B12" s="1309">
        <v>5002559</v>
      </c>
      <c r="C12" s="1312">
        <v>2.4985509685182795E-2</v>
      </c>
    </row>
    <row r="13" spans="1:7">
      <c r="A13" s="1311" t="s">
        <v>1342</v>
      </c>
      <c r="B13" s="1309">
        <v>23765261</v>
      </c>
      <c r="C13" s="1312">
        <v>0.11618137509682218</v>
      </c>
    </row>
    <row r="14" spans="1:7">
      <c r="A14" s="1311" t="s">
        <v>1343</v>
      </c>
      <c r="B14" s="1309">
        <v>1156060</v>
      </c>
      <c r="C14" s="1312">
        <v>5.7326557997259189E-3</v>
      </c>
    </row>
    <row r="15" spans="1:7">
      <c r="A15" s="1311" t="s">
        <v>1344</v>
      </c>
      <c r="B15" s="1309">
        <v>5946990</v>
      </c>
      <c r="C15" s="1312">
        <v>2.7926387996098111E-2</v>
      </c>
    </row>
    <row r="16" spans="1:7">
      <c r="A16" s="1311" t="s">
        <v>1349</v>
      </c>
      <c r="B16" s="1309">
        <v>16482344</v>
      </c>
      <c r="C16" s="1312">
        <v>7.6365900395035408E-2</v>
      </c>
    </row>
    <row r="17" spans="1:3">
      <c r="A17" s="1311" t="s">
        <v>1350</v>
      </c>
      <c r="B17" s="1309">
        <v>17341604</v>
      </c>
      <c r="C17" s="1312">
        <v>8.0347018831432443E-2</v>
      </c>
    </row>
    <row r="18" spans="1:3">
      <c r="A18" s="1311" t="s">
        <v>1345</v>
      </c>
      <c r="B18" s="1309">
        <v>5265636</v>
      </c>
      <c r="C18" s="1312">
        <v>2.5643817081122875E-2</v>
      </c>
    </row>
    <row r="19" spans="1:3">
      <c r="A19" s="1311" t="s">
        <v>1346</v>
      </c>
      <c r="B19" s="1309">
        <v>4146708</v>
      </c>
      <c r="C19" s="1312">
        <v>2.2279682581719584E-2</v>
      </c>
    </row>
    <row r="20" spans="1:3">
      <c r="A20" s="1313" t="s">
        <v>1347</v>
      </c>
      <c r="B20" s="1314">
        <v>14989255</v>
      </c>
      <c r="C20" s="1315">
        <v>7.3633724316235522E-2</v>
      </c>
    </row>
    <row r="21" spans="1:3" ht="15.75" thickBot="1">
      <c r="B21" s="1316">
        <f>SUM(B8:B20)</f>
        <v>204355561</v>
      </c>
      <c r="C21" s="1317">
        <v>1</v>
      </c>
    </row>
    <row r="23" spans="1:3">
      <c r="B23" s="823" t="s">
        <v>1348</v>
      </c>
      <c r="C23" s="1318">
        <v>307817.68</v>
      </c>
    </row>
    <row r="24" spans="1:3">
      <c r="B24" s="823"/>
      <c r="C24" s="1318"/>
    </row>
    <row r="25" spans="1:3">
      <c r="B25" s="823" t="s">
        <v>1352</v>
      </c>
      <c r="C25" s="1318">
        <f>C23*C20</f>
        <v>22665.762188783203</v>
      </c>
    </row>
    <row r="26" spans="1:3">
      <c r="B26" s="823" t="s">
        <v>204</v>
      </c>
      <c r="C26" s="1318">
        <f>C25*0.0765</f>
        <v>1733.930807441915</v>
      </c>
    </row>
  </sheetData>
  <mergeCells count="1">
    <mergeCell ref="A4:G4"/>
  </mergeCells>
  <pageMargins left="0.7" right="0.7" top="0.75" bottom="0.75" header="0.3" footer="0.3"/>
  <pageSetup scale="94"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2"/>
  <sheetViews>
    <sheetView showGridLines="0" view="pageBreakPreview" topLeftCell="A34" zoomScale="60" zoomScaleNormal="85" workbookViewId="0">
      <selection activeCell="G20" sqref="G20"/>
    </sheetView>
  </sheetViews>
  <sheetFormatPr defaultColWidth="13.85546875" defaultRowHeight="12.75" outlineLevelRow="1" outlineLevelCol="1"/>
  <cols>
    <col min="1" max="1" width="7.85546875" style="123" customWidth="1"/>
    <col min="2" max="3" width="2.28515625" style="123" customWidth="1"/>
    <col min="4" max="4" width="25.85546875" style="123" customWidth="1"/>
    <col min="5" max="5" width="2.28515625" style="123" customWidth="1"/>
    <col min="6" max="6" width="2.140625" style="123" customWidth="1"/>
    <col min="7" max="7" width="12.28515625" style="182" customWidth="1" outlineLevel="1"/>
    <col min="8" max="8" width="1.5703125" style="123" customWidth="1" outlineLevel="1"/>
    <col min="9" max="9" width="10.42578125" style="182" bestFit="1" customWidth="1" outlineLevel="1"/>
    <col min="10" max="10" width="1.5703125" style="123" customWidth="1" outlineLevel="1"/>
    <col min="11" max="11" width="9.85546875" style="182" bestFit="1" customWidth="1" outlineLevel="1"/>
    <col min="12" max="12" width="1.5703125" style="123" customWidth="1" outlineLevel="1"/>
    <col min="13" max="13" width="9.7109375" style="182" bestFit="1" customWidth="1" outlineLevel="1"/>
    <col min="14" max="14" width="0.85546875" style="123" customWidth="1" outlineLevel="1"/>
    <col min="15" max="15" width="9.7109375" style="182" bestFit="1" customWidth="1" outlineLevel="1"/>
    <col min="16" max="16" width="1.5703125" style="123" customWidth="1" outlineLevel="1"/>
    <col min="17" max="17" width="10.140625" style="182" bestFit="1" customWidth="1" outlineLevel="1"/>
    <col min="18" max="18" width="1.5703125" style="123" customWidth="1" outlineLevel="1"/>
    <col min="19" max="19" width="9.7109375" style="182" bestFit="1" customWidth="1" outlineLevel="1"/>
    <col min="20" max="20" width="0.85546875" style="123" customWidth="1" outlineLevel="1"/>
    <col min="21" max="21" width="10.140625" style="182" bestFit="1" customWidth="1" outlineLevel="1"/>
    <col min="22" max="22" width="1.5703125" style="123" customWidth="1" outlineLevel="1"/>
    <col min="23" max="23" width="9.7109375" style="182" bestFit="1" customWidth="1" outlineLevel="1"/>
    <col min="24" max="24" width="1.5703125" style="123" customWidth="1" outlineLevel="1"/>
    <col min="25" max="25" width="9.140625" style="182" bestFit="1" customWidth="1" outlineLevel="1"/>
    <col min="26" max="26" width="0.85546875" style="123" customWidth="1" outlineLevel="1"/>
    <col min="27" max="27" width="10.42578125" style="182" bestFit="1" customWidth="1" outlineLevel="1"/>
    <col min="28" max="28" width="1.5703125" style="123" customWidth="1" outlineLevel="1"/>
    <col min="29" max="29" width="9.42578125" style="182" bestFit="1" customWidth="1" outlineLevel="1"/>
    <col min="30" max="30" width="1.5703125" style="123" customWidth="1" outlineLevel="1"/>
    <col min="31" max="31" width="11.5703125" style="182" bestFit="1" customWidth="1"/>
    <col min="32" max="32" width="4.5703125" style="123" customWidth="1"/>
    <col min="33" max="33" width="1.42578125" style="123" customWidth="1"/>
    <col min="34" max="34" width="17.28515625" style="123" bestFit="1" customWidth="1"/>
    <col min="35" max="35" width="15.140625" style="123" bestFit="1" customWidth="1"/>
    <col min="36" max="36" width="20.85546875" style="123" customWidth="1"/>
    <col min="37" max="37" width="6.28515625" style="123" customWidth="1"/>
    <col min="38" max="40" width="2.28515625" style="123" customWidth="1"/>
    <col min="41" max="42" width="13.85546875" style="123"/>
    <col min="43" max="43" width="15.7109375" style="123" customWidth="1"/>
    <col min="44" max="44" width="6" style="123" customWidth="1"/>
    <col min="45" max="16384" width="13.85546875" style="123"/>
  </cols>
  <sheetData>
    <row r="1" spans="1:47" s="136" customFormat="1" ht="15.75">
      <c r="A1" s="430" t="s">
        <v>1733</v>
      </c>
      <c r="G1" s="797" t="s">
        <v>2201</v>
      </c>
      <c r="J1" s="137"/>
      <c r="K1" s="138"/>
      <c r="N1" s="137"/>
      <c r="O1" s="139"/>
      <c r="P1" s="137"/>
      <c r="Q1" s="138"/>
      <c r="V1" s="137"/>
      <c r="W1" s="138"/>
      <c r="AB1" s="137"/>
      <c r="AC1" s="138"/>
      <c r="AE1" s="140"/>
      <c r="AO1" s="631"/>
      <c r="AP1" s="632"/>
      <c r="AQ1" s="632"/>
      <c r="AR1" s="633"/>
      <c r="AS1" s="631"/>
      <c r="AT1" s="632"/>
      <c r="AU1" s="632"/>
    </row>
    <row r="2" spans="1:47" s="136" customFormat="1" ht="15.75">
      <c r="A2" s="430" t="s">
        <v>1560</v>
      </c>
      <c r="K2" s="141"/>
      <c r="N2" s="137"/>
      <c r="O2" s="141"/>
      <c r="Q2" s="141" t="s">
        <v>220</v>
      </c>
      <c r="W2" s="141" t="s">
        <v>220</v>
      </c>
      <c r="AC2" s="141" t="s">
        <v>220</v>
      </c>
      <c r="AF2" s="634"/>
      <c r="AG2" s="634" t="s">
        <v>1561</v>
      </c>
      <c r="AH2" s="635">
        <f>+AQ55</f>
        <v>2.9825799429375108E-2</v>
      </c>
      <c r="AO2" s="636"/>
      <c r="AP2" s="637"/>
      <c r="AQ2" s="638" t="s">
        <v>593</v>
      </c>
      <c r="AR2" s="639"/>
      <c r="AS2" s="636"/>
      <c r="AT2" s="637"/>
      <c r="AU2" s="638" t="s">
        <v>1562</v>
      </c>
    </row>
    <row r="3" spans="1:47" s="136" customFormat="1" ht="45">
      <c r="A3" s="430" t="s">
        <v>1563</v>
      </c>
      <c r="AG3" s="640" t="s">
        <v>1564</v>
      </c>
      <c r="AH3" s="635">
        <f>+AU57</f>
        <v>2.9207204595388128E-2</v>
      </c>
      <c r="AO3" s="641" t="s">
        <v>1335</v>
      </c>
      <c r="AP3" s="642" t="s">
        <v>1565</v>
      </c>
      <c r="AQ3" s="643" t="s">
        <v>1566</v>
      </c>
      <c r="AR3" s="644"/>
      <c r="AS3" s="641" t="s">
        <v>1335</v>
      </c>
      <c r="AT3" s="642" t="s">
        <v>1567</v>
      </c>
      <c r="AU3" s="643" t="s">
        <v>1566</v>
      </c>
    </row>
    <row r="4" spans="1:47" s="136" customFormat="1" ht="16.5" thickBot="1">
      <c r="A4" s="629"/>
      <c r="AE4" s="645"/>
      <c r="AF4" s="645"/>
      <c r="AH4" s="645"/>
      <c r="AI4" s="645"/>
      <c r="AJ4" s="645"/>
      <c r="AK4" s="646"/>
      <c r="AO4" s="647">
        <v>2010</v>
      </c>
      <c r="AP4" s="648">
        <v>128337</v>
      </c>
      <c r="AQ4" s="649">
        <v>0.12595852516922945</v>
      </c>
      <c r="AR4" s="650"/>
      <c r="AS4" s="647">
        <v>2010</v>
      </c>
      <c r="AT4" s="648">
        <v>131402</v>
      </c>
      <c r="AU4" s="649">
        <v>0.1244934831401061</v>
      </c>
    </row>
    <row r="5" spans="1:47" s="136" customFormat="1" ht="36.75" customHeight="1">
      <c r="A5" s="651" t="s">
        <v>1568</v>
      </c>
      <c r="B5" s="652"/>
      <c r="C5" s="652"/>
      <c r="D5" s="652"/>
      <c r="E5" s="652"/>
      <c r="F5" s="652"/>
      <c r="G5" s="653"/>
      <c r="H5" s="651"/>
      <c r="I5" s="651"/>
      <c r="J5" s="651"/>
      <c r="K5" s="651"/>
      <c r="L5" s="651"/>
      <c r="M5" s="651"/>
      <c r="N5" s="651"/>
      <c r="O5" s="651"/>
      <c r="P5" s="651"/>
      <c r="Q5" s="651"/>
      <c r="R5" s="651"/>
      <c r="S5" s="651"/>
      <c r="T5" s="651"/>
      <c r="U5" s="651"/>
      <c r="V5" s="651"/>
      <c r="W5" s="651"/>
      <c r="X5" s="651"/>
      <c r="Y5" s="651"/>
      <c r="Z5" s="651"/>
      <c r="AA5" s="651"/>
      <c r="AB5" s="651"/>
      <c r="AC5" s="651"/>
      <c r="AD5" s="651"/>
      <c r="AE5" s="654"/>
      <c r="AF5" s="654"/>
      <c r="AH5" s="655" t="s">
        <v>1520</v>
      </c>
      <c r="AI5" s="655" t="s">
        <v>647</v>
      </c>
      <c r="AJ5" s="655" t="s">
        <v>1569</v>
      </c>
      <c r="AK5" s="655"/>
      <c r="AO5" s="647">
        <v>2011</v>
      </c>
      <c r="AP5" s="648">
        <v>30394</v>
      </c>
      <c r="AQ5" s="649">
        <v>2.9830706764172137E-2</v>
      </c>
      <c r="AR5" s="650"/>
      <c r="AS5" s="647">
        <v>2011</v>
      </c>
      <c r="AT5" s="648">
        <v>30599</v>
      </c>
      <c r="AU5" s="649">
        <v>2.8990244369218935E-2</v>
      </c>
    </row>
    <row r="6" spans="1:47" s="136" customFormat="1" ht="26.25" customHeight="1" thickBot="1">
      <c r="A6" s="143"/>
      <c r="B6" s="143"/>
      <c r="C6" s="143"/>
      <c r="D6" s="143"/>
      <c r="E6" s="143"/>
      <c r="F6" s="143"/>
      <c r="G6" s="147">
        <v>42552</v>
      </c>
      <c r="H6" s="148"/>
      <c r="I6" s="147">
        <f>G6+31</f>
        <v>42583</v>
      </c>
      <c r="J6" s="148"/>
      <c r="K6" s="147">
        <f>I6+31</f>
        <v>42614</v>
      </c>
      <c r="L6" s="149"/>
      <c r="M6" s="147">
        <f>K6+31</f>
        <v>42645</v>
      </c>
      <c r="N6" s="148"/>
      <c r="O6" s="147">
        <f>M6+31</f>
        <v>42676</v>
      </c>
      <c r="P6" s="148"/>
      <c r="Q6" s="147">
        <f>O6+31</f>
        <v>42707</v>
      </c>
      <c r="R6" s="149"/>
      <c r="S6" s="147">
        <f>Q6+31</f>
        <v>42738</v>
      </c>
      <c r="T6" s="148"/>
      <c r="U6" s="147">
        <f>S6+31</f>
        <v>42769</v>
      </c>
      <c r="V6" s="148"/>
      <c r="W6" s="147">
        <f>U6+31</f>
        <v>42800</v>
      </c>
      <c r="X6" s="149"/>
      <c r="Y6" s="147">
        <f>W6+31</f>
        <v>42831</v>
      </c>
      <c r="Z6" s="148"/>
      <c r="AA6" s="147">
        <f>Y6+31</f>
        <v>42862</v>
      </c>
      <c r="AB6" s="148"/>
      <c r="AC6" s="147">
        <f>AA6+31</f>
        <v>42893</v>
      </c>
      <c r="AD6" s="149"/>
      <c r="AE6" s="150" t="s">
        <v>34</v>
      </c>
      <c r="AF6" s="151"/>
      <c r="AH6" s="147" t="s">
        <v>1570</v>
      </c>
      <c r="AI6" s="147" t="s">
        <v>1571</v>
      </c>
      <c r="AJ6" s="1319" t="s">
        <v>1572</v>
      </c>
      <c r="AK6" s="655"/>
      <c r="AO6" s="647">
        <v>2012</v>
      </c>
      <c r="AP6" s="648">
        <v>21971</v>
      </c>
      <c r="AQ6" s="649">
        <v>2.1563810565099231E-2</v>
      </c>
      <c r="AR6" s="650"/>
      <c r="AS6" s="647">
        <v>2012</v>
      </c>
      <c r="AT6" s="648">
        <v>22646</v>
      </c>
      <c r="AU6" s="649">
        <v>2.1455376776539494E-2</v>
      </c>
    </row>
    <row r="7" spans="1:47" s="129" customFormat="1" ht="15.75" outlineLevel="1">
      <c r="G7" s="157"/>
      <c r="H7" s="156"/>
      <c r="I7" s="157"/>
      <c r="J7" s="156"/>
      <c r="K7" s="157"/>
      <c r="L7" s="156"/>
      <c r="M7" s="157"/>
      <c r="N7" s="156"/>
      <c r="O7" s="157"/>
      <c r="P7" s="156"/>
      <c r="Q7" s="157"/>
      <c r="R7" s="156"/>
      <c r="S7" s="157"/>
      <c r="T7" s="156"/>
      <c r="U7" s="157"/>
      <c r="V7" s="156"/>
      <c r="W7" s="157"/>
      <c r="X7" s="156"/>
      <c r="Y7" s="157"/>
      <c r="Z7" s="156"/>
      <c r="AA7" s="157"/>
      <c r="AB7" s="156"/>
      <c r="AC7" s="157"/>
      <c r="AD7" s="156"/>
      <c r="AE7" s="157"/>
      <c r="AF7" s="152"/>
      <c r="AG7" s="136"/>
      <c r="AO7" s="647">
        <v>2013</v>
      </c>
      <c r="AP7" s="648">
        <v>59448</v>
      </c>
      <c r="AQ7" s="649">
        <v>5.8346247802740843E-2</v>
      </c>
      <c r="AR7" s="650"/>
      <c r="AS7" s="647">
        <v>2013</v>
      </c>
      <c r="AT7" s="648">
        <v>59476</v>
      </c>
      <c r="AU7" s="649">
        <v>5.6349023631611012E-2</v>
      </c>
    </row>
    <row r="8" spans="1:47" ht="15" outlineLevel="1">
      <c r="A8" s="127">
        <v>70035</v>
      </c>
      <c r="B8" s="127" t="s">
        <v>258</v>
      </c>
      <c r="C8" s="128"/>
      <c r="D8" s="125"/>
      <c r="E8" s="129"/>
      <c r="F8" s="130"/>
      <c r="G8" s="131">
        <v>302</v>
      </c>
      <c r="H8" s="130"/>
      <c r="I8" s="131">
        <v>302</v>
      </c>
      <c r="J8" s="130"/>
      <c r="K8" s="131">
        <v>302</v>
      </c>
      <c r="L8" s="130"/>
      <c r="M8" s="131">
        <v>301.99</v>
      </c>
      <c r="N8" s="130"/>
      <c r="O8" s="131">
        <v>250</v>
      </c>
      <c r="P8" s="130"/>
      <c r="Q8" s="131">
        <v>250</v>
      </c>
      <c r="R8" s="130"/>
      <c r="S8" s="131">
        <v>250</v>
      </c>
      <c r="T8" s="130"/>
      <c r="U8" s="131">
        <v>250</v>
      </c>
      <c r="V8" s="130"/>
      <c r="W8" s="131">
        <v>-62.5</v>
      </c>
      <c r="X8" s="130"/>
      <c r="Y8" s="131">
        <v>204.45</v>
      </c>
      <c r="Z8" s="130"/>
      <c r="AA8" s="131">
        <v>-216.09</v>
      </c>
      <c r="AB8" s="130"/>
      <c r="AC8" s="131">
        <v>-841.1</v>
      </c>
      <c r="AD8" s="130"/>
      <c r="AE8" s="131">
        <v>1292.75</v>
      </c>
      <c r="AF8" s="132"/>
      <c r="AG8" s="133"/>
      <c r="AH8" s="799">
        <f>(SUM(G8:Q8)*$AH$2)+(SUM(S8:AC8)*$AH$3)</f>
        <v>38.814167531189426</v>
      </c>
      <c r="AI8" s="798"/>
      <c r="AJ8" s="798">
        <f t="shared" ref="AJ8:AJ44" si="0">AH8+AI8</f>
        <v>38.814167531189426</v>
      </c>
      <c r="AO8" s="647">
        <v>2014</v>
      </c>
      <c r="AP8" s="648">
        <v>52</v>
      </c>
      <c r="AQ8" s="649">
        <v>5.1036281889088342E-5</v>
      </c>
      <c r="AR8" s="650"/>
      <c r="AS8" s="647">
        <v>2014</v>
      </c>
      <c r="AT8" s="648">
        <v>56</v>
      </c>
      <c r="AU8" s="649">
        <v>5.3055775831767712E-5</v>
      </c>
    </row>
    <row r="9" spans="1:47" ht="15" outlineLevel="1">
      <c r="A9" s="127">
        <v>70036</v>
      </c>
      <c r="B9" s="127" t="s">
        <v>77</v>
      </c>
      <c r="C9" s="128"/>
      <c r="D9" s="125"/>
      <c r="E9" s="129"/>
      <c r="F9" s="130"/>
      <c r="G9" s="131">
        <v>4216.67</v>
      </c>
      <c r="H9" s="130"/>
      <c r="I9" s="131">
        <v>4266.66</v>
      </c>
      <c r="J9" s="130"/>
      <c r="K9" s="131">
        <v>4094.49</v>
      </c>
      <c r="L9" s="130"/>
      <c r="M9" s="131">
        <v>4591.67</v>
      </c>
      <c r="N9" s="130"/>
      <c r="O9" s="131">
        <v>5716.66</v>
      </c>
      <c r="P9" s="130"/>
      <c r="Q9" s="131">
        <v>4316.67</v>
      </c>
      <c r="R9" s="130"/>
      <c r="S9" s="131">
        <v>1247.08</v>
      </c>
      <c r="T9" s="130"/>
      <c r="U9" s="131">
        <v>1247.0899999999999</v>
      </c>
      <c r="V9" s="130"/>
      <c r="W9" s="131">
        <v>1612.08</v>
      </c>
      <c r="X9" s="130"/>
      <c r="Y9" s="131">
        <v>1247.08</v>
      </c>
      <c r="Z9" s="130"/>
      <c r="AA9" s="131">
        <v>1847.09</v>
      </c>
      <c r="AB9" s="130"/>
      <c r="AC9" s="131">
        <v>1451.14</v>
      </c>
      <c r="AD9" s="130"/>
      <c r="AE9" s="131">
        <v>35854.379999999997</v>
      </c>
      <c r="AF9" s="132"/>
      <c r="AG9" s="133"/>
      <c r="AH9" s="799">
        <f t="shared" ref="AH9:AH44" si="1">(SUM(G9:Q9)*$AH$2)+(SUM(S9:AC9)*$AH$3)</f>
        <v>1064.0337362226699</v>
      </c>
      <c r="AI9" s="798"/>
      <c r="AJ9" s="798">
        <f t="shared" si="0"/>
        <v>1064.0337362226699</v>
      </c>
      <c r="AO9" s="647">
        <v>2015</v>
      </c>
      <c r="AP9" s="648">
        <v>0</v>
      </c>
      <c r="AQ9" s="649">
        <v>0</v>
      </c>
      <c r="AR9" s="650"/>
      <c r="AS9" s="647">
        <v>2015</v>
      </c>
      <c r="AT9" s="648">
        <v>0</v>
      </c>
      <c r="AU9" s="649">
        <v>0</v>
      </c>
    </row>
    <row r="10" spans="1:47" ht="15" outlineLevel="1">
      <c r="A10" s="127">
        <v>70086</v>
      </c>
      <c r="B10" s="127" t="s">
        <v>259</v>
      </c>
      <c r="C10" s="128"/>
      <c r="D10" s="125"/>
      <c r="E10" s="129"/>
      <c r="F10" s="130"/>
      <c r="G10" s="131">
        <v>1106.22</v>
      </c>
      <c r="H10" s="130"/>
      <c r="I10" s="131">
        <v>5090.2299999999996</v>
      </c>
      <c r="J10" s="130"/>
      <c r="K10" s="131">
        <v>11.36</v>
      </c>
      <c r="L10" s="130"/>
      <c r="M10" s="131">
        <v>709.58</v>
      </c>
      <c r="N10" s="130"/>
      <c r="O10" s="131">
        <v>4548.33</v>
      </c>
      <c r="P10" s="130"/>
      <c r="Q10" s="131">
        <v>-4.41</v>
      </c>
      <c r="R10" s="130"/>
      <c r="S10" s="131">
        <v>935.08</v>
      </c>
      <c r="T10" s="130"/>
      <c r="U10" s="131">
        <v>3172.78</v>
      </c>
      <c r="V10" s="130"/>
      <c r="W10" s="131">
        <v>402.75</v>
      </c>
      <c r="X10" s="130"/>
      <c r="Y10" s="131">
        <v>2021.44</v>
      </c>
      <c r="Z10" s="130"/>
      <c r="AA10" s="131">
        <v>4114.32</v>
      </c>
      <c r="AB10" s="130"/>
      <c r="AC10" s="131">
        <v>656.83</v>
      </c>
      <c r="AD10" s="130"/>
      <c r="AE10" s="131">
        <v>22764.510000000002</v>
      </c>
      <c r="AF10" s="132"/>
      <c r="AG10" s="133"/>
      <c r="AH10" s="799">
        <f t="shared" si="1"/>
        <v>671.97760824048237</v>
      </c>
      <c r="AI10" s="798"/>
      <c r="AJ10" s="798">
        <f t="shared" si="0"/>
        <v>671.97760824048237</v>
      </c>
      <c r="AO10" s="647">
        <v>2020</v>
      </c>
      <c r="AP10" s="648">
        <v>0</v>
      </c>
      <c r="AQ10" s="649">
        <v>0</v>
      </c>
      <c r="AR10" s="650"/>
      <c r="AS10" s="647">
        <v>2025</v>
      </c>
      <c r="AT10" s="648">
        <v>2441</v>
      </c>
      <c r="AU10" s="649">
        <v>2.3126633715240177E-3</v>
      </c>
    </row>
    <row r="11" spans="1:47" ht="15" outlineLevel="1">
      <c r="A11" s="127">
        <v>70095</v>
      </c>
      <c r="B11" s="127" t="s">
        <v>157</v>
      </c>
      <c r="C11" s="128"/>
      <c r="D11" s="125"/>
      <c r="E11" s="129"/>
      <c r="F11" s="130"/>
      <c r="G11" s="131">
        <v>614.89</v>
      </c>
      <c r="H11" s="130"/>
      <c r="I11" s="131">
        <v>9138.6200000000008</v>
      </c>
      <c r="J11" s="130"/>
      <c r="K11" s="131">
        <v>3367.2</v>
      </c>
      <c r="L11" s="130"/>
      <c r="M11" s="131">
        <v>5336.59</v>
      </c>
      <c r="N11" s="130"/>
      <c r="O11" s="131">
        <v>926.28</v>
      </c>
      <c r="P11" s="130"/>
      <c r="Q11" s="131">
        <v>14537.08</v>
      </c>
      <c r="R11" s="130"/>
      <c r="S11" s="131">
        <v>17701.560000000001</v>
      </c>
      <c r="T11" s="130"/>
      <c r="U11" s="131">
        <v>11577.88</v>
      </c>
      <c r="V11" s="130"/>
      <c r="W11" s="131">
        <v>16067.76</v>
      </c>
      <c r="X11" s="130"/>
      <c r="Y11" s="131">
        <v>4277.54</v>
      </c>
      <c r="Z11" s="130"/>
      <c r="AA11" s="131">
        <v>3087.22</v>
      </c>
      <c r="AB11" s="130"/>
      <c r="AC11" s="131">
        <v>4187.6899999999996</v>
      </c>
      <c r="AD11" s="130"/>
      <c r="AE11" s="131">
        <v>90820.309999999983</v>
      </c>
      <c r="AF11" s="132"/>
      <c r="AG11" s="133"/>
      <c r="AH11" s="799">
        <f t="shared" si="1"/>
        <v>2673.5905206280031</v>
      </c>
      <c r="AI11" s="798">
        <f>-AH11</f>
        <v>-2673.5905206280031</v>
      </c>
      <c r="AJ11" s="798">
        <f t="shared" si="0"/>
        <v>0</v>
      </c>
      <c r="AO11" s="647">
        <v>2025</v>
      </c>
      <c r="AP11" s="648">
        <v>2362</v>
      </c>
      <c r="AQ11" s="649">
        <v>2.3182249581158976E-3</v>
      </c>
      <c r="AR11" s="650"/>
      <c r="AS11" s="647">
        <v>2040</v>
      </c>
      <c r="AT11" s="648">
        <v>7913</v>
      </c>
      <c r="AU11" s="649">
        <v>7.4969706099424632E-3</v>
      </c>
    </row>
    <row r="12" spans="1:47" ht="15" outlineLevel="1">
      <c r="A12" s="127">
        <v>70105</v>
      </c>
      <c r="B12" s="127" t="s">
        <v>163</v>
      </c>
      <c r="C12" s="128"/>
      <c r="D12" s="125"/>
      <c r="E12" s="129"/>
      <c r="F12" s="130"/>
      <c r="G12" s="131">
        <v>5049.3999999999996</v>
      </c>
      <c r="H12" s="130"/>
      <c r="I12" s="131">
        <v>6969.23</v>
      </c>
      <c r="J12" s="130"/>
      <c r="K12" s="131">
        <v>13398.85</v>
      </c>
      <c r="L12" s="130"/>
      <c r="M12" s="131">
        <v>3307.22</v>
      </c>
      <c r="N12" s="130"/>
      <c r="O12" s="131">
        <v>0</v>
      </c>
      <c r="P12" s="130"/>
      <c r="Q12" s="131">
        <v>3376.96</v>
      </c>
      <c r="R12" s="130"/>
      <c r="S12" s="131">
        <v>0</v>
      </c>
      <c r="T12" s="130"/>
      <c r="U12" s="131">
        <v>0</v>
      </c>
      <c r="V12" s="130"/>
      <c r="W12" s="131">
        <v>0</v>
      </c>
      <c r="X12" s="130"/>
      <c r="Y12" s="131">
        <v>0</v>
      </c>
      <c r="Z12" s="130"/>
      <c r="AA12" s="131">
        <v>0</v>
      </c>
      <c r="AB12" s="130"/>
      <c r="AC12" s="131">
        <v>0</v>
      </c>
      <c r="AD12" s="130"/>
      <c r="AE12" s="131">
        <v>32101.659999999996</v>
      </c>
      <c r="AF12" s="132"/>
      <c r="AG12" s="133"/>
      <c r="AH12" s="799">
        <f t="shared" si="1"/>
        <v>957.4576725099937</v>
      </c>
      <c r="AI12" s="798"/>
      <c r="AJ12" s="798">
        <f t="shared" si="0"/>
        <v>957.4576725099937</v>
      </c>
      <c r="AO12" s="647">
        <v>2040</v>
      </c>
      <c r="AP12" s="648">
        <v>7628</v>
      </c>
      <c r="AQ12" s="649">
        <v>7.4866299663454983E-3</v>
      </c>
      <c r="AR12" s="650"/>
      <c r="AS12" s="647">
        <v>2041</v>
      </c>
      <c r="AT12" s="648">
        <v>2381</v>
      </c>
      <c r="AU12" s="649">
        <v>2.2558178974185525E-3</v>
      </c>
    </row>
    <row r="13" spans="1:47" ht="15" outlineLevel="1">
      <c r="A13" s="127">
        <v>70110</v>
      </c>
      <c r="B13" s="127" t="s">
        <v>164</v>
      </c>
      <c r="C13" s="128"/>
      <c r="D13" s="125"/>
      <c r="E13" s="129"/>
      <c r="F13" s="130"/>
      <c r="G13" s="131">
        <v>1951.71</v>
      </c>
      <c r="H13" s="130"/>
      <c r="I13" s="131">
        <v>105000</v>
      </c>
      <c r="J13" s="130"/>
      <c r="K13" s="131">
        <v>2750</v>
      </c>
      <c r="L13" s="130"/>
      <c r="M13" s="131">
        <v>13500</v>
      </c>
      <c r="N13" s="130"/>
      <c r="O13" s="131">
        <v>5000</v>
      </c>
      <c r="P13" s="130"/>
      <c r="Q13" s="131">
        <v>0</v>
      </c>
      <c r="R13" s="130"/>
      <c r="S13" s="131">
        <v>5000</v>
      </c>
      <c r="T13" s="130"/>
      <c r="U13" s="131">
        <v>2500</v>
      </c>
      <c r="V13" s="130"/>
      <c r="W13" s="131">
        <v>0</v>
      </c>
      <c r="X13" s="130"/>
      <c r="Y13" s="131">
        <v>5000</v>
      </c>
      <c r="Z13" s="130"/>
      <c r="AA13" s="131">
        <v>-2070.2600000000002</v>
      </c>
      <c r="AB13" s="130"/>
      <c r="AC13" s="131">
        <v>20000</v>
      </c>
      <c r="AD13" s="130"/>
      <c r="AE13" s="131">
        <v>158631.44999999998</v>
      </c>
      <c r="AF13" s="132"/>
      <c r="AG13" s="133"/>
      <c r="AH13" s="799">
        <f t="shared" si="1"/>
        <v>4712.4861309273792</v>
      </c>
      <c r="AI13" s="798">
        <f>-AH13</f>
        <v>-4712.4861309273792</v>
      </c>
      <c r="AJ13" s="798">
        <f t="shared" si="0"/>
        <v>0</v>
      </c>
      <c r="AO13" s="647">
        <v>2041</v>
      </c>
      <c r="AP13" s="648">
        <v>2532</v>
      </c>
      <c r="AQ13" s="649">
        <v>2.4850743412148401E-3</v>
      </c>
      <c r="AR13" s="650"/>
      <c r="AS13" s="647">
        <v>2042</v>
      </c>
      <c r="AT13" s="648">
        <v>126</v>
      </c>
      <c r="AU13" s="649">
        <v>1.1937549562147736E-4</v>
      </c>
    </row>
    <row r="14" spans="1:47" ht="15" outlineLevel="1">
      <c r="A14" s="127">
        <v>70112</v>
      </c>
      <c r="B14" s="127" t="s">
        <v>293</v>
      </c>
      <c r="C14" s="128"/>
      <c r="D14" s="125"/>
      <c r="E14" s="129"/>
      <c r="F14" s="130"/>
      <c r="G14" s="131">
        <v>0</v>
      </c>
      <c r="H14" s="130"/>
      <c r="I14" s="131">
        <v>0</v>
      </c>
      <c r="J14" s="130"/>
      <c r="K14" s="131">
        <v>0</v>
      </c>
      <c r="L14" s="130"/>
      <c r="M14" s="131">
        <v>0</v>
      </c>
      <c r="N14" s="130"/>
      <c r="O14" s="131">
        <v>0</v>
      </c>
      <c r="P14" s="130"/>
      <c r="Q14" s="131">
        <v>0</v>
      </c>
      <c r="R14" s="130"/>
      <c r="S14" s="131">
        <v>0</v>
      </c>
      <c r="T14" s="130"/>
      <c r="U14" s="131">
        <v>0</v>
      </c>
      <c r="V14" s="130"/>
      <c r="W14" s="131">
        <v>0</v>
      </c>
      <c r="X14" s="130"/>
      <c r="Y14" s="131">
        <v>0</v>
      </c>
      <c r="Z14" s="130"/>
      <c r="AA14" s="131">
        <v>0</v>
      </c>
      <c r="AB14" s="130"/>
      <c r="AC14" s="131">
        <v>0</v>
      </c>
      <c r="AD14" s="130"/>
      <c r="AE14" s="131">
        <v>0</v>
      </c>
      <c r="AF14" s="132"/>
      <c r="AG14" s="133"/>
      <c r="AH14" s="799">
        <f t="shared" si="1"/>
        <v>0</v>
      </c>
      <c r="AI14" s="798">
        <f>-AH14</f>
        <v>0</v>
      </c>
      <c r="AJ14" s="798">
        <f t="shared" si="0"/>
        <v>0</v>
      </c>
      <c r="AO14" s="647">
        <v>2042</v>
      </c>
      <c r="AP14" s="648">
        <v>114</v>
      </c>
      <c r="AQ14" s="649">
        <v>1.1188723337223214E-4</v>
      </c>
      <c r="AR14" s="650"/>
      <c r="AS14" s="647">
        <v>2043</v>
      </c>
      <c r="AT14" s="648">
        <v>5231</v>
      </c>
      <c r="AU14" s="649">
        <v>4.9559779174281589E-3</v>
      </c>
    </row>
    <row r="15" spans="1:47" ht="15" outlineLevel="1">
      <c r="A15" s="127">
        <v>70147</v>
      </c>
      <c r="B15" s="127" t="s">
        <v>132</v>
      </c>
      <c r="C15" s="128"/>
      <c r="D15" s="125"/>
      <c r="E15" s="129"/>
      <c r="F15" s="130"/>
      <c r="G15" s="131">
        <v>3938.51</v>
      </c>
      <c r="H15" s="130"/>
      <c r="I15" s="131">
        <v>2067.34</v>
      </c>
      <c r="J15" s="130"/>
      <c r="K15" s="131">
        <v>3423.37</v>
      </c>
      <c r="L15" s="130"/>
      <c r="M15" s="131">
        <v>2302.9</v>
      </c>
      <c r="N15" s="130"/>
      <c r="O15" s="131">
        <v>2067.34</v>
      </c>
      <c r="P15" s="130"/>
      <c r="Q15" s="131">
        <v>2202.0300000000002</v>
      </c>
      <c r="R15" s="130"/>
      <c r="S15" s="131">
        <v>1848.82</v>
      </c>
      <c r="T15" s="130"/>
      <c r="U15" s="131">
        <v>3300.98</v>
      </c>
      <c r="V15" s="130"/>
      <c r="W15" s="131">
        <v>2681.48</v>
      </c>
      <c r="X15" s="130"/>
      <c r="Y15" s="131">
        <v>2551.6999999999998</v>
      </c>
      <c r="Z15" s="130"/>
      <c r="AA15" s="131">
        <v>4147.8999999999996</v>
      </c>
      <c r="AB15" s="130"/>
      <c r="AC15" s="131">
        <v>2415.3000000000002</v>
      </c>
      <c r="AD15" s="130"/>
      <c r="AE15" s="131">
        <v>32947.67</v>
      </c>
      <c r="AF15" s="132"/>
      <c r="AG15" s="133"/>
      <c r="AH15" s="799">
        <f t="shared" si="1"/>
        <v>972.20777768142602</v>
      </c>
      <c r="AI15" s="798"/>
      <c r="AJ15" s="798">
        <f t="shared" si="0"/>
        <v>972.20777768142602</v>
      </c>
      <c r="AO15" s="647">
        <v>2043</v>
      </c>
      <c r="AP15" s="648">
        <v>5013</v>
      </c>
      <c r="AQ15" s="649">
        <v>4.9200938674999976E-3</v>
      </c>
      <c r="AR15" s="650"/>
      <c r="AS15" s="647">
        <v>2044</v>
      </c>
      <c r="AT15" s="648">
        <v>7646</v>
      </c>
      <c r="AU15" s="649">
        <v>7.2440082501731414E-3</v>
      </c>
    </row>
    <row r="16" spans="1:47" ht="15" outlineLevel="1">
      <c r="A16" s="127">
        <v>70165</v>
      </c>
      <c r="B16" s="127" t="s">
        <v>65</v>
      </c>
      <c r="C16" s="128"/>
      <c r="D16" s="125"/>
      <c r="E16" s="129"/>
      <c r="F16" s="130"/>
      <c r="G16" s="131">
        <v>2964.93</v>
      </c>
      <c r="H16" s="130"/>
      <c r="I16" s="131">
        <v>4007.61</v>
      </c>
      <c r="J16" s="130"/>
      <c r="K16" s="131">
        <v>2154.7800000000002</v>
      </c>
      <c r="L16" s="130"/>
      <c r="M16" s="131">
        <v>3102.91</v>
      </c>
      <c r="N16" s="130"/>
      <c r="O16" s="131">
        <v>3349.04</v>
      </c>
      <c r="P16" s="130"/>
      <c r="Q16" s="131">
        <v>3932.75</v>
      </c>
      <c r="R16" s="130"/>
      <c r="S16" s="131">
        <v>2222.64</v>
      </c>
      <c r="T16" s="130"/>
      <c r="U16" s="131">
        <v>3516.51</v>
      </c>
      <c r="V16" s="130"/>
      <c r="W16" s="131">
        <v>3193.98</v>
      </c>
      <c r="X16" s="130"/>
      <c r="Y16" s="131">
        <v>3148.78</v>
      </c>
      <c r="Z16" s="130"/>
      <c r="AA16" s="131">
        <v>2972.75</v>
      </c>
      <c r="AB16" s="130"/>
      <c r="AC16" s="131">
        <v>3152.4</v>
      </c>
      <c r="AD16" s="130"/>
      <c r="AE16" s="131">
        <v>37719.08</v>
      </c>
      <c r="AF16" s="132"/>
      <c r="AG16" s="133"/>
      <c r="AH16" s="799">
        <f t="shared" si="1"/>
        <v>1113.7389214824632</v>
      </c>
      <c r="AI16" s="798"/>
      <c r="AJ16" s="798">
        <f t="shared" si="0"/>
        <v>1113.7389214824632</v>
      </c>
      <c r="AO16" s="647">
        <v>2044</v>
      </c>
      <c r="AP16" s="648">
        <v>7605</v>
      </c>
      <c r="AQ16" s="649">
        <v>7.46405622627917E-3</v>
      </c>
      <c r="AR16" s="650"/>
      <c r="AS16" s="647">
        <v>2045</v>
      </c>
      <c r="AT16" s="648">
        <v>6253</v>
      </c>
      <c r="AU16" s="649">
        <v>5.9242458263579203E-3</v>
      </c>
    </row>
    <row r="17" spans="1:47" ht="15" outlineLevel="1">
      <c r="A17" s="127">
        <v>70167</v>
      </c>
      <c r="B17" s="127" t="s">
        <v>295</v>
      </c>
      <c r="C17" s="128"/>
      <c r="D17" s="125"/>
      <c r="E17" s="129"/>
      <c r="F17" s="130"/>
      <c r="G17" s="131">
        <v>3127.78</v>
      </c>
      <c r="H17" s="130"/>
      <c r="I17" s="131">
        <v>2692.46</v>
      </c>
      <c r="J17" s="130"/>
      <c r="K17" s="131">
        <v>2019.18</v>
      </c>
      <c r="L17" s="130"/>
      <c r="M17" s="131">
        <v>2611.41</v>
      </c>
      <c r="N17" s="130"/>
      <c r="O17" s="131">
        <v>2458.7199999999998</v>
      </c>
      <c r="P17" s="130"/>
      <c r="Q17" s="131">
        <v>2486.62</v>
      </c>
      <c r="R17" s="130"/>
      <c r="S17" s="131">
        <v>2713.67</v>
      </c>
      <c r="T17" s="130"/>
      <c r="U17" s="131">
        <v>2365.73</v>
      </c>
      <c r="V17" s="130"/>
      <c r="W17" s="131">
        <v>3270.14</v>
      </c>
      <c r="X17" s="130"/>
      <c r="Y17" s="131">
        <v>2317.11</v>
      </c>
      <c r="Z17" s="130"/>
      <c r="AA17" s="131">
        <v>2654.65</v>
      </c>
      <c r="AB17" s="130"/>
      <c r="AC17" s="131">
        <v>2820.64</v>
      </c>
      <c r="AD17" s="130"/>
      <c r="AE17" s="131">
        <v>31538.109999999997</v>
      </c>
      <c r="AF17" s="132"/>
      <c r="AG17" s="133"/>
      <c r="AH17" s="799">
        <f t="shared" si="1"/>
        <v>930.66402254704144</v>
      </c>
      <c r="AI17" s="798"/>
      <c r="AJ17" s="798">
        <f t="shared" si="0"/>
        <v>930.66402254704144</v>
      </c>
      <c r="AO17" s="647">
        <v>2045</v>
      </c>
      <c r="AP17" s="648">
        <v>6089</v>
      </c>
      <c r="AQ17" s="649">
        <v>5.976152315820364E-3</v>
      </c>
      <c r="AR17" s="650"/>
      <c r="AS17" s="647">
        <v>2046</v>
      </c>
      <c r="AT17" s="648">
        <v>9287</v>
      </c>
      <c r="AU17" s="649">
        <v>8.7987319669576205E-3</v>
      </c>
    </row>
    <row r="18" spans="1:47" ht="15" outlineLevel="1">
      <c r="A18" s="127">
        <v>70170</v>
      </c>
      <c r="B18" s="127" t="s">
        <v>658</v>
      </c>
      <c r="C18" s="128"/>
      <c r="D18" s="125"/>
      <c r="E18" s="129"/>
      <c r="F18" s="130"/>
      <c r="G18" s="131">
        <v>21651.35</v>
      </c>
      <c r="H18" s="130"/>
      <c r="I18" s="131">
        <v>21327.35</v>
      </c>
      <c r="J18" s="130"/>
      <c r="K18" s="131">
        <v>21327.35</v>
      </c>
      <c r="L18" s="130"/>
      <c r="M18" s="131">
        <v>21389.93</v>
      </c>
      <c r="N18" s="130"/>
      <c r="O18" s="131">
        <v>21327.35</v>
      </c>
      <c r="P18" s="130"/>
      <c r="Q18" s="131">
        <v>21327.35</v>
      </c>
      <c r="R18" s="130"/>
      <c r="S18" s="131">
        <v>21327.35</v>
      </c>
      <c r="T18" s="130"/>
      <c r="U18" s="131">
        <v>21327.35</v>
      </c>
      <c r="V18" s="130"/>
      <c r="W18" s="131">
        <v>21327.35</v>
      </c>
      <c r="X18" s="130"/>
      <c r="Y18" s="131">
        <v>21327.35</v>
      </c>
      <c r="Z18" s="130"/>
      <c r="AA18" s="131">
        <v>21327.35</v>
      </c>
      <c r="AB18" s="130"/>
      <c r="AC18" s="131">
        <v>20997</v>
      </c>
      <c r="AD18" s="130"/>
      <c r="AE18" s="131">
        <v>255984.43000000002</v>
      </c>
      <c r="AF18" s="132"/>
      <c r="AG18" s="133"/>
      <c r="AH18" s="799">
        <f t="shared" si="1"/>
        <v>7555.9866878305256</v>
      </c>
      <c r="AI18" s="798"/>
      <c r="AJ18" s="798">
        <f t="shared" si="0"/>
        <v>7555.9866878305256</v>
      </c>
      <c r="AO18" s="647">
        <v>2046</v>
      </c>
      <c r="AP18" s="648">
        <v>9174</v>
      </c>
      <c r="AQ18" s="649">
        <v>9.0039778855864703E-3</v>
      </c>
      <c r="AR18" s="650"/>
      <c r="AS18" s="647">
        <v>2047</v>
      </c>
      <c r="AT18" s="648">
        <v>13578</v>
      </c>
      <c r="AU18" s="649">
        <v>1.2864130790066822E-2</v>
      </c>
    </row>
    <row r="19" spans="1:47" ht="15" outlineLevel="1">
      <c r="A19" s="127">
        <v>70175</v>
      </c>
      <c r="B19" s="127" t="s">
        <v>66</v>
      </c>
      <c r="C19" s="128"/>
      <c r="D19" s="125"/>
      <c r="E19" s="129"/>
      <c r="F19" s="130"/>
      <c r="G19" s="131">
        <v>0</v>
      </c>
      <c r="H19" s="130"/>
      <c r="I19" s="131">
        <v>0</v>
      </c>
      <c r="J19" s="130"/>
      <c r="K19" s="131">
        <v>0</v>
      </c>
      <c r="L19" s="130"/>
      <c r="M19" s="131">
        <v>0</v>
      </c>
      <c r="N19" s="130"/>
      <c r="O19" s="131">
        <v>0</v>
      </c>
      <c r="P19" s="130"/>
      <c r="Q19" s="131">
        <v>169.1</v>
      </c>
      <c r="R19" s="130"/>
      <c r="S19" s="131">
        <v>0</v>
      </c>
      <c r="T19" s="130"/>
      <c r="U19" s="131">
        <v>0</v>
      </c>
      <c r="V19" s="130"/>
      <c r="W19" s="131">
        <v>0</v>
      </c>
      <c r="X19" s="130"/>
      <c r="Y19" s="131">
        <v>0</v>
      </c>
      <c r="Z19" s="130"/>
      <c r="AA19" s="131">
        <v>0</v>
      </c>
      <c r="AB19" s="130"/>
      <c r="AC19" s="131">
        <v>0</v>
      </c>
      <c r="AD19" s="130"/>
      <c r="AE19" s="131">
        <v>169.1</v>
      </c>
      <c r="AF19" s="132"/>
      <c r="AG19" s="133"/>
      <c r="AH19" s="799">
        <f t="shared" si="1"/>
        <v>5.0435426835073303</v>
      </c>
      <c r="AI19" s="798"/>
      <c r="AJ19" s="798">
        <f t="shared" si="0"/>
        <v>5.0435426835073303</v>
      </c>
      <c r="AO19" s="647">
        <v>2047</v>
      </c>
      <c r="AP19" s="648">
        <v>13384</v>
      </c>
      <c r="AQ19" s="649">
        <v>1.3135953784683815E-2</v>
      </c>
      <c r="AR19" s="650"/>
      <c r="AS19" s="647">
        <v>2048</v>
      </c>
      <c r="AT19" s="648">
        <v>119</v>
      </c>
      <c r="AU19" s="649">
        <v>1.1274352364250639E-4</v>
      </c>
    </row>
    <row r="20" spans="1:47" ht="15" outlineLevel="1">
      <c r="A20" s="127">
        <v>70185</v>
      </c>
      <c r="B20" s="127" t="s">
        <v>130</v>
      </c>
      <c r="C20" s="128"/>
      <c r="D20" s="125"/>
      <c r="E20" s="129"/>
      <c r="F20" s="130"/>
      <c r="G20" s="131">
        <v>2432.23</v>
      </c>
      <c r="H20" s="130"/>
      <c r="I20" s="131">
        <v>210.39</v>
      </c>
      <c r="J20" s="130"/>
      <c r="K20" s="131">
        <v>2130.35</v>
      </c>
      <c r="L20" s="130"/>
      <c r="M20" s="131">
        <v>1246.32</v>
      </c>
      <c r="N20" s="130"/>
      <c r="O20" s="131">
        <v>1282.3699999999999</v>
      </c>
      <c r="P20" s="130"/>
      <c r="Q20" s="131">
        <v>591.61</v>
      </c>
      <c r="R20" s="130"/>
      <c r="S20" s="131">
        <v>868.07</v>
      </c>
      <c r="T20" s="130"/>
      <c r="U20" s="131">
        <v>1535.61</v>
      </c>
      <c r="V20" s="130"/>
      <c r="W20" s="131">
        <v>1324.17</v>
      </c>
      <c r="X20" s="130"/>
      <c r="Y20" s="131">
        <v>927.05</v>
      </c>
      <c r="Z20" s="130"/>
      <c r="AA20" s="131">
        <v>1472.87</v>
      </c>
      <c r="AB20" s="130"/>
      <c r="AC20" s="131">
        <v>2278.41</v>
      </c>
      <c r="AD20" s="130"/>
      <c r="AE20" s="131">
        <v>16299.449999999999</v>
      </c>
      <c r="AF20" s="132"/>
      <c r="AG20" s="133"/>
      <c r="AH20" s="799">
        <f t="shared" si="1"/>
        <v>480.94410698756337</v>
      </c>
      <c r="AI20" s="798"/>
      <c r="AJ20" s="798">
        <f t="shared" si="0"/>
        <v>480.94410698756337</v>
      </c>
      <c r="AO20" s="647">
        <v>2048</v>
      </c>
      <c r="AP20" s="648">
        <v>109</v>
      </c>
      <c r="AQ20" s="649">
        <v>1.0697989857520442E-4</v>
      </c>
      <c r="AR20" s="650"/>
      <c r="AS20" s="647">
        <v>2049</v>
      </c>
      <c r="AT20" s="648">
        <v>16</v>
      </c>
      <c r="AU20" s="649">
        <v>1.5158793094790775E-5</v>
      </c>
    </row>
    <row r="21" spans="1:47" ht="15" outlineLevel="1">
      <c r="A21" s="127">
        <v>70190</v>
      </c>
      <c r="B21" s="127" t="s">
        <v>659</v>
      </c>
      <c r="C21" s="128"/>
      <c r="D21" s="125"/>
      <c r="E21" s="129"/>
      <c r="F21" s="130"/>
      <c r="G21" s="131">
        <v>0</v>
      </c>
      <c r="H21" s="130"/>
      <c r="I21" s="131">
        <v>0</v>
      </c>
      <c r="J21" s="130"/>
      <c r="K21" s="131">
        <v>0</v>
      </c>
      <c r="L21" s="130"/>
      <c r="M21" s="131">
        <v>0</v>
      </c>
      <c r="N21" s="130"/>
      <c r="O21" s="131">
        <v>0</v>
      </c>
      <c r="P21" s="130"/>
      <c r="Q21" s="131">
        <v>0</v>
      </c>
      <c r="R21" s="130"/>
      <c r="S21" s="131">
        <v>0</v>
      </c>
      <c r="T21" s="130"/>
      <c r="U21" s="131">
        <v>0</v>
      </c>
      <c r="V21" s="130"/>
      <c r="W21" s="131">
        <v>0</v>
      </c>
      <c r="X21" s="130"/>
      <c r="Y21" s="131">
        <v>120</v>
      </c>
      <c r="Z21" s="130"/>
      <c r="AA21" s="131">
        <v>1630</v>
      </c>
      <c r="AB21" s="130"/>
      <c r="AC21" s="131">
        <v>0</v>
      </c>
      <c r="AD21" s="130"/>
      <c r="AE21" s="131">
        <v>1750</v>
      </c>
      <c r="AF21" s="132"/>
      <c r="AG21" s="133"/>
      <c r="AH21" s="799">
        <f t="shared" si="1"/>
        <v>51.112608041929221</v>
      </c>
      <c r="AI21" s="798"/>
      <c r="AJ21" s="798">
        <f t="shared" si="0"/>
        <v>51.112608041929221</v>
      </c>
      <c r="AO21" s="647">
        <v>2049</v>
      </c>
      <c r="AP21" s="648">
        <v>16</v>
      </c>
      <c r="AQ21" s="649">
        <v>1.5703471350488722E-5</v>
      </c>
      <c r="AR21" s="650"/>
      <c r="AS21" s="647">
        <v>2050</v>
      </c>
      <c r="AT21" s="648">
        <v>44</v>
      </c>
      <c r="AU21" s="649">
        <v>4.1686681010674631E-5</v>
      </c>
    </row>
    <row r="22" spans="1:47" ht="15" outlineLevel="1">
      <c r="A22" s="127">
        <v>70195</v>
      </c>
      <c r="B22" s="127" t="s">
        <v>296</v>
      </c>
      <c r="C22" s="128"/>
      <c r="D22" s="125"/>
      <c r="E22" s="129"/>
      <c r="F22" s="130"/>
      <c r="G22" s="131">
        <v>9463.84</v>
      </c>
      <c r="H22" s="130"/>
      <c r="I22" s="131">
        <v>6681.95</v>
      </c>
      <c r="J22" s="130"/>
      <c r="K22" s="131">
        <v>3697.86</v>
      </c>
      <c r="L22" s="130"/>
      <c r="M22" s="131">
        <v>3838.28</v>
      </c>
      <c r="N22" s="130"/>
      <c r="O22" s="131">
        <v>5052.08</v>
      </c>
      <c r="P22" s="130"/>
      <c r="Q22" s="131">
        <v>5352.53</v>
      </c>
      <c r="R22" s="130"/>
      <c r="S22" s="131">
        <v>4631.71</v>
      </c>
      <c r="T22" s="130"/>
      <c r="U22" s="131">
        <v>4093.86</v>
      </c>
      <c r="V22" s="130"/>
      <c r="W22" s="131">
        <v>3550.71</v>
      </c>
      <c r="X22" s="130"/>
      <c r="Y22" s="131">
        <v>5315.03</v>
      </c>
      <c r="Z22" s="130"/>
      <c r="AA22" s="131">
        <v>2532.9299999999998</v>
      </c>
      <c r="AB22" s="130"/>
      <c r="AC22" s="131">
        <v>5386.75</v>
      </c>
      <c r="AD22" s="130"/>
      <c r="AE22" s="131">
        <v>59597.53</v>
      </c>
      <c r="AF22" s="132"/>
      <c r="AG22" s="133"/>
      <c r="AH22" s="799">
        <f t="shared" si="1"/>
        <v>1761.7630096422722</v>
      </c>
      <c r="AI22" s="798"/>
      <c r="AJ22" s="798">
        <f t="shared" si="0"/>
        <v>1761.7630096422722</v>
      </c>
      <c r="AO22" s="647">
        <v>2050</v>
      </c>
      <c r="AP22" s="648">
        <v>54</v>
      </c>
      <c r="AQ22" s="649">
        <v>5.2999215807899436E-5</v>
      </c>
      <c r="AR22" s="650"/>
      <c r="AS22" s="647">
        <v>2051</v>
      </c>
      <c r="AT22" s="648">
        <v>485</v>
      </c>
      <c r="AU22" s="649">
        <v>4.595009156858454E-4</v>
      </c>
    </row>
    <row r="23" spans="1:47" ht="15" outlineLevel="1">
      <c r="A23" s="127">
        <v>70200</v>
      </c>
      <c r="B23" s="127" t="s">
        <v>170</v>
      </c>
      <c r="C23" s="128"/>
      <c r="D23" s="125"/>
      <c r="E23" s="129"/>
      <c r="F23" s="130"/>
      <c r="G23" s="131">
        <v>9017.42</v>
      </c>
      <c r="H23" s="130"/>
      <c r="I23" s="131">
        <v>14508.06</v>
      </c>
      <c r="J23" s="130"/>
      <c r="K23" s="131">
        <v>8703.24</v>
      </c>
      <c r="L23" s="130"/>
      <c r="M23" s="131">
        <v>11434.52</v>
      </c>
      <c r="N23" s="130"/>
      <c r="O23" s="131">
        <v>10816.04</v>
      </c>
      <c r="P23" s="130"/>
      <c r="Q23" s="131">
        <v>11611.07</v>
      </c>
      <c r="R23" s="130"/>
      <c r="S23" s="131">
        <v>8716.02</v>
      </c>
      <c r="T23" s="130"/>
      <c r="U23" s="131">
        <v>18435.41</v>
      </c>
      <c r="V23" s="130"/>
      <c r="W23" s="131">
        <v>9377.2099999999991</v>
      </c>
      <c r="X23" s="130"/>
      <c r="Y23" s="131">
        <v>17510.849999999999</v>
      </c>
      <c r="Z23" s="130"/>
      <c r="AA23" s="131">
        <v>13531.08</v>
      </c>
      <c r="AB23" s="130"/>
      <c r="AC23" s="131">
        <v>16733.71</v>
      </c>
      <c r="AD23" s="130"/>
      <c r="AE23" s="131">
        <v>150394.63000000003</v>
      </c>
      <c r="AF23" s="132"/>
      <c r="AG23" s="133"/>
      <c r="AH23" s="799">
        <f t="shared" si="1"/>
        <v>4433.4898775440888</v>
      </c>
      <c r="AI23" s="798"/>
      <c r="AJ23" s="798">
        <f t="shared" si="0"/>
        <v>4433.4898775440888</v>
      </c>
      <c r="AO23" s="647">
        <v>2051</v>
      </c>
      <c r="AP23" s="648">
        <v>437</v>
      </c>
      <c r="AQ23" s="649">
        <v>4.2890106126022322E-4</v>
      </c>
      <c r="AR23" s="650"/>
      <c r="AS23" s="647">
        <v>2053</v>
      </c>
      <c r="AT23" s="648">
        <v>102</v>
      </c>
      <c r="AU23" s="649">
        <v>9.6637305979291197E-5</v>
      </c>
    </row>
    <row r="24" spans="1:47" ht="15" outlineLevel="1">
      <c r="A24" s="127">
        <v>70201</v>
      </c>
      <c r="B24" s="127" t="s">
        <v>171</v>
      </c>
      <c r="C24" s="128"/>
      <c r="D24" s="125"/>
      <c r="E24" s="129"/>
      <c r="F24" s="130"/>
      <c r="G24" s="131">
        <v>1231.71</v>
      </c>
      <c r="H24" s="130"/>
      <c r="I24" s="131">
        <v>3282.55</v>
      </c>
      <c r="J24" s="130"/>
      <c r="K24" s="131">
        <v>1207.7</v>
      </c>
      <c r="L24" s="130"/>
      <c r="M24" s="131">
        <v>1419.9</v>
      </c>
      <c r="N24" s="130"/>
      <c r="O24" s="131">
        <v>1068.18</v>
      </c>
      <c r="P24" s="130"/>
      <c r="Q24" s="131">
        <v>4625.21</v>
      </c>
      <c r="R24" s="130"/>
      <c r="S24" s="131">
        <v>1940.97</v>
      </c>
      <c r="T24" s="130"/>
      <c r="U24" s="131">
        <v>2647.49</v>
      </c>
      <c r="V24" s="130"/>
      <c r="W24" s="131">
        <v>5169.2</v>
      </c>
      <c r="X24" s="130"/>
      <c r="Y24" s="131">
        <v>4069.28</v>
      </c>
      <c r="Z24" s="130"/>
      <c r="AA24" s="131">
        <v>3695.13</v>
      </c>
      <c r="AB24" s="130"/>
      <c r="AC24" s="131">
        <v>2854.23</v>
      </c>
      <c r="AD24" s="130"/>
      <c r="AE24" s="131">
        <v>33211.550000000003</v>
      </c>
      <c r="AF24" s="132"/>
      <c r="AG24" s="133"/>
      <c r="AH24" s="799">
        <f t="shared" si="1"/>
        <v>977.95635512289391</v>
      </c>
      <c r="AI24" s="798">
        <f>-AH24</f>
        <v>-977.95635512289391</v>
      </c>
      <c r="AJ24" s="798">
        <f t="shared" si="0"/>
        <v>0</v>
      </c>
      <c r="AO24" s="647">
        <v>2053</v>
      </c>
      <c r="AP24" s="648">
        <v>80</v>
      </c>
      <c r="AQ24" s="649">
        <v>7.8517356752443607E-5</v>
      </c>
      <c r="AR24" s="650"/>
      <c r="AS24" s="647">
        <v>2111</v>
      </c>
      <c r="AT24" s="648">
        <v>56674</v>
      </c>
      <c r="AU24" s="649">
        <v>5.3694339990885777E-2</v>
      </c>
    </row>
    <row r="25" spans="1:47" ht="15" outlineLevel="1">
      <c r="A25" s="127">
        <v>70202</v>
      </c>
      <c r="B25" s="127" t="s">
        <v>297</v>
      </c>
      <c r="C25" s="128"/>
      <c r="D25" s="125"/>
      <c r="E25" s="129"/>
      <c r="F25" s="130"/>
      <c r="G25" s="131">
        <v>25451.5</v>
      </c>
      <c r="H25" s="130"/>
      <c r="I25" s="131">
        <v>34780.92</v>
      </c>
      <c r="J25" s="130"/>
      <c r="K25" s="131">
        <v>13380.89</v>
      </c>
      <c r="L25" s="130"/>
      <c r="M25" s="131">
        <v>12636.88</v>
      </c>
      <c r="N25" s="130"/>
      <c r="O25" s="131">
        <v>5809.4</v>
      </c>
      <c r="P25" s="130"/>
      <c r="Q25" s="131">
        <v>29270.09</v>
      </c>
      <c r="R25" s="130"/>
      <c r="S25" s="131">
        <v>50882.92</v>
      </c>
      <c r="T25" s="130"/>
      <c r="U25" s="131">
        <v>166702.69</v>
      </c>
      <c r="V25" s="130"/>
      <c r="W25" s="131">
        <v>86205.17</v>
      </c>
      <c r="X25" s="130"/>
      <c r="Y25" s="131">
        <v>17740.310000000001</v>
      </c>
      <c r="Z25" s="130"/>
      <c r="AA25" s="131">
        <v>109760.31</v>
      </c>
      <c r="AB25" s="130"/>
      <c r="AC25" s="131">
        <v>33603.99</v>
      </c>
      <c r="AD25" s="130"/>
      <c r="AE25" s="131">
        <v>586225.07000000007</v>
      </c>
      <c r="AF25" s="132"/>
      <c r="AG25" s="133"/>
      <c r="AH25" s="799">
        <f t="shared" si="1"/>
        <v>17197.049471693019</v>
      </c>
      <c r="AI25" s="798"/>
      <c r="AJ25" s="798">
        <f t="shared" si="0"/>
        <v>17197.049471693019</v>
      </c>
      <c r="AO25" s="647">
        <v>2111</v>
      </c>
      <c r="AP25" s="648">
        <v>35691</v>
      </c>
      <c r="AQ25" s="649">
        <v>3.5029537248143311E-2</v>
      </c>
      <c r="AR25" s="650"/>
      <c r="AS25" s="647">
        <v>2112</v>
      </c>
      <c r="AT25" s="648">
        <v>25553</v>
      </c>
      <c r="AU25" s="649">
        <v>2.4209539996949293E-2</v>
      </c>
    </row>
    <row r="26" spans="1:47" ht="15" outlineLevel="1">
      <c r="A26" s="127">
        <v>70203</v>
      </c>
      <c r="B26" s="127" t="s">
        <v>173</v>
      </c>
      <c r="C26" s="128"/>
      <c r="D26" s="125"/>
      <c r="E26" s="129"/>
      <c r="F26" s="130"/>
      <c r="G26" s="131">
        <v>8912.5400000000009</v>
      </c>
      <c r="H26" s="130"/>
      <c r="I26" s="131">
        <v>14257.88</v>
      </c>
      <c r="J26" s="130"/>
      <c r="K26" s="131">
        <v>6063.62</v>
      </c>
      <c r="L26" s="130"/>
      <c r="M26" s="131">
        <v>8602.74</v>
      </c>
      <c r="N26" s="130"/>
      <c r="O26" s="131">
        <v>6779.8</v>
      </c>
      <c r="P26" s="130"/>
      <c r="Q26" s="131">
        <v>5913.73</v>
      </c>
      <c r="R26" s="130"/>
      <c r="S26" s="131">
        <v>4126.08</v>
      </c>
      <c r="T26" s="130"/>
      <c r="U26" s="131">
        <v>7701.45</v>
      </c>
      <c r="V26" s="130"/>
      <c r="W26" s="131">
        <v>12406.79</v>
      </c>
      <c r="X26" s="130"/>
      <c r="Y26" s="131">
        <v>7618.94</v>
      </c>
      <c r="Z26" s="130"/>
      <c r="AA26" s="131">
        <v>9066.32</v>
      </c>
      <c r="AB26" s="130"/>
      <c r="AC26" s="131">
        <v>10821.57</v>
      </c>
      <c r="AD26" s="130"/>
      <c r="AE26" s="131">
        <v>102271.45999999999</v>
      </c>
      <c r="AF26" s="132"/>
      <c r="AG26" s="133"/>
      <c r="AH26" s="799">
        <f t="shared" si="1"/>
        <v>3018.3212452148136</v>
      </c>
      <c r="AI26" s="798"/>
      <c r="AJ26" s="798">
        <f t="shared" si="0"/>
        <v>3018.3212452148136</v>
      </c>
      <c r="AO26" s="647">
        <v>2112</v>
      </c>
      <c r="AP26" s="648">
        <v>12098</v>
      </c>
      <c r="AQ26" s="649">
        <v>1.1873787274888284E-2</v>
      </c>
      <c r="AR26" s="650"/>
      <c r="AS26" s="647">
        <v>2113</v>
      </c>
      <c r="AT26" s="648">
        <v>1</v>
      </c>
      <c r="AU26" s="649">
        <v>9.4742456842442343E-7</v>
      </c>
    </row>
    <row r="27" spans="1:47" ht="15" outlineLevel="1">
      <c r="A27" s="127">
        <v>70204</v>
      </c>
      <c r="B27" s="127" t="s">
        <v>1573</v>
      </c>
      <c r="C27" s="128"/>
      <c r="D27" s="125"/>
      <c r="E27" s="129"/>
      <c r="F27" s="130"/>
      <c r="G27" s="131">
        <v>0</v>
      </c>
      <c r="H27" s="130"/>
      <c r="I27" s="131">
        <v>0</v>
      </c>
      <c r="J27" s="130"/>
      <c r="K27" s="131">
        <v>0</v>
      </c>
      <c r="L27" s="130"/>
      <c r="M27" s="131">
        <v>0</v>
      </c>
      <c r="N27" s="130"/>
      <c r="O27" s="131">
        <v>0</v>
      </c>
      <c r="P27" s="130"/>
      <c r="Q27" s="131">
        <v>0</v>
      </c>
      <c r="R27" s="130"/>
      <c r="S27" s="131">
        <v>0</v>
      </c>
      <c r="T27" s="130"/>
      <c r="U27" s="131">
        <v>0</v>
      </c>
      <c r="V27" s="130"/>
      <c r="W27" s="131">
        <v>0</v>
      </c>
      <c r="X27" s="130"/>
      <c r="Y27" s="131">
        <v>0</v>
      </c>
      <c r="Z27" s="130"/>
      <c r="AA27" s="131">
        <v>0</v>
      </c>
      <c r="AB27" s="130"/>
      <c r="AC27" s="131">
        <v>0</v>
      </c>
      <c r="AD27" s="130"/>
      <c r="AE27" s="131">
        <v>0</v>
      </c>
      <c r="AF27" s="132"/>
      <c r="AG27" s="133"/>
      <c r="AH27" s="799">
        <f t="shared" si="1"/>
        <v>0</v>
      </c>
      <c r="AI27" s="798"/>
      <c r="AJ27" s="798">
        <f t="shared" si="0"/>
        <v>0</v>
      </c>
      <c r="AO27" s="647">
        <v>2113</v>
      </c>
      <c r="AP27" s="648">
        <v>1</v>
      </c>
      <c r="AQ27" s="649">
        <v>9.8146695940554513E-7</v>
      </c>
      <c r="AR27" s="650"/>
      <c r="AS27" s="647">
        <v>2120</v>
      </c>
      <c r="AT27" s="648">
        <v>6363</v>
      </c>
      <c r="AU27" s="649">
        <v>6.0284625288846063E-3</v>
      </c>
    </row>
    <row r="28" spans="1:47" ht="15" outlineLevel="1">
      <c r="A28" s="127">
        <v>70205</v>
      </c>
      <c r="B28" s="127" t="s">
        <v>298</v>
      </c>
      <c r="C28" s="128"/>
      <c r="D28" s="125"/>
      <c r="E28" s="129"/>
      <c r="F28" s="130"/>
      <c r="G28" s="131">
        <v>7177.64</v>
      </c>
      <c r="H28" s="130"/>
      <c r="I28" s="131">
        <v>12727.16</v>
      </c>
      <c r="J28" s="130"/>
      <c r="K28" s="131">
        <v>4556.8900000000003</v>
      </c>
      <c r="L28" s="130"/>
      <c r="M28" s="131">
        <v>4252.67</v>
      </c>
      <c r="N28" s="130"/>
      <c r="O28" s="131">
        <v>7457.47</v>
      </c>
      <c r="P28" s="130"/>
      <c r="Q28" s="131">
        <v>7308.69</v>
      </c>
      <c r="R28" s="130"/>
      <c r="S28" s="131">
        <v>8524.26</v>
      </c>
      <c r="T28" s="130"/>
      <c r="U28" s="131">
        <v>6509.39</v>
      </c>
      <c r="V28" s="130"/>
      <c r="W28" s="131">
        <v>14037.55</v>
      </c>
      <c r="X28" s="130"/>
      <c r="Y28" s="131">
        <v>8045.05</v>
      </c>
      <c r="Z28" s="130"/>
      <c r="AA28" s="131">
        <v>9399.2999999999993</v>
      </c>
      <c r="AB28" s="130"/>
      <c r="AC28" s="131">
        <v>10875.55</v>
      </c>
      <c r="AD28" s="130"/>
      <c r="AE28" s="131">
        <v>100871.62</v>
      </c>
      <c r="AF28" s="132"/>
      <c r="AG28" s="133"/>
      <c r="AH28" s="799">
        <f t="shared" si="1"/>
        <v>2973.074868259313</v>
      </c>
      <c r="AI28" s="798"/>
      <c r="AJ28" s="798">
        <f t="shared" si="0"/>
        <v>2973.074868259313</v>
      </c>
      <c r="AO28" s="647">
        <v>2120</v>
      </c>
      <c r="AP28" s="648">
        <v>6200</v>
      </c>
      <c r="AQ28" s="649">
        <v>6.0850951483143794E-3</v>
      </c>
      <c r="AR28" s="650"/>
      <c r="AS28" s="647">
        <v>2121</v>
      </c>
      <c r="AT28" s="648">
        <v>0</v>
      </c>
      <c r="AU28" s="649">
        <v>0</v>
      </c>
    </row>
    <row r="29" spans="1:47" ht="15" outlineLevel="1">
      <c r="A29" s="127">
        <v>70206</v>
      </c>
      <c r="B29" s="127" t="s">
        <v>299</v>
      </c>
      <c r="C29" s="128"/>
      <c r="D29" s="125"/>
      <c r="E29" s="129"/>
      <c r="F29" s="130"/>
      <c r="G29" s="131">
        <v>-186.37</v>
      </c>
      <c r="H29" s="130"/>
      <c r="I29" s="131">
        <v>1467.3</v>
      </c>
      <c r="J29" s="130"/>
      <c r="K29" s="131">
        <v>673.95</v>
      </c>
      <c r="L29" s="130"/>
      <c r="M29" s="131">
        <v>830.32</v>
      </c>
      <c r="N29" s="130"/>
      <c r="O29" s="131">
        <v>1050.8699999999999</v>
      </c>
      <c r="P29" s="130"/>
      <c r="Q29" s="131">
        <v>1209.96</v>
      </c>
      <c r="R29" s="130"/>
      <c r="S29" s="131">
        <v>2593.6999999999998</v>
      </c>
      <c r="T29" s="130"/>
      <c r="U29" s="131">
        <v>2056.94</v>
      </c>
      <c r="V29" s="130"/>
      <c r="W29" s="131">
        <v>4101.83</v>
      </c>
      <c r="X29" s="130"/>
      <c r="Y29" s="131">
        <v>1642.77</v>
      </c>
      <c r="Z29" s="130"/>
      <c r="AA29" s="131">
        <v>1841.68</v>
      </c>
      <c r="AB29" s="130"/>
      <c r="AC29" s="131">
        <v>2254.4499999999998</v>
      </c>
      <c r="AD29" s="130"/>
      <c r="AE29" s="131">
        <v>19537.399999999998</v>
      </c>
      <c r="AF29" s="132"/>
      <c r="AG29" s="133"/>
      <c r="AH29" s="799">
        <f t="shared" si="1"/>
        <v>573.75428715207931</v>
      </c>
      <c r="AI29" s="798"/>
      <c r="AJ29" s="798">
        <f t="shared" si="0"/>
        <v>573.75428715207931</v>
      </c>
      <c r="AO29" s="647">
        <v>2125</v>
      </c>
      <c r="AP29" s="648">
        <v>1</v>
      </c>
      <c r="AQ29" s="649">
        <v>9.8146695940554513E-7</v>
      </c>
      <c r="AR29" s="650"/>
      <c r="AS29" s="647">
        <v>2125</v>
      </c>
      <c r="AT29" s="648">
        <v>1</v>
      </c>
      <c r="AU29" s="649">
        <v>9.4742456842442343E-7</v>
      </c>
    </row>
    <row r="30" spans="1:47" ht="15" outlineLevel="1">
      <c r="A30" s="127">
        <v>70207</v>
      </c>
      <c r="B30" s="127" t="s">
        <v>300</v>
      </c>
      <c r="C30" s="128"/>
      <c r="D30" s="125"/>
      <c r="E30" s="129"/>
      <c r="F30" s="130"/>
      <c r="G30" s="131">
        <v>0</v>
      </c>
      <c r="H30" s="130"/>
      <c r="I30" s="131">
        <v>0</v>
      </c>
      <c r="J30" s="130"/>
      <c r="K30" s="131">
        <v>0</v>
      </c>
      <c r="L30" s="130"/>
      <c r="M30" s="131">
        <v>0</v>
      </c>
      <c r="N30" s="130"/>
      <c r="O30" s="131">
        <v>0</v>
      </c>
      <c r="P30" s="130"/>
      <c r="Q30" s="131">
        <v>0</v>
      </c>
      <c r="R30" s="130"/>
      <c r="S30" s="131">
        <v>0</v>
      </c>
      <c r="T30" s="130"/>
      <c r="U30" s="131">
        <v>0</v>
      </c>
      <c r="V30" s="130"/>
      <c r="W30" s="131">
        <v>0</v>
      </c>
      <c r="X30" s="130"/>
      <c r="Y30" s="131">
        <v>0</v>
      </c>
      <c r="Z30" s="130"/>
      <c r="AA30" s="131">
        <v>0</v>
      </c>
      <c r="AB30" s="130"/>
      <c r="AC30" s="131">
        <v>0</v>
      </c>
      <c r="AD30" s="130"/>
      <c r="AE30" s="131">
        <v>0</v>
      </c>
      <c r="AF30" s="132"/>
      <c r="AG30" s="133"/>
      <c r="AH30" s="799">
        <f t="shared" si="1"/>
        <v>0</v>
      </c>
      <c r="AI30" s="798"/>
      <c r="AJ30" s="798">
        <f t="shared" si="0"/>
        <v>0</v>
      </c>
      <c r="AO30" s="647">
        <v>2131</v>
      </c>
      <c r="AP30" s="648">
        <v>18827</v>
      </c>
      <c r="AQ30" s="649">
        <v>1.8478078444728197E-2</v>
      </c>
      <c r="AR30" s="650"/>
      <c r="AS30" s="647">
        <v>2131</v>
      </c>
      <c r="AT30" s="648">
        <v>0</v>
      </c>
      <c r="AU30" s="649">
        <v>0</v>
      </c>
    </row>
    <row r="31" spans="1:47" ht="15" outlineLevel="1">
      <c r="A31" s="127">
        <v>70210</v>
      </c>
      <c r="B31" s="127" t="s">
        <v>129</v>
      </c>
      <c r="C31" s="128"/>
      <c r="D31" s="125"/>
      <c r="E31" s="129"/>
      <c r="F31" s="130"/>
      <c r="G31" s="131">
        <v>3438.11</v>
      </c>
      <c r="H31" s="130"/>
      <c r="I31" s="131">
        <v>4182.43</v>
      </c>
      <c r="J31" s="130"/>
      <c r="K31" s="131">
        <v>7891.54</v>
      </c>
      <c r="L31" s="130"/>
      <c r="M31" s="131">
        <v>740.34</v>
      </c>
      <c r="N31" s="130"/>
      <c r="O31" s="131">
        <v>6065.21</v>
      </c>
      <c r="P31" s="130"/>
      <c r="Q31" s="131">
        <v>2942.44</v>
      </c>
      <c r="R31" s="130"/>
      <c r="S31" s="131">
        <v>6149.85</v>
      </c>
      <c r="T31" s="130"/>
      <c r="U31" s="131">
        <v>3904.92</v>
      </c>
      <c r="V31" s="130"/>
      <c r="W31" s="131">
        <v>2211.67</v>
      </c>
      <c r="X31" s="130"/>
      <c r="Y31" s="131">
        <v>5483.39</v>
      </c>
      <c r="Z31" s="130"/>
      <c r="AA31" s="131">
        <v>4382.53</v>
      </c>
      <c r="AB31" s="130"/>
      <c r="AC31" s="131">
        <v>4164.82</v>
      </c>
      <c r="AD31" s="130"/>
      <c r="AE31" s="131">
        <v>51557.25</v>
      </c>
      <c r="AF31" s="132"/>
      <c r="AG31" s="133"/>
      <c r="AH31" s="799">
        <f t="shared" si="1"/>
        <v>1521.4688979337241</v>
      </c>
      <c r="AI31" s="798"/>
      <c r="AJ31" s="798">
        <f t="shared" si="0"/>
        <v>1521.4688979337241</v>
      </c>
      <c r="AO31" s="647">
        <v>2132</v>
      </c>
      <c r="AP31" s="648">
        <v>2100</v>
      </c>
      <c r="AQ31" s="649">
        <v>2.0610806147516448E-3</v>
      </c>
      <c r="AR31" s="650"/>
      <c r="AS31" s="647">
        <v>2132</v>
      </c>
      <c r="AT31" s="648">
        <v>2185</v>
      </c>
      <c r="AU31" s="649">
        <v>2.0701226820073653E-3</v>
      </c>
    </row>
    <row r="32" spans="1:47" ht="15" outlineLevel="1">
      <c r="A32" s="127">
        <v>70215</v>
      </c>
      <c r="B32" s="127" t="s">
        <v>134</v>
      </c>
      <c r="C32" s="128"/>
      <c r="D32" s="125"/>
      <c r="E32" s="129"/>
      <c r="F32" s="130"/>
      <c r="G32" s="131">
        <v>0</v>
      </c>
      <c r="H32" s="130"/>
      <c r="I32" s="131">
        <v>0.18</v>
      </c>
      <c r="J32" s="130"/>
      <c r="K32" s="131">
        <v>59.8</v>
      </c>
      <c r="L32" s="130"/>
      <c r="M32" s="131">
        <v>2.2799999999999998</v>
      </c>
      <c r="N32" s="130"/>
      <c r="O32" s="131">
        <v>0</v>
      </c>
      <c r="P32" s="130"/>
      <c r="Q32" s="131">
        <v>0.81</v>
      </c>
      <c r="R32" s="130"/>
      <c r="S32" s="131">
        <v>0</v>
      </c>
      <c r="T32" s="130"/>
      <c r="U32" s="131">
        <v>109.2</v>
      </c>
      <c r="V32" s="130"/>
      <c r="W32" s="131">
        <v>1.54</v>
      </c>
      <c r="X32" s="130"/>
      <c r="Y32" s="131">
        <v>0</v>
      </c>
      <c r="Z32" s="130"/>
      <c r="AA32" s="131">
        <v>0</v>
      </c>
      <c r="AB32" s="130"/>
      <c r="AC32" s="131">
        <v>0</v>
      </c>
      <c r="AD32" s="130"/>
      <c r="AE32" s="131">
        <v>173.81</v>
      </c>
      <c r="AF32" s="132"/>
      <c r="AG32" s="133"/>
      <c r="AH32" s="799">
        <f t="shared" si="1"/>
        <v>5.1155190069039698</v>
      </c>
      <c r="AI32" s="798"/>
      <c r="AJ32" s="798">
        <f t="shared" si="0"/>
        <v>5.1155190069039698</v>
      </c>
      <c r="AO32" s="647">
        <v>2140</v>
      </c>
      <c r="AP32" s="648">
        <v>26142</v>
      </c>
      <c r="AQ32" s="649">
        <v>2.5657509252779761E-2</v>
      </c>
      <c r="AR32" s="650"/>
      <c r="AS32" s="647">
        <v>2140</v>
      </c>
      <c r="AT32" s="648">
        <v>29801</v>
      </c>
      <c r="AU32" s="649">
        <v>2.8234199563616245E-2</v>
      </c>
    </row>
    <row r="33" spans="1:47" ht="15" outlineLevel="1">
      <c r="A33" s="127">
        <v>70214</v>
      </c>
      <c r="B33" s="127" t="s">
        <v>175</v>
      </c>
      <c r="C33" s="128"/>
      <c r="D33" s="125"/>
      <c r="E33" s="129"/>
      <c r="F33" s="130"/>
      <c r="G33" s="131">
        <v>0</v>
      </c>
      <c r="H33" s="130"/>
      <c r="I33" s="131">
        <v>0</v>
      </c>
      <c r="J33" s="130"/>
      <c r="K33" s="131">
        <v>0</v>
      </c>
      <c r="L33" s="130"/>
      <c r="M33" s="131">
        <v>0</v>
      </c>
      <c r="N33" s="130"/>
      <c r="O33" s="131">
        <v>0</v>
      </c>
      <c r="P33" s="130"/>
      <c r="Q33" s="131">
        <v>4.9000000000000004</v>
      </c>
      <c r="R33" s="130"/>
      <c r="S33" s="131">
        <v>0</v>
      </c>
      <c r="T33" s="130"/>
      <c r="U33" s="131">
        <v>0</v>
      </c>
      <c r="V33" s="130"/>
      <c r="W33" s="131">
        <v>0</v>
      </c>
      <c r="X33" s="130"/>
      <c r="Y33" s="131">
        <v>0</v>
      </c>
      <c r="Z33" s="130"/>
      <c r="AA33" s="131">
        <v>0</v>
      </c>
      <c r="AB33" s="130"/>
      <c r="AC33" s="131">
        <v>0</v>
      </c>
      <c r="AD33" s="130"/>
      <c r="AE33" s="131">
        <v>4.9000000000000004</v>
      </c>
      <c r="AF33" s="132"/>
      <c r="AG33" s="133"/>
      <c r="AH33" s="799">
        <f t="shared" ref="AH33" si="2">(SUM(G33:Q33)*$AH$2)+(SUM(S33:AC33)*$AH$3)</f>
        <v>0.14614641720393803</v>
      </c>
      <c r="AI33" s="798"/>
      <c r="AJ33" s="798">
        <f t="shared" si="0"/>
        <v>0.14614641720393803</v>
      </c>
      <c r="AO33" s="647"/>
      <c r="AP33" s="648"/>
      <c r="AQ33" s="649"/>
      <c r="AR33" s="650"/>
      <c r="AS33" s="647"/>
      <c r="AT33" s="648"/>
      <c r="AU33" s="649"/>
    </row>
    <row r="34" spans="1:47" ht="15" outlineLevel="1">
      <c r="A34" s="127">
        <v>70225</v>
      </c>
      <c r="B34" s="127" t="s">
        <v>107</v>
      </c>
      <c r="C34" s="128"/>
      <c r="D34" s="125"/>
      <c r="E34" s="129"/>
      <c r="F34" s="130"/>
      <c r="G34" s="131">
        <v>0</v>
      </c>
      <c r="H34" s="130"/>
      <c r="I34" s="131">
        <v>0</v>
      </c>
      <c r="J34" s="130"/>
      <c r="K34" s="131">
        <v>0</v>
      </c>
      <c r="L34" s="130"/>
      <c r="M34" s="131">
        <v>0</v>
      </c>
      <c r="N34" s="130"/>
      <c r="O34" s="131">
        <v>404.12</v>
      </c>
      <c r="P34" s="130"/>
      <c r="Q34" s="131">
        <v>0</v>
      </c>
      <c r="R34" s="130"/>
      <c r="S34" s="131">
        <v>0</v>
      </c>
      <c r="T34" s="130"/>
      <c r="U34" s="131">
        <v>0</v>
      </c>
      <c r="V34" s="130"/>
      <c r="W34" s="131">
        <v>423.84</v>
      </c>
      <c r="X34" s="130"/>
      <c r="Y34" s="131">
        <v>0</v>
      </c>
      <c r="Z34" s="130"/>
      <c r="AA34" s="131">
        <v>0</v>
      </c>
      <c r="AB34" s="130"/>
      <c r="AC34" s="131">
        <v>0</v>
      </c>
      <c r="AD34" s="130"/>
      <c r="AE34" s="131">
        <v>827.96</v>
      </c>
      <c r="AF34" s="132"/>
      <c r="AG34" s="133"/>
      <c r="AH34" s="799">
        <f t="shared" si="1"/>
        <v>24.432383661108371</v>
      </c>
      <c r="AI34" s="798">
        <f>-AH34</f>
        <v>-24.432383661108371</v>
      </c>
      <c r="AJ34" s="798">
        <f t="shared" si="0"/>
        <v>0</v>
      </c>
      <c r="AO34" s="647">
        <v>2144</v>
      </c>
      <c r="AP34" s="648">
        <v>13535</v>
      </c>
      <c r="AQ34" s="649">
        <v>1.3284155295554052E-2</v>
      </c>
      <c r="AR34" s="650"/>
      <c r="AS34" s="647">
        <v>2143</v>
      </c>
      <c r="AT34" s="648">
        <v>0</v>
      </c>
      <c r="AU34" s="649">
        <v>0</v>
      </c>
    </row>
    <row r="35" spans="1:47" ht="15" outlineLevel="1">
      <c r="A35" s="127">
        <v>70230</v>
      </c>
      <c r="B35" s="127" t="s">
        <v>177</v>
      </c>
      <c r="C35" s="128"/>
      <c r="D35" s="125"/>
      <c r="E35" s="129"/>
      <c r="F35" s="130"/>
      <c r="G35" s="131">
        <v>0</v>
      </c>
      <c r="H35" s="130"/>
      <c r="I35" s="131">
        <v>0</v>
      </c>
      <c r="J35" s="130"/>
      <c r="K35" s="131">
        <v>0</v>
      </c>
      <c r="L35" s="130"/>
      <c r="M35" s="131">
        <v>0</v>
      </c>
      <c r="N35" s="130"/>
      <c r="O35" s="131">
        <v>0</v>
      </c>
      <c r="P35" s="130"/>
      <c r="Q35" s="131">
        <v>0</v>
      </c>
      <c r="R35" s="130"/>
      <c r="S35" s="131">
        <v>16000</v>
      </c>
      <c r="T35" s="130"/>
      <c r="U35" s="131">
        <v>-16000</v>
      </c>
      <c r="V35" s="130"/>
      <c r="W35" s="131">
        <v>0</v>
      </c>
      <c r="X35" s="130"/>
      <c r="Y35" s="131">
        <v>0</v>
      </c>
      <c r="Z35" s="130"/>
      <c r="AA35" s="131">
        <v>0</v>
      </c>
      <c r="AB35" s="130"/>
      <c r="AC35" s="131">
        <v>0</v>
      </c>
      <c r="AD35" s="130"/>
      <c r="AE35" s="131">
        <v>0</v>
      </c>
      <c r="AF35" s="132"/>
      <c r="AG35" s="133"/>
      <c r="AH35" s="799">
        <f t="shared" si="1"/>
        <v>0</v>
      </c>
      <c r="AI35" s="798"/>
      <c r="AJ35" s="798">
        <f t="shared" si="0"/>
        <v>0</v>
      </c>
      <c r="AO35" s="647">
        <v>2146</v>
      </c>
      <c r="AP35" s="648">
        <v>7463</v>
      </c>
      <c r="AQ35" s="649">
        <v>7.3246879180435829E-3</v>
      </c>
      <c r="AR35" s="650"/>
      <c r="AS35" s="647">
        <v>2144</v>
      </c>
      <c r="AT35" s="648">
        <v>12945</v>
      </c>
      <c r="AU35" s="649">
        <v>1.2264411038254161E-2</v>
      </c>
    </row>
    <row r="36" spans="1:47" ht="15" outlineLevel="1">
      <c r="A36" s="127">
        <v>70231</v>
      </c>
      <c r="B36" s="127" t="s">
        <v>302</v>
      </c>
      <c r="C36" s="128"/>
      <c r="D36" s="125"/>
      <c r="E36" s="129"/>
      <c r="F36" s="130"/>
      <c r="G36" s="131">
        <v>105</v>
      </c>
      <c r="H36" s="130"/>
      <c r="I36" s="131">
        <v>710.34</v>
      </c>
      <c r="J36" s="130"/>
      <c r="K36" s="131">
        <v>1128.3499999999999</v>
      </c>
      <c r="L36" s="130"/>
      <c r="M36" s="131">
        <v>1997.02</v>
      </c>
      <c r="N36" s="130"/>
      <c r="O36" s="131">
        <v>246.62</v>
      </c>
      <c r="P36" s="130"/>
      <c r="Q36" s="131">
        <v>0</v>
      </c>
      <c r="R36" s="130"/>
      <c r="S36" s="131">
        <v>14019.99</v>
      </c>
      <c r="T36" s="130"/>
      <c r="U36" s="131">
        <v>61.46</v>
      </c>
      <c r="V36" s="130"/>
      <c r="W36" s="131">
        <v>138.91</v>
      </c>
      <c r="X36" s="130"/>
      <c r="Y36" s="131">
        <v>397.92</v>
      </c>
      <c r="Z36" s="130"/>
      <c r="AA36" s="131">
        <v>466.46</v>
      </c>
      <c r="AB36" s="130"/>
      <c r="AC36" s="131">
        <v>501.7</v>
      </c>
      <c r="AD36" s="130"/>
      <c r="AE36" s="131">
        <v>19773.77</v>
      </c>
      <c r="AF36" s="132"/>
      <c r="AG36" s="133"/>
      <c r="AH36" s="799">
        <f t="shared" si="1"/>
        <v>580.12680671834653</v>
      </c>
      <c r="AI36" s="798"/>
      <c r="AJ36" s="798">
        <f t="shared" si="0"/>
        <v>580.12680671834653</v>
      </c>
      <c r="AO36" s="647">
        <v>2148</v>
      </c>
      <c r="AP36" s="648">
        <v>5798</v>
      </c>
      <c r="AQ36" s="649">
        <v>5.6905454306333501E-3</v>
      </c>
      <c r="AR36" s="650"/>
      <c r="AS36" s="647">
        <v>2146</v>
      </c>
      <c r="AT36" s="648">
        <v>7439</v>
      </c>
      <c r="AU36" s="649">
        <v>7.0478913645092862E-3</v>
      </c>
    </row>
    <row r="37" spans="1:47" ht="15" outlineLevel="1">
      <c r="A37" s="127">
        <v>70232</v>
      </c>
      <c r="B37" s="127" t="s">
        <v>178</v>
      </c>
      <c r="C37" s="128"/>
      <c r="D37" s="125"/>
      <c r="E37" s="129"/>
      <c r="F37" s="130"/>
      <c r="G37" s="131">
        <v>0</v>
      </c>
      <c r="H37" s="130"/>
      <c r="I37" s="131">
        <v>199.62</v>
      </c>
      <c r="J37" s="130"/>
      <c r="K37" s="131">
        <v>0</v>
      </c>
      <c r="L37" s="130"/>
      <c r="M37" s="131">
        <v>0</v>
      </c>
      <c r="N37" s="130"/>
      <c r="O37" s="131">
        <v>0</v>
      </c>
      <c r="P37" s="130"/>
      <c r="Q37" s="131">
        <v>0</v>
      </c>
      <c r="R37" s="130"/>
      <c r="S37" s="131">
        <v>0</v>
      </c>
      <c r="T37" s="130"/>
      <c r="U37" s="131">
        <v>0</v>
      </c>
      <c r="V37" s="130"/>
      <c r="W37" s="131">
        <v>0</v>
      </c>
      <c r="X37" s="130"/>
      <c r="Y37" s="131">
        <v>0</v>
      </c>
      <c r="Z37" s="130"/>
      <c r="AA37" s="131">
        <v>960.91</v>
      </c>
      <c r="AB37" s="130"/>
      <c r="AC37" s="131">
        <v>197.62</v>
      </c>
      <c r="AD37" s="130"/>
      <c r="AE37" s="131">
        <v>1358.15</v>
      </c>
      <c r="AF37" s="132"/>
      <c r="AG37" s="133"/>
      <c r="AH37" s="799">
        <f t="shared" ref="AH37" si="3">(SUM(G37:Q37)*$AH$2)+(SUM(S37:AC37)*$AH$3)</f>
        <v>39.791248821986862</v>
      </c>
      <c r="AI37" s="798"/>
      <c r="AJ37" s="798">
        <f t="shared" si="0"/>
        <v>39.791248821986862</v>
      </c>
      <c r="AO37" s="647"/>
      <c r="AP37" s="648"/>
      <c r="AQ37" s="649"/>
      <c r="AR37" s="650"/>
      <c r="AS37" s="647"/>
      <c r="AT37" s="648"/>
      <c r="AU37" s="649"/>
    </row>
    <row r="38" spans="1:47" ht="15" outlineLevel="1">
      <c r="A38" s="127">
        <v>70245</v>
      </c>
      <c r="B38" s="127" t="s">
        <v>303</v>
      </c>
      <c r="C38" s="128"/>
      <c r="D38" s="125"/>
      <c r="E38" s="129"/>
      <c r="F38" s="130"/>
      <c r="G38" s="131">
        <v>119.74</v>
      </c>
      <c r="H38" s="130"/>
      <c r="I38" s="131">
        <v>117.34</v>
      </c>
      <c r="J38" s="130"/>
      <c r="K38" s="131">
        <v>133.66</v>
      </c>
      <c r="L38" s="130"/>
      <c r="M38" s="131">
        <v>122.09</v>
      </c>
      <c r="N38" s="130"/>
      <c r="O38" s="131">
        <v>134.68</v>
      </c>
      <c r="P38" s="130"/>
      <c r="Q38" s="131">
        <v>131.36000000000001</v>
      </c>
      <c r="R38" s="130"/>
      <c r="S38" s="131">
        <v>131.36000000000001</v>
      </c>
      <c r="T38" s="130"/>
      <c r="U38" s="131">
        <v>131.36000000000001</v>
      </c>
      <c r="V38" s="130"/>
      <c r="W38" s="131">
        <v>131.36000000000001</v>
      </c>
      <c r="X38" s="130"/>
      <c r="Y38" s="131">
        <v>0</v>
      </c>
      <c r="Z38" s="130"/>
      <c r="AA38" s="131">
        <v>0</v>
      </c>
      <c r="AB38" s="130"/>
      <c r="AC38" s="131">
        <v>0</v>
      </c>
      <c r="AD38" s="130"/>
      <c r="AE38" s="131">
        <v>1152.95</v>
      </c>
      <c r="AF38" s="132"/>
      <c r="AG38" s="133"/>
      <c r="AH38" s="799">
        <f t="shared" si="1"/>
        <v>34.143879599920439</v>
      </c>
      <c r="AI38" s="798"/>
      <c r="AJ38" s="798">
        <f t="shared" si="0"/>
        <v>34.143879599920439</v>
      </c>
      <c r="AO38" s="647">
        <v>2149</v>
      </c>
      <c r="AP38" s="648">
        <v>11953</v>
      </c>
      <c r="AQ38" s="649">
        <v>1.173147456577448E-2</v>
      </c>
      <c r="AR38" s="650"/>
      <c r="AS38" s="647">
        <v>2148</v>
      </c>
      <c r="AT38" s="648"/>
      <c r="AU38" s="649">
        <v>0</v>
      </c>
    </row>
    <row r="39" spans="1:47" ht="15" outlineLevel="1">
      <c r="A39" s="127">
        <v>70255</v>
      </c>
      <c r="B39" s="127" t="s">
        <v>93</v>
      </c>
      <c r="C39" s="128"/>
      <c r="D39" s="125"/>
      <c r="E39" s="129"/>
      <c r="F39" s="130"/>
      <c r="G39" s="131">
        <v>130.81</v>
      </c>
      <c r="H39" s="130"/>
      <c r="I39" s="131">
        <v>1918.61</v>
      </c>
      <c r="J39" s="130"/>
      <c r="K39" s="131">
        <v>4897.49</v>
      </c>
      <c r="L39" s="130"/>
      <c r="M39" s="131">
        <v>2000</v>
      </c>
      <c r="N39" s="130"/>
      <c r="O39" s="131">
        <v>9631</v>
      </c>
      <c r="P39" s="130"/>
      <c r="Q39" s="131">
        <v>8363.5</v>
      </c>
      <c r="R39" s="130"/>
      <c r="S39" s="131">
        <v>9500</v>
      </c>
      <c r="T39" s="130"/>
      <c r="U39" s="131">
        <v>30875.84</v>
      </c>
      <c r="V39" s="130"/>
      <c r="W39" s="131">
        <v>11999.5</v>
      </c>
      <c r="X39" s="130"/>
      <c r="Y39" s="131">
        <v>4000</v>
      </c>
      <c r="Z39" s="130"/>
      <c r="AA39" s="131">
        <v>11424.28</v>
      </c>
      <c r="AB39" s="130"/>
      <c r="AC39" s="131">
        <v>21498.36</v>
      </c>
      <c r="AD39" s="130"/>
      <c r="AE39" s="131">
        <v>116239.39</v>
      </c>
      <c r="AF39" s="132"/>
      <c r="AG39" s="133"/>
      <c r="AH39" s="799">
        <f t="shared" si="1"/>
        <v>3411.6934628194381</v>
      </c>
      <c r="AI39" s="798"/>
      <c r="AJ39" s="798">
        <f t="shared" si="0"/>
        <v>3411.6934628194381</v>
      </c>
      <c r="AO39" s="647">
        <v>2150</v>
      </c>
      <c r="AP39" s="648">
        <v>348</v>
      </c>
      <c r="AQ39" s="649">
        <v>3.4155050187312968E-4</v>
      </c>
      <c r="AR39" s="650"/>
      <c r="AS39" s="647">
        <v>2149</v>
      </c>
      <c r="AT39" s="648">
        <v>12817</v>
      </c>
      <c r="AU39" s="649">
        <v>1.2143140693495836E-2</v>
      </c>
    </row>
    <row r="40" spans="1:47" ht="15" outlineLevel="1">
      <c r="A40" s="127">
        <v>70275</v>
      </c>
      <c r="B40" s="127" t="s">
        <v>275</v>
      </c>
      <c r="C40" s="128"/>
      <c r="D40" s="125"/>
      <c r="E40" s="129"/>
      <c r="F40" s="130"/>
      <c r="G40" s="131">
        <v>0</v>
      </c>
      <c r="H40" s="130"/>
      <c r="I40" s="131">
        <v>0</v>
      </c>
      <c r="J40" s="130"/>
      <c r="K40" s="131">
        <v>0</v>
      </c>
      <c r="L40" s="130"/>
      <c r="M40" s="131">
        <v>0</v>
      </c>
      <c r="N40" s="130"/>
      <c r="O40" s="131">
        <v>0</v>
      </c>
      <c r="P40" s="130"/>
      <c r="Q40" s="131">
        <v>0</v>
      </c>
      <c r="R40" s="130"/>
      <c r="S40" s="131">
        <v>0</v>
      </c>
      <c r="T40" s="130"/>
      <c r="U40" s="131">
        <v>0</v>
      </c>
      <c r="V40" s="130"/>
      <c r="W40" s="131">
        <v>0</v>
      </c>
      <c r="X40" s="130"/>
      <c r="Y40" s="131">
        <v>0</v>
      </c>
      <c r="Z40" s="130"/>
      <c r="AA40" s="131">
        <v>0</v>
      </c>
      <c r="AB40" s="130"/>
      <c r="AC40" s="131">
        <v>0</v>
      </c>
      <c r="AD40" s="130"/>
      <c r="AE40" s="131">
        <v>0</v>
      </c>
      <c r="AF40" s="132"/>
      <c r="AG40" s="133"/>
      <c r="AH40" s="799">
        <f t="shared" si="1"/>
        <v>0</v>
      </c>
      <c r="AI40" s="798"/>
      <c r="AJ40" s="798">
        <f t="shared" si="0"/>
        <v>0</v>
      </c>
      <c r="AO40" s="647">
        <v>2160</v>
      </c>
      <c r="AP40" s="648">
        <v>3050</v>
      </c>
      <c r="AQ40" s="649">
        <v>2.9934742261869124E-3</v>
      </c>
      <c r="AR40" s="650"/>
      <c r="AS40" s="647">
        <v>2150</v>
      </c>
      <c r="AT40" s="648">
        <v>0</v>
      </c>
      <c r="AU40" s="649">
        <v>0</v>
      </c>
    </row>
    <row r="41" spans="1:47" ht="15" outlineLevel="1">
      <c r="A41" s="127">
        <v>70302</v>
      </c>
      <c r="B41" s="127" t="s">
        <v>139</v>
      </c>
      <c r="C41" s="128"/>
      <c r="D41" s="125"/>
      <c r="E41" s="129"/>
      <c r="F41" s="130"/>
      <c r="G41" s="131">
        <v>512.46</v>
      </c>
      <c r="H41" s="130"/>
      <c r="I41" s="131">
        <v>278.62</v>
      </c>
      <c r="J41" s="130"/>
      <c r="K41" s="131">
        <v>582.37</v>
      </c>
      <c r="L41" s="130"/>
      <c r="M41" s="131">
        <v>166.52</v>
      </c>
      <c r="N41" s="130"/>
      <c r="O41" s="131">
        <v>284.54000000000002</v>
      </c>
      <c r="P41" s="130"/>
      <c r="Q41" s="131">
        <v>405.31</v>
      </c>
      <c r="R41" s="130"/>
      <c r="S41" s="131">
        <v>144.43</v>
      </c>
      <c r="T41" s="130"/>
      <c r="U41" s="131">
        <v>13.97</v>
      </c>
      <c r="V41" s="130"/>
      <c r="W41" s="131">
        <v>5.18</v>
      </c>
      <c r="X41" s="130"/>
      <c r="Y41" s="131">
        <v>286.52999999999997</v>
      </c>
      <c r="Z41" s="130"/>
      <c r="AA41" s="131">
        <v>892.37</v>
      </c>
      <c r="AB41" s="130"/>
      <c r="AC41" s="131">
        <v>560.29</v>
      </c>
      <c r="AD41" s="130"/>
      <c r="AE41" s="131">
        <v>4132.59</v>
      </c>
      <c r="AF41" s="132"/>
      <c r="AG41" s="133"/>
      <c r="AH41" s="799">
        <f t="shared" si="1"/>
        <v>122.08075677157588</v>
      </c>
      <c r="AI41" s="798"/>
      <c r="AJ41" s="798">
        <f t="shared" si="0"/>
        <v>122.08075677157588</v>
      </c>
      <c r="AO41" s="647">
        <v>2171</v>
      </c>
      <c r="AP41" s="648">
        <v>64</v>
      </c>
      <c r="AQ41" s="649">
        <v>6.2813885401954888E-5</v>
      </c>
      <c r="AR41" s="650"/>
      <c r="AS41" s="647">
        <v>2160</v>
      </c>
      <c r="AT41" s="648">
        <v>0</v>
      </c>
      <c r="AU41" s="649">
        <v>0</v>
      </c>
    </row>
    <row r="42" spans="1:47" ht="15" outlineLevel="1">
      <c r="A42" s="127">
        <v>70320</v>
      </c>
      <c r="B42" s="127" t="s">
        <v>140</v>
      </c>
      <c r="C42" s="128"/>
      <c r="D42" s="125"/>
      <c r="E42" s="129"/>
      <c r="F42" s="130"/>
      <c r="G42" s="131">
        <v>70.67</v>
      </c>
      <c r="H42" s="130"/>
      <c r="I42" s="131">
        <v>240.59</v>
      </c>
      <c r="J42" s="130"/>
      <c r="K42" s="131">
        <v>51.77</v>
      </c>
      <c r="L42" s="130"/>
      <c r="M42" s="131">
        <v>92.01</v>
      </c>
      <c r="N42" s="130"/>
      <c r="O42" s="131">
        <v>-128.30000000000001</v>
      </c>
      <c r="P42" s="130"/>
      <c r="Q42" s="131">
        <v>0</v>
      </c>
      <c r="R42" s="130"/>
      <c r="S42" s="131">
        <v>140.6</v>
      </c>
      <c r="T42" s="130"/>
      <c r="U42" s="131">
        <v>207.05</v>
      </c>
      <c r="V42" s="130"/>
      <c r="W42" s="131">
        <v>213.76</v>
      </c>
      <c r="X42" s="130"/>
      <c r="Y42" s="131">
        <v>233.52</v>
      </c>
      <c r="Z42" s="130"/>
      <c r="AA42" s="131">
        <v>57.05</v>
      </c>
      <c r="AB42" s="130"/>
      <c r="AC42" s="131">
        <v>207.05</v>
      </c>
      <c r="AD42" s="130"/>
      <c r="AE42" s="131">
        <v>1385.77</v>
      </c>
      <c r="AF42" s="132"/>
      <c r="AG42" s="133"/>
      <c r="AH42" s="799">
        <f t="shared" si="1"/>
        <v>40.676587588207909</v>
      </c>
      <c r="AI42" s="798"/>
      <c r="AJ42" s="798">
        <f t="shared" si="0"/>
        <v>40.676587588207909</v>
      </c>
      <c r="AO42" s="647">
        <v>2172</v>
      </c>
      <c r="AP42" s="648">
        <v>10</v>
      </c>
      <c r="AQ42" s="649">
        <v>9.8146695940554509E-6</v>
      </c>
      <c r="AR42" s="650"/>
      <c r="AS42" s="647">
        <v>2170</v>
      </c>
      <c r="AT42" s="648">
        <v>0</v>
      </c>
      <c r="AU42" s="649">
        <v>0</v>
      </c>
    </row>
    <row r="43" spans="1:47" ht="15" outlineLevel="1">
      <c r="A43" s="127">
        <v>70335</v>
      </c>
      <c r="B43" s="127" t="s">
        <v>91</v>
      </c>
      <c r="C43" s="128"/>
      <c r="D43" s="125"/>
      <c r="E43" s="129"/>
      <c r="F43" s="130"/>
      <c r="G43" s="131">
        <v>0</v>
      </c>
      <c r="H43" s="130"/>
      <c r="I43" s="131">
        <v>0</v>
      </c>
      <c r="J43" s="130"/>
      <c r="K43" s="131">
        <v>0</v>
      </c>
      <c r="L43" s="130"/>
      <c r="M43" s="131">
        <v>0</v>
      </c>
      <c r="N43" s="130"/>
      <c r="O43" s="131">
        <v>0</v>
      </c>
      <c r="P43" s="130"/>
      <c r="Q43" s="131">
        <v>0</v>
      </c>
      <c r="R43" s="130"/>
      <c r="S43" s="131">
        <v>0</v>
      </c>
      <c r="T43" s="130"/>
      <c r="U43" s="131">
        <v>0</v>
      </c>
      <c r="V43" s="130"/>
      <c r="W43" s="131">
        <v>0</v>
      </c>
      <c r="X43" s="130"/>
      <c r="Y43" s="131">
        <v>0</v>
      </c>
      <c r="Z43" s="130"/>
      <c r="AA43" s="131">
        <v>0</v>
      </c>
      <c r="AB43" s="130"/>
      <c r="AC43" s="131">
        <v>-150.46</v>
      </c>
      <c r="AD43" s="130"/>
      <c r="AE43" s="131">
        <v>-150.46</v>
      </c>
      <c r="AF43" s="132"/>
      <c r="AG43" s="133"/>
      <c r="AH43" s="799">
        <f t="shared" si="1"/>
        <v>-4.3945160034220976</v>
      </c>
      <c r="AI43" s="798"/>
      <c r="AJ43" s="798">
        <f t="shared" si="0"/>
        <v>-4.3945160034220976</v>
      </c>
      <c r="AO43" s="647">
        <v>2173</v>
      </c>
      <c r="AP43" s="648">
        <v>10</v>
      </c>
      <c r="AQ43" s="649">
        <v>9.8146695940554509E-6</v>
      </c>
      <c r="AR43" s="650"/>
      <c r="AS43" s="647">
        <v>2171</v>
      </c>
      <c r="AT43" s="648">
        <v>62</v>
      </c>
      <c r="AU43" s="649">
        <v>5.8740323242314253E-5</v>
      </c>
    </row>
    <row r="44" spans="1:47" ht="15" outlineLevel="1">
      <c r="A44" s="127">
        <v>70336</v>
      </c>
      <c r="B44" s="127" t="s">
        <v>181</v>
      </c>
      <c r="C44" s="128"/>
      <c r="D44" s="125"/>
      <c r="E44" s="129"/>
      <c r="F44" s="130"/>
      <c r="G44" s="131">
        <v>467.22</v>
      </c>
      <c r="H44" s="130"/>
      <c r="I44" s="131">
        <v>266.08999999999997</v>
      </c>
      <c r="J44" s="130"/>
      <c r="K44" s="131">
        <v>498.27</v>
      </c>
      <c r="L44" s="130"/>
      <c r="M44" s="131">
        <v>354.76</v>
      </c>
      <c r="N44" s="130"/>
      <c r="O44" s="131">
        <v>209.74</v>
      </c>
      <c r="P44" s="130"/>
      <c r="Q44" s="131">
        <v>598.70000000000005</v>
      </c>
      <c r="R44" s="130"/>
      <c r="S44" s="131">
        <v>911.11</v>
      </c>
      <c r="T44" s="130"/>
      <c r="U44" s="131">
        <v>279.52</v>
      </c>
      <c r="V44" s="130"/>
      <c r="W44" s="131">
        <v>321.27</v>
      </c>
      <c r="X44" s="130"/>
      <c r="Y44" s="131">
        <v>855.38</v>
      </c>
      <c r="Z44" s="130"/>
      <c r="AA44" s="131">
        <v>561.62</v>
      </c>
      <c r="AB44" s="130"/>
      <c r="AC44" s="131">
        <v>536.61</v>
      </c>
      <c r="AD44" s="130"/>
      <c r="AE44" s="131">
        <v>5860.29</v>
      </c>
      <c r="AF44" s="132"/>
      <c r="AG44" s="133"/>
      <c r="AH44" s="799">
        <f t="shared" si="1"/>
        <v>172.64408755484243</v>
      </c>
      <c r="AI44" s="798"/>
      <c r="AJ44" s="798">
        <f t="shared" si="0"/>
        <v>172.64408755484243</v>
      </c>
      <c r="AO44" s="647">
        <v>2180</v>
      </c>
      <c r="AP44" s="648">
        <v>72412</v>
      </c>
      <c r="AQ44" s="649">
        <v>7.1069985464474336E-2</v>
      </c>
      <c r="AR44" s="650"/>
      <c r="AS44" s="647">
        <v>2172</v>
      </c>
      <c r="AT44" s="648">
        <v>10</v>
      </c>
      <c r="AU44" s="649">
        <v>9.4742456842442343E-6</v>
      </c>
    </row>
    <row r="45" spans="1:47" ht="15.75" outlineLevel="1">
      <c r="A45" s="128"/>
      <c r="B45" s="128"/>
      <c r="C45" s="128"/>
      <c r="D45" s="128"/>
      <c r="E45" s="129"/>
      <c r="F45" s="129"/>
      <c r="G45" s="158"/>
      <c r="H45" s="156"/>
      <c r="I45" s="158"/>
      <c r="J45" s="156"/>
      <c r="K45" s="158"/>
      <c r="L45" s="156"/>
      <c r="M45" s="158"/>
      <c r="N45" s="156"/>
      <c r="O45" s="158"/>
      <c r="P45" s="156"/>
      <c r="Q45" s="158"/>
      <c r="R45" s="156"/>
      <c r="S45" s="158"/>
      <c r="T45" s="156"/>
      <c r="U45" s="158"/>
      <c r="V45" s="156"/>
      <c r="W45" s="158"/>
      <c r="X45" s="156"/>
      <c r="Y45" s="158"/>
      <c r="Z45" s="156"/>
      <c r="AA45" s="158"/>
      <c r="AB45" s="156"/>
      <c r="AC45" s="158"/>
      <c r="AD45" s="156"/>
      <c r="AE45" s="158"/>
      <c r="AF45" s="152"/>
      <c r="AG45" s="136"/>
      <c r="AH45" s="656"/>
      <c r="AI45" s="656"/>
      <c r="AJ45" s="656"/>
      <c r="AK45" s="657"/>
      <c r="AL45" s="129"/>
      <c r="AO45" s="647">
        <v>2182</v>
      </c>
      <c r="AP45" s="648">
        <v>302</v>
      </c>
      <c r="AQ45" s="649">
        <v>2.9640302174047464E-4</v>
      </c>
      <c r="AR45" s="650"/>
      <c r="AS45" s="647">
        <v>2173</v>
      </c>
      <c r="AT45" s="648">
        <v>12</v>
      </c>
      <c r="AU45" s="649">
        <v>1.1369094821093081E-5</v>
      </c>
    </row>
    <row r="46" spans="1:47" ht="15.75" outlineLevel="1">
      <c r="A46" s="129"/>
      <c r="B46" s="129"/>
      <c r="C46" s="128" t="s">
        <v>304</v>
      </c>
      <c r="D46" s="129"/>
      <c r="E46" s="129"/>
      <c r="F46" s="129"/>
      <c r="G46" s="155">
        <f>SUM(G7:G45)</f>
        <v>113267.98000000003</v>
      </c>
      <c r="H46" s="156"/>
      <c r="I46" s="155">
        <f>SUM(I7:I45)</f>
        <v>256691.52999999994</v>
      </c>
      <c r="J46" s="156"/>
      <c r="K46" s="155">
        <f>SUM(K7:K45)</f>
        <v>108506.33</v>
      </c>
      <c r="L46" s="156"/>
      <c r="M46" s="155">
        <f>SUM(M7:M45)</f>
        <v>106890.85</v>
      </c>
      <c r="N46" s="156"/>
      <c r="O46" s="155">
        <f>SUM(O7:O45)</f>
        <v>101807.54</v>
      </c>
      <c r="P46" s="156"/>
      <c r="Q46" s="155">
        <f>SUM(Q7:Q45)</f>
        <v>130924.05999999998</v>
      </c>
      <c r="R46" s="156"/>
      <c r="S46" s="155">
        <f>SUM(S7:S45)</f>
        <v>182527.27</v>
      </c>
      <c r="T46" s="156"/>
      <c r="U46" s="155">
        <f>SUM(U7:U45)</f>
        <v>278524.48</v>
      </c>
      <c r="V46" s="156"/>
      <c r="W46" s="155">
        <f>SUM(W7:W45)</f>
        <v>200112.69999999998</v>
      </c>
      <c r="X46" s="156"/>
      <c r="Y46" s="155">
        <f>SUM(Y7:Y45)</f>
        <v>116341.47000000002</v>
      </c>
      <c r="Z46" s="156"/>
      <c r="AA46" s="155">
        <f>SUM(AA7:AA45)</f>
        <v>209539.76999999996</v>
      </c>
      <c r="AB46" s="156"/>
      <c r="AC46" s="155">
        <f>SUM(AC7:AC45)</f>
        <v>167164.54999999999</v>
      </c>
      <c r="AD46" s="156"/>
      <c r="AE46" s="155">
        <f>SUM(AE7:AE45)</f>
        <v>1972298.53</v>
      </c>
      <c r="AF46" s="132"/>
      <c r="AG46" s="136"/>
      <c r="AH46" s="155">
        <f>SUM(AH8:AH45)</f>
        <v>58111.391878832481</v>
      </c>
      <c r="AI46" s="155">
        <f>SUM(AI8:AI45)</f>
        <v>-8388.4653903393864</v>
      </c>
      <c r="AJ46" s="155">
        <f>SUM(AJ8:AJ45)</f>
        <v>49722.926488493096</v>
      </c>
      <c r="AK46" s="155"/>
      <c r="AL46" s="129"/>
      <c r="AO46" s="647">
        <v>2183</v>
      </c>
      <c r="AP46" s="648">
        <v>57091</v>
      </c>
      <c r="AQ46" s="649">
        <v>5.6032930179421972E-2</v>
      </c>
      <c r="AR46" s="650"/>
      <c r="AS46" s="647">
        <v>2180</v>
      </c>
      <c r="AT46" s="648">
        <v>75048</v>
      </c>
      <c r="AU46" s="649">
        <v>7.1102319011116133E-2</v>
      </c>
    </row>
    <row r="47" spans="1:47" s="129" customFormat="1" ht="5.0999999999999996" customHeight="1" outlineLevel="1">
      <c r="G47" s="157"/>
      <c r="H47" s="156"/>
      <c r="I47" s="157"/>
      <c r="J47" s="156"/>
      <c r="K47" s="157"/>
      <c r="L47" s="156"/>
      <c r="M47" s="157"/>
      <c r="N47" s="156"/>
      <c r="O47" s="157"/>
      <c r="P47" s="156"/>
      <c r="Q47" s="157"/>
      <c r="R47" s="156"/>
      <c r="S47" s="157"/>
      <c r="T47" s="156"/>
      <c r="U47" s="157"/>
      <c r="V47" s="156"/>
      <c r="W47" s="157"/>
      <c r="X47" s="156"/>
      <c r="Y47" s="157"/>
      <c r="Z47" s="156"/>
      <c r="AA47" s="157"/>
      <c r="AB47" s="156"/>
      <c r="AC47" s="157"/>
      <c r="AD47" s="156"/>
      <c r="AE47" s="157"/>
      <c r="AF47" s="152"/>
      <c r="AG47" s="136"/>
      <c r="AO47" s="647">
        <v>2184</v>
      </c>
      <c r="AP47" s="648">
        <v>1</v>
      </c>
      <c r="AQ47" s="649">
        <v>9.8146695940554513E-7</v>
      </c>
      <c r="AR47" s="650"/>
      <c r="AS47" s="647">
        <v>2182</v>
      </c>
      <c r="AT47" s="648">
        <v>1</v>
      </c>
      <c r="AU47" s="649">
        <v>9.4742456842442343E-7</v>
      </c>
    </row>
    <row r="48" spans="1:47" s="129" customFormat="1" ht="16.5" thickBot="1">
      <c r="A48" s="134"/>
      <c r="B48" s="134"/>
      <c r="C48" s="134"/>
      <c r="D48" s="134"/>
      <c r="E48" s="123"/>
      <c r="F48" s="123"/>
      <c r="G48" s="182"/>
      <c r="H48" s="123"/>
      <c r="I48" s="182"/>
      <c r="J48" s="136"/>
      <c r="K48" s="182"/>
      <c r="L48" s="136"/>
      <c r="M48" s="182"/>
      <c r="N48" s="123"/>
      <c r="O48" s="182"/>
      <c r="P48" s="136"/>
      <c r="Q48" s="182"/>
      <c r="R48" s="136"/>
      <c r="S48" s="182"/>
      <c r="T48" s="123"/>
      <c r="U48" s="182"/>
      <c r="V48" s="136"/>
      <c r="W48" s="182"/>
      <c r="X48" s="136"/>
      <c r="Y48" s="182"/>
      <c r="Z48" s="123"/>
      <c r="AA48" s="182"/>
      <c r="AB48" s="136"/>
      <c r="AC48" s="182"/>
      <c r="AD48" s="136"/>
      <c r="AE48" s="182"/>
      <c r="AF48" s="658" t="s">
        <v>1574</v>
      </c>
      <c r="AG48" s="123"/>
      <c r="AH48" s="659">
        <f>+'Yakima IS'!AF235</f>
        <v>58413.84</v>
      </c>
      <c r="AI48" s="182"/>
      <c r="AJ48" s="660">
        <f>AH48+AI46</f>
        <v>50025.374609660612</v>
      </c>
      <c r="AK48" s="661"/>
      <c r="AL48" s="662"/>
      <c r="AO48" s="647">
        <v>2185</v>
      </c>
      <c r="AP48" s="648">
        <v>2788</v>
      </c>
      <c r="AQ48" s="649">
        <v>2.7363298828226596E-3</v>
      </c>
      <c r="AR48" s="650"/>
      <c r="AS48" s="647">
        <v>2183</v>
      </c>
      <c r="AT48" s="648">
        <v>57936</v>
      </c>
      <c r="AU48" s="649">
        <v>5.4889989796237396E-2</v>
      </c>
    </row>
    <row r="49" spans="1:47" s="129" customFormat="1" ht="15.75" outlineLevel="1">
      <c r="A49" s="128"/>
      <c r="B49" s="128"/>
      <c r="C49" s="128"/>
      <c r="D49" s="128"/>
      <c r="E49" s="123"/>
      <c r="F49" s="123"/>
      <c r="G49" s="182"/>
      <c r="H49" s="123"/>
      <c r="I49" s="182"/>
      <c r="J49" s="136"/>
      <c r="K49" s="182"/>
      <c r="L49" s="136"/>
      <c r="M49" s="182"/>
      <c r="N49" s="123"/>
      <c r="O49" s="182"/>
      <c r="P49" s="136"/>
      <c r="Q49" s="182"/>
      <c r="R49" s="136"/>
      <c r="S49" s="182"/>
      <c r="T49" s="123"/>
      <c r="U49" s="182"/>
      <c r="V49" s="136"/>
      <c r="W49" s="182"/>
      <c r="X49" s="136"/>
      <c r="Y49" s="182"/>
      <c r="Z49" s="123"/>
      <c r="AA49" s="182"/>
      <c r="AB49" s="136"/>
      <c r="AC49" s="182"/>
      <c r="AD49" s="136"/>
      <c r="AE49" s="182"/>
      <c r="AF49" s="182"/>
      <c r="AG49" s="123"/>
      <c r="AH49" s="182">
        <f>AH46-AH48</f>
        <v>-302.44812116751564</v>
      </c>
      <c r="AI49" s="188" t="s">
        <v>1575</v>
      </c>
      <c r="AJ49" s="182">
        <f>AJ46-AJ48</f>
        <v>-302.44812116751564</v>
      </c>
      <c r="AK49" s="182"/>
      <c r="AL49" s="182"/>
      <c r="AO49" s="647">
        <v>2186</v>
      </c>
      <c r="AP49" s="648">
        <v>20198</v>
      </c>
      <c r="AQ49" s="649">
        <v>1.9823669646073201E-2</v>
      </c>
      <c r="AR49" s="650"/>
      <c r="AS49" s="647">
        <v>2184</v>
      </c>
      <c r="AT49" s="648">
        <v>1</v>
      </c>
      <c r="AU49" s="649">
        <v>9.4742456842442343E-7</v>
      </c>
    </row>
    <row r="50" spans="1:47" s="182" customFormat="1" ht="15.75">
      <c r="A50" s="129"/>
      <c r="B50" s="129"/>
      <c r="C50" s="128"/>
      <c r="D50" s="129"/>
      <c r="E50" s="123"/>
      <c r="F50" s="123"/>
      <c r="H50" s="123"/>
      <c r="J50" s="136"/>
      <c r="L50" s="136"/>
      <c r="N50" s="123"/>
      <c r="P50" s="136"/>
      <c r="R50" s="136"/>
      <c r="T50" s="123"/>
      <c r="V50" s="136"/>
      <c r="X50" s="136"/>
      <c r="Z50" s="123"/>
      <c r="AB50" s="136"/>
      <c r="AD50" s="136"/>
      <c r="AG50" s="123"/>
      <c r="AO50" s="647">
        <v>2187</v>
      </c>
      <c r="AP50" s="648">
        <v>1</v>
      </c>
      <c r="AQ50" s="649">
        <v>9.8146695940554513E-7</v>
      </c>
      <c r="AR50" s="650"/>
      <c r="AS50" s="647">
        <v>2185</v>
      </c>
      <c r="AT50" s="648">
        <v>2839</v>
      </c>
      <c r="AU50" s="649">
        <v>2.6897383497569384E-3</v>
      </c>
    </row>
    <row r="51" spans="1:47" s="182" customFormat="1" ht="15.75">
      <c r="A51" s="188" t="s">
        <v>1576</v>
      </c>
      <c r="B51" s="129"/>
      <c r="C51" s="129"/>
      <c r="D51" s="129"/>
      <c r="E51" s="123"/>
      <c r="F51" s="123"/>
      <c r="H51" s="123"/>
      <c r="J51" s="136"/>
      <c r="L51" s="136"/>
      <c r="N51" s="123"/>
      <c r="P51" s="136"/>
      <c r="R51" s="136"/>
      <c r="T51" s="123"/>
      <c r="V51" s="136"/>
      <c r="X51" s="136"/>
      <c r="Z51" s="123"/>
      <c r="AB51" s="136"/>
      <c r="AD51" s="136"/>
      <c r="AG51" s="123"/>
      <c r="AO51" s="647">
        <v>2188</v>
      </c>
      <c r="AP51" s="648">
        <v>24213</v>
      </c>
      <c r="AQ51" s="649">
        <v>2.3764259488086463E-2</v>
      </c>
      <c r="AR51" s="650"/>
      <c r="AS51" s="647">
        <v>2186</v>
      </c>
      <c r="AT51" s="648">
        <v>20384</v>
      </c>
      <c r="AU51" s="649">
        <v>1.9312302402763448E-2</v>
      </c>
    </row>
    <row r="52" spans="1:47" s="182" customFormat="1" ht="15.75">
      <c r="A52" s="129"/>
      <c r="B52" s="160"/>
      <c r="C52" s="129"/>
      <c r="D52" s="129"/>
      <c r="E52" s="123"/>
      <c r="F52" s="123"/>
      <c r="H52" s="123"/>
      <c r="P52" s="136"/>
      <c r="R52" s="136"/>
      <c r="T52" s="123"/>
      <c r="V52" s="136"/>
      <c r="X52" s="136"/>
      <c r="Z52" s="123"/>
      <c r="AB52" s="136"/>
      <c r="AD52" s="136"/>
      <c r="AG52" s="123"/>
      <c r="AO52" s="647">
        <v>2189</v>
      </c>
      <c r="AP52" s="648">
        <v>1</v>
      </c>
      <c r="AQ52" s="649">
        <v>9.8146695940554513E-7</v>
      </c>
      <c r="AR52" s="650"/>
      <c r="AS52" s="647">
        <v>2187</v>
      </c>
      <c r="AT52" s="648">
        <v>1</v>
      </c>
      <c r="AU52" s="649">
        <v>9.4742456842442343E-7</v>
      </c>
    </row>
    <row r="53" spans="1:47" s="182" customFormat="1" ht="15.75">
      <c r="A53" s="129"/>
      <c r="B53" s="129"/>
      <c r="C53" s="129"/>
      <c r="D53" s="129"/>
      <c r="E53" s="123"/>
      <c r="F53" s="123"/>
      <c r="H53" s="123"/>
      <c r="P53" s="136"/>
      <c r="R53" s="136"/>
      <c r="T53" s="123"/>
      <c r="V53" s="136"/>
      <c r="X53" s="136"/>
      <c r="Z53" s="123"/>
      <c r="AB53" s="136"/>
      <c r="AD53" s="136"/>
      <c r="AG53" s="123"/>
      <c r="AO53" s="647">
        <v>2190</v>
      </c>
      <c r="AP53" s="648">
        <v>458</v>
      </c>
      <c r="AQ53" s="649">
        <v>4.4951186740773964E-4</v>
      </c>
      <c r="AR53" s="650"/>
      <c r="AS53" s="647">
        <v>2188</v>
      </c>
      <c r="AT53" s="648">
        <v>24910</v>
      </c>
      <c r="AU53" s="649">
        <v>2.3600345999452387E-2</v>
      </c>
    </row>
    <row r="54" spans="1:47" s="182" customFormat="1" ht="15.75">
      <c r="A54" s="134"/>
      <c r="B54" s="134"/>
      <c r="C54" s="134"/>
      <c r="D54" s="134"/>
      <c r="E54" s="123"/>
      <c r="F54" s="123"/>
      <c r="H54" s="123"/>
      <c r="P54" s="136"/>
      <c r="R54" s="136"/>
      <c r="T54" s="123"/>
      <c r="V54" s="136"/>
      <c r="X54" s="136"/>
      <c r="Z54" s="123"/>
      <c r="AB54" s="136"/>
      <c r="AD54" s="136"/>
      <c r="AG54" s="123"/>
      <c r="AO54" s="647">
        <v>2191</v>
      </c>
      <c r="AP54" s="648">
        <v>7</v>
      </c>
      <c r="AQ54" s="649">
        <v>6.8702687158388153E-6</v>
      </c>
      <c r="AR54" s="650"/>
      <c r="AS54" s="647">
        <v>2189</v>
      </c>
      <c r="AT54" s="648">
        <v>1</v>
      </c>
      <c r="AU54" s="649">
        <v>9.4742456842442343E-7</v>
      </c>
    </row>
    <row r="55" spans="1:47" s="182" customFormat="1" ht="15.75">
      <c r="A55" s="128"/>
      <c r="B55" s="128"/>
      <c r="C55" s="128"/>
      <c r="D55" s="128"/>
      <c r="E55" s="123"/>
      <c r="F55" s="123"/>
      <c r="H55" s="123"/>
      <c r="P55" s="136"/>
      <c r="R55" s="136"/>
      <c r="T55" s="123"/>
      <c r="V55" s="136"/>
      <c r="X55" s="136"/>
      <c r="Z55" s="123"/>
      <c r="AB55" s="136"/>
      <c r="AD55" s="136"/>
      <c r="AG55" s="123"/>
      <c r="AO55" s="663">
        <v>2195</v>
      </c>
      <c r="AP55" s="664">
        <v>30389</v>
      </c>
      <c r="AQ55" s="665">
        <v>2.9825799429375108E-2</v>
      </c>
      <c r="AR55" s="650"/>
      <c r="AS55" s="647">
        <v>2190</v>
      </c>
      <c r="AT55" s="648">
        <v>431</v>
      </c>
      <c r="AU55" s="649">
        <v>4.083399889909265E-4</v>
      </c>
    </row>
    <row r="56" spans="1:47" s="182" customFormat="1" ht="15.75">
      <c r="A56" s="129"/>
      <c r="B56" s="129"/>
      <c r="C56" s="127"/>
      <c r="D56" s="129"/>
      <c r="E56" s="123"/>
      <c r="F56" s="123"/>
      <c r="H56" s="123"/>
      <c r="P56" s="136"/>
      <c r="R56" s="136"/>
      <c r="T56" s="123"/>
      <c r="V56" s="136"/>
      <c r="X56" s="136"/>
      <c r="Z56" s="123"/>
      <c r="AB56" s="136"/>
      <c r="AD56" s="136"/>
      <c r="AG56" s="123"/>
      <c r="AO56" s="647">
        <v>2210</v>
      </c>
      <c r="AP56" s="648">
        <v>13794</v>
      </c>
      <c r="AQ56" s="649">
        <v>1.353835523804009E-2</v>
      </c>
      <c r="AR56" s="650"/>
      <c r="AS56" s="647">
        <v>2191</v>
      </c>
      <c r="AT56" s="648">
        <v>7</v>
      </c>
      <c r="AU56" s="649">
        <v>6.631971978970964E-6</v>
      </c>
    </row>
    <row r="57" spans="1:47" s="182" customFormat="1" ht="15.75">
      <c r="A57" s="129"/>
      <c r="B57" s="129"/>
      <c r="C57" s="129"/>
      <c r="D57" s="129"/>
      <c r="E57" s="123"/>
      <c r="F57" s="123"/>
      <c r="H57" s="123"/>
      <c r="P57" s="136"/>
      <c r="R57" s="136"/>
      <c r="T57" s="123"/>
      <c r="V57" s="136"/>
      <c r="X57" s="136"/>
      <c r="Z57" s="123"/>
      <c r="AB57" s="136"/>
      <c r="AD57" s="136"/>
      <c r="AG57" s="123"/>
      <c r="AO57" s="647">
        <v>2211</v>
      </c>
      <c r="AP57" s="648">
        <v>25064</v>
      </c>
      <c r="AQ57" s="649">
        <v>2.4599487870540584E-2</v>
      </c>
      <c r="AR57" s="650"/>
      <c r="AS57" s="663">
        <v>2195</v>
      </c>
      <c r="AT57" s="664">
        <v>30828</v>
      </c>
      <c r="AU57" s="665">
        <v>2.9207204595388128E-2</v>
      </c>
    </row>
    <row r="58" spans="1:47" s="182" customFormat="1" ht="15.75">
      <c r="A58" s="129"/>
      <c r="B58" s="160"/>
      <c r="C58" s="129"/>
      <c r="D58" s="129"/>
      <c r="E58" s="123"/>
      <c r="F58" s="123"/>
      <c r="H58" s="123"/>
      <c r="P58" s="136"/>
      <c r="R58" s="136"/>
      <c r="T58" s="123"/>
      <c r="V58" s="136"/>
      <c r="X58" s="136"/>
      <c r="Z58" s="123"/>
      <c r="AB58" s="136"/>
      <c r="AD58" s="136"/>
      <c r="AG58" s="123"/>
      <c r="AO58" s="647">
        <v>2212</v>
      </c>
      <c r="AP58" s="648">
        <v>4623</v>
      </c>
      <c r="AQ58" s="649">
        <v>4.5373217533318348E-3</v>
      </c>
      <c r="AR58" s="650"/>
      <c r="AS58" s="647">
        <v>2210</v>
      </c>
      <c r="AT58" s="648">
        <v>20315</v>
      </c>
      <c r="AU58" s="649">
        <v>1.9246930107542162E-2</v>
      </c>
    </row>
    <row r="59" spans="1:47" s="182" customFormat="1" ht="15.75">
      <c r="A59" s="123"/>
      <c r="B59" s="123"/>
      <c r="C59" s="123"/>
      <c r="D59" s="123"/>
      <c r="E59" s="123"/>
      <c r="F59" s="123"/>
      <c r="H59" s="123"/>
      <c r="P59" s="136"/>
      <c r="R59" s="136"/>
      <c r="T59" s="123"/>
      <c r="V59" s="136"/>
      <c r="X59" s="136"/>
      <c r="Z59" s="123"/>
      <c r="AB59" s="136"/>
      <c r="AD59" s="136"/>
      <c r="AG59" s="123"/>
      <c r="AO59" s="647">
        <v>2213</v>
      </c>
      <c r="AP59" s="648">
        <v>0</v>
      </c>
      <c r="AQ59" s="649">
        <v>0</v>
      </c>
      <c r="AR59" s="650"/>
      <c r="AS59" s="647">
        <v>2211</v>
      </c>
      <c r="AT59" s="648">
        <v>23360</v>
      </c>
      <c r="AU59" s="649">
        <v>2.2131837918394532E-2</v>
      </c>
    </row>
    <row r="60" spans="1:47" s="182" customFormat="1" ht="15.75">
      <c r="A60" s="134"/>
      <c r="B60" s="134"/>
      <c r="C60" s="134"/>
      <c r="D60" s="134"/>
      <c r="E60" s="123"/>
      <c r="F60" s="123"/>
      <c r="H60" s="123"/>
      <c r="P60" s="136"/>
      <c r="R60" s="136"/>
      <c r="T60" s="123"/>
      <c r="V60" s="136"/>
      <c r="X60" s="136"/>
      <c r="Z60" s="123"/>
      <c r="AB60" s="136"/>
      <c r="AD60" s="136"/>
      <c r="AG60" s="123"/>
      <c r="AO60" s="647">
        <v>2214</v>
      </c>
      <c r="AP60" s="648">
        <v>8098</v>
      </c>
      <c r="AQ60" s="649">
        <v>7.9479194372661047E-3</v>
      </c>
      <c r="AR60" s="650"/>
      <c r="AS60" s="647">
        <v>2212</v>
      </c>
      <c r="AT60" s="648">
        <v>5061</v>
      </c>
      <c r="AU60" s="649">
        <v>4.7949157407960073E-3</v>
      </c>
    </row>
    <row r="61" spans="1:47" s="182" customFormat="1" ht="15.75">
      <c r="A61" s="128"/>
      <c r="B61" s="128"/>
      <c r="C61" s="128"/>
      <c r="D61" s="128"/>
      <c r="E61" s="123"/>
      <c r="F61" s="123"/>
      <c r="H61" s="123"/>
      <c r="P61" s="136"/>
      <c r="R61" s="136"/>
      <c r="T61" s="123"/>
      <c r="V61" s="136"/>
      <c r="X61" s="136"/>
      <c r="Z61" s="123"/>
      <c r="AB61" s="136"/>
      <c r="AD61" s="136"/>
      <c r="AG61" s="123"/>
      <c r="AO61" s="647">
        <v>2310</v>
      </c>
      <c r="AP61" s="648">
        <v>11253</v>
      </c>
      <c r="AQ61" s="649">
        <v>1.10444476941906E-2</v>
      </c>
      <c r="AR61" s="650"/>
      <c r="AS61" s="647">
        <v>2213</v>
      </c>
      <c r="AT61" s="648">
        <v>0</v>
      </c>
      <c r="AU61" s="649">
        <v>0</v>
      </c>
    </row>
    <row r="62" spans="1:47" s="182" customFormat="1" ht="15.75">
      <c r="A62" s="129"/>
      <c r="B62" s="129"/>
      <c r="C62" s="127"/>
      <c r="D62" s="129"/>
      <c r="E62" s="123"/>
      <c r="F62" s="123"/>
      <c r="H62" s="123"/>
      <c r="P62" s="136"/>
      <c r="R62" s="136"/>
      <c r="T62" s="123"/>
      <c r="V62" s="136"/>
      <c r="X62" s="136"/>
      <c r="Z62" s="123"/>
      <c r="AB62" s="136"/>
      <c r="AD62" s="136"/>
      <c r="AG62" s="123"/>
      <c r="AO62" s="647">
        <v>2410</v>
      </c>
      <c r="AP62" s="648">
        <v>92305</v>
      </c>
      <c r="AQ62" s="649">
        <v>9.0594307687928838E-2</v>
      </c>
      <c r="AR62" s="650"/>
      <c r="AS62" s="647">
        <v>2214</v>
      </c>
      <c r="AT62" s="648">
        <v>8448</v>
      </c>
      <c r="AU62" s="649">
        <v>8.00384275404953E-3</v>
      </c>
    </row>
    <row r="63" spans="1:47" s="182" customFormat="1" ht="15.75">
      <c r="A63" s="129"/>
      <c r="B63" s="129"/>
      <c r="C63" s="129"/>
      <c r="D63" s="129"/>
      <c r="E63" s="123"/>
      <c r="F63" s="123"/>
      <c r="H63" s="123"/>
      <c r="P63" s="136"/>
      <c r="R63" s="136"/>
      <c r="T63" s="123"/>
      <c r="V63" s="136"/>
      <c r="X63" s="136"/>
      <c r="Z63" s="123"/>
      <c r="AB63" s="136"/>
      <c r="AD63" s="136"/>
      <c r="AG63" s="123"/>
      <c r="AO63" s="647">
        <v>3022</v>
      </c>
      <c r="AP63" s="648">
        <v>4374</v>
      </c>
      <c r="AQ63" s="649">
        <v>4.2929364804398544E-3</v>
      </c>
      <c r="AR63" s="650"/>
      <c r="AS63" s="647">
        <v>2310</v>
      </c>
      <c r="AT63" s="648">
        <v>12082</v>
      </c>
      <c r="AU63" s="649">
        <v>1.1446783635703884E-2</v>
      </c>
    </row>
    <row r="64" spans="1:47" s="182" customFormat="1" ht="15.75">
      <c r="A64" s="129"/>
      <c r="B64" s="160"/>
      <c r="C64" s="129"/>
      <c r="D64" s="129"/>
      <c r="E64" s="123"/>
      <c r="F64" s="123"/>
      <c r="H64" s="123"/>
      <c r="P64" s="136"/>
      <c r="R64" s="136"/>
      <c r="T64" s="123"/>
      <c r="V64" s="136"/>
      <c r="X64" s="136"/>
      <c r="Z64" s="123"/>
      <c r="AB64" s="136"/>
      <c r="AD64" s="136"/>
      <c r="AG64" s="123"/>
      <c r="AO64" s="647">
        <v>3023</v>
      </c>
      <c r="AP64" s="648">
        <v>8369</v>
      </c>
      <c r="AQ64" s="649">
        <v>8.2138969832650077E-3</v>
      </c>
      <c r="AR64" s="650"/>
      <c r="AS64" s="647">
        <v>2410</v>
      </c>
      <c r="AT64" s="648">
        <v>92616</v>
      </c>
      <c r="AU64" s="649">
        <v>8.7746673829196403E-2</v>
      </c>
    </row>
    <row r="65" spans="1:47" s="182" customFormat="1" ht="15.75">
      <c r="A65" s="129"/>
      <c r="B65" s="129"/>
      <c r="C65" s="129"/>
      <c r="D65" s="129"/>
      <c r="E65" s="123"/>
      <c r="F65" s="123"/>
      <c r="H65" s="123"/>
      <c r="P65" s="136"/>
      <c r="R65" s="136"/>
      <c r="T65" s="123"/>
      <c r="V65" s="136"/>
      <c r="X65" s="136"/>
      <c r="Z65" s="123"/>
      <c r="AB65" s="136"/>
      <c r="AD65" s="136"/>
      <c r="AG65" s="123"/>
      <c r="AO65" s="647">
        <v>3024</v>
      </c>
      <c r="AP65" s="648">
        <v>4296</v>
      </c>
      <c r="AQ65" s="649">
        <v>4.2163820576062213E-3</v>
      </c>
      <c r="AR65" s="650"/>
      <c r="AS65" s="647">
        <v>2411</v>
      </c>
      <c r="AT65" s="648">
        <v>0</v>
      </c>
      <c r="AU65" s="649">
        <v>0</v>
      </c>
    </row>
    <row r="66" spans="1:47" s="182" customFormat="1" ht="15.75">
      <c r="A66" s="134"/>
      <c r="B66" s="134"/>
      <c r="C66" s="134"/>
      <c r="D66" s="134"/>
      <c r="E66" s="123"/>
      <c r="F66" s="123"/>
      <c r="H66" s="123"/>
      <c r="P66" s="136"/>
      <c r="R66" s="136"/>
      <c r="T66" s="123"/>
      <c r="V66" s="136"/>
      <c r="X66" s="136"/>
      <c r="Z66" s="123"/>
      <c r="AB66" s="136"/>
      <c r="AD66" s="136"/>
      <c r="AG66" s="123"/>
      <c r="AO66" s="647">
        <v>3025</v>
      </c>
      <c r="AP66" s="648">
        <v>970</v>
      </c>
      <c r="AQ66" s="649">
        <v>9.5202295062337869E-4</v>
      </c>
      <c r="AR66" s="650"/>
      <c r="AS66" s="647">
        <v>2412</v>
      </c>
      <c r="AT66" s="648">
        <v>0</v>
      </c>
      <c r="AU66" s="649">
        <v>0</v>
      </c>
    </row>
    <row r="67" spans="1:47" s="182" customFormat="1" ht="15.75">
      <c r="A67" s="128"/>
      <c r="B67" s="128"/>
      <c r="C67" s="128"/>
      <c r="D67" s="128"/>
      <c r="E67" s="123"/>
      <c r="F67" s="123"/>
      <c r="H67" s="123"/>
      <c r="P67" s="136"/>
      <c r="R67" s="136"/>
      <c r="T67" s="123"/>
      <c r="V67" s="136"/>
      <c r="X67" s="136"/>
      <c r="Z67" s="123"/>
      <c r="AB67" s="136"/>
      <c r="AD67" s="136"/>
      <c r="AG67" s="123"/>
      <c r="AO67" s="647">
        <v>4014</v>
      </c>
      <c r="AP67" s="648">
        <v>5181</v>
      </c>
      <c r="AQ67" s="649">
        <v>5.0849803166801294E-3</v>
      </c>
      <c r="AR67" s="650"/>
      <c r="AS67" s="647">
        <v>2413</v>
      </c>
      <c r="AT67" s="648">
        <v>0</v>
      </c>
      <c r="AU67" s="649">
        <v>0</v>
      </c>
    </row>
    <row r="68" spans="1:47" s="182" customFormat="1" ht="15.75">
      <c r="A68" s="129"/>
      <c r="B68" s="129"/>
      <c r="C68" s="127"/>
      <c r="D68" s="129"/>
      <c r="E68" s="123"/>
      <c r="F68" s="123"/>
      <c r="H68" s="123"/>
      <c r="P68" s="136"/>
      <c r="R68" s="136"/>
      <c r="T68" s="123"/>
      <c r="V68" s="136"/>
      <c r="X68" s="136"/>
      <c r="Z68" s="123"/>
      <c r="AB68" s="136"/>
      <c r="AD68" s="136"/>
      <c r="AG68" s="123"/>
      <c r="AO68" s="647">
        <v>4016</v>
      </c>
      <c r="AP68" s="648">
        <v>38</v>
      </c>
      <c r="AQ68" s="649">
        <v>3.729574445741071E-5</v>
      </c>
      <c r="AR68" s="650"/>
      <c r="AS68" s="647">
        <v>2414</v>
      </c>
      <c r="AT68" s="648">
        <v>0</v>
      </c>
      <c r="AU68" s="649">
        <v>0</v>
      </c>
    </row>
    <row r="69" spans="1:47" s="182" customFormat="1" ht="15.75">
      <c r="A69" s="129"/>
      <c r="B69" s="129"/>
      <c r="C69" s="129"/>
      <c r="D69" s="129"/>
      <c r="E69" s="123"/>
      <c r="F69" s="123"/>
      <c r="H69" s="123"/>
      <c r="P69" s="136"/>
      <c r="R69" s="136"/>
      <c r="T69" s="123"/>
      <c r="V69" s="136"/>
      <c r="X69" s="136"/>
      <c r="Z69" s="123"/>
      <c r="AB69" s="136"/>
      <c r="AD69" s="136"/>
      <c r="AG69" s="123"/>
      <c r="AO69" s="647">
        <v>4018</v>
      </c>
      <c r="AP69" s="648">
        <v>14750</v>
      </c>
      <c r="AQ69" s="649">
        <v>1.447663765123179E-2</v>
      </c>
      <c r="AR69" s="650"/>
      <c r="AS69" s="647">
        <v>2420</v>
      </c>
      <c r="AT69" s="648">
        <v>0</v>
      </c>
      <c r="AU69" s="649">
        <v>0</v>
      </c>
    </row>
    <row r="70" spans="1:47" s="182" customFormat="1" ht="15.75">
      <c r="A70" s="129"/>
      <c r="B70" s="160"/>
      <c r="C70" s="129"/>
      <c r="D70" s="129"/>
      <c r="E70" s="123"/>
      <c r="F70" s="123"/>
      <c r="H70" s="123"/>
      <c r="P70" s="136"/>
      <c r="R70" s="136"/>
      <c r="T70" s="123"/>
      <c r="V70" s="136"/>
      <c r="X70" s="136"/>
      <c r="Z70" s="123"/>
      <c r="AB70" s="136"/>
      <c r="AD70" s="136"/>
      <c r="AG70" s="123"/>
      <c r="AO70" s="647">
        <v>4019</v>
      </c>
      <c r="AP70" s="648">
        <v>70</v>
      </c>
      <c r="AQ70" s="649">
        <v>6.8702687158388154E-5</v>
      </c>
      <c r="AR70" s="650"/>
      <c r="AS70" s="647">
        <v>2430</v>
      </c>
      <c r="AT70" s="648">
        <v>0</v>
      </c>
      <c r="AU70" s="649">
        <v>0</v>
      </c>
    </row>
    <row r="71" spans="1:47" s="182" customFormat="1" ht="15.75">
      <c r="A71" s="123"/>
      <c r="B71" s="123"/>
      <c r="C71" s="123"/>
      <c r="D71" s="123"/>
      <c r="E71" s="123"/>
      <c r="F71" s="123"/>
      <c r="H71" s="123"/>
      <c r="P71" s="136"/>
      <c r="R71" s="136"/>
      <c r="T71" s="123"/>
      <c r="V71" s="136"/>
      <c r="X71" s="136"/>
      <c r="Z71" s="123"/>
      <c r="AB71" s="136"/>
      <c r="AD71" s="136"/>
      <c r="AG71" s="123"/>
      <c r="AO71" s="647">
        <v>4020</v>
      </c>
      <c r="AP71" s="648">
        <v>58787</v>
      </c>
      <c r="AQ71" s="649">
        <v>5.7697498142573779E-2</v>
      </c>
      <c r="AR71" s="650"/>
      <c r="AS71" s="647">
        <v>2431</v>
      </c>
      <c r="AT71" s="648">
        <v>0</v>
      </c>
      <c r="AU71" s="649">
        <v>0</v>
      </c>
    </row>
    <row r="72" spans="1:47" s="182" customFormat="1" ht="15.75">
      <c r="A72" s="123"/>
      <c r="B72" s="123"/>
      <c r="C72" s="123"/>
      <c r="D72" s="123"/>
      <c r="E72" s="123"/>
      <c r="F72" s="123"/>
      <c r="H72" s="123"/>
      <c r="P72" s="136"/>
      <c r="R72" s="136"/>
      <c r="T72" s="123"/>
      <c r="V72" s="136"/>
      <c r="X72" s="136"/>
      <c r="Z72" s="123"/>
      <c r="AB72" s="136"/>
      <c r="AD72" s="136"/>
      <c r="AG72" s="123"/>
      <c r="AO72" s="647">
        <v>4021</v>
      </c>
      <c r="AP72" s="648">
        <v>135</v>
      </c>
      <c r="AQ72" s="649">
        <v>1.3249803951974858E-4</v>
      </c>
      <c r="AR72" s="650"/>
      <c r="AS72" s="647">
        <v>2432</v>
      </c>
      <c r="AT72" s="648">
        <v>0</v>
      </c>
      <c r="AU72" s="649">
        <v>0</v>
      </c>
    </row>
    <row r="73" spans="1:47" s="182" customFormat="1" ht="15.75">
      <c r="A73" s="123"/>
      <c r="B73" s="123"/>
      <c r="C73" s="123"/>
      <c r="D73" s="123"/>
      <c r="E73" s="123"/>
      <c r="F73" s="123"/>
      <c r="H73" s="123"/>
      <c r="P73" s="136"/>
      <c r="R73" s="136"/>
      <c r="T73" s="123"/>
      <c r="V73" s="136"/>
      <c r="X73" s="136"/>
      <c r="Z73" s="123"/>
      <c r="AB73" s="136"/>
      <c r="AD73" s="136"/>
      <c r="AG73" s="123"/>
      <c r="AO73" s="647">
        <v>4030</v>
      </c>
      <c r="AP73" s="648">
        <v>38744</v>
      </c>
      <c r="AQ73" s="649">
        <v>3.8025955875208441E-2</v>
      </c>
      <c r="AR73" s="650"/>
      <c r="AS73" s="647">
        <v>2440</v>
      </c>
      <c r="AT73" s="648">
        <v>0</v>
      </c>
      <c r="AU73" s="649">
        <v>0</v>
      </c>
    </row>
    <row r="74" spans="1:47" s="182" customFormat="1" ht="15.75">
      <c r="A74" s="123"/>
      <c r="B74" s="123"/>
      <c r="C74" s="123"/>
      <c r="D74" s="123"/>
      <c r="E74" s="123"/>
      <c r="F74" s="123"/>
      <c r="H74" s="123"/>
      <c r="P74" s="136"/>
      <c r="R74" s="136"/>
      <c r="T74" s="123"/>
      <c r="V74" s="136"/>
      <c r="X74" s="136"/>
      <c r="Z74" s="123"/>
      <c r="AB74" s="136"/>
      <c r="AD74" s="136"/>
      <c r="AG74" s="123"/>
      <c r="AO74" s="647">
        <v>4031</v>
      </c>
      <c r="AP74" s="648">
        <v>178</v>
      </c>
      <c r="AQ74" s="649">
        <v>1.7470111877418703E-4</v>
      </c>
      <c r="AR74" s="650"/>
      <c r="AS74" s="647">
        <v>2450</v>
      </c>
      <c r="AT74" s="648">
        <v>0</v>
      </c>
      <c r="AU74" s="649">
        <v>0</v>
      </c>
    </row>
    <row r="75" spans="1:47" s="182" customFormat="1" ht="15.75">
      <c r="A75" s="123"/>
      <c r="B75" s="123"/>
      <c r="C75" s="123"/>
      <c r="D75" s="123"/>
      <c r="E75" s="123"/>
      <c r="F75" s="123"/>
      <c r="H75" s="123"/>
      <c r="P75" s="136"/>
      <c r="R75" s="136"/>
      <c r="T75" s="123"/>
      <c r="V75" s="136"/>
      <c r="X75" s="136"/>
      <c r="Z75" s="123"/>
      <c r="AB75" s="136"/>
      <c r="AD75" s="136"/>
      <c r="AG75" s="123"/>
      <c r="AO75" s="647">
        <v>4040</v>
      </c>
      <c r="AP75" s="648">
        <v>278</v>
      </c>
      <c r="AQ75" s="649">
        <v>2.7284781471474152E-4</v>
      </c>
      <c r="AR75" s="650"/>
      <c r="AS75" s="647">
        <v>2451</v>
      </c>
      <c r="AT75" s="648">
        <v>0</v>
      </c>
      <c r="AU75" s="649">
        <v>0</v>
      </c>
    </row>
    <row r="76" spans="1:47" s="182" customFormat="1" ht="15.75">
      <c r="A76" s="123"/>
      <c r="B76" s="123"/>
      <c r="C76" s="123"/>
      <c r="D76" s="123"/>
      <c r="E76" s="123"/>
      <c r="F76" s="123"/>
      <c r="H76" s="123"/>
      <c r="P76" s="136"/>
      <c r="R76" s="136"/>
      <c r="T76" s="123"/>
      <c r="V76" s="136"/>
      <c r="X76" s="136"/>
      <c r="Z76" s="123"/>
      <c r="AB76" s="136"/>
      <c r="AD76" s="136"/>
      <c r="AG76" s="123"/>
      <c r="AO76" s="647">
        <v>4050</v>
      </c>
      <c r="AP76" s="648">
        <v>81</v>
      </c>
      <c r="AQ76" s="649">
        <v>7.9498823711849153E-5</v>
      </c>
      <c r="AR76" s="650"/>
      <c r="AS76" s="647">
        <v>3022</v>
      </c>
      <c r="AT76" s="648">
        <v>4762</v>
      </c>
      <c r="AU76" s="649">
        <v>4.5116357948371049E-3</v>
      </c>
    </row>
    <row r="77" spans="1:47" s="182" customFormat="1" ht="15.75">
      <c r="A77" s="123"/>
      <c r="B77" s="123"/>
      <c r="C77" s="123"/>
      <c r="D77" s="123"/>
      <c r="E77" s="123"/>
      <c r="F77" s="123"/>
      <c r="H77" s="123"/>
      <c r="P77" s="136"/>
      <c r="R77" s="136"/>
      <c r="T77" s="123"/>
      <c r="V77" s="136"/>
      <c r="X77" s="136"/>
      <c r="Z77" s="123"/>
      <c r="AB77" s="136"/>
      <c r="AD77" s="136"/>
      <c r="AG77" s="123"/>
      <c r="AO77" s="647">
        <v>4100</v>
      </c>
      <c r="AP77" s="648">
        <v>188</v>
      </c>
      <c r="AQ77" s="649">
        <v>1.8451578836824246E-4</v>
      </c>
      <c r="AR77" s="650"/>
      <c r="AS77" s="647">
        <v>3023</v>
      </c>
      <c r="AT77" s="648">
        <v>8536</v>
      </c>
      <c r="AU77" s="649">
        <v>8.0872161160708781E-3</v>
      </c>
    </row>
    <row r="78" spans="1:47" s="182" customFormat="1" ht="15.75">
      <c r="A78" s="123"/>
      <c r="B78" s="123"/>
      <c r="C78" s="123"/>
      <c r="D78" s="123"/>
      <c r="E78" s="123"/>
      <c r="F78" s="123"/>
      <c r="H78" s="123"/>
      <c r="P78" s="136"/>
      <c r="R78" s="136"/>
      <c r="T78" s="123"/>
      <c r="V78" s="136"/>
      <c r="X78" s="136"/>
      <c r="Z78" s="123"/>
      <c r="AB78" s="136"/>
      <c r="AD78" s="136"/>
      <c r="AG78" s="123"/>
      <c r="AO78" s="647">
        <v>4105</v>
      </c>
      <c r="AP78" s="648">
        <v>17</v>
      </c>
      <c r="AQ78" s="649">
        <v>1.6684938309894265E-5</v>
      </c>
      <c r="AR78" s="650"/>
      <c r="AS78" s="647">
        <v>3024</v>
      </c>
      <c r="AT78" s="648">
        <v>4397</v>
      </c>
      <c r="AU78" s="649">
        <v>4.1658258273621898E-3</v>
      </c>
    </row>
    <row r="79" spans="1:47" s="182" customFormat="1" ht="15.75">
      <c r="A79" s="123"/>
      <c r="B79" s="123"/>
      <c r="C79" s="123"/>
      <c r="D79" s="123"/>
      <c r="E79" s="123"/>
      <c r="F79" s="123"/>
      <c r="H79" s="123"/>
      <c r="P79" s="136"/>
      <c r="R79" s="136"/>
      <c r="T79" s="123"/>
      <c r="V79" s="136"/>
      <c r="X79" s="136"/>
      <c r="Z79" s="123"/>
      <c r="AB79" s="136"/>
      <c r="AD79" s="136"/>
      <c r="AG79" s="123"/>
      <c r="AO79" s="647">
        <v>4110</v>
      </c>
      <c r="AP79" s="648">
        <v>13734</v>
      </c>
      <c r="AQ79" s="649">
        <v>1.3479467220475756E-2</v>
      </c>
      <c r="AR79" s="650"/>
      <c r="AS79" s="647">
        <v>3025</v>
      </c>
      <c r="AT79" s="648">
        <v>988</v>
      </c>
      <c r="AU79" s="649">
        <v>9.3605547360333036E-4</v>
      </c>
    </row>
    <row r="80" spans="1:47" s="182" customFormat="1" ht="15.75">
      <c r="A80" s="123"/>
      <c r="B80" s="123"/>
      <c r="C80" s="123"/>
      <c r="D80" s="123"/>
      <c r="E80" s="123"/>
      <c r="F80" s="123"/>
      <c r="H80" s="123"/>
      <c r="P80" s="136"/>
      <c r="R80" s="136"/>
      <c r="T80" s="123"/>
      <c r="V80" s="136"/>
      <c r="X80" s="136"/>
      <c r="Z80" s="123"/>
      <c r="AB80" s="136"/>
      <c r="AD80" s="136"/>
      <c r="AG80" s="123"/>
      <c r="AO80" s="647">
        <v>4120</v>
      </c>
      <c r="AP80" s="648">
        <v>27724</v>
      </c>
      <c r="AQ80" s="649">
        <v>2.7210189982559332E-2</v>
      </c>
      <c r="AR80" s="650"/>
      <c r="AS80" s="647">
        <v>4008</v>
      </c>
      <c r="AT80" s="648">
        <v>0</v>
      </c>
      <c r="AU80" s="649">
        <v>0</v>
      </c>
    </row>
    <row r="81" spans="1:47" s="182" customFormat="1" ht="15.75">
      <c r="A81" s="123"/>
      <c r="B81" s="123"/>
      <c r="C81" s="123"/>
      <c r="D81" s="123"/>
      <c r="E81" s="123"/>
      <c r="F81" s="123"/>
      <c r="H81" s="123"/>
      <c r="P81" s="136"/>
      <c r="R81" s="136"/>
      <c r="T81" s="123"/>
      <c r="V81" s="136"/>
      <c r="X81" s="136"/>
      <c r="Z81" s="123"/>
      <c r="AB81" s="136"/>
      <c r="AD81" s="136"/>
      <c r="AG81" s="123"/>
      <c r="AO81" s="647">
        <v>4130</v>
      </c>
      <c r="AP81" s="648">
        <v>11602</v>
      </c>
      <c r="AQ81" s="649">
        <v>1.1386979663023135E-2</v>
      </c>
      <c r="AR81" s="650"/>
      <c r="AS81" s="647">
        <v>4009</v>
      </c>
      <c r="AT81" s="648">
        <v>0</v>
      </c>
      <c r="AU81" s="649">
        <v>0</v>
      </c>
    </row>
    <row r="82" spans="1:47" s="182" customFormat="1" ht="15.75">
      <c r="A82" s="123"/>
      <c r="B82" s="123"/>
      <c r="C82" s="123"/>
      <c r="D82" s="123"/>
      <c r="E82" s="123"/>
      <c r="F82" s="123"/>
      <c r="H82" s="123"/>
      <c r="P82" s="136"/>
      <c r="R82" s="136"/>
      <c r="T82" s="123"/>
      <c r="V82" s="136"/>
      <c r="X82" s="136"/>
      <c r="Z82" s="123"/>
      <c r="AB82" s="136"/>
      <c r="AD82" s="136"/>
      <c r="AG82" s="123"/>
      <c r="AO82" s="647">
        <v>4140</v>
      </c>
      <c r="AP82" s="648">
        <v>5133</v>
      </c>
      <c r="AQ82" s="649">
        <v>5.0378699026286632E-3</v>
      </c>
      <c r="AR82" s="650"/>
      <c r="AS82" s="647">
        <v>4010</v>
      </c>
      <c r="AT82" s="648">
        <v>0</v>
      </c>
      <c r="AU82" s="649">
        <v>0</v>
      </c>
    </row>
    <row r="83" spans="1:47" s="182" customFormat="1" ht="15.75">
      <c r="A83" s="123"/>
      <c r="B83" s="123"/>
      <c r="C83" s="123"/>
      <c r="D83" s="123"/>
      <c r="E83" s="123"/>
      <c r="F83" s="123"/>
      <c r="H83" s="123"/>
      <c r="P83" s="136"/>
      <c r="R83" s="136"/>
      <c r="T83" s="123"/>
      <c r="V83" s="136"/>
      <c r="X83" s="136"/>
      <c r="Z83" s="123"/>
      <c r="AB83" s="136"/>
      <c r="AD83" s="136"/>
      <c r="AG83" s="123"/>
      <c r="AO83" s="647">
        <v>4150</v>
      </c>
      <c r="AP83" s="648">
        <v>90</v>
      </c>
      <c r="AQ83" s="649">
        <v>8.8332026346499059E-5</v>
      </c>
      <c r="AR83" s="650"/>
      <c r="AS83" s="647">
        <v>4012</v>
      </c>
      <c r="AT83" s="648">
        <v>0</v>
      </c>
      <c r="AU83" s="649">
        <v>0</v>
      </c>
    </row>
    <row r="84" spans="1:47" s="182" customFormat="1" ht="15.75">
      <c r="A84" s="123"/>
      <c r="B84" s="123"/>
      <c r="C84" s="123"/>
      <c r="D84" s="123"/>
      <c r="E84" s="123"/>
      <c r="F84" s="123"/>
      <c r="H84" s="123"/>
      <c r="P84" s="136"/>
      <c r="R84" s="136"/>
      <c r="T84" s="123"/>
      <c r="V84" s="136"/>
      <c r="X84" s="136"/>
      <c r="Z84" s="123"/>
      <c r="AB84" s="136"/>
      <c r="AD84" s="136"/>
      <c r="AG84" s="123"/>
      <c r="AO84" s="647">
        <v>5411</v>
      </c>
      <c r="AP84" s="648">
        <v>13748</v>
      </c>
      <c r="AQ84" s="649">
        <v>1.3493207757907433E-2</v>
      </c>
      <c r="AR84" s="650"/>
      <c r="AS84" s="647">
        <v>4013</v>
      </c>
      <c r="AT84" s="648">
        <v>0</v>
      </c>
      <c r="AU84" s="649">
        <v>0</v>
      </c>
    </row>
    <row r="85" spans="1:47" s="182" customFormat="1" ht="15.75">
      <c r="A85" s="123"/>
      <c r="B85" s="123"/>
      <c r="C85" s="123"/>
      <c r="D85" s="123"/>
      <c r="E85" s="123"/>
      <c r="F85" s="123"/>
      <c r="H85" s="123"/>
      <c r="P85" s="136"/>
      <c r="R85" s="136"/>
      <c r="T85" s="123"/>
      <c r="V85" s="136"/>
      <c r="X85" s="136"/>
      <c r="Z85" s="123"/>
      <c r="AB85" s="136"/>
      <c r="AD85" s="136"/>
      <c r="AG85" s="123"/>
      <c r="AO85" s="647">
        <v>5412</v>
      </c>
      <c r="AP85" s="648">
        <v>9302</v>
      </c>
      <c r="AQ85" s="649">
        <v>9.1296056563903803E-3</v>
      </c>
      <c r="AR85" s="650"/>
      <c r="AS85" s="647">
        <v>4014</v>
      </c>
      <c r="AT85" s="648">
        <v>5367</v>
      </c>
      <c r="AU85" s="649">
        <v>5.0848276587338809E-3</v>
      </c>
    </row>
    <row r="86" spans="1:47" s="182" customFormat="1" ht="15.75">
      <c r="A86" s="123"/>
      <c r="B86" s="123"/>
      <c r="C86" s="123"/>
      <c r="D86" s="123"/>
      <c r="E86" s="123"/>
      <c r="F86" s="123"/>
      <c r="H86" s="123"/>
      <c r="P86" s="136"/>
      <c r="R86" s="136"/>
      <c r="T86" s="123"/>
      <c r="V86" s="136"/>
      <c r="X86" s="136"/>
      <c r="Z86" s="123"/>
      <c r="AB86" s="136"/>
      <c r="AD86" s="136"/>
      <c r="AG86" s="123"/>
      <c r="AO86" s="647">
        <v>5414</v>
      </c>
      <c r="AP86" s="648">
        <v>6</v>
      </c>
      <c r="AQ86" s="649">
        <v>5.8888017564332703E-6</v>
      </c>
      <c r="AR86" s="650"/>
      <c r="AS86" s="647">
        <v>4016</v>
      </c>
      <c r="AT86" s="648">
        <v>48</v>
      </c>
      <c r="AU86" s="649">
        <v>4.5476379284372325E-5</v>
      </c>
    </row>
    <row r="87" spans="1:47" s="182" customFormat="1" ht="15.75">
      <c r="A87" s="123"/>
      <c r="B87" s="123"/>
      <c r="C87" s="123"/>
      <c r="D87" s="123"/>
      <c r="E87" s="123"/>
      <c r="F87" s="123"/>
      <c r="H87" s="123"/>
      <c r="P87" s="136"/>
      <c r="R87" s="136"/>
      <c r="T87" s="123"/>
      <c r="V87" s="136"/>
      <c r="X87" s="136"/>
      <c r="Z87" s="123"/>
      <c r="AB87" s="136"/>
      <c r="AD87" s="136"/>
      <c r="AG87" s="123"/>
      <c r="AO87" s="636"/>
      <c r="AP87" s="637"/>
      <c r="AQ87" s="666">
        <v>0.99999999999999989</v>
      </c>
      <c r="AR87" s="667"/>
      <c r="AS87" s="647">
        <v>4018</v>
      </c>
      <c r="AT87" s="648">
        <v>14782</v>
      </c>
      <c r="AU87" s="649">
        <v>1.4004829970449828E-2</v>
      </c>
    </row>
    <row r="88" spans="1:47" s="182" customFormat="1" ht="15.75">
      <c r="A88" s="123"/>
      <c r="B88" s="123"/>
      <c r="C88" s="123"/>
      <c r="D88" s="123"/>
      <c r="E88" s="123"/>
      <c r="F88" s="123"/>
      <c r="H88" s="123"/>
      <c r="P88" s="136"/>
      <c r="R88" s="136"/>
      <c r="T88" s="123"/>
      <c r="V88" s="136"/>
      <c r="X88" s="136"/>
      <c r="Z88" s="123"/>
      <c r="AB88" s="136"/>
      <c r="AD88" s="136"/>
      <c r="AG88" s="123"/>
      <c r="AO88" s="636"/>
      <c r="AP88" s="637">
        <v>1018883</v>
      </c>
      <c r="AQ88" s="637"/>
      <c r="AR88" s="633"/>
      <c r="AS88" s="647">
        <v>4019</v>
      </c>
      <c r="AT88" s="648">
        <v>77</v>
      </c>
      <c r="AU88" s="649">
        <v>7.2951691768680601E-5</v>
      </c>
    </row>
    <row r="89" spans="1:47" s="182" customFormat="1" ht="15.75">
      <c r="A89" s="123"/>
      <c r="B89" s="123"/>
      <c r="C89" s="123"/>
      <c r="D89" s="123"/>
      <c r="E89" s="123"/>
      <c r="F89" s="123"/>
      <c r="H89" s="123"/>
      <c r="P89" s="136"/>
      <c r="R89" s="136"/>
      <c r="T89" s="123"/>
      <c r="V89" s="136"/>
      <c r="X89" s="136"/>
      <c r="Z89" s="123"/>
      <c r="AB89" s="136"/>
      <c r="AD89" s="136"/>
      <c r="AG89" s="123"/>
      <c r="AO89" s="636"/>
      <c r="AP89" s="637"/>
      <c r="AQ89" s="637"/>
      <c r="AR89" s="633"/>
      <c r="AS89" s="647">
        <v>4020</v>
      </c>
      <c r="AT89" s="648">
        <v>59683</v>
      </c>
      <c r="AU89" s="649">
        <v>5.6545140517274863E-2</v>
      </c>
    </row>
    <row r="90" spans="1:47" s="182" customFormat="1" ht="15.75">
      <c r="A90" s="123"/>
      <c r="B90" s="123"/>
      <c r="C90" s="123"/>
      <c r="D90" s="123"/>
      <c r="E90" s="123"/>
      <c r="F90" s="123"/>
      <c r="H90" s="123"/>
      <c r="P90" s="136"/>
      <c r="R90" s="136"/>
      <c r="T90" s="123"/>
      <c r="V90" s="136"/>
      <c r="X90" s="136"/>
      <c r="Z90" s="123"/>
      <c r="AB90" s="136"/>
      <c r="AD90" s="136"/>
      <c r="AG90" s="123"/>
      <c r="AS90" s="647">
        <v>4021</v>
      </c>
      <c r="AT90" s="648">
        <v>163</v>
      </c>
      <c r="AU90" s="649">
        <v>1.5443020465318104E-4</v>
      </c>
    </row>
    <row r="91" spans="1:47" s="182" customFormat="1" ht="15.75">
      <c r="A91" s="123"/>
      <c r="B91" s="123"/>
      <c r="C91" s="123"/>
      <c r="D91" s="123"/>
      <c r="E91" s="123"/>
      <c r="F91" s="123"/>
      <c r="H91" s="123"/>
      <c r="P91" s="136"/>
      <c r="R91" s="136"/>
      <c r="T91" s="123"/>
      <c r="V91" s="136"/>
      <c r="X91" s="136"/>
      <c r="Z91" s="123"/>
      <c r="AB91" s="136"/>
      <c r="AD91" s="136"/>
      <c r="AG91" s="123"/>
      <c r="AS91" s="647">
        <v>4022</v>
      </c>
      <c r="AT91" s="648">
        <v>0</v>
      </c>
      <c r="AU91" s="649">
        <v>0</v>
      </c>
    </row>
    <row r="92" spans="1:47" s="182" customFormat="1" ht="15.75">
      <c r="A92" s="123"/>
      <c r="B92" s="123"/>
      <c r="C92" s="123"/>
      <c r="D92" s="123"/>
      <c r="E92" s="123"/>
      <c r="F92" s="123"/>
      <c r="H92" s="123"/>
      <c r="P92" s="136"/>
      <c r="R92" s="136"/>
      <c r="T92" s="123"/>
      <c r="V92" s="136"/>
      <c r="X92" s="136"/>
      <c r="Z92" s="123"/>
      <c r="AB92" s="136"/>
      <c r="AD92" s="136"/>
      <c r="AG92" s="123"/>
      <c r="AS92" s="647">
        <v>4025</v>
      </c>
      <c r="AT92" s="648">
        <v>0</v>
      </c>
      <c r="AU92" s="649">
        <v>0</v>
      </c>
    </row>
    <row r="93" spans="1:47" s="182" customFormat="1" ht="15.75">
      <c r="A93" s="123"/>
      <c r="B93" s="123"/>
      <c r="C93" s="123"/>
      <c r="D93" s="123"/>
      <c r="E93" s="123"/>
      <c r="F93" s="123"/>
      <c r="H93" s="123"/>
      <c r="P93" s="136"/>
      <c r="R93" s="136"/>
      <c r="T93" s="123"/>
      <c r="V93" s="136"/>
      <c r="X93" s="136"/>
      <c r="Z93" s="123"/>
      <c r="AB93" s="136"/>
      <c r="AD93" s="136"/>
      <c r="AG93" s="123"/>
      <c r="AS93" s="647">
        <v>4030</v>
      </c>
      <c r="AT93" s="648">
        <v>44733</v>
      </c>
      <c r="AU93" s="649">
        <v>4.2381143219329738E-2</v>
      </c>
    </row>
    <row r="94" spans="1:47" s="182" customFormat="1" ht="15.75">
      <c r="A94" s="123"/>
      <c r="B94" s="123"/>
      <c r="C94" s="123"/>
      <c r="D94" s="123"/>
      <c r="E94" s="123"/>
      <c r="F94" s="123"/>
      <c r="H94" s="123"/>
      <c r="P94" s="136"/>
      <c r="R94" s="136"/>
      <c r="T94" s="123"/>
      <c r="V94" s="136"/>
      <c r="X94" s="136"/>
      <c r="Z94" s="123"/>
      <c r="AB94" s="136"/>
      <c r="AD94" s="136"/>
      <c r="AG94" s="123"/>
      <c r="AS94" s="647">
        <v>4031</v>
      </c>
      <c r="AT94" s="648">
        <v>184</v>
      </c>
      <c r="AU94" s="649">
        <v>1.7432612059009391E-4</v>
      </c>
    </row>
    <row r="95" spans="1:47" s="182" customFormat="1" ht="15.75">
      <c r="A95" s="123"/>
      <c r="B95" s="123"/>
      <c r="C95" s="123"/>
      <c r="D95" s="123"/>
      <c r="E95" s="123"/>
      <c r="F95" s="123"/>
      <c r="H95" s="123"/>
      <c r="P95" s="136"/>
      <c r="R95" s="136"/>
      <c r="T95" s="123"/>
      <c r="V95" s="136"/>
      <c r="X95" s="136"/>
      <c r="Z95" s="123"/>
      <c r="AB95" s="136"/>
      <c r="AD95" s="136"/>
      <c r="AG95" s="123"/>
      <c r="AS95" s="647">
        <v>4040</v>
      </c>
      <c r="AT95" s="648">
        <v>310</v>
      </c>
      <c r="AU95" s="649">
        <v>2.937016162115713E-4</v>
      </c>
    </row>
    <row r="96" spans="1:47" s="182" customFormat="1" ht="15.75">
      <c r="A96" s="123"/>
      <c r="B96" s="123"/>
      <c r="C96" s="123"/>
      <c r="D96" s="123"/>
      <c r="E96" s="123"/>
      <c r="F96" s="123"/>
      <c r="H96" s="123"/>
      <c r="P96" s="136"/>
      <c r="R96" s="136"/>
      <c r="T96" s="123"/>
      <c r="V96" s="136"/>
      <c r="X96" s="136"/>
      <c r="Z96" s="123"/>
      <c r="AB96" s="136"/>
      <c r="AD96" s="136"/>
      <c r="AG96" s="123"/>
      <c r="AS96" s="647">
        <v>4050</v>
      </c>
      <c r="AT96" s="648">
        <v>137</v>
      </c>
      <c r="AU96" s="649">
        <v>1.2979716587414601E-4</v>
      </c>
    </row>
    <row r="97" spans="1:47" s="182" customFormat="1" ht="15.75">
      <c r="A97" s="123"/>
      <c r="B97" s="123"/>
      <c r="C97" s="123"/>
      <c r="D97" s="123"/>
      <c r="E97" s="123"/>
      <c r="F97" s="123"/>
      <c r="H97" s="123"/>
      <c r="P97" s="136"/>
      <c r="R97" s="136"/>
      <c r="T97" s="123"/>
      <c r="V97" s="136"/>
      <c r="X97" s="136"/>
      <c r="Z97" s="123"/>
      <c r="AB97" s="136"/>
      <c r="AD97" s="136"/>
      <c r="AG97" s="123"/>
      <c r="AS97" s="647">
        <v>4100</v>
      </c>
      <c r="AT97" s="648">
        <v>207</v>
      </c>
      <c r="AU97" s="649">
        <v>1.9611688566385565E-4</v>
      </c>
    </row>
    <row r="98" spans="1:47" s="182" customFormat="1" ht="15.75">
      <c r="A98" s="123"/>
      <c r="B98" s="123"/>
      <c r="C98" s="123"/>
      <c r="D98" s="123"/>
      <c r="E98" s="123"/>
      <c r="F98" s="123"/>
      <c r="H98" s="123"/>
      <c r="P98" s="136"/>
      <c r="R98" s="136"/>
      <c r="T98" s="123"/>
      <c r="V98" s="136"/>
      <c r="X98" s="136"/>
      <c r="Z98" s="123"/>
      <c r="AB98" s="136"/>
      <c r="AD98" s="136"/>
      <c r="AG98" s="123"/>
      <c r="AS98" s="647">
        <v>4105</v>
      </c>
      <c r="AT98" s="648">
        <v>16</v>
      </c>
      <c r="AU98" s="649">
        <v>1.5158793094790775E-5</v>
      </c>
    </row>
    <row r="99" spans="1:47" s="182" customFormat="1" ht="15.75">
      <c r="A99" s="123"/>
      <c r="B99" s="123"/>
      <c r="C99" s="123"/>
      <c r="D99" s="123"/>
      <c r="E99" s="123"/>
      <c r="F99" s="123"/>
      <c r="H99" s="123"/>
      <c r="P99" s="136"/>
      <c r="R99" s="136"/>
      <c r="T99" s="123"/>
      <c r="V99" s="136"/>
      <c r="X99" s="136"/>
      <c r="Z99" s="123"/>
      <c r="AB99" s="136"/>
      <c r="AD99" s="136"/>
      <c r="AG99" s="123"/>
      <c r="AS99" s="647">
        <v>4110</v>
      </c>
      <c r="AT99" s="648">
        <v>13871</v>
      </c>
      <c r="AU99" s="649">
        <v>1.3141726188615178E-2</v>
      </c>
    </row>
    <row r="100" spans="1:47" s="182" customFormat="1" ht="15.75">
      <c r="A100" s="123"/>
      <c r="B100" s="123"/>
      <c r="C100" s="123"/>
      <c r="D100" s="123"/>
      <c r="E100" s="123"/>
      <c r="F100" s="123"/>
      <c r="H100" s="123"/>
      <c r="P100" s="136"/>
      <c r="R100" s="136"/>
      <c r="T100" s="123"/>
      <c r="V100" s="136"/>
      <c r="X100" s="136"/>
      <c r="Z100" s="123"/>
      <c r="AB100" s="136"/>
      <c r="AD100" s="136"/>
      <c r="AG100" s="123"/>
      <c r="AS100" s="647">
        <v>4120</v>
      </c>
      <c r="AT100" s="648">
        <v>28094</v>
      </c>
      <c r="AU100" s="649">
        <v>2.6616945825315753E-2</v>
      </c>
    </row>
    <row r="101" spans="1:47" s="182" customFormat="1" ht="15.75">
      <c r="A101" s="123"/>
      <c r="B101" s="123"/>
      <c r="C101" s="123"/>
      <c r="D101" s="123"/>
      <c r="E101" s="123"/>
      <c r="F101" s="123"/>
      <c r="H101" s="123"/>
      <c r="P101" s="136"/>
      <c r="R101" s="136"/>
      <c r="T101" s="123"/>
      <c r="V101" s="136"/>
      <c r="X101" s="136"/>
      <c r="Z101" s="123"/>
      <c r="AB101" s="136"/>
      <c r="AD101" s="136"/>
      <c r="AG101" s="123"/>
      <c r="AS101" s="647">
        <v>4130</v>
      </c>
      <c r="AT101" s="648">
        <v>11635</v>
      </c>
      <c r="AU101" s="649">
        <v>1.1023284853618167E-2</v>
      </c>
    </row>
    <row r="102" spans="1:47" s="182" customFormat="1" ht="15.75">
      <c r="A102" s="123"/>
      <c r="B102" s="123"/>
      <c r="C102" s="123"/>
      <c r="D102" s="123"/>
      <c r="E102" s="123"/>
      <c r="F102" s="123"/>
      <c r="H102" s="123"/>
      <c r="P102" s="136"/>
      <c r="R102" s="136"/>
      <c r="T102" s="123"/>
      <c r="V102" s="136"/>
      <c r="X102" s="136"/>
      <c r="Z102" s="123"/>
      <c r="AB102" s="136"/>
      <c r="AD102" s="136"/>
      <c r="AG102" s="123"/>
      <c r="AS102" s="647">
        <v>4140</v>
      </c>
      <c r="AT102" s="648">
        <v>5157</v>
      </c>
      <c r="AU102" s="649">
        <v>4.8858684993647516E-3</v>
      </c>
    </row>
    <row r="103" spans="1:47" s="182" customFormat="1" ht="15.75">
      <c r="A103" s="123"/>
      <c r="B103" s="123"/>
      <c r="C103" s="123"/>
      <c r="D103" s="123"/>
      <c r="E103" s="123"/>
      <c r="F103" s="123"/>
      <c r="H103" s="123"/>
      <c r="P103" s="136"/>
      <c r="R103" s="136"/>
      <c r="T103" s="123"/>
      <c r="V103" s="136"/>
      <c r="X103" s="136"/>
      <c r="Z103" s="123"/>
      <c r="AB103" s="136"/>
      <c r="AD103" s="136"/>
      <c r="AG103" s="123"/>
      <c r="AS103" s="647">
        <v>4150</v>
      </c>
      <c r="AT103" s="648">
        <v>94</v>
      </c>
      <c r="AU103" s="649">
        <v>8.9057909431895809E-5</v>
      </c>
    </row>
    <row r="104" spans="1:47" s="182" customFormat="1" ht="15.75">
      <c r="A104" s="123"/>
      <c r="B104" s="123"/>
      <c r="C104" s="123"/>
      <c r="D104" s="123"/>
      <c r="E104" s="123"/>
      <c r="F104" s="123"/>
      <c r="H104" s="123"/>
      <c r="P104" s="136"/>
      <c r="R104" s="136"/>
      <c r="T104" s="123"/>
      <c r="V104" s="136"/>
      <c r="X104" s="136"/>
      <c r="Z104" s="123"/>
      <c r="AB104" s="136"/>
      <c r="AD104" s="136"/>
      <c r="AG104" s="123"/>
      <c r="AS104" s="647">
        <v>4160</v>
      </c>
      <c r="AT104" s="648">
        <v>0</v>
      </c>
      <c r="AU104" s="649">
        <v>0</v>
      </c>
    </row>
    <row r="105" spans="1:47" s="182" customFormat="1" ht="15.75">
      <c r="A105" s="123"/>
      <c r="B105" s="123"/>
      <c r="C105" s="123"/>
      <c r="D105" s="123"/>
      <c r="E105" s="123"/>
      <c r="F105" s="123"/>
      <c r="H105" s="123"/>
      <c r="P105" s="136"/>
      <c r="R105" s="136"/>
      <c r="T105" s="123"/>
      <c r="V105" s="136"/>
      <c r="X105" s="136"/>
      <c r="Z105" s="123"/>
      <c r="AB105" s="136"/>
      <c r="AD105" s="136"/>
      <c r="AG105" s="123"/>
      <c r="AS105" s="647">
        <v>5411</v>
      </c>
      <c r="AT105" s="648">
        <v>14700</v>
      </c>
      <c r="AU105" s="649">
        <v>1.3927141155839024E-2</v>
      </c>
    </row>
    <row r="106" spans="1:47" s="182" customFormat="1" ht="15.75">
      <c r="A106" s="123"/>
      <c r="B106" s="123"/>
      <c r="C106" s="123"/>
      <c r="D106" s="123"/>
      <c r="E106" s="123"/>
      <c r="F106" s="123"/>
      <c r="H106" s="123"/>
      <c r="P106" s="136"/>
      <c r="R106" s="136"/>
      <c r="T106" s="123"/>
      <c r="V106" s="136"/>
      <c r="X106" s="136"/>
      <c r="Z106" s="123"/>
      <c r="AB106" s="136"/>
      <c r="AD106" s="136"/>
      <c r="AG106" s="123"/>
      <c r="AS106" s="647">
        <v>5412</v>
      </c>
      <c r="AT106" s="648">
        <v>9611</v>
      </c>
      <c r="AU106" s="649">
        <v>9.1056975271271347E-3</v>
      </c>
    </row>
    <row r="107" spans="1:47" s="182" customFormat="1" ht="15.75">
      <c r="A107" s="123"/>
      <c r="B107" s="123"/>
      <c r="C107" s="123"/>
      <c r="D107" s="123"/>
      <c r="E107" s="123"/>
      <c r="F107" s="123"/>
      <c r="H107" s="123"/>
      <c r="P107" s="136"/>
      <c r="R107" s="136"/>
      <c r="T107" s="123"/>
      <c r="V107" s="136"/>
      <c r="X107" s="136"/>
      <c r="Z107" s="123"/>
      <c r="AB107" s="136"/>
      <c r="AD107" s="136"/>
      <c r="AG107" s="123"/>
      <c r="AS107" s="647">
        <v>5414</v>
      </c>
      <c r="AT107" s="648">
        <v>8</v>
      </c>
      <c r="AU107" s="649">
        <v>7.5793965473953874E-6</v>
      </c>
    </row>
    <row r="108" spans="1:47" s="182" customFormat="1" ht="15.75">
      <c r="A108" s="123"/>
      <c r="B108" s="123"/>
      <c r="C108" s="123"/>
      <c r="D108" s="123"/>
      <c r="E108" s="123"/>
      <c r="F108" s="123"/>
      <c r="H108" s="123"/>
      <c r="P108" s="136"/>
      <c r="R108" s="136"/>
      <c r="T108" s="123"/>
      <c r="V108" s="136"/>
      <c r="X108" s="136"/>
      <c r="Z108" s="123"/>
      <c r="AB108" s="136"/>
      <c r="AD108" s="136"/>
      <c r="AG108" s="123"/>
      <c r="AS108" s="647" t="s">
        <v>994</v>
      </c>
      <c r="AT108" s="648">
        <v>1055493</v>
      </c>
      <c r="AU108" s="649">
        <v>1.0000000000000002</v>
      </c>
    </row>
    <row r="109" spans="1:47" s="182" customFormat="1" ht="15.75">
      <c r="A109" s="123"/>
      <c r="B109" s="123"/>
      <c r="C109" s="123"/>
      <c r="D109" s="123"/>
      <c r="E109" s="123"/>
      <c r="F109" s="123"/>
      <c r="H109" s="123"/>
      <c r="P109" s="136"/>
      <c r="R109" s="136"/>
      <c r="T109" s="123"/>
      <c r="V109" s="136"/>
      <c r="X109" s="136"/>
      <c r="Z109" s="123"/>
      <c r="AB109" s="136"/>
      <c r="AD109" s="136"/>
      <c r="AG109" s="123"/>
      <c r="AS109" s="647" t="s">
        <v>1577</v>
      </c>
      <c r="AT109" s="648">
        <v>0</v>
      </c>
      <c r="AU109" s="649"/>
    </row>
    <row r="110" spans="1:47" s="182" customFormat="1" ht="15">
      <c r="A110" s="123"/>
      <c r="B110" s="123"/>
      <c r="C110" s="123"/>
      <c r="D110" s="123"/>
      <c r="E110" s="123"/>
      <c r="F110" s="123"/>
      <c r="H110" s="123"/>
      <c r="P110" s="136"/>
      <c r="R110" s="136"/>
      <c r="T110" s="123"/>
      <c r="V110" s="136"/>
      <c r="X110" s="136"/>
      <c r="Z110" s="123"/>
      <c r="AB110" s="136"/>
      <c r="AD110" s="136"/>
      <c r="AG110" s="123"/>
    </row>
    <row r="111" spans="1:47" s="182" customFormat="1" ht="15">
      <c r="A111" s="123"/>
      <c r="B111" s="123"/>
      <c r="C111" s="123"/>
      <c r="D111" s="123"/>
      <c r="E111" s="123"/>
      <c r="F111" s="123"/>
      <c r="H111" s="123"/>
      <c r="P111" s="136"/>
      <c r="R111" s="136"/>
      <c r="T111" s="123"/>
      <c r="V111" s="136"/>
      <c r="X111" s="136"/>
      <c r="Z111" s="123"/>
      <c r="AB111" s="136"/>
      <c r="AD111" s="136"/>
      <c r="AG111" s="123"/>
    </row>
    <row r="112" spans="1:47" s="182" customFormat="1" ht="15">
      <c r="A112" s="123"/>
      <c r="B112" s="123"/>
      <c r="C112" s="123"/>
      <c r="D112" s="123"/>
      <c r="E112" s="123"/>
      <c r="F112" s="123"/>
      <c r="H112" s="123"/>
      <c r="P112" s="136"/>
      <c r="R112" s="136"/>
      <c r="T112" s="123"/>
      <c r="V112" s="136"/>
      <c r="X112" s="136"/>
      <c r="Z112" s="123"/>
      <c r="AB112" s="136"/>
      <c r="AD112" s="136"/>
      <c r="AG112" s="123"/>
    </row>
    <row r="113" spans="1:33" s="182" customFormat="1" ht="15">
      <c r="A113" s="123"/>
      <c r="B113" s="123"/>
      <c r="C113" s="123"/>
      <c r="D113" s="123"/>
      <c r="E113" s="123"/>
      <c r="F113" s="123"/>
      <c r="H113" s="123"/>
      <c r="P113" s="136"/>
      <c r="R113" s="136"/>
      <c r="T113" s="123"/>
      <c r="V113" s="136"/>
      <c r="X113" s="136"/>
      <c r="Z113" s="123"/>
      <c r="AB113" s="136"/>
      <c r="AD113" s="136"/>
      <c r="AG113" s="123"/>
    </row>
    <row r="114" spans="1:33" s="182" customFormat="1" ht="15">
      <c r="A114" s="123"/>
      <c r="B114" s="123"/>
      <c r="C114" s="123"/>
      <c r="D114" s="123"/>
      <c r="E114" s="123"/>
      <c r="F114" s="123"/>
      <c r="H114" s="123"/>
      <c r="P114" s="136"/>
      <c r="R114" s="136"/>
      <c r="T114" s="123"/>
      <c r="V114" s="136"/>
      <c r="X114" s="136"/>
      <c r="Z114" s="123"/>
      <c r="AB114" s="136"/>
      <c r="AD114" s="136"/>
      <c r="AG114" s="123"/>
    </row>
    <row r="115" spans="1:33" s="182" customFormat="1" ht="15">
      <c r="A115" s="123"/>
      <c r="B115" s="123"/>
      <c r="C115" s="123"/>
      <c r="D115" s="123"/>
      <c r="E115" s="123"/>
      <c r="F115" s="123"/>
      <c r="H115" s="123"/>
      <c r="P115" s="136"/>
      <c r="R115" s="136"/>
      <c r="T115" s="123"/>
      <c r="V115" s="136"/>
      <c r="X115" s="136"/>
      <c r="Z115" s="123"/>
      <c r="AB115" s="136"/>
      <c r="AD115" s="136"/>
      <c r="AG115" s="123"/>
    </row>
    <row r="116" spans="1:33" s="182" customFormat="1" ht="15">
      <c r="A116" s="123"/>
      <c r="B116" s="123"/>
      <c r="C116" s="123"/>
      <c r="D116" s="123"/>
      <c r="E116" s="123"/>
      <c r="F116" s="123"/>
      <c r="H116" s="123"/>
      <c r="P116" s="136"/>
      <c r="R116" s="136"/>
      <c r="T116" s="123"/>
      <c r="V116" s="136"/>
      <c r="X116" s="136"/>
      <c r="Z116" s="123"/>
      <c r="AB116" s="136"/>
      <c r="AD116" s="136"/>
      <c r="AG116" s="123"/>
    </row>
    <row r="117" spans="1:33" s="182" customFormat="1" ht="15">
      <c r="A117" s="123"/>
      <c r="B117" s="123"/>
      <c r="C117" s="123"/>
      <c r="D117" s="123"/>
      <c r="E117" s="123"/>
      <c r="F117" s="123"/>
      <c r="H117" s="123"/>
      <c r="P117" s="136"/>
      <c r="R117" s="136"/>
      <c r="T117" s="123"/>
      <c r="V117" s="136"/>
      <c r="X117" s="136"/>
      <c r="Z117" s="123"/>
      <c r="AB117" s="136"/>
      <c r="AD117" s="136"/>
      <c r="AG117" s="123"/>
    </row>
    <row r="118" spans="1:33" s="182" customFormat="1" ht="15">
      <c r="A118" s="123"/>
      <c r="B118" s="123"/>
      <c r="C118" s="123"/>
      <c r="D118" s="123"/>
      <c r="E118" s="123"/>
      <c r="F118" s="123"/>
      <c r="H118" s="123"/>
      <c r="P118" s="136"/>
      <c r="R118" s="136"/>
      <c r="T118" s="123"/>
      <c r="V118" s="136"/>
      <c r="X118" s="136"/>
      <c r="Z118" s="123"/>
      <c r="AB118" s="136"/>
      <c r="AD118" s="136"/>
      <c r="AG118" s="123"/>
    </row>
    <row r="119" spans="1:33" s="182" customFormat="1" ht="15">
      <c r="A119" s="123"/>
      <c r="B119" s="123"/>
      <c r="C119" s="123"/>
      <c r="D119" s="123"/>
      <c r="E119" s="123"/>
      <c r="F119" s="123"/>
      <c r="H119" s="123"/>
      <c r="P119" s="136"/>
      <c r="R119" s="136"/>
      <c r="T119" s="123"/>
      <c r="V119" s="136"/>
      <c r="X119" s="136"/>
      <c r="Z119" s="123"/>
      <c r="AB119" s="136"/>
      <c r="AD119" s="136"/>
      <c r="AG119" s="123"/>
    </row>
    <row r="120" spans="1:33" s="182" customFormat="1" ht="15">
      <c r="A120" s="123"/>
      <c r="B120" s="123"/>
      <c r="C120" s="123"/>
      <c r="D120" s="123"/>
      <c r="E120" s="123"/>
      <c r="F120" s="123"/>
      <c r="H120" s="123"/>
      <c r="P120" s="136"/>
      <c r="R120" s="136"/>
      <c r="T120" s="123"/>
      <c r="V120" s="136"/>
      <c r="X120" s="136"/>
      <c r="Z120" s="123"/>
      <c r="AB120" s="136"/>
      <c r="AD120" s="136"/>
      <c r="AG120" s="123"/>
    </row>
    <row r="121" spans="1:33" s="182" customFormat="1" ht="15">
      <c r="A121" s="123"/>
      <c r="B121" s="123"/>
      <c r="C121" s="123"/>
      <c r="D121" s="123"/>
      <c r="E121" s="123"/>
      <c r="F121" s="123"/>
      <c r="H121" s="123"/>
      <c r="P121" s="136"/>
      <c r="R121" s="136"/>
      <c r="T121" s="123"/>
      <c r="V121" s="136"/>
      <c r="X121" s="136"/>
      <c r="Z121" s="123"/>
      <c r="AB121" s="136"/>
      <c r="AD121" s="136"/>
      <c r="AG121" s="123"/>
    </row>
    <row r="122" spans="1:33" s="182" customFormat="1" ht="15">
      <c r="A122" s="123"/>
      <c r="B122" s="123"/>
      <c r="C122" s="123"/>
      <c r="D122" s="123"/>
      <c r="E122" s="123"/>
      <c r="F122" s="123"/>
      <c r="H122" s="123"/>
      <c r="P122" s="136"/>
      <c r="R122" s="136"/>
      <c r="T122" s="123"/>
      <c r="V122" s="136"/>
      <c r="X122" s="136"/>
      <c r="Z122" s="123"/>
      <c r="AB122" s="136"/>
      <c r="AD122" s="136"/>
      <c r="AG122" s="123"/>
    </row>
    <row r="123" spans="1:33" s="182" customFormat="1" ht="15">
      <c r="A123" s="123"/>
      <c r="B123" s="123"/>
      <c r="C123" s="123"/>
      <c r="D123" s="123"/>
      <c r="E123" s="123"/>
      <c r="F123" s="123"/>
      <c r="H123" s="123"/>
      <c r="P123" s="136"/>
      <c r="R123" s="136"/>
      <c r="T123" s="123"/>
      <c r="V123" s="136"/>
      <c r="X123" s="136"/>
      <c r="Z123" s="123"/>
      <c r="AB123" s="136"/>
      <c r="AD123" s="136"/>
      <c r="AG123" s="123"/>
    </row>
    <row r="124" spans="1:33" s="182" customFormat="1" ht="15">
      <c r="A124" s="123"/>
      <c r="B124" s="123"/>
      <c r="C124" s="123"/>
      <c r="D124" s="123"/>
      <c r="E124" s="123"/>
      <c r="F124" s="123"/>
      <c r="H124" s="123"/>
      <c r="P124" s="136"/>
      <c r="R124" s="136"/>
      <c r="T124" s="123"/>
      <c r="V124" s="136"/>
      <c r="X124" s="136"/>
      <c r="Z124" s="123"/>
      <c r="AB124" s="136"/>
      <c r="AD124" s="136"/>
      <c r="AG124" s="123"/>
    </row>
    <row r="125" spans="1:33" s="182" customFormat="1" ht="15">
      <c r="A125" s="123"/>
      <c r="B125" s="123"/>
      <c r="C125" s="123"/>
      <c r="D125" s="123"/>
      <c r="E125" s="123"/>
      <c r="F125" s="123"/>
      <c r="H125" s="123"/>
      <c r="P125" s="136"/>
      <c r="R125" s="136"/>
      <c r="T125" s="123"/>
      <c r="V125" s="136"/>
      <c r="X125" s="136"/>
      <c r="Z125" s="123"/>
      <c r="AB125" s="136"/>
      <c r="AD125" s="136"/>
      <c r="AG125" s="123"/>
    </row>
    <row r="126" spans="1:33" s="182" customFormat="1" ht="15">
      <c r="A126" s="123"/>
      <c r="B126" s="123"/>
      <c r="C126" s="123"/>
      <c r="D126" s="123"/>
      <c r="E126" s="123"/>
      <c r="F126" s="123"/>
      <c r="H126" s="123"/>
      <c r="P126" s="136"/>
      <c r="R126" s="136"/>
      <c r="T126" s="123"/>
      <c r="V126" s="136"/>
      <c r="X126" s="136"/>
      <c r="Z126" s="123"/>
      <c r="AB126" s="136"/>
      <c r="AD126" s="136"/>
      <c r="AG126" s="123"/>
    </row>
    <row r="127" spans="1:33" s="182" customFormat="1" ht="15">
      <c r="A127" s="123"/>
      <c r="B127" s="123"/>
      <c r="C127" s="123"/>
      <c r="D127" s="123"/>
      <c r="E127" s="123"/>
      <c r="F127" s="123"/>
      <c r="H127" s="123"/>
      <c r="P127" s="136"/>
      <c r="R127" s="136"/>
      <c r="T127" s="123"/>
      <c r="V127" s="136"/>
      <c r="X127" s="136"/>
      <c r="Z127" s="123"/>
      <c r="AB127" s="136"/>
      <c r="AD127" s="136"/>
      <c r="AG127" s="123"/>
    </row>
    <row r="128" spans="1:33" s="182" customFormat="1" ht="15">
      <c r="A128" s="123"/>
      <c r="B128" s="123"/>
      <c r="C128" s="123"/>
      <c r="D128" s="123"/>
      <c r="E128" s="123"/>
      <c r="F128" s="123"/>
      <c r="H128" s="123"/>
      <c r="P128" s="136"/>
      <c r="R128" s="136"/>
      <c r="T128" s="123"/>
      <c r="V128" s="136"/>
      <c r="X128" s="136"/>
      <c r="Z128" s="123"/>
      <c r="AB128" s="136"/>
      <c r="AD128" s="136"/>
      <c r="AG128" s="123"/>
    </row>
    <row r="129" spans="1:33" s="182" customFormat="1" ht="15">
      <c r="A129" s="123"/>
      <c r="B129" s="123"/>
      <c r="C129" s="123"/>
      <c r="D129" s="123"/>
      <c r="E129" s="123"/>
      <c r="F129" s="123"/>
      <c r="H129" s="123"/>
      <c r="P129" s="136"/>
      <c r="R129" s="136"/>
      <c r="T129" s="123"/>
      <c r="V129" s="136"/>
      <c r="X129" s="136"/>
      <c r="Z129" s="123"/>
      <c r="AB129" s="136"/>
      <c r="AD129" s="136"/>
      <c r="AG129" s="123"/>
    </row>
    <row r="130" spans="1:33" s="182" customFormat="1" ht="15">
      <c r="A130" s="123"/>
      <c r="B130" s="123"/>
      <c r="C130" s="123"/>
      <c r="D130" s="123"/>
      <c r="E130" s="123"/>
      <c r="F130" s="123"/>
      <c r="H130" s="123"/>
      <c r="P130" s="136"/>
      <c r="R130" s="136"/>
      <c r="T130" s="123"/>
      <c r="V130" s="136"/>
      <c r="X130" s="136"/>
      <c r="Z130" s="123"/>
      <c r="AB130" s="136"/>
      <c r="AD130" s="136"/>
      <c r="AG130" s="123"/>
    </row>
    <row r="131" spans="1:33" s="182" customFormat="1" ht="15">
      <c r="A131" s="123"/>
      <c r="B131" s="123"/>
      <c r="C131" s="123"/>
      <c r="D131" s="123"/>
      <c r="E131" s="123"/>
      <c r="F131" s="123"/>
      <c r="H131" s="123"/>
      <c r="P131" s="136"/>
      <c r="R131" s="136"/>
      <c r="T131" s="123"/>
      <c r="V131" s="136"/>
      <c r="X131" s="136"/>
      <c r="Z131" s="123"/>
      <c r="AB131" s="136"/>
      <c r="AD131" s="136"/>
      <c r="AG131" s="123"/>
    </row>
    <row r="132" spans="1:33" s="182" customFormat="1" ht="15">
      <c r="A132" s="123"/>
      <c r="B132" s="123"/>
      <c r="C132" s="123"/>
      <c r="D132" s="123"/>
      <c r="E132" s="123"/>
      <c r="F132" s="123"/>
      <c r="H132" s="123"/>
      <c r="P132" s="136"/>
      <c r="R132" s="136"/>
      <c r="T132" s="123"/>
      <c r="V132" s="136"/>
      <c r="X132" s="136"/>
      <c r="Z132" s="123"/>
      <c r="AB132" s="136"/>
      <c r="AD132" s="136"/>
      <c r="AG132" s="123"/>
    </row>
    <row r="133" spans="1:33" s="182" customFormat="1" ht="15">
      <c r="A133" s="123"/>
      <c r="B133" s="123"/>
      <c r="C133" s="123"/>
      <c r="D133" s="123"/>
      <c r="E133" s="123"/>
      <c r="F133" s="123"/>
      <c r="H133" s="123"/>
      <c r="P133" s="136"/>
      <c r="R133" s="136"/>
      <c r="T133" s="123"/>
      <c r="V133" s="136"/>
      <c r="X133" s="136"/>
      <c r="Z133" s="123"/>
      <c r="AB133" s="136"/>
      <c r="AD133" s="136"/>
      <c r="AG133" s="123"/>
    </row>
    <row r="134" spans="1:33" s="182" customFormat="1" ht="15">
      <c r="A134" s="123"/>
      <c r="B134" s="123"/>
      <c r="C134" s="123"/>
      <c r="D134" s="123"/>
      <c r="E134" s="123"/>
      <c r="F134" s="123"/>
      <c r="H134" s="123"/>
      <c r="P134" s="136"/>
      <c r="R134" s="136"/>
      <c r="T134" s="123"/>
      <c r="V134" s="136"/>
      <c r="X134" s="136"/>
      <c r="Z134" s="123"/>
      <c r="AB134" s="136"/>
      <c r="AD134" s="136"/>
      <c r="AG134" s="123"/>
    </row>
    <row r="135" spans="1:33" s="182" customFormat="1" ht="15">
      <c r="A135" s="123"/>
      <c r="B135" s="123"/>
      <c r="C135" s="123"/>
      <c r="D135" s="123"/>
      <c r="E135" s="123"/>
      <c r="F135" s="123"/>
      <c r="H135" s="123"/>
      <c r="P135" s="136"/>
      <c r="R135" s="136"/>
      <c r="T135" s="123"/>
      <c r="V135" s="136"/>
      <c r="X135" s="136"/>
      <c r="Z135" s="123"/>
      <c r="AB135" s="136"/>
      <c r="AD135" s="136"/>
      <c r="AG135" s="123"/>
    </row>
    <row r="136" spans="1:33" s="182" customFormat="1" ht="15">
      <c r="A136" s="123"/>
      <c r="B136" s="123"/>
      <c r="C136" s="123"/>
      <c r="D136" s="123"/>
      <c r="E136" s="123"/>
      <c r="F136" s="123"/>
      <c r="H136" s="123"/>
      <c r="P136" s="136"/>
      <c r="R136" s="136"/>
      <c r="T136" s="123"/>
      <c r="V136" s="136"/>
      <c r="X136" s="136"/>
      <c r="Z136" s="123"/>
      <c r="AB136" s="136"/>
      <c r="AD136" s="136"/>
      <c r="AG136" s="123"/>
    </row>
    <row r="137" spans="1:33" s="182" customFormat="1" ht="15">
      <c r="A137" s="123"/>
      <c r="B137" s="123"/>
      <c r="C137" s="123"/>
      <c r="D137" s="123"/>
      <c r="E137" s="123"/>
      <c r="F137" s="123"/>
      <c r="H137" s="123"/>
      <c r="P137" s="136"/>
      <c r="R137" s="136"/>
      <c r="T137" s="123"/>
      <c r="V137" s="136"/>
      <c r="X137" s="136"/>
      <c r="Z137" s="123"/>
      <c r="AB137" s="136"/>
      <c r="AD137" s="136"/>
      <c r="AG137" s="123"/>
    </row>
    <row r="138" spans="1:33" s="182" customFormat="1" ht="15">
      <c r="A138" s="123"/>
      <c r="B138" s="123"/>
      <c r="C138" s="123"/>
      <c r="D138" s="123"/>
      <c r="E138" s="123"/>
      <c r="F138" s="123"/>
      <c r="H138" s="123"/>
      <c r="P138" s="136"/>
      <c r="R138" s="136"/>
      <c r="T138" s="123"/>
      <c r="V138" s="136"/>
      <c r="X138" s="136"/>
      <c r="Z138" s="123"/>
      <c r="AB138" s="136"/>
      <c r="AD138" s="136"/>
      <c r="AG138" s="123"/>
    </row>
    <row r="139" spans="1:33" s="182" customFormat="1" ht="15">
      <c r="A139" s="123"/>
      <c r="B139" s="123"/>
      <c r="C139" s="123"/>
      <c r="D139" s="123"/>
      <c r="E139" s="123"/>
      <c r="F139" s="123"/>
      <c r="H139" s="123"/>
      <c r="P139" s="136"/>
      <c r="R139" s="136"/>
      <c r="T139" s="123"/>
      <c r="V139" s="136"/>
      <c r="X139" s="136"/>
      <c r="Z139" s="123"/>
      <c r="AB139" s="136"/>
      <c r="AD139" s="136"/>
      <c r="AG139" s="123"/>
    </row>
    <row r="140" spans="1:33" s="182" customFormat="1" ht="15">
      <c r="A140" s="123"/>
      <c r="B140" s="123"/>
      <c r="C140" s="123"/>
      <c r="D140" s="123"/>
      <c r="E140" s="123"/>
      <c r="F140" s="123"/>
      <c r="H140" s="123"/>
      <c r="P140" s="136"/>
      <c r="R140" s="136"/>
      <c r="T140" s="123"/>
      <c r="V140" s="136"/>
      <c r="X140" s="136"/>
      <c r="Z140" s="123"/>
      <c r="AB140" s="136"/>
      <c r="AD140" s="136"/>
      <c r="AG140" s="123"/>
    </row>
    <row r="141" spans="1:33" s="182" customFormat="1" ht="15">
      <c r="A141" s="123"/>
      <c r="B141" s="123"/>
      <c r="C141" s="123"/>
      <c r="D141" s="123"/>
      <c r="E141" s="123"/>
      <c r="F141" s="123"/>
      <c r="H141" s="123"/>
      <c r="P141" s="136"/>
      <c r="R141" s="136"/>
      <c r="T141" s="123"/>
      <c r="V141" s="136"/>
      <c r="X141" s="136"/>
      <c r="Z141" s="123"/>
      <c r="AB141" s="136"/>
      <c r="AD141" s="136"/>
      <c r="AG141" s="123"/>
    </row>
    <row r="142" spans="1:33" s="182" customFormat="1" ht="15">
      <c r="A142" s="123"/>
      <c r="B142" s="123"/>
      <c r="C142" s="123"/>
      <c r="D142" s="123"/>
      <c r="E142" s="123"/>
      <c r="F142" s="123"/>
      <c r="H142" s="123"/>
      <c r="P142" s="136"/>
      <c r="R142" s="136"/>
      <c r="T142" s="123"/>
      <c r="V142" s="136"/>
      <c r="X142" s="136"/>
      <c r="Z142" s="123"/>
      <c r="AB142" s="136"/>
      <c r="AD142" s="136"/>
      <c r="AG142" s="123"/>
    </row>
    <row r="143" spans="1:33" s="182" customFormat="1" ht="15">
      <c r="A143" s="123"/>
      <c r="B143" s="123"/>
      <c r="C143" s="123"/>
      <c r="D143" s="123"/>
      <c r="E143" s="123"/>
      <c r="F143" s="123"/>
      <c r="H143" s="123"/>
      <c r="P143" s="136"/>
      <c r="R143" s="136"/>
      <c r="T143" s="123"/>
      <c r="V143" s="136"/>
      <c r="X143" s="136"/>
      <c r="Z143" s="123"/>
      <c r="AB143" s="136"/>
      <c r="AD143" s="136"/>
      <c r="AG143" s="123"/>
    </row>
    <row r="144" spans="1:33" s="182" customFormat="1" ht="15">
      <c r="A144" s="123"/>
      <c r="B144" s="123"/>
      <c r="C144" s="123"/>
      <c r="D144" s="123"/>
      <c r="E144" s="123"/>
      <c r="F144" s="123"/>
      <c r="H144" s="123"/>
      <c r="P144" s="136"/>
      <c r="R144" s="136"/>
      <c r="T144" s="123"/>
      <c r="V144" s="136"/>
      <c r="X144" s="136"/>
      <c r="Z144" s="123"/>
      <c r="AB144" s="136"/>
      <c r="AD144" s="136"/>
      <c r="AG144" s="123"/>
    </row>
    <row r="145" spans="1:33" s="182" customFormat="1" ht="15">
      <c r="A145" s="123"/>
      <c r="B145" s="123"/>
      <c r="C145" s="123"/>
      <c r="D145" s="123"/>
      <c r="E145" s="123"/>
      <c r="F145" s="123"/>
      <c r="H145" s="123"/>
      <c r="P145" s="136"/>
      <c r="R145" s="136"/>
      <c r="T145" s="123"/>
      <c r="V145" s="136"/>
      <c r="X145" s="136"/>
      <c r="Z145" s="123"/>
      <c r="AB145" s="136"/>
      <c r="AD145" s="136"/>
      <c r="AG145" s="123"/>
    </row>
    <row r="146" spans="1:33" s="182" customFormat="1" ht="15">
      <c r="A146" s="123"/>
      <c r="B146" s="123"/>
      <c r="C146" s="123"/>
      <c r="D146" s="123"/>
      <c r="E146" s="123"/>
      <c r="F146" s="123"/>
      <c r="H146" s="123"/>
      <c r="P146" s="136"/>
      <c r="R146" s="136"/>
      <c r="T146" s="123"/>
      <c r="V146" s="136"/>
      <c r="X146" s="136"/>
      <c r="Z146" s="123"/>
      <c r="AB146" s="136"/>
      <c r="AD146" s="136"/>
      <c r="AG146" s="123"/>
    </row>
    <row r="147" spans="1:33" s="182" customFormat="1" ht="15">
      <c r="A147" s="123"/>
      <c r="B147" s="123"/>
      <c r="C147" s="123"/>
      <c r="D147" s="123"/>
      <c r="E147" s="123"/>
      <c r="F147" s="123"/>
      <c r="H147" s="123"/>
      <c r="P147" s="136"/>
      <c r="R147" s="136"/>
      <c r="T147" s="123"/>
      <c r="V147" s="136"/>
      <c r="X147" s="136"/>
      <c r="Z147" s="123"/>
      <c r="AB147" s="136"/>
      <c r="AD147" s="136"/>
      <c r="AG147" s="123"/>
    </row>
    <row r="148" spans="1:33" s="182" customFormat="1" ht="15">
      <c r="A148" s="123"/>
      <c r="B148" s="123"/>
      <c r="C148" s="123"/>
      <c r="D148" s="123"/>
      <c r="E148" s="123"/>
      <c r="F148" s="123"/>
      <c r="H148" s="123"/>
      <c r="P148" s="136"/>
      <c r="R148" s="136"/>
      <c r="T148" s="123"/>
      <c r="V148" s="136"/>
      <c r="X148" s="136"/>
      <c r="Z148" s="123"/>
      <c r="AB148" s="136"/>
      <c r="AD148" s="136"/>
      <c r="AG148" s="123"/>
    </row>
    <row r="149" spans="1:33" s="182" customFormat="1" ht="15">
      <c r="A149" s="123"/>
      <c r="B149" s="123"/>
      <c r="C149" s="123"/>
      <c r="D149" s="123"/>
      <c r="E149" s="123"/>
      <c r="F149" s="123"/>
      <c r="H149" s="123"/>
      <c r="P149" s="136"/>
      <c r="R149" s="136"/>
      <c r="T149" s="123"/>
      <c r="V149" s="136"/>
      <c r="X149" s="136"/>
      <c r="Z149" s="123"/>
      <c r="AB149" s="136"/>
      <c r="AD149" s="136"/>
      <c r="AG149" s="123"/>
    </row>
    <row r="150" spans="1:33" s="182" customFormat="1" ht="15">
      <c r="A150" s="123"/>
      <c r="B150" s="123"/>
      <c r="C150" s="123"/>
      <c r="D150" s="123"/>
      <c r="E150" s="123"/>
      <c r="F150" s="123"/>
      <c r="H150" s="123"/>
      <c r="P150" s="136"/>
      <c r="R150" s="136"/>
      <c r="T150" s="123"/>
      <c r="V150" s="136"/>
      <c r="X150" s="136"/>
      <c r="Z150" s="123"/>
      <c r="AB150" s="136"/>
      <c r="AD150" s="136"/>
      <c r="AG150" s="123"/>
    </row>
    <row r="151" spans="1:33" s="182" customFormat="1" ht="15">
      <c r="A151" s="123"/>
      <c r="B151" s="123"/>
      <c r="C151" s="123"/>
      <c r="D151" s="123"/>
      <c r="E151" s="123"/>
      <c r="F151" s="123"/>
      <c r="H151" s="123"/>
      <c r="P151" s="136"/>
      <c r="R151" s="136"/>
      <c r="T151" s="123"/>
      <c r="V151" s="136"/>
      <c r="X151" s="136"/>
      <c r="Z151" s="123"/>
      <c r="AB151" s="136"/>
      <c r="AD151" s="136"/>
      <c r="AG151" s="123"/>
    </row>
    <row r="152" spans="1:33" s="182" customFormat="1" ht="15">
      <c r="A152" s="123"/>
      <c r="B152" s="123"/>
      <c r="C152" s="123"/>
      <c r="D152" s="123"/>
      <c r="E152" s="123"/>
      <c r="F152" s="123"/>
      <c r="H152" s="123"/>
      <c r="P152" s="136"/>
      <c r="R152" s="136"/>
      <c r="T152" s="123"/>
      <c r="V152" s="136"/>
      <c r="X152" s="136"/>
      <c r="Z152" s="123"/>
      <c r="AB152" s="136"/>
      <c r="AD152" s="136"/>
      <c r="AG152" s="123"/>
    </row>
    <row r="153" spans="1:33" s="182" customFormat="1" ht="15">
      <c r="A153" s="123"/>
      <c r="B153" s="123"/>
      <c r="C153" s="123"/>
      <c r="D153" s="123"/>
      <c r="E153" s="123"/>
      <c r="F153" s="123"/>
      <c r="H153" s="123"/>
      <c r="P153" s="136"/>
      <c r="R153" s="136"/>
      <c r="T153" s="123"/>
      <c r="V153" s="136"/>
      <c r="X153" s="136"/>
      <c r="Z153" s="123"/>
      <c r="AB153" s="136"/>
      <c r="AD153" s="136"/>
      <c r="AG153" s="123"/>
    </row>
    <row r="154" spans="1:33" s="182" customFormat="1" ht="15">
      <c r="A154" s="123"/>
      <c r="B154" s="123"/>
      <c r="C154" s="123"/>
      <c r="D154" s="123"/>
      <c r="E154" s="123"/>
      <c r="F154" s="123"/>
      <c r="H154" s="123"/>
      <c r="P154" s="136"/>
      <c r="R154" s="136"/>
      <c r="T154" s="123"/>
      <c r="V154" s="136"/>
      <c r="X154" s="136"/>
      <c r="Z154" s="123"/>
      <c r="AB154" s="136"/>
      <c r="AD154" s="136"/>
      <c r="AG154" s="123"/>
    </row>
    <row r="155" spans="1:33" s="182" customFormat="1" ht="15">
      <c r="A155" s="123"/>
      <c r="B155" s="123"/>
      <c r="C155" s="123"/>
      <c r="D155" s="123"/>
      <c r="E155" s="123"/>
      <c r="F155" s="123"/>
      <c r="H155" s="123"/>
      <c r="P155" s="136"/>
      <c r="R155" s="136"/>
      <c r="T155" s="123"/>
      <c r="V155" s="136"/>
      <c r="X155" s="136"/>
      <c r="Z155" s="123"/>
      <c r="AB155" s="136"/>
      <c r="AD155" s="136"/>
      <c r="AG155" s="123"/>
    </row>
    <row r="156" spans="1:33" s="182" customFormat="1" ht="15">
      <c r="A156" s="123"/>
      <c r="B156" s="123"/>
      <c r="C156" s="123"/>
      <c r="D156" s="123"/>
      <c r="E156" s="123"/>
      <c r="F156" s="123"/>
      <c r="H156" s="123"/>
      <c r="P156" s="136"/>
      <c r="R156" s="136"/>
      <c r="T156" s="123"/>
      <c r="V156" s="136"/>
      <c r="X156" s="136"/>
      <c r="Z156" s="123"/>
      <c r="AB156" s="136"/>
      <c r="AD156" s="136"/>
      <c r="AG156" s="123"/>
    </row>
    <row r="157" spans="1:33" s="182" customFormat="1" ht="15">
      <c r="A157" s="123"/>
      <c r="B157" s="123"/>
      <c r="C157" s="123"/>
      <c r="D157" s="123"/>
      <c r="E157" s="123"/>
      <c r="F157" s="123"/>
      <c r="H157" s="123"/>
      <c r="P157" s="136"/>
      <c r="R157" s="136"/>
      <c r="T157" s="123"/>
      <c r="V157" s="136"/>
      <c r="X157" s="136"/>
      <c r="Z157" s="123"/>
      <c r="AB157" s="136"/>
      <c r="AD157" s="136"/>
      <c r="AG157" s="123"/>
    </row>
    <row r="158" spans="1:33" s="182" customFormat="1" ht="15">
      <c r="A158" s="123"/>
      <c r="B158" s="123"/>
      <c r="C158" s="123"/>
      <c r="D158" s="123"/>
      <c r="E158" s="123"/>
      <c r="F158" s="123"/>
      <c r="H158" s="123"/>
      <c r="P158" s="136"/>
      <c r="R158" s="136"/>
      <c r="T158" s="123"/>
      <c r="V158" s="136"/>
      <c r="X158" s="136"/>
      <c r="Z158" s="123"/>
      <c r="AB158" s="136"/>
      <c r="AD158" s="136"/>
      <c r="AG158" s="123"/>
    </row>
    <row r="159" spans="1:33" s="182" customFormat="1" ht="15">
      <c r="A159" s="123"/>
      <c r="B159" s="123"/>
      <c r="C159" s="123"/>
      <c r="D159" s="123"/>
      <c r="E159" s="123"/>
      <c r="F159" s="123"/>
      <c r="H159" s="123"/>
      <c r="P159" s="136"/>
      <c r="R159" s="136"/>
      <c r="T159" s="123"/>
      <c r="V159" s="136"/>
      <c r="X159" s="136"/>
      <c r="Z159" s="123"/>
      <c r="AB159" s="136"/>
      <c r="AD159" s="136"/>
      <c r="AG159" s="123"/>
    </row>
    <row r="160" spans="1:33" s="182" customFormat="1" ht="15">
      <c r="A160" s="123"/>
      <c r="B160" s="123"/>
      <c r="C160" s="123"/>
      <c r="D160" s="123"/>
      <c r="E160" s="123"/>
      <c r="F160" s="123"/>
      <c r="H160" s="123"/>
      <c r="P160" s="136"/>
      <c r="R160" s="136"/>
      <c r="T160" s="123"/>
      <c r="V160" s="136"/>
      <c r="X160" s="136"/>
      <c r="Z160" s="123"/>
      <c r="AB160" s="136"/>
      <c r="AD160" s="136"/>
      <c r="AG160" s="123"/>
    </row>
    <row r="161" spans="1:33" s="182" customFormat="1" ht="15">
      <c r="A161" s="123"/>
      <c r="B161" s="123"/>
      <c r="C161" s="123"/>
      <c r="D161" s="123"/>
      <c r="E161" s="123"/>
      <c r="F161" s="123"/>
      <c r="H161" s="123"/>
      <c r="P161" s="136"/>
      <c r="R161" s="136"/>
      <c r="T161" s="123"/>
      <c r="V161" s="136"/>
      <c r="X161" s="136"/>
      <c r="Z161" s="123"/>
      <c r="AB161" s="136"/>
      <c r="AD161" s="136"/>
      <c r="AG161" s="123"/>
    </row>
    <row r="162" spans="1:33" s="182" customFormat="1" ht="15">
      <c r="A162" s="123"/>
      <c r="B162" s="123"/>
      <c r="C162" s="123"/>
      <c r="D162" s="123"/>
      <c r="E162" s="123"/>
      <c r="F162" s="123"/>
      <c r="H162" s="123"/>
      <c r="P162" s="136"/>
      <c r="R162" s="136"/>
      <c r="T162" s="123"/>
      <c r="V162" s="136"/>
      <c r="X162" s="136"/>
      <c r="Z162" s="123"/>
      <c r="AB162" s="136"/>
      <c r="AD162" s="136"/>
      <c r="AG162" s="123"/>
    </row>
    <row r="163" spans="1:33" s="182" customFormat="1" ht="15">
      <c r="A163" s="123"/>
      <c r="B163" s="123"/>
      <c r="C163" s="123"/>
      <c r="D163" s="123"/>
      <c r="E163" s="123"/>
      <c r="F163" s="123"/>
      <c r="H163" s="123"/>
      <c r="P163" s="136"/>
      <c r="R163" s="136"/>
      <c r="T163" s="123"/>
      <c r="V163" s="136"/>
      <c r="X163" s="136"/>
      <c r="Z163" s="123"/>
      <c r="AB163" s="136"/>
      <c r="AD163" s="136"/>
      <c r="AG163" s="123"/>
    </row>
    <row r="164" spans="1:33" s="182" customFormat="1" ht="15">
      <c r="A164" s="123"/>
      <c r="B164" s="123"/>
      <c r="C164" s="123"/>
      <c r="D164" s="123"/>
      <c r="E164" s="123"/>
      <c r="F164" s="123"/>
      <c r="H164" s="123"/>
      <c r="P164" s="136"/>
      <c r="R164" s="136"/>
      <c r="T164" s="123"/>
      <c r="V164" s="136"/>
      <c r="X164" s="136"/>
      <c r="Z164" s="123"/>
      <c r="AB164" s="136"/>
      <c r="AD164" s="136"/>
      <c r="AG164" s="123"/>
    </row>
    <row r="165" spans="1:33" s="182" customFormat="1" ht="15">
      <c r="A165" s="123"/>
      <c r="B165" s="123"/>
      <c r="C165" s="123"/>
      <c r="D165" s="123"/>
      <c r="E165" s="123"/>
      <c r="F165" s="123"/>
      <c r="H165" s="123"/>
      <c r="P165" s="136"/>
      <c r="R165" s="136"/>
      <c r="T165" s="123"/>
      <c r="V165" s="136"/>
      <c r="X165" s="136"/>
      <c r="Z165" s="123"/>
      <c r="AB165" s="136"/>
      <c r="AD165" s="136"/>
      <c r="AG165" s="123"/>
    </row>
    <row r="166" spans="1:33" s="182" customFormat="1" ht="15">
      <c r="A166" s="123"/>
      <c r="B166" s="123"/>
      <c r="C166" s="123"/>
      <c r="D166" s="123"/>
      <c r="E166" s="123"/>
      <c r="F166" s="123"/>
      <c r="H166" s="123"/>
      <c r="P166" s="136"/>
      <c r="R166" s="136"/>
      <c r="T166" s="123"/>
      <c r="V166" s="136"/>
      <c r="X166" s="136"/>
      <c r="Z166" s="123"/>
      <c r="AB166" s="136"/>
      <c r="AD166" s="136"/>
      <c r="AG166" s="123"/>
    </row>
    <row r="167" spans="1:33" s="182" customFormat="1" ht="15">
      <c r="A167" s="123"/>
      <c r="B167" s="123"/>
      <c r="C167" s="123"/>
      <c r="D167" s="123"/>
      <c r="E167" s="123"/>
      <c r="F167" s="123"/>
      <c r="H167" s="123"/>
      <c r="P167" s="136"/>
      <c r="R167" s="136"/>
      <c r="T167" s="123"/>
      <c r="V167" s="136"/>
      <c r="X167" s="136"/>
      <c r="Z167" s="123"/>
      <c r="AB167" s="136"/>
      <c r="AD167" s="136"/>
      <c r="AG167" s="123"/>
    </row>
    <row r="168" spans="1:33" s="182" customFormat="1" ht="15">
      <c r="A168" s="123"/>
      <c r="B168" s="123"/>
      <c r="C168" s="123"/>
      <c r="D168" s="123"/>
      <c r="E168" s="123"/>
      <c r="F168" s="123"/>
      <c r="H168" s="123"/>
      <c r="P168" s="136"/>
      <c r="R168" s="136"/>
      <c r="T168" s="123"/>
      <c r="V168" s="136"/>
      <c r="X168" s="136"/>
      <c r="Z168" s="123"/>
      <c r="AB168" s="136"/>
      <c r="AD168" s="136"/>
      <c r="AG168" s="123"/>
    </row>
    <row r="169" spans="1:33" s="182" customFormat="1" ht="15">
      <c r="A169" s="123"/>
      <c r="B169" s="123"/>
      <c r="C169" s="123"/>
      <c r="D169" s="123"/>
      <c r="E169" s="123"/>
      <c r="F169" s="123"/>
      <c r="H169" s="123"/>
      <c r="P169" s="136"/>
      <c r="R169" s="136"/>
      <c r="T169" s="123"/>
      <c r="V169" s="136"/>
      <c r="X169" s="136"/>
      <c r="Z169" s="123"/>
      <c r="AB169" s="136"/>
      <c r="AD169" s="136"/>
      <c r="AG169" s="123"/>
    </row>
    <row r="170" spans="1:33" s="182" customFormat="1" ht="15">
      <c r="A170" s="123"/>
      <c r="B170" s="123"/>
      <c r="C170" s="123"/>
      <c r="D170" s="123"/>
      <c r="E170" s="123"/>
      <c r="F170" s="123"/>
      <c r="H170" s="123"/>
      <c r="P170" s="136"/>
      <c r="R170" s="136"/>
      <c r="T170" s="123"/>
      <c r="V170" s="136"/>
      <c r="X170" s="136"/>
      <c r="Z170" s="123"/>
      <c r="AB170" s="136"/>
      <c r="AD170" s="136"/>
      <c r="AG170" s="123"/>
    </row>
    <row r="171" spans="1:33" s="182" customFormat="1" ht="15">
      <c r="A171" s="123"/>
      <c r="B171" s="123"/>
      <c r="C171" s="123"/>
      <c r="D171" s="123"/>
      <c r="E171" s="123"/>
      <c r="F171" s="123"/>
      <c r="H171" s="123"/>
      <c r="P171" s="136"/>
      <c r="R171" s="136"/>
      <c r="T171" s="123"/>
      <c r="V171" s="136"/>
      <c r="X171" s="136"/>
      <c r="Z171" s="123"/>
      <c r="AB171" s="136"/>
      <c r="AD171" s="136"/>
      <c r="AG171" s="123"/>
    </row>
    <row r="172" spans="1:33" s="182" customFormat="1" ht="15">
      <c r="A172" s="123"/>
      <c r="B172" s="123"/>
      <c r="C172" s="123"/>
      <c r="D172" s="123"/>
      <c r="E172" s="123"/>
      <c r="F172" s="123"/>
      <c r="H172" s="123"/>
      <c r="P172" s="136"/>
      <c r="R172" s="136"/>
      <c r="T172" s="123"/>
      <c r="V172" s="136"/>
      <c r="X172" s="136"/>
      <c r="Z172" s="123"/>
      <c r="AB172" s="136"/>
      <c r="AD172" s="136"/>
      <c r="AG172" s="123"/>
    </row>
    <row r="173" spans="1:33" s="182" customFormat="1" ht="15">
      <c r="A173" s="123"/>
      <c r="B173" s="123"/>
      <c r="C173" s="123"/>
      <c r="D173" s="123"/>
      <c r="E173" s="123"/>
      <c r="F173" s="123"/>
      <c r="H173" s="123"/>
      <c r="P173" s="136"/>
      <c r="R173" s="136"/>
      <c r="T173" s="123"/>
      <c r="V173" s="136"/>
      <c r="X173" s="136"/>
      <c r="Z173" s="123"/>
      <c r="AB173" s="136"/>
      <c r="AD173" s="136"/>
      <c r="AG173" s="123"/>
    </row>
    <row r="174" spans="1:33" s="182" customFormat="1" ht="15">
      <c r="A174" s="123"/>
      <c r="B174" s="123"/>
      <c r="C174" s="123"/>
      <c r="D174" s="123"/>
      <c r="E174" s="123"/>
      <c r="F174" s="123"/>
      <c r="H174" s="123"/>
      <c r="P174" s="136"/>
      <c r="R174" s="136"/>
      <c r="T174" s="123"/>
      <c r="V174" s="136"/>
      <c r="X174" s="136"/>
      <c r="Z174" s="123"/>
      <c r="AB174" s="136"/>
      <c r="AD174" s="136"/>
      <c r="AG174" s="123"/>
    </row>
    <row r="175" spans="1:33" s="182" customFormat="1" ht="15">
      <c r="A175" s="123"/>
      <c r="B175" s="123"/>
      <c r="C175" s="123"/>
      <c r="D175" s="123"/>
      <c r="E175" s="123"/>
      <c r="F175" s="123"/>
      <c r="H175" s="123"/>
      <c r="P175" s="136"/>
      <c r="R175" s="136"/>
      <c r="T175" s="123"/>
      <c r="V175" s="136"/>
      <c r="X175" s="136"/>
      <c r="Z175" s="123"/>
      <c r="AB175" s="136"/>
      <c r="AD175" s="136"/>
      <c r="AG175" s="123"/>
    </row>
    <row r="176" spans="1:33" s="182" customFormat="1" ht="15">
      <c r="A176" s="123"/>
      <c r="B176" s="123"/>
      <c r="C176" s="123"/>
      <c r="D176" s="123"/>
      <c r="E176" s="123"/>
      <c r="F176" s="123"/>
      <c r="H176" s="123"/>
      <c r="P176" s="136"/>
      <c r="R176" s="136"/>
      <c r="T176" s="123"/>
      <c r="V176" s="136"/>
      <c r="X176" s="136"/>
      <c r="Z176" s="123"/>
      <c r="AB176" s="136"/>
      <c r="AD176" s="136"/>
      <c r="AG176" s="123"/>
    </row>
    <row r="177" spans="1:33" s="182" customFormat="1" ht="15">
      <c r="A177" s="123"/>
      <c r="B177" s="123"/>
      <c r="C177" s="123"/>
      <c r="D177" s="123"/>
      <c r="E177" s="123"/>
      <c r="F177" s="123"/>
      <c r="H177" s="123"/>
      <c r="P177" s="136"/>
      <c r="R177" s="136"/>
      <c r="T177" s="123"/>
      <c r="V177" s="136"/>
      <c r="X177" s="136"/>
      <c r="Z177" s="123"/>
      <c r="AB177" s="136"/>
      <c r="AD177" s="136"/>
      <c r="AG177" s="123"/>
    </row>
    <row r="178" spans="1:33" s="182" customFormat="1" ht="15">
      <c r="A178" s="123"/>
      <c r="B178" s="123"/>
      <c r="C178" s="123"/>
      <c r="D178" s="123"/>
      <c r="E178" s="123"/>
      <c r="F178" s="123"/>
      <c r="H178" s="123"/>
      <c r="P178" s="136"/>
      <c r="R178" s="136"/>
      <c r="T178" s="123"/>
      <c r="V178" s="136"/>
      <c r="X178" s="136"/>
      <c r="Z178" s="123"/>
      <c r="AB178" s="136"/>
      <c r="AD178" s="136"/>
      <c r="AG178" s="123"/>
    </row>
    <row r="179" spans="1:33" s="182" customFormat="1" ht="15">
      <c r="A179" s="123"/>
      <c r="B179" s="123"/>
      <c r="C179" s="123"/>
      <c r="D179" s="123"/>
      <c r="E179" s="123"/>
      <c r="F179" s="123"/>
      <c r="H179" s="123"/>
      <c r="P179" s="136"/>
      <c r="R179" s="136"/>
      <c r="T179" s="123"/>
      <c r="V179" s="136"/>
      <c r="X179" s="136"/>
      <c r="Z179" s="123"/>
      <c r="AB179" s="136"/>
      <c r="AD179" s="136"/>
      <c r="AG179" s="123"/>
    </row>
    <row r="180" spans="1:33" s="182" customFormat="1" ht="15">
      <c r="A180" s="123"/>
      <c r="B180" s="123"/>
      <c r="C180" s="123"/>
      <c r="D180" s="123"/>
      <c r="E180" s="123"/>
      <c r="F180" s="123"/>
      <c r="H180" s="123"/>
      <c r="P180" s="136"/>
      <c r="R180" s="136"/>
      <c r="T180" s="123"/>
      <c r="V180" s="136"/>
      <c r="X180" s="136"/>
      <c r="Z180" s="123"/>
      <c r="AB180" s="136"/>
      <c r="AD180" s="136"/>
      <c r="AG180" s="123"/>
    </row>
    <row r="181" spans="1:33" s="182" customFormat="1" ht="15">
      <c r="A181" s="123"/>
      <c r="B181" s="123"/>
      <c r="C181" s="123"/>
      <c r="D181" s="123"/>
      <c r="E181" s="123"/>
      <c r="F181" s="123"/>
      <c r="H181" s="123"/>
      <c r="P181" s="136"/>
      <c r="R181" s="136"/>
      <c r="T181" s="123"/>
      <c r="V181" s="136"/>
      <c r="X181" s="136"/>
      <c r="Z181" s="123"/>
      <c r="AB181" s="136"/>
      <c r="AD181" s="136"/>
      <c r="AG181" s="123"/>
    </row>
    <row r="182" spans="1:33" s="182" customFormat="1" ht="15">
      <c r="A182" s="123"/>
      <c r="B182" s="123"/>
      <c r="C182" s="123"/>
      <c r="D182" s="123"/>
      <c r="E182" s="123"/>
      <c r="F182" s="123"/>
      <c r="H182" s="123"/>
      <c r="P182" s="136"/>
      <c r="R182" s="136"/>
      <c r="T182" s="123"/>
      <c r="V182" s="136"/>
      <c r="X182" s="136"/>
      <c r="Z182" s="123"/>
      <c r="AB182" s="136"/>
      <c r="AD182" s="136"/>
      <c r="AG182" s="123"/>
    </row>
    <row r="183" spans="1:33" s="182" customFormat="1" ht="15">
      <c r="A183" s="123"/>
      <c r="B183" s="123"/>
      <c r="C183" s="123"/>
      <c r="D183" s="123"/>
      <c r="E183" s="123"/>
      <c r="F183" s="123"/>
      <c r="H183" s="123"/>
      <c r="P183" s="136"/>
      <c r="R183" s="136"/>
      <c r="T183" s="123"/>
      <c r="V183" s="136"/>
      <c r="X183" s="136"/>
      <c r="Z183" s="123"/>
      <c r="AB183" s="136"/>
      <c r="AD183" s="136"/>
      <c r="AG183" s="123"/>
    </row>
    <row r="184" spans="1:33" s="182" customFormat="1" ht="15">
      <c r="A184" s="123"/>
      <c r="B184" s="123"/>
      <c r="C184" s="123"/>
      <c r="D184" s="123"/>
      <c r="E184" s="123"/>
      <c r="F184" s="123"/>
      <c r="H184" s="123"/>
      <c r="P184" s="136"/>
      <c r="R184" s="136"/>
      <c r="T184" s="123"/>
      <c r="V184" s="136"/>
      <c r="X184" s="136"/>
      <c r="Z184" s="123"/>
      <c r="AB184" s="136"/>
      <c r="AD184" s="136"/>
      <c r="AG184" s="123"/>
    </row>
    <row r="185" spans="1:33" s="182" customFormat="1" ht="15">
      <c r="A185" s="123"/>
      <c r="B185" s="123"/>
      <c r="C185" s="123"/>
      <c r="D185" s="123"/>
      <c r="E185" s="123"/>
      <c r="F185" s="123"/>
      <c r="H185" s="123"/>
      <c r="P185" s="136"/>
      <c r="R185" s="136"/>
      <c r="T185" s="123"/>
      <c r="V185" s="136"/>
      <c r="X185" s="136"/>
      <c r="Z185" s="123"/>
      <c r="AB185" s="136"/>
      <c r="AD185" s="136"/>
      <c r="AG185" s="123"/>
    </row>
    <row r="186" spans="1:33" s="182" customFormat="1" ht="15">
      <c r="A186" s="123"/>
      <c r="B186" s="123"/>
      <c r="C186" s="123"/>
      <c r="D186" s="123"/>
      <c r="E186" s="123"/>
      <c r="F186" s="123"/>
      <c r="H186" s="123"/>
      <c r="P186" s="136"/>
      <c r="R186" s="136"/>
      <c r="T186" s="123"/>
      <c r="V186" s="136"/>
      <c r="X186" s="136"/>
      <c r="Z186" s="123"/>
      <c r="AB186" s="136"/>
      <c r="AD186" s="136"/>
      <c r="AG186" s="123"/>
    </row>
    <row r="187" spans="1:33" s="182" customFormat="1" ht="15">
      <c r="A187" s="123"/>
      <c r="B187" s="123"/>
      <c r="C187" s="123"/>
      <c r="D187" s="123"/>
      <c r="E187" s="123"/>
      <c r="F187" s="123"/>
      <c r="H187" s="123"/>
      <c r="P187" s="136"/>
      <c r="R187" s="136"/>
      <c r="T187" s="123"/>
      <c r="V187" s="136"/>
      <c r="X187" s="136"/>
      <c r="Z187" s="123"/>
      <c r="AB187" s="136"/>
      <c r="AD187" s="136"/>
      <c r="AG187" s="123"/>
    </row>
    <row r="188" spans="1:33" s="182" customFormat="1" ht="15">
      <c r="A188" s="123"/>
      <c r="B188" s="123"/>
      <c r="C188" s="123"/>
      <c r="D188" s="123"/>
      <c r="E188" s="123"/>
      <c r="F188" s="123"/>
      <c r="H188" s="123"/>
      <c r="P188" s="136"/>
      <c r="R188" s="136"/>
      <c r="T188" s="123"/>
      <c r="V188" s="136"/>
      <c r="X188" s="136"/>
      <c r="Z188" s="123"/>
      <c r="AB188" s="136"/>
      <c r="AD188" s="136"/>
      <c r="AG188" s="123"/>
    </row>
    <row r="189" spans="1:33" s="182" customFormat="1" ht="15">
      <c r="A189" s="123"/>
      <c r="B189" s="123"/>
      <c r="C189" s="123"/>
      <c r="D189" s="123"/>
      <c r="E189" s="123"/>
      <c r="F189" s="123"/>
      <c r="H189" s="123"/>
      <c r="P189" s="136"/>
      <c r="R189" s="136"/>
      <c r="T189" s="123"/>
      <c r="V189" s="136"/>
      <c r="X189" s="136"/>
      <c r="Z189" s="123"/>
      <c r="AB189" s="136"/>
      <c r="AD189" s="136"/>
      <c r="AG189" s="123"/>
    </row>
    <row r="190" spans="1:33" s="182" customFormat="1" ht="15">
      <c r="A190" s="123"/>
      <c r="B190" s="123"/>
      <c r="C190" s="123"/>
      <c r="D190" s="123"/>
      <c r="E190" s="123"/>
      <c r="F190" s="123"/>
      <c r="H190" s="123"/>
      <c r="P190" s="136"/>
      <c r="R190" s="136"/>
      <c r="T190" s="123"/>
      <c r="V190" s="136"/>
      <c r="X190" s="136"/>
      <c r="Z190" s="123"/>
      <c r="AB190" s="136"/>
      <c r="AD190" s="136"/>
      <c r="AG190" s="123"/>
    </row>
    <row r="191" spans="1:33" s="182" customFormat="1" ht="15">
      <c r="A191" s="123"/>
      <c r="B191" s="123"/>
      <c r="C191" s="123"/>
      <c r="D191" s="123"/>
      <c r="E191" s="123"/>
      <c r="F191" s="123"/>
      <c r="H191" s="123"/>
      <c r="P191" s="136"/>
      <c r="R191" s="136"/>
      <c r="T191" s="123"/>
      <c r="V191" s="136"/>
      <c r="X191" s="136"/>
      <c r="Z191" s="123"/>
      <c r="AB191" s="136"/>
      <c r="AD191" s="136"/>
      <c r="AG191" s="123"/>
    </row>
    <row r="192" spans="1:33" s="182" customFormat="1" ht="15">
      <c r="A192" s="123"/>
      <c r="B192" s="123"/>
      <c r="C192" s="123"/>
      <c r="D192" s="123"/>
      <c r="E192" s="123"/>
      <c r="F192" s="123"/>
      <c r="H192" s="123"/>
      <c r="P192" s="136"/>
      <c r="R192" s="136"/>
      <c r="T192" s="123"/>
      <c r="V192" s="136"/>
      <c r="X192" s="136"/>
      <c r="Z192" s="123"/>
      <c r="AB192" s="136"/>
      <c r="AD192" s="136"/>
      <c r="AG192" s="123"/>
    </row>
    <row r="193" spans="1:33" s="182" customFormat="1" ht="15">
      <c r="A193" s="123"/>
      <c r="B193" s="123"/>
      <c r="C193" s="123"/>
      <c r="D193" s="123"/>
      <c r="E193" s="123"/>
      <c r="F193" s="123"/>
      <c r="H193" s="123"/>
      <c r="P193" s="136"/>
      <c r="R193" s="136"/>
      <c r="T193" s="123"/>
      <c r="V193" s="136"/>
      <c r="X193" s="136"/>
      <c r="Z193" s="123"/>
      <c r="AB193" s="136"/>
      <c r="AD193" s="136"/>
      <c r="AG193" s="123"/>
    </row>
    <row r="194" spans="1:33" s="182" customFormat="1" ht="15">
      <c r="A194" s="123"/>
      <c r="B194" s="123"/>
      <c r="C194" s="123"/>
      <c r="D194" s="123"/>
      <c r="E194" s="123"/>
      <c r="F194" s="123"/>
      <c r="H194" s="123"/>
      <c r="P194" s="136"/>
      <c r="R194" s="136"/>
      <c r="T194" s="123"/>
      <c r="V194" s="136"/>
      <c r="X194" s="136"/>
      <c r="Z194" s="123"/>
      <c r="AB194" s="136"/>
      <c r="AD194" s="136"/>
      <c r="AG194" s="123"/>
    </row>
    <row r="195" spans="1:33" s="182" customFormat="1" ht="15">
      <c r="A195" s="123"/>
      <c r="B195" s="123"/>
      <c r="C195" s="123"/>
      <c r="D195" s="123"/>
      <c r="E195" s="123"/>
      <c r="F195" s="123"/>
      <c r="H195" s="123"/>
      <c r="P195" s="136"/>
      <c r="R195" s="136"/>
      <c r="T195" s="123"/>
      <c r="V195" s="136"/>
      <c r="X195" s="136"/>
      <c r="Z195" s="123"/>
      <c r="AB195" s="136"/>
      <c r="AD195" s="136"/>
      <c r="AG195" s="123"/>
    </row>
    <row r="196" spans="1:33" s="182" customFormat="1" ht="15">
      <c r="A196" s="123"/>
      <c r="B196" s="123"/>
      <c r="C196" s="123"/>
      <c r="D196" s="123"/>
      <c r="E196" s="123"/>
      <c r="F196" s="123"/>
      <c r="H196" s="123"/>
      <c r="P196" s="136"/>
      <c r="R196" s="136"/>
      <c r="T196" s="123"/>
      <c r="V196" s="136"/>
      <c r="X196" s="136"/>
      <c r="Z196" s="123"/>
      <c r="AB196" s="136"/>
      <c r="AD196" s="136"/>
      <c r="AG196" s="123"/>
    </row>
    <row r="197" spans="1:33" s="182" customFormat="1" ht="15">
      <c r="A197" s="123"/>
      <c r="B197" s="123"/>
      <c r="C197" s="123"/>
      <c r="D197" s="123"/>
      <c r="E197" s="123"/>
      <c r="F197" s="123"/>
      <c r="H197" s="123"/>
      <c r="P197" s="136"/>
      <c r="R197" s="136"/>
      <c r="T197" s="123"/>
      <c r="V197" s="136"/>
      <c r="X197" s="136"/>
      <c r="Z197" s="123"/>
      <c r="AB197" s="136"/>
      <c r="AD197" s="136"/>
      <c r="AG197" s="123"/>
    </row>
    <row r="198" spans="1:33" s="182" customFormat="1" ht="15">
      <c r="A198" s="123"/>
      <c r="B198" s="123"/>
      <c r="C198" s="123"/>
      <c r="D198" s="123"/>
      <c r="E198" s="123"/>
      <c r="F198" s="123"/>
      <c r="H198" s="123"/>
      <c r="P198" s="136"/>
      <c r="R198" s="136"/>
      <c r="T198" s="123"/>
      <c r="V198" s="136"/>
      <c r="X198" s="136"/>
      <c r="Z198" s="123"/>
      <c r="AB198" s="136"/>
      <c r="AD198" s="136"/>
      <c r="AG198" s="123"/>
    </row>
    <row r="199" spans="1:33" s="182" customFormat="1" ht="15">
      <c r="A199" s="123"/>
      <c r="B199" s="123"/>
      <c r="C199" s="123"/>
      <c r="D199" s="123"/>
      <c r="E199" s="123"/>
      <c r="F199" s="123"/>
      <c r="H199" s="123"/>
      <c r="P199" s="136"/>
      <c r="R199" s="136"/>
      <c r="T199" s="123"/>
      <c r="V199" s="136"/>
      <c r="X199" s="136"/>
      <c r="Z199" s="123"/>
      <c r="AB199" s="136"/>
      <c r="AD199" s="136"/>
      <c r="AG199" s="123"/>
    </row>
    <row r="200" spans="1:33" s="182" customFormat="1" ht="15">
      <c r="A200" s="123"/>
      <c r="B200" s="123"/>
      <c r="C200" s="123"/>
      <c r="D200" s="123"/>
      <c r="E200" s="123"/>
      <c r="F200" s="123"/>
      <c r="H200" s="123"/>
      <c r="P200" s="136"/>
      <c r="R200" s="136"/>
      <c r="T200" s="123"/>
      <c r="V200" s="136"/>
      <c r="X200" s="136"/>
      <c r="Z200" s="123"/>
      <c r="AB200" s="136"/>
      <c r="AD200" s="136"/>
      <c r="AG200" s="123"/>
    </row>
    <row r="201" spans="1:33" s="182" customFormat="1" ht="15">
      <c r="A201" s="123"/>
      <c r="B201" s="123"/>
      <c r="C201" s="123"/>
      <c r="D201" s="123"/>
      <c r="E201" s="123"/>
      <c r="F201" s="123"/>
      <c r="H201" s="123"/>
      <c r="P201" s="136"/>
      <c r="R201" s="136"/>
      <c r="T201" s="123"/>
      <c r="V201" s="136"/>
      <c r="X201" s="136"/>
      <c r="Z201" s="123"/>
      <c r="AB201" s="136"/>
      <c r="AD201" s="136"/>
      <c r="AG201" s="123"/>
    </row>
    <row r="202" spans="1:33" s="182" customFormat="1" ht="15">
      <c r="A202" s="123"/>
      <c r="B202" s="123"/>
      <c r="C202" s="123"/>
      <c r="D202" s="123"/>
      <c r="E202" s="123"/>
      <c r="F202" s="123"/>
      <c r="H202" s="123"/>
      <c r="P202" s="136"/>
      <c r="R202" s="136"/>
      <c r="T202" s="123"/>
      <c r="V202" s="136"/>
      <c r="X202" s="136"/>
      <c r="Z202" s="123"/>
      <c r="AB202" s="136"/>
      <c r="AD202" s="136"/>
      <c r="AG202" s="123"/>
    </row>
    <row r="203" spans="1:33" s="182" customFormat="1" ht="15">
      <c r="A203" s="123"/>
      <c r="B203" s="123"/>
      <c r="C203" s="123"/>
      <c r="D203" s="123"/>
      <c r="E203" s="123"/>
      <c r="F203" s="123"/>
      <c r="H203" s="123"/>
      <c r="P203" s="136"/>
      <c r="R203" s="136"/>
      <c r="T203" s="123"/>
      <c r="V203" s="136"/>
      <c r="X203" s="136"/>
      <c r="Z203" s="123"/>
      <c r="AB203" s="136"/>
      <c r="AD203" s="136"/>
      <c r="AG203" s="123"/>
    </row>
    <row r="204" spans="1:33" s="182" customFormat="1" ht="15">
      <c r="A204" s="123"/>
      <c r="B204" s="123"/>
      <c r="C204" s="123"/>
      <c r="D204" s="123"/>
      <c r="E204" s="123"/>
      <c r="F204" s="123"/>
      <c r="H204" s="123"/>
      <c r="P204" s="136"/>
      <c r="R204" s="136"/>
      <c r="T204" s="123"/>
      <c r="V204" s="136"/>
      <c r="X204" s="136"/>
      <c r="Z204" s="123"/>
      <c r="AB204" s="136"/>
      <c r="AD204" s="136"/>
      <c r="AG204" s="123"/>
    </row>
    <row r="205" spans="1:33" s="182" customFormat="1" ht="15">
      <c r="A205" s="123"/>
      <c r="B205" s="123"/>
      <c r="C205" s="123"/>
      <c r="D205" s="123"/>
      <c r="E205" s="123"/>
      <c r="F205" s="123"/>
      <c r="H205" s="123"/>
      <c r="P205" s="136"/>
      <c r="R205" s="136"/>
      <c r="T205" s="123"/>
      <c r="V205" s="136"/>
      <c r="X205" s="136"/>
      <c r="Z205" s="123"/>
      <c r="AB205" s="136"/>
      <c r="AD205" s="136"/>
      <c r="AG205" s="123"/>
    </row>
    <row r="206" spans="1:33" s="182" customFormat="1" ht="15">
      <c r="A206" s="123"/>
      <c r="B206" s="123"/>
      <c r="C206" s="123"/>
      <c r="D206" s="123"/>
      <c r="E206" s="123"/>
      <c r="F206" s="123"/>
      <c r="H206" s="123"/>
      <c r="P206" s="136"/>
      <c r="R206" s="136"/>
      <c r="T206" s="123"/>
      <c r="V206" s="136"/>
      <c r="X206" s="136"/>
      <c r="Z206" s="123"/>
      <c r="AB206" s="136"/>
      <c r="AD206" s="136"/>
      <c r="AG206" s="123"/>
    </row>
    <row r="207" spans="1:33" s="182" customFormat="1" ht="15">
      <c r="A207" s="123"/>
      <c r="B207" s="123"/>
      <c r="C207" s="123"/>
      <c r="D207" s="123"/>
      <c r="E207" s="123"/>
      <c r="F207" s="123"/>
      <c r="H207" s="123"/>
      <c r="P207" s="136"/>
      <c r="R207" s="136"/>
      <c r="T207" s="123"/>
      <c r="V207" s="136"/>
      <c r="X207" s="136"/>
      <c r="Z207" s="123"/>
      <c r="AB207" s="136"/>
      <c r="AD207" s="136"/>
      <c r="AG207" s="123"/>
    </row>
    <row r="208" spans="1:33" s="182" customFormat="1" ht="15">
      <c r="A208" s="123"/>
      <c r="B208" s="123"/>
      <c r="C208" s="123"/>
      <c r="D208" s="123"/>
      <c r="E208" s="123"/>
      <c r="F208" s="123"/>
      <c r="H208" s="123"/>
      <c r="P208" s="136"/>
      <c r="R208" s="136"/>
      <c r="T208" s="123"/>
      <c r="V208" s="136"/>
      <c r="X208" s="136"/>
      <c r="Z208" s="123"/>
      <c r="AB208" s="136"/>
      <c r="AD208" s="136"/>
      <c r="AG208" s="123"/>
    </row>
    <row r="209" spans="1:33" s="182" customFormat="1" ht="15">
      <c r="A209" s="123"/>
      <c r="B209" s="123"/>
      <c r="C209" s="123"/>
      <c r="D209" s="123"/>
      <c r="E209" s="123"/>
      <c r="F209" s="123"/>
      <c r="H209" s="123"/>
      <c r="P209" s="136"/>
      <c r="R209" s="136"/>
      <c r="T209" s="123"/>
      <c r="V209" s="136"/>
      <c r="X209" s="136"/>
      <c r="Z209" s="123"/>
      <c r="AB209" s="136"/>
      <c r="AD209" s="136"/>
      <c r="AG209" s="123"/>
    </row>
    <row r="210" spans="1:33" s="182" customFormat="1" ht="15">
      <c r="A210" s="123"/>
      <c r="B210" s="123"/>
      <c r="C210" s="123"/>
      <c r="D210" s="123"/>
      <c r="E210" s="123"/>
      <c r="F210" s="123"/>
      <c r="H210" s="123"/>
      <c r="P210" s="136"/>
      <c r="R210" s="136"/>
      <c r="T210" s="123"/>
      <c r="V210" s="136"/>
      <c r="X210" s="136"/>
      <c r="Z210" s="123"/>
      <c r="AB210" s="136"/>
      <c r="AD210" s="136"/>
      <c r="AG210" s="123"/>
    </row>
    <row r="211" spans="1:33" s="182" customFormat="1" ht="15">
      <c r="A211" s="123"/>
      <c r="B211" s="123"/>
      <c r="C211" s="123"/>
      <c r="D211" s="123"/>
      <c r="E211" s="123"/>
      <c r="F211" s="123"/>
      <c r="H211" s="123"/>
      <c r="P211" s="136"/>
      <c r="R211" s="136"/>
      <c r="T211" s="123"/>
      <c r="V211" s="136"/>
      <c r="X211" s="136"/>
      <c r="Z211" s="123"/>
      <c r="AB211" s="136"/>
      <c r="AD211" s="136"/>
      <c r="AG211" s="123"/>
    </row>
    <row r="212" spans="1:33" s="182" customFormat="1" ht="15">
      <c r="A212" s="123"/>
      <c r="B212" s="123"/>
      <c r="C212" s="123"/>
      <c r="D212" s="123"/>
      <c r="E212" s="123"/>
      <c r="F212" s="123"/>
      <c r="H212" s="123"/>
      <c r="P212" s="136"/>
      <c r="R212" s="136"/>
      <c r="T212" s="123"/>
      <c r="V212" s="136"/>
      <c r="X212" s="136"/>
      <c r="Z212" s="123"/>
      <c r="AB212" s="136"/>
      <c r="AD212" s="136"/>
      <c r="AG212" s="123"/>
    </row>
    <row r="213" spans="1:33" s="182" customFormat="1" ht="15">
      <c r="A213" s="123"/>
      <c r="B213" s="123"/>
      <c r="C213" s="123"/>
      <c r="D213" s="123"/>
      <c r="E213" s="123"/>
      <c r="F213" s="123"/>
      <c r="H213" s="123"/>
      <c r="P213" s="136"/>
      <c r="R213" s="136"/>
      <c r="T213" s="123"/>
      <c r="V213" s="136"/>
      <c r="X213" s="136"/>
      <c r="Z213" s="123"/>
      <c r="AB213" s="136"/>
      <c r="AD213" s="136"/>
      <c r="AG213" s="123"/>
    </row>
    <row r="214" spans="1:33" s="182" customFormat="1" ht="15">
      <c r="A214" s="123"/>
      <c r="B214" s="123"/>
      <c r="C214" s="123"/>
      <c r="D214" s="123"/>
      <c r="E214" s="123"/>
      <c r="F214" s="123"/>
      <c r="H214" s="123"/>
      <c r="P214" s="136"/>
      <c r="R214" s="136"/>
      <c r="T214" s="123"/>
      <c r="V214" s="136"/>
      <c r="X214" s="136"/>
      <c r="Z214" s="123"/>
      <c r="AB214" s="136"/>
      <c r="AD214" s="136"/>
      <c r="AG214" s="123"/>
    </row>
    <row r="215" spans="1:33" s="182" customFormat="1" ht="15">
      <c r="A215" s="123"/>
      <c r="B215" s="123"/>
      <c r="C215" s="123"/>
      <c r="D215" s="123"/>
      <c r="E215" s="123"/>
      <c r="F215" s="123"/>
      <c r="H215" s="123"/>
      <c r="P215" s="136"/>
      <c r="R215" s="136"/>
      <c r="T215" s="123"/>
      <c r="V215" s="136"/>
      <c r="X215" s="136"/>
      <c r="Z215" s="123"/>
      <c r="AB215" s="136"/>
      <c r="AD215" s="136"/>
      <c r="AG215" s="123"/>
    </row>
    <row r="216" spans="1:33" s="182" customFormat="1" ht="15">
      <c r="A216" s="123"/>
      <c r="B216" s="123"/>
      <c r="C216" s="123"/>
      <c r="D216" s="123"/>
      <c r="E216" s="123"/>
      <c r="F216" s="123"/>
      <c r="H216" s="123"/>
      <c r="P216" s="136"/>
      <c r="R216" s="136"/>
      <c r="T216" s="123"/>
      <c r="V216" s="136"/>
      <c r="X216" s="136"/>
      <c r="Z216" s="123"/>
      <c r="AB216" s="136"/>
      <c r="AD216" s="136"/>
      <c r="AG216" s="123"/>
    </row>
    <row r="217" spans="1:33" s="182" customFormat="1" ht="15">
      <c r="A217" s="123"/>
      <c r="B217" s="123"/>
      <c r="C217" s="123"/>
      <c r="D217" s="123"/>
      <c r="E217" s="123"/>
      <c r="F217" s="123"/>
      <c r="H217" s="123"/>
      <c r="P217" s="136"/>
      <c r="R217" s="136"/>
      <c r="T217" s="123"/>
      <c r="V217" s="136"/>
      <c r="X217" s="136"/>
      <c r="Z217" s="123"/>
      <c r="AB217" s="136"/>
      <c r="AD217" s="136"/>
      <c r="AG217" s="123"/>
    </row>
    <row r="218" spans="1:33" s="182" customFormat="1" ht="15">
      <c r="A218" s="123"/>
      <c r="B218" s="123"/>
      <c r="C218" s="123"/>
      <c r="D218" s="123"/>
      <c r="E218" s="123"/>
      <c r="F218" s="123"/>
      <c r="H218" s="123"/>
      <c r="P218" s="136"/>
      <c r="R218" s="136"/>
      <c r="T218" s="123"/>
      <c r="V218" s="136"/>
      <c r="X218" s="136"/>
      <c r="Z218" s="123"/>
      <c r="AB218" s="136"/>
      <c r="AD218" s="136"/>
      <c r="AG218" s="123"/>
    </row>
    <row r="219" spans="1:33" s="182" customFormat="1" ht="15">
      <c r="A219" s="123"/>
      <c r="B219" s="123"/>
      <c r="C219" s="123"/>
      <c r="D219" s="123"/>
      <c r="E219" s="123"/>
      <c r="F219" s="123"/>
      <c r="H219" s="123"/>
      <c r="P219" s="136"/>
      <c r="R219" s="136"/>
      <c r="T219" s="123"/>
      <c r="V219" s="136"/>
      <c r="X219" s="136"/>
      <c r="Z219" s="123"/>
      <c r="AB219" s="136"/>
      <c r="AD219" s="136"/>
      <c r="AG219" s="123"/>
    </row>
    <row r="220" spans="1:33" s="182" customFormat="1" ht="15">
      <c r="A220" s="123"/>
      <c r="B220" s="123"/>
      <c r="C220" s="123"/>
      <c r="D220" s="123"/>
      <c r="E220" s="123"/>
      <c r="F220" s="123"/>
      <c r="H220" s="123"/>
      <c r="P220" s="136"/>
      <c r="R220" s="136"/>
      <c r="T220" s="123"/>
      <c r="V220" s="136"/>
      <c r="X220" s="136"/>
      <c r="Z220" s="123"/>
      <c r="AB220" s="136"/>
      <c r="AD220" s="136"/>
      <c r="AG220" s="123"/>
    </row>
    <row r="221" spans="1:33" s="182" customFormat="1" ht="15">
      <c r="A221" s="123"/>
      <c r="B221" s="123"/>
      <c r="C221" s="123"/>
      <c r="D221" s="123"/>
      <c r="E221" s="123"/>
      <c r="F221" s="123"/>
      <c r="H221" s="123"/>
      <c r="P221" s="136"/>
      <c r="R221" s="136"/>
      <c r="T221" s="123"/>
      <c r="V221" s="136"/>
      <c r="X221" s="136"/>
      <c r="Z221" s="123"/>
      <c r="AB221" s="136"/>
      <c r="AD221" s="136"/>
      <c r="AG221" s="123"/>
    </row>
    <row r="222" spans="1:33" s="182" customFormat="1" ht="15">
      <c r="A222" s="123"/>
      <c r="B222" s="123"/>
      <c r="C222" s="123"/>
      <c r="D222" s="123"/>
      <c r="E222" s="123"/>
      <c r="F222" s="123"/>
      <c r="H222" s="123"/>
      <c r="P222" s="136"/>
      <c r="R222" s="136"/>
      <c r="T222" s="123"/>
      <c r="V222" s="136"/>
      <c r="X222" s="136"/>
      <c r="Z222" s="123"/>
      <c r="AB222" s="136"/>
      <c r="AD222" s="136"/>
      <c r="AG222" s="123"/>
    </row>
    <row r="223" spans="1:33" s="182" customFormat="1" ht="15">
      <c r="A223" s="123"/>
      <c r="B223" s="123"/>
      <c r="C223" s="123"/>
      <c r="D223" s="123"/>
      <c r="E223" s="123"/>
      <c r="F223" s="123"/>
      <c r="H223" s="123"/>
      <c r="P223" s="136"/>
      <c r="R223" s="136"/>
      <c r="T223" s="123"/>
      <c r="V223" s="136"/>
      <c r="X223" s="136"/>
      <c r="Z223" s="123"/>
      <c r="AB223" s="136"/>
      <c r="AD223" s="136"/>
      <c r="AG223" s="123"/>
    </row>
    <row r="224" spans="1:33" s="182" customFormat="1" ht="15">
      <c r="A224" s="123"/>
      <c r="B224" s="123"/>
      <c r="C224" s="123"/>
      <c r="D224" s="123"/>
      <c r="E224" s="123"/>
      <c r="F224" s="123"/>
      <c r="H224" s="123"/>
      <c r="P224" s="136"/>
      <c r="R224" s="136"/>
      <c r="T224" s="123"/>
      <c r="V224" s="136"/>
      <c r="X224" s="136"/>
      <c r="Z224" s="123"/>
      <c r="AB224" s="136"/>
      <c r="AD224" s="136"/>
      <c r="AG224" s="123"/>
    </row>
    <row r="225" spans="1:33" s="182" customFormat="1" ht="15">
      <c r="A225" s="123"/>
      <c r="B225" s="123"/>
      <c r="C225" s="123"/>
      <c r="D225" s="123"/>
      <c r="E225" s="123"/>
      <c r="F225" s="123"/>
      <c r="H225" s="123"/>
      <c r="P225" s="136"/>
      <c r="R225" s="136"/>
      <c r="T225" s="123"/>
      <c r="V225" s="136"/>
      <c r="X225" s="136"/>
      <c r="Z225" s="123"/>
      <c r="AB225" s="136"/>
      <c r="AD225" s="136"/>
      <c r="AG225" s="123"/>
    </row>
    <row r="226" spans="1:33" s="182" customFormat="1" ht="15">
      <c r="A226" s="123"/>
      <c r="B226" s="123"/>
      <c r="C226" s="123"/>
      <c r="D226" s="123"/>
      <c r="E226" s="123"/>
      <c r="F226" s="123"/>
      <c r="H226" s="123"/>
      <c r="P226" s="136"/>
      <c r="R226" s="136"/>
      <c r="T226" s="123"/>
      <c r="V226" s="136"/>
      <c r="X226" s="136"/>
      <c r="Z226" s="123"/>
      <c r="AB226" s="136"/>
      <c r="AD226" s="136"/>
      <c r="AG226" s="123"/>
    </row>
    <row r="227" spans="1:33" s="182" customFormat="1" ht="15">
      <c r="A227" s="123"/>
      <c r="B227" s="123"/>
      <c r="C227" s="123"/>
      <c r="D227" s="123"/>
      <c r="E227" s="123"/>
      <c r="F227" s="123"/>
      <c r="H227" s="123"/>
      <c r="P227" s="136"/>
      <c r="R227" s="136"/>
      <c r="T227" s="123"/>
      <c r="V227" s="136"/>
      <c r="X227" s="136"/>
      <c r="Z227" s="123"/>
      <c r="AB227" s="136"/>
      <c r="AD227" s="136"/>
      <c r="AG227" s="123"/>
    </row>
    <row r="228" spans="1:33" s="182" customFormat="1" ht="15">
      <c r="A228" s="123"/>
      <c r="B228" s="123"/>
      <c r="C228" s="123"/>
      <c r="D228" s="123"/>
      <c r="E228" s="123"/>
      <c r="F228" s="123"/>
      <c r="H228" s="123"/>
      <c r="P228" s="136"/>
      <c r="R228" s="136"/>
      <c r="T228" s="123"/>
      <c r="V228" s="136"/>
      <c r="X228" s="136"/>
      <c r="Z228" s="123"/>
      <c r="AB228" s="136"/>
      <c r="AD228" s="136"/>
      <c r="AG228" s="123"/>
    </row>
    <row r="229" spans="1:33" s="182" customFormat="1" ht="15">
      <c r="A229" s="123"/>
      <c r="B229" s="123"/>
      <c r="C229" s="123"/>
      <c r="D229" s="123"/>
      <c r="E229" s="123"/>
      <c r="F229" s="123"/>
      <c r="H229" s="123"/>
      <c r="P229" s="136"/>
      <c r="R229" s="136"/>
      <c r="T229" s="123"/>
      <c r="V229" s="136"/>
      <c r="X229" s="136"/>
      <c r="Z229" s="123"/>
      <c r="AB229" s="136"/>
      <c r="AD229" s="136"/>
      <c r="AG229" s="123"/>
    </row>
    <row r="230" spans="1:33" s="182" customFormat="1" ht="15">
      <c r="A230" s="123"/>
      <c r="B230" s="123"/>
      <c r="C230" s="123"/>
      <c r="D230" s="123"/>
      <c r="E230" s="123"/>
      <c r="F230" s="123"/>
      <c r="H230" s="123"/>
      <c r="P230" s="136"/>
      <c r="R230" s="136"/>
      <c r="T230" s="123"/>
      <c r="V230" s="136"/>
      <c r="X230" s="136"/>
      <c r="Z230" s="123"/>
      <c r="AB230" s="136"/>
      <c r="AD230" s="136"/>
      <c r="AG230" s="123"/>
    </row>
    <row r="231" spans="1:33" s="182" customFormat="1" ht="15">
      <c r="A231" s="123"/>
      <c r="B231" s="123"/>
      <c r="C231" s="123"/>
      <c r="D231" s="123"/>
      <c r="E231" s="123"/>
      <c r="F231" s="123"/>
      <c r="H231" s="123"/>
      <c r="P231" s="136"/>
      <c r="R231" s="136"/>
      <c r="T231" s="123"/>
      <c r="V231" s="136"/>
      <c r="X231" s="136"/>
      <c r="Z231" s="123"/>
      <c r="AB231" s="136"/>
      <c r="AD231" s="136"/>
      <c r="AG231" s="123"/>
    </row>
    <row r="232" spans="1:33" s="182" customFormat="1" ht="15">
      <c r="A232" s="123"/>
      <c r="B232" s="123"/>
      <c r="C232" s="123"/>
      <c r="D232" s="123"/>
      <c r="E232" s="123"/>
      <c r="F232" s="123"/>
      <c r="H232" s="123"/>
      <c r="P232" s="136"/>
      <c r="R232" s="136"/>
      <c r="T232" s="123"/>
      <c r="V232" s="136"/>
      <c r="X232" s="136"/>
      <c r="Z232" s="123"/>
      <c r="AB232" s="136"/>
      <c r="AD232" s="136"/>
      <c r="AG232" s="123"/>
    </row>
    <row r="233" spans="1:33" s="182" customFormat="1" ht="15">
      <c r="A233" s="123"/>
      <c r="B233" s="123"/>
      <c r="C233" s="123"/>
      <c r="D233" s="123"/>
      <c r="E233" s="123"/>
      <c r="F233" s="123"/>
      <c r="H233" s="123"/>
      <c r="P233" s="136"/>
      <c r="R233" s="136"/>
      <c r="T233" s="123"/>
      <c r="V233" s="136"/>
      <c r="X233" s="136"/>
      <c r="Z233" s="123"/>
      <c r="AB233" s="136"/>
      <c r="AD233" s="136"/>
      <c r="AG233" s="123"/>
    </row>
    <row r="234" spans="1:33" s="182" customFormat="1" ht="15">
      <c r="A234" s="123"/>
      <c r="B234" s="123"/>
      <c r="C234" s="123"/>
      <c r="D234" s="123"/>
      <c r="E234" s="123"/>
      <c r="F234" s="123"/>
      <c r="H234" s="123"/>
      <c r="P234" s="136"/>
      <c r="R234" s="136"/>
      <c r="T234" s="123"/>
      <c r="V234" s="136"/>
      <c r="X234" s="136"/>
      <c r="Z234" s="123"/>
      <c r="AB234" s="136"/>
      <c r="AD234" s="136"/>
      <c r="AG234" s="123"/>
    </row>
    <row r="235" spans="1:33" s="182" customFormat="1" ht="15">
      <c r="A235" s="123"/>
      <c r="B235" s="123"/>
      <c r="C235" s="123"/>
      <c r="D235" s="123"/>
      <c r="E235" s="123"/>
      <c r="F235" s="123"/>
      <c r="H235" s="123"/>
      <c r="P235" s="136"/>
      <c r="R235" s="136"/>
      <c r="T235" s="123"/>
      <c r="V235" s="136"/>
      <c r="X235" s="136"/>
      <c r="Z235" s="123"/>
      <c r="AB235" s="136"/>
      <c r="AD235" s="136"/>
      <c r="AG235" s="123"/>
    </row>
    <row r="236" spans="1:33" s="182" customFormat="1">
      <c r="A236" s="123"/>
      <c r="B236" s="123"/>
      <c r="C236" s="123"/>
      <c r="D236" s="123"/>
      <c r="E236" s="123"/>
      <c r="F236" s="123"/>
      <c r="H236" s="123"/>
      <c r="P236" s="123"/>
      <c r="R236" s="123"/>
      <c r="T236" s="123"/>
      <c r="V236" s="123"/>
      <c r="X236" s="123"/>
      <c r="Z236" s="123"/>
      <c r="AB236" s="123"/>
      <c r="AD236" s="123"/>
      <c r="AF236" s="123"/>
      <c r="AG236" s="123"/>
    </row>
    <row r="237" spans="1:33" s="182" customFormat="1">
      <c r="A237" s="123"/>
      <c r="B237" s="123"/>
      <c r="C237" s="123"/>
      <c r="D237" s="123"/>
      <c r="E237" s="123"/>
      <c r="F237" s="123"/>
      <c r="H237" s="123"/>
      <c r="P237" s="123"/>
      <c r="R237" s="123"/>
      <c r="T237" s="123"/>
      <c r="V237" s="123"/>
      <c r="X237" s="123"/>
      <c r="Z237" s="123"/>
      <c r="AB237" s="123"/>
      <c r="AD237" s="123"/>
      <c r="AF237" s="123"/>
      <c r="AG237" s="123"/>
    </row>
    <row r="238" spans="1:33" s="182" customFormat="1">
      <c r="A238" s="123"/>
      <c r="B238" s="123"/>
      <c r="C238" s="123"/>
      <c r="D238" s="123"/>
      <c r="E238" s="123"/>
      <c r="F238" s="123"/>
      <c r="H238" s="123"/>
      <c r="P238" s="123"/>
      <c r="R238" s="123"/>
      <c r="T238" s="123"/>
      <c r="V238" s="123"/>
      <c r="X238" s="123"/>
      <c r="Z238" s="123"/>
      <c r="AB238" s="123"/>
      <c r="AD238" s="123"/>
      <c r="AF238" s="123"/>
      <c r="AG238" s="123"/>
    </row>
    <row r="239" spans="1:33" s="182" customFormat="1">
      <c r="A239" s="123"/>
      <c r="B239" s="123"/>
      <c r="C239" s="123"/>
      <c r="D239" s="123"/>
      <c r="E239" s="123"/>
      <c r="F239" s="123"/>
      <c r="H239" s="123"/>
      <c r="P239" s="123"/>
      <c r="R239" s="123"/>
      <c r="T239" s="123"/>
      <c r="V239" s="123"/>
      <c r="X239" s="123"/>
      <c r="Z239" s="123"/>
      <c r="AB239" s="123"/>
      <c r="AD239" s="123"/>
      <c r="AF239" s="123"/>
      <c r="AG239" s="123"/>
    </row>
    <row r="240" spans="1:33" s="182" customFormat="1">
      <c r="A240" s="123"/>
      <c r="B240" s="123"/>
      <c r="C240" s="123"/>
      <c r="D240" s="123"/>
      <c r="E240" s="123"/>
      <c r="F240" s="123"/>
      <c r="H240" s="123"/>
      <c r="P240" s="123"/>
      <c r="R240" s="123"/>
      <c r="T240" s="123"/>
      <c r="V240" s="123"/>
      <c r="X240" s="123"/>
      <c r="Z240" s="123"/>
      <c r="AB240" s="123"/>
      <c r="AD240" s="123"/>
      <c r="AF240" s="123"/>
      <c r="AG240" s="123"/>
    </row>
    <row r="241" spans="1:38" s="182" customFormat="1">
      <c r="A241" s="123"/>
      <c r="B241" s="123"/>
      <c r="C241" s="123"/>
      <c r="D241" s="123"/>
      <c r="E241" s="123"/>
      <c r="F241" s="123"/>
      <c r="H241" s="123"/>
      <c r="P241" s="123"/>
      <c r="R241" s="123"/>
      <c r="T241" s="123"/>
      <c r="V241" s="123"/>
      <c r="X241" s="123"/>
      <c r="Z241" s="123"/>
      <c r="AB241" s="123"/>
      <c r="AD241" s="123"/>
      <c r="AF241" s="123"/>
      <c r="AG241" s="123"/>
    </row>
    <row r="242" spans="1:38" s="182" customFormat="1">
      <c r="A242" s="123"/>
      <c r="B242" s="123"/>
      <c r="C242" s="123"/>
      <c r="D242" s="123"/>
      <c r="E242" s="123"/>
      <c r="F242" s="123"/>
      <c r="H242" s="123"/>
      <c r="P242" s="123"/>
      <c r="R242" s="123"/>
      <c r="T242" s="123"/>
      <c r="V242" s="123"/>
      <c r="X242" s="123"/>
      <c r="Z242" s="123"/>
      <c r="AB242" s="123"/>
      <c r="AD242" s="123"/>
      <c r="AF242" s="123"/>
      <c r="AG242" s="123"/>
    </row>
    <row r="243" spans="1:38" s="182" customFormat="1">
      <c r="A243" s="123"/>
      <c r="B243" s="123"/>
      <c r="C243" s="123"/>
      <c r="D243" s="123"/>
      <c r="E243" s="123"/>
      <c r="F243" s="123"/>
      <c r="H243" s="123"/>
      <c r="P243" s="123"/>
      <c r="R243" s="123"/>
      <c r="T243" s="123"/>
      <c r="V243" s="123"/>
      <c r="X243" s="123"/>
      <c r="Z243" s="123"/>
      <c r="AB243" s="123"/>
      <c r="AD243" s="123"/>
      <c r="AF243" s="123"/>
      <c r="AG243" s="123"/>
    </row>
    <row r="244" spans="1:38" s="182" customFormat="1">
      <c r="A244" s="123"/>
      <c r="B244" s="123"/>
      <c r="C244" s="123"/>
      <c r="D244" s="123"/>
      <c r="E244" s="123"/>
      <c r="F244" s="123"/>
      <c r="H244" s="123"/>
      <c r="P244" s="123"/>
      <c r="R244" s="123"/>
      <c r="T244" s="123"/>
      <c r="V244" s="123"/>
      <c r="X244" s="123"/>
      <c r="Z244" s="123"/>
      <c r="AB244" s="123"/>
      <c r="AD244" s="123"/>
      <c r="AF244" s="123"/>
      <c r="AG244" s="123"/>
    </row>
    <row r="245" spans="1:38" s="182" customFormat="1">
      <c r="A245" s="123"/>
      <c r="B245" s="123"/>
      <c r="C245" s="123"/>
      <c r="D245" s="123"/>
      <c r="E245" s="123"/>
      <c r="F245" s="123"/>
      <c r="H245" s="123"/>
      <c r="P245" s="123"/>
      <c r="R245" s="123"/>
      <c r="T245" s="123"/>
      <c r="V245" s="123"/>
      <c r="X245" s="123"/>
      <c r="Z245" s="123"/>
      <c r="AB245" s="123"/>
      <c r="AD245" s="123"/>
      <c r="AF245" s="123"/>
      <c r="AG245" s="123"/>
    </row>
    <row r="246" spans="1:38" s="182" customFormat="1">
      <c r="A246" s="123"/>
      <c r="B246" s="123"/>
      <c r="C246" s="123"/>
      <c r="D246" s="123"/>
      <c r="E246" s="123"/>
      <c r="F246" s="123"/>
      <c r="H246" s="123"/>
      <c r="P246" s="123"/>
      <c r="R246" s="123"/>
      <c r="T246" s="123"/>
      <c r="V246" s="123"/>
      <c r="X246" s="123"/>
      <c r="Z246" s="123"/>
      <c r="AB246" s="123"/>
      <c r="AD246" s="123"/>
      <c r="AF246" s="123"/>
      <c r="AG246" s="123"/>
    </row>
    <row r="247" spans="1:38" s="182" customFormat="1">
      <c r="A247" s="123"/>
      <c r="B247" s="123"/>
      <c r="C247" s="123"/>
      <c r="D247" s="123"/>
      <c r="E247" s="123"/>
      <c r="F247" s="123"/>
      <c r="H247" s="123"/>
      <c r="J247" s="123"/>
      <c r="L247" s="123"/>
      <c r="N247" s="123"/>
      <c r="P247" s="123"/>
      <c r="R247" s="123"/>
      <c r="T247" s="123"/>
      <c r="V247" s="123"/>
      <c r="X247" s="123"/>
      <c r="Z247" s="123"/>
      <c r="AB247" s="123"/>
      <c r="AD247" s="123"/>
      <c r="AF247" s="123"/>
      <c r="AG247" s="123"/>
    </row>
    <row r="248" spans="1:38" s="182" customFormat="1">
      <c r="A248" s="123"/>
      <c r="B248" s="123"/>
      <c r="C248" s="123"/>
      <c r="D248" s="123"/>
      <c r="E248" s="123"/>
      <c r="F248" s="123"/>
      <c r="H248" s="123"/>
      <c r="J248" s="123"/>
      <c r="L248" s="123"/>
      <c r="N248" s="123"/>
      <c r="P248" s="123"/>
      <c r="R248" s="123"/>
      <c r="T248" s="123"/>
      <c r="V248" s="123"/>
      <c r="X248" s="123"/>
      <c r="Z248" s="123"/>
      <c r="AB248" s="123"/>
      <c r="AD248" s="123"/>
      <c r="AF248" s="123"/>
      <c r="AG248" s="123"/>
    </row>
    <row r="249" spans="1:38" s="182" customFormat="1">
      <c r="A249" s="123"/>
      <c r="B249" s="123"/>
      <c r="C249" s="123"/>
      <c r="D249" s="123"/>
      <c r="E249" s="123"/>
      <c r="F249" s="123"/>
      <c r="H249" s="123"/>
      <c r="J249" s="123"/>
      <c r="L249" s="123"/>
      <c r="N249" s="123"/>
      <c r="P249" s="123"/>
      <c r="R249" s="123"/>
      <c r="T249" s="123"/>
      <c r="V249" s="123"/>
      <c r="X249" s="123"/>
      <c r="Z249" s="123"/>
      <c r="AB249" s="123"/>
      <c r="AD249" s="123"/>
      <c r="AF249" s="123"/>
      <c r="AG249" s="123"/>
    </row>
    <row r="250" spans="1:38" s="182" customFormat="1">
      <c r="A250" s="123"/>
      <c r="B250" s="123"/>
      <c r="C250" s="123"/>
      <c r="D250" s="123"/>
      <c r="E250" s="123"/>
      <c r="F250" s="123"/>
      <c r="H250" s="123"/>
      <c r="J250" s="123"/>
      <c r="L250" s="123"/>
      <c r="N250" s="123"/>
      <c r="P250" s="123"/>
      <c r="R250" s="123"/>
      <c r="T250" s="123"/>
      <c r="V250" s="123"/>
      <c r="X250" s="123"/>
      <c r="Z250" s="123"/>
      <c r="AB250" s="123"/>
      <c r="AD250" s="123"/>
      <c r="AF250" s="123"/>
      <c r="AG250" s="123"/>
    </row>
    <row r="251" spans="1:38" s="182" customFormat="1">
      <c r="A251" s="123"/>
      <c r="B251" s="123"/>
      <c r="C251" s="123"/>
      <c r="D251" s="123"/>
      <c r="E251" s="123"/>
      <c r="F251" s="123"/>
      <c r="H251" s="123"/>
      <c r="J251" s="123"/>
      <c r="L251" s="123"/>
      <c r="N251" s="123"/>
      <c r="P251" s="123"/>
      <c r="R251" s="123"/>
      <c r="T251" s="123"/>
      <c r="V251" s="123"/>
      <c r="X251" s="123"/>
      <c r="Z251" s="123"/>
      <c r="AB251" s="123"/>
      <c r="AD251" s="123"/>
      <c r="AF251" s="123"/>
      <c r="AG251" s="123"/>
      <c r="AH251" s="123"/>
      <c r="AI251" s="123"/>
      <c r="AJ251" s="123"/>
      <c r="AK251" s="123"/>
      <c r="AL251" s="123"/>
    </row>
    <row r="252" spans="1:38" s="182" customFormat="1">
      <c r="A252" s="123"/>
      <c r="B252" s="123"/>
      <c r="C252" s="123"/>
      <c r="D252" s="123"/>
      <c r="E252" s="123"/>
      <c r="F252" s="123"/>
      <c r="H252" s="123"/>
      <c r="J252" s="123"/>
      <c r="L252" s="123"/>
      <c r="N252" s="123"/>
      <c r="P252" s="123"/>
      <c r="R252" s="123"/>
      <c r="T252" s="123"/>
      <c r="V252" s="123"/>
      <c r="X252" s="123"/>
      <c r="Z252" s="123"/>
      <c r="AB252" s="123"/>
      <c r="AD252" s="123"/>
      <c r="AF252" s="123"/>
      <c r="AG252" s="123"/>
      <c r="AH252" s="123"/>
      <c r="AI252" s="123"/>
      <c r="AJ252" s="123"/>
      <c r="AK252" s="123"/>
      <c r="AL252" s="123"/>
    </row>
  </sheetData>
  <pageMargins left="0.25" right="0.25" top="0.27" bottom="0.4" header="0.18" footer="0.25"/>
  <pageSetup scale="62" fitToHeight="0" pageOrder="overThenDown" orientation="landscape" errors="blank" r:id="rId1"/>
  <headerFooter alignWithMargins="0">
    <oddFooter>&amp;L&amp;F - &amp;A&amp;CPrinted &amp;D - &amp;T&amp;RPage &amp;P of &amp;N</oddFooter>
  </headerFooter>
  <rowBreaks count="1" manualBreakCount="1">
    <brk id="54" max="47" man="1"/>
  </rowBreaks>
  <colBreaks count="2" manualBreakCount="2">
    <brk id="19" max="108" man="1"/>
    <brk id="37" max="108"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2"/>
  <sheetViews>
    <sheetView view="pageBreakPreview" topLeftCell="B11" zoomScaleNormal="100" zoomScaleSheetLayoutView="100" workbookViewId="0">
      <selection activeCell="G20" sqref="G20"/>
    </sheetView>
  </sheetViews>
  <sheetFormatPr defaultRowHeight="15" outlineLevelRow="1" outlineLevelCol="1"/>
  <cols>
    <col min="1" max="1" width="27.5703125" style="1278" hidden="1" customWidth="1" outlineLevel="1"/>
    <col min="2" max="2" width="32.28515625" style="1278" customWidth="1" collapsed="1"/>
    <col min="3" max="3" width="1.140625" style="1278" customWidth="1"/>
    <col min="4" max="4" width="16.7109375" style="1278" customWidth="1"/>
    <col min="5" max="5" width="0.7109375" style="1278" customWidth="1"/>
    <col min="6" max="256" width="9.140625" style="1278"/>
    <col min="257" max="257" width="0" style="1278" hidden="1" customWidth="1"/>
    <col min="258" max="258" width="32.28515625" style="1278" customWidth="1"/>
    <col min="259" max="259" width="1.140625" style="1278" customWidth="1"/>
    <col min="260" max="260" width="16.7109375" style="1278" customWidth="1"/>
    <col min="261" max="261" width="0.7109375" style="1278" customWidth="1"/>
    <col min="262" max="512" width="9.140625" style="1278"/>
    <col min="513" max="513" width="0" style="1278" hidden="1" customWidth="1"/>
    <col min="514" max="514" width="32.28515625" style="1278" customWidth="1"/>
    <col min="515" max="515" width="1.140625" style="1278" customWidth="1"/>
    <col min="516" max="516" width="16.7109375" style="1278" customWidth="1"/>
    <col min="517" max="517" width="0.7109375" style="1278" customWidth="1"/>
    <col min="518" max="768" width="9.140625" style="1278"/>
    <col min="769" max="769" width="0" style="1278" hidden="1" customWidth="1"/>
    <col min="770" max="770" width="32.28515625" style="1278" customWidth="1"/>
    <col min="771" max="771" width="1.140625" style="1278" customWidth="1"/>
    <col min="772" max="772" width="16.7109375" style="1278" customWidth="1"/>
    <col min="773" max="773" width="0.7109375" style="1278" customWidth="1"/>
    <col min="774" max="1024" width="9.140625" style="1278"/>
    <col min="1025" max="1025" width="0" style="1278" hidden="1" customWidth="1"/>
    <col min="1026" max="1026" width="32.28515625" style="1278" customWidth="1"/>
    <col min="1027" max="1027" width="1.140625" style="1278" customWidth="1"/>
    <col min="1028" max="1028" width="16.7109375" style="1278" customWidth="1"/>
    <col min="1029" max="1029" width="0.7109375" style="1278" customWidth="1"/>
    <col min="1030" max="1280" width="9.140625" style="1278"/>
    <col min="1281" max="1281" width="0" style="1278" hidden="1" customWidth="1"/>
    <col min="1282" max="1282" width="32.28515625" style="1278" customWidth="1"/>
    <col min="1283" max="1283" width="1.140625" style="1278" customWidth="1"/>
    <col min="1284" max="1284" width="16.7109375" style="1278" customWidth="1"/>
    <col min="1285" max="1285" width="0.7109375" style="1278" customWidth="1"/>
    <col min="1286" max="1536" width="9.140625" style="1278"/>
    <col min="1537" max="1537" width="0" style="1278" hidden="1" customWidth="1"/>
    <col min="1538" max="1538" width="32.28515625" style="1278" customWidth="1"/>
    <col min="1539" max="1539" width="1.140625" style="1278" customWidth="1"/>
    <col min="1540" max="1540" width="16.7109375" style="1278" customWidth="1"/>
    <col min="1541" max="1541" width="0.7109375" style="1278" customWidth="1"/>
    <col min="1542" max="1792" width="9.140625" style="1278"/>
    <col min="1793" max="1793" width="0" style="1278" hidden="1" customWidth="1"/>
    <col min="1794" max="1794" width="32.28515625" style="1278" customWidth="1"/>
    <col min="1795" max="1795" width="1.140625" style="1278" customWidth="1"/>
    <col min="1796" max="1796" width="16.7109375" style="1278" customWidth="1"/>
    <col min="1797" max="1797" width="0.7109375" style="1278" customWidth="1"/>
    <col min="1798" max="2048" width="9.140625" style="1278"/>
    <col min="2049" max="2049" width="0" style="1278" hidden="1" customWidth="1"/>
    <col min="2050" max="2050" width="32.28515625" style="1278" customWidth="1"/>
    <col min="2051" max="2051" width="1.140625" style="1278" customWidth="1"/>
    <col min="2052" max="2052" width="16.7109375" style="1278" customWidth="1"/>
    <col min="2053" max="2053" width="0.7109375" style="1278" customWidth="1"/>
    <col min="2054" max="2304" width="9.140625" style="1278"/>
    <col min="2305" max="2305" width="0" style="1278" hidden="1" customWidth="1"/>
    <col min="2306" max="2306" width="32.28515625" style="1278" customWidth="1"/>
    <col min="2307" max="2307" width="1.140625" style="1278" customWidth="1"/>
    <col min="2308" max="2308" width="16.7109375" style="1278" customWidth="1"/>
    <col min="2309" max="2309" width="0.7109375" style="1278" customWidth="1"/>
    <col min="2310" max="2560" width="9.140625" style="1278"/>
    <col min="2561" max="2561" width="0" style="1278" hidden="1" customWidth="1"/>
    <col min="2562" max="2562" width="32.28515625" style="1278" customWidth="1"/>
    <col min="2563" max="2563" width="1.140625" style="1278" customWidth="1"/>
    <col min="2564" max="2564" width="16.7109375" style="1278" customWidth="1"/>
    <col min="2565" max="2565" width="0.7109375" style="1278" customWidth="1"/>
    <col min="2566" max="2816" width="9.140625" style="1278"/>
    <col min="2817" max="2817" width="0" style="1278" hidden="1" customWidth="1"/>
    <col min="2818" max="2818" width="32.28515625" style="1278" customWidth="1"/>
    <col min="2819" max="2819" width="1.140625" style="1278" customWidth="1"/>
    <col min="2820" max="2820" width="16.7109375" style="1278" customWidth="1"/>
    <col min="2821" max="2821" width="0.7109375" style="1278" customWidth="1"/>
    <col min="2822" max="3072" width="9.140625" style="1278"/>
    <col min="3073" max="3073" width="0" style="1278" hidden="1" customWidth="1"/>
    <col min="3074" max="3074" width="32.28515625" style="1278" customWidth="1"/>
    <col min="3075" max="3075" width="1.140625" style="1278" customWidth="1"/>
    <col min="3076" max="3076" width="16.7109375" style="1278" customWidth="1"/>
    <col min="3077" max="3077" width="0.7109375" style="1278" customWidth="1"/>
    <col min="3078" max="3328" width="9.140625" style="1278"/>
    <col min="3329" max="3329" width="0" style="1278" hidden="1" customWidth="1"/>
    <col min="3330" max="3330" width="32.28515625" style="1278" customWidth="1"/>
    <col min="3331" max="3331" width="1.140625" style="1278" customWidth="1"/>
    <col min="3332" max="3332" width="16.7109375" style="1278" customWidth="1"/>
    <col min="3333" max="3333" width="0.7109375" style="1278" customWidth="1"/>
    <col min="3334" max="3584" width="9.140625" style="1278"/>
    <col min="3585" max="3585" width="0" style="1278" hidden="1" customWidth="1"/>
    <col min="3586" max="3586" width="32.28515625" style="1278" customWidth="1"/>
    <col min="3587" max="3587" width="1.140625" style="1278" customWidth="1"/>
    <col min="3588" max="3588" width="16.7109375" style="1278" customWidth="1"/>
    <col min="3589" max="3589" width="0.7109375" style="1278" customWidth="1"/>
    <col min="3590" max="3840" width="9.140625" style="1278"/>
    <col min="3841" max="3841" width="0" style="1278" hidden="1" customWidth="1"/>
    <col min="3842" max="3842" width="32.28515625" style="1278" customWidth="1"/>
    <col min="3843" max="3843" width="1.140625" style="1278" customWidth="1"/>
    <col min="3844" max="3844" width="16.7109375" style="1278" customWidth="1"/>
    <col min="3845" max="3845" width="0.7109375" style="1278" customWidth="1"/>
    <col min="3846" max="4096" width="9.140625" style="1278"/>
    <col min="4097" max="4097" width="0" style="1278" hidden="1" customWidth="1"/>
    <col min="4098" max="4098" width="32.28515625" style="1278" customWidth="1"/>
    <col min="4099" max="4099" width="1.140625" style="1278" customWidth="1"/>
    <col min="4100" max="4100" width="16.7109375" style="1278" customWidth="1"/>
    <col min="4101" max="4101" width="0.7109375" style="1278" customWidth="1"/>
    <col min="4102" max="4352" width="9.140625" style="1278"/>
    <col min="4353" max="4353" width="0" style="1278" hidden="1" customWidth="1"/>
    <col min="4354" max="4354" width="32.28515625" style="1278" customWidth="1"/>
    <col min="4355" max="4355" width="1.140625" style="1278" customWidth="1"/>
    <col min="4356" max="4356" width="16.7109375" style="1278" customWidth="1"/>
    <col min="4357" max="4357" width="0.7109375" style="1278" customWidth="1"/>
    <col min="4358" max="4608" width="9.140625" style="1278"/>
    <col min="4609" max="4609" width="0" style="1278" hidden="1" customWidth="1"/>
    <col min="4610" max="4610" width="32.28515625" style="1278" customWidth="1"/>
    <col min="4611" max="4611" width="1.140625" style="1278" customWidth="1"/>
    <col min="4612" max="4612" width="16.7109375" style="1278" customWidth="1"/>
    <col min="4613" max="4613" width="0.7109375" style="1278" customWidth="1"/>
    <col min="4614" max="4864" width="9.140625" style="1278"/>
    <col min="4865" max="4865" width="0" style="1278" hidden="1" customWidth="1"/>
    <col min="4866" max="4866" width="32.28515625" style="1278" customWidth="1"/>
    <col min="4867" max="4867" width="1.140625" style="1278" customWidth="1"/>
    <col min="4868" max="4868" width="16.7109375" style="1278" customWidth="1"/>
    <col min="4869" max="4869" width="0.7109375" style="1278" customWidth="1"/>
    <col min="4870" max="5120" width="9.140625" style="1278"/>
    <col min="5121" max="5121" width="0" style="1278" hidden="1" customWidth="1"/>
    <col min="5122" max="5122" width="32.28515625" style="1278" customWidth="1"/>
    <col min="5123" max="5123" width="1.140625" style="1278" customWidth="1"/>
    <col min="5124" max="5124" width="16.7109375" style="1278" customWidth="1"/>
    <col min="5125" max="5125" width="0.7109375" style="1278" customWidth="1"/>
    <col min="5126" max="5376" width="9.140625" style="1278"/>
    <col min="5377" max="5377" width="0" style="1278" hidden="1" customWidth="1"/>
    <col min="5378" max="5378" width="32.28515625" style="1278" customWidth="1"/>
    <col min="5379" max="5379" width="1.140625" style="1278" customWidth="1"/>
    <col min="5380" max="5380" width="16.7109375" style="1278" customWidth="1"/>
    <col min="5381" max="5381" width="0.7109375" style="1278" customWidth="1"/>
    <col min="5382" max="5632" width="9.140625" style="1278"/>
    <col min="5633" max="5633" width="0" style="1278" hidden="1" customWidth="1"/>
    <col min="5634" max="5634" width="32.28515625" style="1278" customWidth="1"/>
    <col min="5635" max="5635" width="1.140625" style="1278" customWidth="1"/>
    <col min="5636" max="5636" width="16.7109375" style="1278" customWidth="1"/>
    <col min="5637" max="5637" width="0.7109375" style="1278" customWidth="1"/>
    <col min="5638" max="5888" width="9.140625" style="1278"/>
    <col min="5889" max="5889" width="0" style="1278" hidden="1" customWidth="1"/>
    <col min="5890" max="5890" width="32.28515625" style="1278" customWidth="1"/>
    <col min="5891" max="5891" width="1.140625" style="1278" customWidth="1"/>
    <col min="5892" max="5892" width="16.7109375" style="1278" customWidth="1"/>
    <col min="5893" max="5893" width="0.7109375" style="1278" customWidth="1"/>
    <col min="5894" max="6144" width="9.140625" style="1278"/>
    <col min="6145" max="6145" width="0" style="1278" hidden="1" customWidth="1"/>
    <col min="6146" max="6146" width="32.28515625" style="1278" customWidth="1"/>
    <col min="6147" max="6147" width="1.140625" style="1278" customWidth="1"/>
    <col min="6148" max="6148" width="16.7109375" style="1278" customWidth="1"/>
    <col min="6149" max="6149" width="0.7109375" style="1278" customWidth="1"/>
    <col min="6150" max="6400" width="9.140625" style="1278"/>
    <col min="6401" max="6401" width="0" style="1278" hidden="1" customWidth="1"/>
    <col min="6402" max="6402" width="32.28515625" style="1278" customWidth="1"/>
    <col min="6403" max="6403" width="1.140625" style="1278" customWidth="1"/>
    <col min="6404" max="6404" width="16.7109375" style="1278" customWidth="1"/>
    <col min="6405" max="6405" width="0.7109375" style="1278" customWidth="1"/>
    <col min="6406" max="6656" width="9.140625" style="1278"/>
    <col min="6657" max="6657" width="0" style="1278" hidden="1" customWidth="1"/>
    <col min="6658" max="6658" width="32.28515625" style="1278" customWidth="1"/>
    <col min="6659" max="6659" width="1.140625" style="1278" customWidth="1"/>
    <col min="6660" max="6660" width="16.7109375" style="1278" customWidth="1"/>
    <col min="6661" max="6661" width="0.7109375" style="1278" customWidth="1"/>
    <col min="6662" max="6912" width="9.140625" style="1278"/>
    <col min="6913" max="6913" width="0" style="1278" hidden="1" customWidth="1"/>
    <col min="6914" max="6914" width="32.28515625" style="1278" customWidth="1"/>
    <col min="6915" max="6915" width="1.140625" style="1278" customWidth="1"/>
    <col min="6916" max="6916" width="16.7109375" style="1278" customWidth="1"/>
    <col min="6917" max="6917" width="0.7109375" style="1278" customWidth="1"/>
    <col min="6918" max="7168" width="9.140625" style="1278"/>
    <col min="7169" max="7169" width="0" style="1278" hidden="1" customWidth="1"/>
    <col min="7170" max="7170" width="32.28515625" style="1278" customWidth="1"/>
    <col min="7171" max="7171" width="1.140625" style="1278" customWidth="1"/>
    <col min="7172" max="7172" width="16.7109375" style="1278" customWidth="1"/>
    <col min="7173" max="7173" width="0.7109375" style="1278" customWidth="1"/>
    <col min="7174" max="7424" width="9.140625" style="1278"/>
    <col min="7425" max="7425" width="0" style="1278" hidden="1" customWidth="1"/>
    <col min="7426" max="7426" width="32.28515625" style="1278" customWidth="1"/>
    <col min="7427" max="7427" width="1.140625" style="1278" customWidth="1"/>
    <col min="7428" max="7428" width="16.7109375" style="1278" customWidth="1"/>
    <col min="7429" max="7429" width="0.7109375" style="1278" customWidth="1"/>
    <col min="7430" max="7680" width="9.140625" style="1278"/>
    <col min="7681" max="7681" width="0" style="1278" hidden="1" customWidth="1"/>
    <col min="7682" max="7682" width="32.28515625" style="1278" customWidth="1"/>
    <col min="7683" max="7683" width="1.140625" style="1278" customWidth="1"/>
    <col min="7684" max="7684" width="16.7109375" style="1278" customWidth="1"/>
    <col min="7685" max="7685" width="0.7109375" style="1278" customWidth="1"/>
    <col min="7686" max="7936" width="9.140625" style="1278"/>
    <col min="7937" max="7937" width="0" style="1278" hidden="1" customWidth="1"/>
    <col min="7938" max="7938" width="32.28515625" style="1278" customWidth="1"/>
    <col min="7939" max="7939" width="1.140625" style="1278" customWidth="1"/>
    <col min="7940" max="7940" width="16.7109375" style="1278" customWidth="1"/>
    <col min="7941" max="7941" width="0.7109375" style="1278" customWidth="1"/>
    <col min="7942" max="8192" width="9.140625" style="1278"/>
    <col min="8193" max="8193" width="0" style="1278" hidden="1" customWidth="1"/>
    <col min="8194" max="8194" width="32.28515625" style="1278" customWidth="1"/>
    <col min="8195" max="8195" width="1.140625" style="1278" customWidth="1"/>
    <col min="8196" max="8196" width="16.7109375" style="1278" customWidth="1"/>
    <col min="8197" max="8197" width="0.7109375" style="1278" customWidth="1"/>
    <col min="8198" max="8448" width="9.140625" style="1278"/>
    <col min="8449" max="8449" width="0" style="1278" hidden="1" customWidth="1"/>
    <col min="8450" max="8450" width="32.28515625" style="1278" customWidth="1"/>
    <col min="8451" max="8451" width="1.140625" style="1278" customWidth="1"/>
    <col min="8452" max="8452" width="16.7109375" style="1278" customWidth="1"/>
    <col min="8453" max="8453" width="0.7109375" style="1278" customWidth="1"/>
    <col min="8454" max="8704" width="9.140625" style="1278"/>
    <col min="8705" max="8705" width="0" style="1278" hidden="1" customWidth="1"/>
    <col min="8706" max="8706" width="32.28515625" style="1278" customWidth="1"/>
    <col min="8707" max="8707" width="1.140625" style="1278" customWidth="1"/>
    <col min="8708" max="8708" width="16.7109375" style="1278" customWidth="1"/>
    <col min="8709" max="8709" width="0.7109375" style="1278" customWidth="1"/>
    <col min="8710" max="8960" width="9.140625" style="1278"/>
    <col min="8961" max="8961" width="0" style="1278" hidden="1" customWidth="1"/>
    <col min="8962" max="8962" width="32.28515625" style="1278" customWidth="1"/>
    <col min="8963" max="8963" width="1.140625" style="1278" customWidth="1"/>
    <col min="8964" max="8964" width="16.7109375" style="1278" customWidth="1"/>
    <col min="8965" max="8965" width="0.7109375" style="1278" customWidth="1"/>
    <col min="8966" max="9216" width="9.140625" style="1278"/>
    <col min="9217" max="9217" width="0" style="1278" hidden="1" customWidth="1"/>
    <col min="9218" max="9218" width="32.28515625" style="1278" customWidth="1"/>
    <col min="9219" max="9219" width="1.140625" style="1278" customWidth="1"/>
    <col min="9220" max="9220" width="16.7109375" style="1278" customWidth="1"/>
    <col min="9221" max="9221" width="0.7109375" style="1278" customWidth="1"/>
    <col min="9222" max="9472" width="9.140625" style="1278"/>
    <col min="9473" max="9473" width="0" style="1278" hidden="1" customWidth="1"/>
    <col min="9474" max="9474" width="32.28515625" style="1278" customWidth="1"/>
    <col min="9475" max="9475" width="1.140625" style="1278" customWidth="1"/>
    <col min="9476" max="9476" width="16.7109375" style="1278" customWidth="1"/>
    <col min="9477" max="9477" width="0.7109375" style="1278" customWidth="1"/>
    <col min="9478" max="9728" width="9.140625" style="1278"/>
    <col min="9729" max="9729" width="0" style="1278" hidden="1" customWidth="1"/>
    <col min="9730" max="9730" width="32.28515625" style="1278" customWidth="1"/>
    <col min="9731" max="9731" width="1.140625" style="1278" customWidth="1"/>
    <col min="9732" max="9732" width="16.7109375" style="1278" customWidth="1"/>
    <col min="9733" max="9733" width="0.7109375" style="1278" customWidth="1"/>
    <col min="9734" max="9984" width="9.140625" style="1278"/>
    <col min="9985" max="9985" width="0" style="1278" hidden="1" customWidth="1"/>
    <col min="9986" max="9986" width="32.28515625" style="1278" customWidth="1"/>
    <col min="9987" max="9987" width="1.140625" style="1278" customWidth="1"/>
    <col min="9988" max="9988" width="16.7109375" style="1278" customWidth="1"/>
    <col min="9989" max="9989" width="0.7109375" style="1278" customWidth="1"/>
    <col min="9990" max="10240" width="9.140625" style="1278"/>
    <col min="10241" max="10241" width="0" style="1278" hidden="1" customWidth="1"/>
    <col min="10242" max="10242" width="32.28515625" style="1278" customWidth="1"/>
    <col min="10243" max="10243" width="1.140625" style="1278" customWidth="1"/>
    <col min="10244" max="10244" width="16.7109375" style="1278" customWidth="1"/>
    <col min="10245" max="10245" width="0.7109375" style="1278" customWidth="1"/>
    <col min="10246" max="10496" width="9.140625" style="1278"/>
    <col min="10497" max="10497" width="0" style="1278" hidden="1" customWidth="1"/>
    <col min="10498" max="10498" width="32.28515625" style="1278" customWidth="1"/>
    <col min="10499" max="10499" width="1.140625" style="1278" customWidth="1"/>
    <col min="10500" max="10500" width="16.7109375" style="1278" customWidth="1"/>
    <col min="10501" max="10501" width="0.7109375" style="1278" customWidth="1"/>
    <col min="10502" max="10752" width="9.140625" style="1278"/>
    <col min="10753" max="10753" width="0" style="1278" hidden="1" customWidth="1"/>
    <col min="10754" max="10754" width="32.28515625" style="1278" customWidth="1"/>
    <col min="10755" max="10755" width="1.140625" style="1278" customWidth="1"/>
    <col min="10756" max="10756" width="16.7109375" style="1278" customWidth="1"/>
    <col min="10757" max="10757" width="0.7109375" style="1278" customWidth="1"/>
    <col min="10758" max="11008" width="9.140625" style="1278"/>
    <col min="11009" max="11009" width="0" style="1278" hidden="1" customWidth="1"/>
    <col min="11010" max="11010" width="32.28515625" style="1278" customWidth="1"/>
    <col min="11011" max="11011" width="1.140625" style="1278" customWidth="1"/>
    <col min="11012" max="11012" width="16.7109375" style="1278" customWidth="1"/>
    <col min="11013" max="11013" width="0.7109375" style="1278" customWidth="1"/>
    <col min="11014" max="11264" width="9.140625" style="1278"/>
    <col min="11265" max="11265" width="0" style="1278" hidden="1" customWidth="1"/>
    <col min="11266" max="11266" width="32.28515625" style="1278" customWidth="1"/>
    <col min="11267" max="11267" width="1.140625" style="1278" customWidth="1"/>
    <col min="11268" max="11268" width="16.7109375" style="1278" customWidth="1"/>
    <col min="11269" max="11269" width="0.7109375" style="1278" customWidth="1"/>
    <col min="11270" max="11520" width="9.140625" style="1278"/>
    <col min="11521" max="11521" width="0" style="1278" hidden="1" customWidth="1"/>
    <col min="11522" max="11522" width="32.28515625" style="1278" customWidth="1"/>
    <col min="11523" max="11523" width="1.140625" style="1278" customWidth="1"/>
    <col min="11524" max="11524" width="16.7109375" style="1278" customWidth="1"/>
    <col min="11525" max="11525" width="0.7109375" style="1278" customWidth="1"/>
    <col min="11526" max="11776" width="9.140625" style="1278"/>
    <col min="11777" max="11777" width="0" style="1278" hidden="1" customWidth="1"/>
    <col min="11778" max="11778" width="32.28515625" style="1278" customWidth="1"/>
    <col min="11779" max="11779" width="1.140625" style="1278" customWidth="1"/>
    <col min="11780" max="11780" width="16.7109375" style="1278" customWidth="1"/>
    <col min="11781" max="11781" width="0.7109375" style="1278" customWidth="1"/>
    <col min="11782" max="12032" width="9.140625" style="1278"/>
    <col min="12033" max="12033" width="0" style="1278" hidden="1" customWidth="1"/>
    <col min="12034" max="12034" width="32.28515625" style="1278" customWidth="1"/>
    <col min="12035" max="12035" width="1.140625" style="1278" customWidth="1"/>
    <col min="12036" max="12036" width="16.7109375" style="1278" customWidth="1"/>
    <col min="12037" max="12037" width="0.7109375" style="1278" customWidth="1"/>
    <col min="12038" max="12288" width="9.140625" style="1278"/>
    <col min="12289" max="12289" width="0" style="1278" hidden="1" customWidth="1"/>
    <col min="12290" max="12290" width="32.28515625" style="1278" customWidth="1"/>
    <col min="12291" max="12291" width="1.140625" style="1278" customWidth="1"/>
    <col min="12292" max="12292" width="16.7109375" style="1278" customWidth="1"/>
    <col min="12293" max="12293" width="0.7109375" style="1278" customWidth="1"/>
    <col min="12294" max="12544" width="9.140625" style="1278"/>
    <col min="12545" max="12545" width="0" style="1278" hidden="1" customWidth="1"/>
    <col min="12546" max="12546" width="32.28515625" style="1278" customWidth="1"/>
    <col min="12547" max="12547" width="1.140625" style="1278" customWidth="1"/>
    <col min="12548" max="12548" width="16.7109375" style="1278" customWidth="1"/>
    <col min="12549" max="12549" width="0.7109375" style="1278" customWidth="1"/>
    <col min="12550" max="12800" width="9.140625" style="1278"/>
    <col min="12801" max="12801" width="0" style="1278" hidden="1" customWidth="1"/>
    <col min="12802" max="12802" width="32.28515625" style="1278" customWidth="1"/>
    <col min="12803" max="12803" width="1.140625" style="1278" customWidth="1"/>
    <col min="12804" max="12804" width="16.7109375" style="1278" customWidth="1"/>
    <col min="12805" max="12805" width="0.7109375" style="1278" customWidth="1"/>
    <col min="12806" max="13056" width="9.140625" style="1278"/>
    <col min="13057" max="13057" width="0" style="1278" hidden="1" customWidth="1"/>
    <col min="13058" max="13058" width="32.28515625" style="1278" customWidth="1"/>
    <col min="13059" max="13059" width="1.140625" style="1278" customWidth="1"/>
    <col min="13060" max="13060" width="16.7109375" style="1278" customWidth="1"/>
    <col min="13061" max="13061" width="0.7109375" style="1278" customWidth="1"/>
    <col min="13062" max="13312" width="9.140625" style="1278"/>
    <col min="13313" max="13313" width="0" style="1278" hidden="1" customWidth="1"/>
    <col min="13314" max="13314" width="32.28515625" style="1278" customWidth="1"/>
    <col min="13315" max="13315" width="1.140625" style="1278" customWidth="1"/>
    <col min="13316" max="13316" width="16.7109375" style="1278" customWidth="1"/>
    <col min="13317" max="13317" width="0.7109375" style="1278" customWidth="1"/>
    <col min="13318" max="13568" width="9.140625" style="1278"/>
    <col min="13569" max="13569" width="0" style="1278" hidden="1" customWidth="1"/>
    <col min="13570" max="13570" width="32.28515625" style="1278" customWidth="1"/>
    <col min="13571" max="13571" width="1.140625" style="1278" customWidth="1"/>
    <col min="13572" max="13572" width="16.7109375" style="1278" customWidth="1"/>
    <col min="13573" max="13573" width="0.7109375" style="1278" customWidth="1"/>
    <col min="13574" max="13824" width="9.140625" style="1278"/>
    <col min="13825" max="13825" width="0" style="1278" hidden="1" customWidth="1"/>
    <col min="13826" max="13826" width="32.28515625" style="1278" customWidth="1"/>
    <col min="13827" max="13827" width="1.140625" style="1278" customWidth="1"/>
    <col min="13828" max="13828" width="16.7109375" style="1278" customWidth="1"/>
    <col min="13829" max="13829" width="0.7109375" style="1278" customWidth="1"/>
    <col min="13830" max="14080" width="9.140625" style="1278"/>
    <col min="14081" max="14081" width="0" style="1278" hidden="1" customWidth="1"/>
    <col min="14082" max="14082" width="32.28515625" style="1278" customWidth="1"/>
    <col min="14083" max="14083" width="1.140625" style="1278" customWidth="1"/>
    <col min="14084" max="14084" width="16.7109375" style="1278" customWidth="1"/>
    <col min="14085" max="14085" width="0.7109375" style="1278" customWidth="1"/>
    <col min="14086" max="14336" width="9.140625" style="1278"/>
    <col min="14337" max="14337" width="0" style="1278" hidden="1" customWidth="1"/>
    <col min="14338" max="14338" width="32.28515625" style="1278" customWidth="1"/>
    <col min="14339" max="14339" width="1.140625" style="1278" customWidth="1"/>
    <col min="14340" max="14340" width="16.7109375" style="1278" customWidth="1"/>
    <col min="14341" max="14341" width="0.7109375" style="1278" customWidth="1"/>
    <col min="14342" max="14592" width="9.140625" style="1278"/>
    <col min="14593" max="14593" width="0" style="1278" hidden="1" customWidth="1"/>
    <col min="14594" max="14594" width="32.28515625" style="1278" customWidth="1"/>
    <col min="14595" max="14595" width="1.140625" style="1278" customWidth="1"/>
    <col min="14596" max="14596" width="16.7109375" style="1278" customWidth="1"/>
    <col min="14597" max="14597" width="0.7109375" style="1278" customWidth="1"/>
    <col min="14598" max="14848" width="9.140625" style="1278"/>
    <col min="14849" max="14849" width="0" style="1278" hidden="1" customWidth="1"/>
    <col min="14850" max="14850" width="32.28515625" style="1278" customWidth="1"/>
    <col min="14851" max="14851" width="1.140625" style="1278" customWidth="1"/>
    <col min="14852" max="14852" width="16.7109375" style="1278" customWidth="1"/>
    <col min="14853" max="14853" width="0.7109375" style="1278" customWidth="1"/>
    <col min="14854" max="15104" width="9.140625" style="1278"/>
    <col min="15105" max="15105" width="0" style="1278" hidden="1" customWidth="1"/>
    <col min="15106" max="15106" width="32.28515625" style="1278" customWidth="1"/>
    <col min="15107" max="15107" width="1.140625" style="1278" customWidth="1"/>
    <col min="15108" max="15108" width="16.7109375" style="1278" customWidth="1"/>
    <col min="15109" max="15109" width="0.7109375" style="1278" customWidth="1"/>
    <col min="15110" max="15360" width="9.140625" style="1278"/>
    <col min="15361" max="15361" width="0" style="1278" hidden="1" customWidth="1"/>
    <col min="15362" max="15362" width="32.28515625" style="1278" customWidth="1"/>
    <col min="15363" max="15363" width="1.140625" style="1278" customWidth="1"/>
    <col min="15364" max="15364" width="16.7109375" style="1278" customWidth="1"/>
    <col min="15365" max="15365" width="0.7109375" style="1278" customWidth="1"/>
    <col min="15366" max="15616" width="9.140625" style="1278"/>
    <col min="15617" max="15617" width="0" style="1278" hidden="1" customWidth="1"/>
    <col min="15618" max="15618" width="32.28515625" style="1278" customWidth="1"/>
    <col min="15619" max="15619" width="1.140625" style="1278" customWidth="1"/>
    <col min="15620" max="15620" width="16.7109375" style="1278" customWidth="1"/>
    <col min="15621" max="15621" width="0.7109375" style="1278" customWidth="1"/>
    <col min="15622" max="15872" width="9.140625" style="1278"/>
    <col min="15873" max="15873" width="0" style="1278" hidden="1" customWidth="1"/>
    <col min="15874" max="15874" width="32.28515625" style="1278" customWidth="1"/>
    <col min="15875" max="15875" width="1.140625" style="1278" customWidth="1"/>
    <col min="15876" max="15876" width="16.7109375" style="1278" customWidth="1"/>
    <col min="15877" max="15877" width="0.7109375" style="1278" customWidth="1"/>
    <col min="15878" max="16128" width="9.140625" style="1278"/>
    <col min="16129" max="16129" width="0" style="1278" hidden="1" customWidth="1"/>
    <col min="16130" max="16130" width="32.28515625" style="1278" customWidth="1"/>
    <col min="16131" max="16131" width="1.140625" style="1278" customWidth="1"/>
    <col min="16132" max="16132" width="16.7109375" style="1278" customWidth="1"/>
    <col min="16133" max="16133" width="0.7109375" style="1278" customWidth="1"/>
    <col min="16134" max="16384" width="9.140625" style="1278"/>
  </cols>
  <sheetData>
    <row r="1" spans="2:5" hidden="1" outlineLevel="1">
      <c r="B1" s="1278" t="s">
        <v>549</v>
      </c>
      <c r="D1" s="1278" t="s">
        <v>550</v>
      </c>
    </row>
    <row r="2" spans="2:5" hidden="1" outlineLevel="1">
      <c r="B2" s="1278" t="s">
        <v>221</v>
      </c>
      <c r="D2" s="1278" t="s">
        <v>550</v>
      </c>
    </row>
    <row r="3" spans="2:5" hidden="1" outlineLevel="1">
      <c r="B3" s="1278" t="s">
        <v>551</v>
      </c>
      <c r="D3" s="1278" t="s">
        <v>550</v>
      </c>
    </row>
    <row r="4" spans="2:5" hidden="1" outlineLevel="1">
      <c r="B4" s="1278" t="s">
        <v>552</v>
      </c>
      <c r="D4" s="1278" t="s">
        <v>553</v>
      </c>
    </row>
    <row r="5" spans="2:5" hidden="1" outlineLevel="1">
      <c r="B5" s="1278" t="s">
        <v>554</v>
      </c>
      <c r="D5" s="1278" t="s">
        <v>24</v>
      </c>
    </row>
    <row r="6" spans="2:5" hidden="1" outlineLevel="1">
      <c r="B6" s="1278" t="s">
        <v>555</v>
      </c>
      <c r="D6" s="1278" t="s">
        <v>556</v>
      </c>
    </row>
    <row r="7" spans="2:5" hidden="1" outlineLevel="1">
      <c r="B7" s="1278" t="s">
        <v>557</v>
      </c>
      <c r="D7" s="1320"/>
    </row>
    <row r="8" spans="2:5" hidden="1" outlineLevel="1">
      <c r="B8" s="1278" t="s">
        <v>558</v>
      </c>
      <c r="D8" s="1321">
        <v>2014</v>
      </c>
    </row>
    <row r="9" spans="2:5" hidden="1" outlineLevel="1">
      <c r="B9" s="1278" t="s">
        <v>559</v>
      </c>
      <c r="D9" s="1321"/>
    </row>
    <row r="10" spans="2:5" hidden="1" outlineLevel="1"/>
    <row r="11" spans="2:5" collapsed="1">
      <c r="B11" s="1322" t="s">
        <v>218</v>
      </c>
      <c r="C11" s="1322"/>
      <c r="E11" s="1322"/>
    </row>
    <row r="12" spans="2:5">
      <c r="B12" s="1322" t="s">
        <v>1</v>
      </c>
      <c r="C12" s="1322"/>
      <c r="E12" s="1322"/>
    </row>
    <row r="13" spans="2:5">
      <c r="B13" s="1323" t="s">
        <v>560</v>
      </c>
      <c r="C13" s="1322"/>
      <c r="E13" s="1322"/>
    </row>
    <row r="14" spans="2:5">
      <c r="D14" s="1324" t="s">
        <v>561</v>
      </c>
    </row>
    <row r="15" spans="2:5">
      <c r="D15" s="1324" t="s">
        <v>562</v>
      </c>
    </row>
    <row r="16" spans="2:5">
      <c r="D16" s="1325" t="s">
        <v>563</v>
      </c>
    </row>
    <row r="17" spans="1:5">
      <c r="D17" s="1326"/>
    </row>
    <row r="18" spans="1:5">
      <c r="A18" s="787" t="s">
        <v>564</v>
      </c>
      <c r="B18" s="1278" t="s">
        <v>565</v>
      </c>
      <c r="D18" s="1327">
        <v>3375862933.4099998</v>
      </c>
    </row>
    <row r="19" spans="1:5">
      <c r="B19" s="1278" t="s">
        <v>566</v>
      </c>
      <c r="D19" s="1327"/>
    </row>
    <row r="20" spans="1:5">
      <c r="A20" s="787" t="s">
        <v>567</v>
      </c>
      <c r="B20" s="1278" t="s">
        <v>568</v>
      </c>
      <c r="D20" s="1328">
        <v>1957712009.0799999</v>
      </c>
      <c r="E20" s="1328"/>
    </row>
    <row r="21" spans="1:5">
      <c r="A21" s="787" t="s">
        <v>569</v>
      </c>
      <c r="B21" s="1278" t="s">
        <v>570</v>
      </c>
      <c r="D21" s="1328">
        <v>474262619.99000001</v>
      </c>
      <c r="E21" s="1328"/>
    </row>
    <row r="22" spans="1:5">
      <c r="A22" s="787" t="s">
        <v>571</v>
      </c>
      <c r="B22" s="1278" t="s">
        <v>572</v>
      </c>
      <c r="D22" s="1328">
        <v>393600078.06999999</v>
      </c>
      <c r="E22" s="1328"/>
    </row>
    <row r="23" spans="1:5">
      <c r="A23" s="1329" t="s">
        <v>573</v>
      </c>
      <c r="B23" s="1278" t="s">
        <v>574</v>
      </c>
      <c r="D23" s="1328">
        <v>70311952.549999997</v>
      </c>
      <c r="E23" s="1328"/>
    </row>
    <row r="24" spans="1:5">
      <c r="A24" s="1329" t="s">
        <v>575</v>
      </c>
      <c r="B24" s="1278" t="s">
        <v>576</v>
      </c>
      <c r="D24" s="1328">
        <v>28678379.440000001</v>
      </c>
      <c r="E24" s="1328"/>
    </row>
    <row r="25" spans="1:5">
      <c r="A25" s="1330">
        <v>91005</v>
      </c>
      <c r="B25" s="1278" t="s">
        <v>577</v>
      </c>
      <c r="D25" s="1328">
        <v>-999998.23</v>
      </c>
      <c r="E25" s="1328"/>
    </row>
    <row r="26" spans="1:5">
      <c r="B26" s="1278" t="s">
        <v>578</v>
      </c>
      <c r="D26" s="1328">
        <f>D18-SUM(D20:D25)</f>
        <v>452297892.50999975</v>
      </c>
      <c r="E26" s="1328"/>
    </row>
    <row r="27" spans="1:5">
      <c r="D27" s="1328"/>
      <c r="E27" s="1328"/>
    </row>
    <row r="28" spans="1:5">
      <c r="A28" s="1329" t="s">
        <v>316</v>
      </c>
      <c r="B28" s="1278" t="s">
        <v>579</v>
      </c>
      <c r="D28" s="1328">
        <v>-386335231.99000001</v>
      </c>
      <c r="E28" s="1328"/>
    </row>
    <row r="29" spans="1:5">
      <c r="A29" s="1329" t="s">
        <v>318</v>
      </c>
      <c r="B29" s="1278" t="s">
        <v>580</v>
      </c>
      <c r="D29" s="1328">
        <v>294228798.06999999</v>
      </c>
      <c r="E29" s="1328"/>
    </row>
    <row r="30" spans="1:5">
      <c r="A30" s="787" t="s">
        <v>320</v>
      </c>
      <c r="B30" s="1278" t="s">
        <v>581</v>
      </c>
      <c r="D30" s="1328">
        <v>53192.23</v>
      </c>
      <c r="E30" s="1328"/>
    </row>
    <row r="31" spans="1:5">
      <c r="A31" s="787" t="s">
        <v>582</v>
      </c>
      <c r="B31" s="1278" t="s">
        <v>583</v>
      </c>
      <c r="D31" s="1328">
        <v>1120994.08</v>
      </c>
      <c r="E31" s="1328"/>
    </row>
    <row r="32" spans="1:5">
      <c r="D32" s="1328"/>
      <c r="E32" s="1328"/>
    </row>
    <row r="33" spans="1:5">
      <c r="B33" s="1278" t="s">
        <v>584</v>
      </c>
      <c r="D33" s="1328">
        <f>SUM(D26:D31)</f>
        <v>361365644.89999974</v>
      </c>
      <c r="E33" s="1328"/>
    </row>
    <row r="34" spans="1:5">
      <c r="D34" s="1328"/>
      <c r="E34" s="1328"/>
    </row>
    <row r="35" spans="1:5">
      <c r="A35" s="1329" t="s">
        <v>325</v>
      </c>
      <c r="B35" s="1278" t="s">
        <v>585</v>
      </c>
      <c r="D35" s="1328">
        <v>-114044305.34</v>
      </c>
      <c r="E35" s="1328"/>
    </row>
    <row r="36" spans="1:5">
      <c r="D36" s="1328"/>
      <c r="E36" s="1328"/>
    </row>
    <row r="37" spans="1:5">
      <c r="B37" s="1278" t="s">
        <v>586</v>
      </c>
      <c r="D37" s="1328">
        <f>SUM(D33:D35)</f>
        <v>247321339.55999973</v>
      </c>
      <c r="E37" s="1328"/>
    </row>
    <row r="38" spans="1:5">
      <c r="B38" s="1278" t="s">
        <v>587</v>
      </c>
      <c r="D38" s="1328"/>
      <c r="E38" s="1328"/>
    </row>
    <row r="39" spans="1:5">
      <c r="A39" s="1329" t="s">
        <v>328</v>
      </c>
      <c r="B39" s="1278" t="s">
        <v>588</v>
      </c>
      <c r="D39" s="1328">
        <v>-781715.64</v>
      </c>
    </row>
    <row r="40" spans="1:5">
      <c r="D40" s="1327"/>
    </row>
    <row r="41" spans="1:5" ht="15.75" thickBot="1">
      <c r="B41" s="1278" t="s">
        <v>589</v>
      </c>
      <c r="D41" s="1331">
        <f>SUM(D37:D39)</f>
        <v>246539623.91999975</v>
      </c>
    </row>
    <row r="42" spans="1:5">
      <c r="D42" s="1332"/>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view="pageBreakPreview" topLeftCell="B7" zoomScale="60" zoomScaleNormal="100" workbookViewId="0">
      <selection activeCell="G20" sqref="G20"/>
    </sheetView>
  </sheetViews>
  <sheetFormatPr defaultRowHeight="15" outlineLevelRow="1" outlineLevelCol="1"/>
  <cols>
    <col min="1" max="1" width="35" style="786" hidden="1" customWidth="1" outlineLevel="1"/>
    <col min="2" max="2" width="41.28515625" style="786" bestFit="1" customWidth="1" collapsed="1"/>
    <col min="3" max="3" width="17.42578125" style="786" bestFit="1" customWidth="1"/>
    <col min="4" max="4" width="9.140625" style="786"/>
    <col min="5" max="5" width="20.42578125" style="786" bestFit="1" customWidth="1"/>
    <col min="6" max="7" width="10.85546875" style="786" bestFit="1" customWidth="1"/>
    <col min="8" max="13" width="9.140625" style="786"/>
    <col min="14" max="14" width="14.28515625" style="786" bestFit="1" customWidth="1"/>
    <col min="15" max="256" width="9.140625" style="786"/>
    <col min="257" max="257" width="0" style="786" hidden="1" customWidth="1"/>
    <col min="258" max="258" width="41.28515625" style="786" bestFit="1" customWidth="1"/>
    <col min="259" max="259" width="15.7109375" style="786" customWidth="1"/>
    <col min="260" max="260" width="9.140625" style="786"/>
    <col min="261" max="261" width="20.42578125" style="786" bestFit="1" customWidth="1"/>
    <col min="262" max="263" width="10.85546875" style="786" bestFit="1" customWidth="1"/>
    <col min="264" max="512" width="9.140625" style="786"/>
    <col min="513" max="513" width="0" style="786" hidden="1" customWidth="1"/>
    <col min="514" max="514" width="41.28515625" style="786" bestFit="1" customWidth="1"/>
    <col min="515" max="515" width="15.7109375" style="786" customWidth="1"/>
    <col min="516" max="516" width="9.140625" style="786"/>
    <col min="517" max="517" width="20.42578125" style="786" bestFit="1" customWidth="1"/>
    <col min="518" max="519" width="10.85546875" style="786" bestFit="1" customWidth="1"/>
    <col min="520" max="768" width="9.140625" style="786"/>
    <col min="769" max="769" width="0" style="786" hidden="1" customWidth="1"/>
    <col min="770" max="770" width="41.28515625" style="786" bestFit="1" customWidth="1"/>
    <col min="771" max="771" width="15.7109375" style="786" customWidth="1"/>
    <col min="772" max="772" width="9.140625" style="786"/>
    <col min="773" max="773" width="20.42578125" style="786" bestFit="1" customWidth="1"/>
    <col min="774" max="775" width="10.85546875" style="786" bestFit="1" customWidth="1"/>
    <col min="776" max="1024" width="9.140625" style="786"/>
    <col min="1025" max="1025" width="0" style="786" hidden="1" customWidth="1"/>
    <col min="1026" max="1026" width="41.28515625" style="786" bestFit="1" customWidth="1"/>
    <col min="1027" max="1027" width="15.7109375" style="786" customWidth="1"/>
    <col min="1028" max="1028" width="9.140625" style="786"/>
    <col min="1029" max="1029" width="20.42578125" style="786" bestFit="1" customWidth="1"/>
    <col min="1030" max="1031" width="10.85546875" style="786" bestFit="1" customWidth="1"/>
    <col min="1032" max="1280" width="9.140625" style="786"/>
    <col min="1281" max="1281" width="0" style="786" hidden="1" customWidth="1"/>
    <col min="1282" max="1282" width="41.28515625" style="786" bestFit="1" customWidth="1"/>
    <col min="1283" max="1283" width="15.7109375" style="786" customWidth="1"/>
    <col min="1284" max="1284" width="9.140625" style="786"/>
    <col min="1285" max="1285" width="20.42578125" style="786" bestFit="1" customWidth="1"/>
    <col min="1286" max="1287" width="10.85546875" style="786" bestFit="1" customWidth="1"/>
    <col min="1288" max="1536" width="9.140625" style="786"/>
    <col min="1537" max="1537" width="0" style="786" hidden="1" customWidth="1"/>
    <col min="1538" max="1538" width="41.28515625" style="786" bestFit="1" customWidth="1"/>
    <col min="1539" max="1539" width="15.7109375" style="786" customWidth="1"/>
    <col min="1540" max="1540" width="9.140625" style="786"/>
    <col min="1541" max="1541" width="20.42578125" style="786" bestFit="1" customWidth="1"/>
    <col min="1542" max="1543" width="10.85546875" style="786" bestFit="1" customWidth="1"/>
    <col min="1544" max="1792" width="9.140625" style="786"/>
    <col min="1793" max="1793" width="0" style="786" hidden="1" customWidth="1"/>
    <col min="1794" max="1794" width="41.28515625" style="786" bestFit="1" customWidth="1"/>
    <col min="1795" max="1795" width="15.7109375" style="786" customWidth="1"/>
    <col min="1796" max="1796" width="9.140625" style="786"/>
    <col min="1797" max="1797" width="20.42578125" style="786" bestFit="1" customWidth="1"/>
    <col min="1798" max="1799" width="10.85546875" style="786" bestFit="1" customWidth="1"/>
    <col min="1800" max="2048" width="9.140625" style="786"/>
    <col min="2049" max="2049" width="0" style="786" hidden="1" customWidth="1"/>
    <col min="2050" max="2050" width="41.28515625" style="786" bestFit="1" customWidth="1"/>
    <col min="2051" max="2051" width="15.7109375" style="786" customWidth="1"/>
    <col min="2052" max="2052" width="9.140625" style="786"/>
    <col min="2053" max="2053" width="20.42578125" style="786" bestFit="1" customWidth="1"/>
    <col min="2054" max="2055" width="10.85546875" style="786" bestFit="1" customWidth="1"/>
    <col min="2056" max="2304" width="9.140625" style="786"/>
    <col min="2305" max="2305" width="0" style="786" hidden="1" customWidth="1"/>
    <col min="2306" max="2306" width="41.28515625" style="786" bestFit="1" customWidth="1"/>
    <col min="2307" max="2307" width="15.7109375" style="786" customWidth="1"/>
    <col min="2308" max="2308" width="9.140625" style="786"/>
    <col min="2309" max="2309" width="20.42578125" style="786" bestFit="1" customWidth="1"/>
    <col min="2310" max="2311" width="10.85546875" style="786" bestFit="1" customWidth="1"/>
    <col min="2312" max="2560" width="9.140625" style="786"/>
    <col min="2561" max="2561" width="0" style="786" hidden="1" customWidth="1"/>
    <col min="2562" max="2562" width="41.28515625" style="786" bestFit="1" customWidth="1"/>
    <col min="2563" max="2563" width="15.7109375" style="786" customWidth="1"/>
    <col min="2564" max="2564" width="9.140625" style="786"/>
    <col min="2565" max="2565" width="20.42578125" style="786" bestFit="1" customWidth="1"/>
    <col min="2566" max="2567" width="10.85546875" style="786" bestFit="1" customWidth="1"/>
    <col min="2568" max="2816" width="9.140625" style="786"/>
    <col min="2817" max="2817" width="0" style="786" hidden="1" customWidth="1"/>
    <col min="2818" max="2818" width="41.28515625" style="786" bestFit="1" customWidth="1"/>
    <col min="2819" max="2819" width="15.7109375" style="786" customWidth="1"/>
    <col min="2820" max="2820" width="9.140625" style="786"/>
    <col min="2821" max="2821" width="20.42578125" style="786" bestFit="1" customWidth="1"/>
    <col min="2822" max="2823" width="10.85546875" style="786" bestFit="1" customWidth="1"/>
    <col min="2824" max="3072" width="9.140625" style="786"/>
    <col min="3073" max="3073" width="0" style="786" hidden="1" customWidth="1"/>
    <col min="3074" max="3074" width="41.28515625" style="786" bestFit="1" customWidth="1"/>
    <col min="3075" max="3075" width="15.7109375" style="786" customWidth="1"/>
    <col min="3076" max="3076" width="9.140625" style="786"/>
    <col min="3077" max="3077" width="20.42578125" style="786" bestFit="1" customWidth="1"/>
    <col min="3078" max="3079" width="10.85546875" style="786" bestFit="1" customWidth="1"/>
    <col min="3080" max="3328" width="9.140625" style="786"/>
    <col min="3329" max="3329" width="0" style="786" hidden="1" customWidth="1"/>
    <col min="3330" max="3330" width="41.28515625" style="786" bestFit="1" customWidth="1"/>
    <col min="3331" max="3331" width="15.7109375" style="786" customWidth="1"/>
    <col min="3332" max="3332" width="9.140625" style="786"/>
    <col min="3333" max="3333" width="20.42578125" style="786" bestFit="1" customWidth="1"/>
    <col min="3334" max="3335" width="10.85546875" style="786" bestFit="1" customWidth="1"/>
    <col min="3336" max="3584" width="9.140625" style="786"/>
    <col min="3585" max="3585" width="0" style="786" hidden="1" customWidth="1"/>
    <col min="3586" max="3586" width="41.28515625" style="786" bestFit="1" customWidth="1"/>
    <col min="3587" max="3587" width="15.7109375" style="786" customWidth="1"/>
    <col min="3588" max="3588" width="9.140625" style="786"/>
    <col min="3589" max="3589" width="20.42578125" style="786" bestFit="1" customWidth="1"/>
    <col min="3590" max="3591" width="10.85546875" style="786" bestFit="1" customWidth="1"/>
    <col min="3592" max="3840" width="9.140625" style="786"/>
    <col min="3841" max="3841" width="0" style="786" hidden="1" customWidth="1"/>
    <col min="3842" max="3842" width="41.28515625" style="786" bestFit="1" customWidth="1"/>
    <col min="3843" max="3843" width="15.7109375" style="786" customWidth="1"/>
    <col min="3844" max="3844" width="9.140625" style="786"/>
    <col min="3845" max="3845" width="20.42578125" style="786" bestFit="1" customWidth="1"/>
    <col min="3846" max="3847" width="10.85546875" style="786" bestFit="1" customWidth="1"/>
    <col min="3848" max="4096" width="9.140625" style="786"/>
    <col min="4097" max="4097" width="0" style="786" hidden="1" customWidth="1"/>
    <col min="4098" max="4098" width="41.28515625" style="786" bestFit="1" customWidth="1"/>
    <col min="4099" max="4099" width="15.7109375" style="786" customWidth="1"/>
    <col min="4100" max="4100" width="9.140625" style="786"/>
    <col min="4101" max="4101" width="20.42578125" style="786" bestFit="1" customWidth="1"/>
    <col min="4102" max="4103" width="10.85546875" style="786" bestFit="1" customWidth="1"/>
    <col min="4104" max="4352" width="9.140625" style="786"/>
    <col min="4353" max="4353" width="0" style="786" hidden="1" customWidth="1"/>
    <col min="4354" max="4354" width="41.28515625" style="786" bestFit="1" customWidth="1"/>
    <col min="4355" max="4355" width="15.7109375" style="786" customWidth="1"/>
    <col min="4356" max="4356" width="9.140625" style="786"/>
    <col min="4357" max="4357" width="20.42578125" style="786" bestFit="1" customWidth="1"/>
    <col min="4358" max="4359" width="10.85546875" style="786" bestFit="1" customWidth="1"/>
    <col min="4360" max="4608" width="9.140625" style="786"/>
    <col min="4609" max="4609" width="0" style="786" hidden="1" customWidth="1"/>
    <col min="4610" max="4610" width="41.28515625" style="786" bestFit="1" customWidth="1"/>
    <col min="4611" max="4611" width="15.7109375" style="786" customWidth="1"/>
    <col min="4612" max="4612" width="9.140625" style="786"/>
    <col min="4613" max="4613" width="20.42578125" style="786" bestFit="1" customWidth="1"/>
    <col min="4614" max="4615" width="10.85546875" style="786" bestFit="1" customWidth="1"/>
    <col min="4616" max="4864" width="9.140625" style="786"/>
    <col min="4865" max="4865" width="0" style="786" hidden="1" customWidth="1"/>
    <col min="4866" max="4866" width="41.28515625" style="786" bestFit="1" customWidth="1"/>
    <col min="4867" max="4867" width="15.7109375" style="786" customWidth="1"/>
    <col min="4868" max="4868" width="9.140625" style="786"/>
    <col min="4869" max="4869" width="20.42578125" style="786" bestFit="1" customWidth="1"/>
    <col min="4870" max="4871" width="10.85546875" style="786" bestFit="1" customWidth="1"/>
    <col min="4872" max="5120" width="9.140625" style="786"/>
    <col min="5121" max="5121" width="0" style="786" hidden="1" customWidth="1"/>
    <col min="5122" max="5122" width="41.28515625" style="786" bestFit="1" customWidth="1"/>
    <col min="5123" max="5123" width="15.7109375" style="786" customWidth="1"/>
    <col min="5124" max="5124" width="9.140625" style="786"/>
    <col min="5125" max="5125" width="20.42578125" style="786" bestFit="1" customWidth="1"/>
    <col min="5126" max="5127" width="10.85546875" style="786" bestFit="1" customWidth="1"/>
    <col min="5128" max="5376" width="9.140625" style="786"/>
    <col min="5377" max="5377" width="0" style="786" hidden="1" customWidth="1"/>
    <col min="5378" max="5378" width="41.28515625" style="786" bestFit="1" customWidth="1"/>
    <col min="5379" max="5379" width="15.7109375" style="786" customWidth="1"/>
    <col min="5380" max="5380" width="9.140625" style="786"/>
    <col min="5381" max="5381" width="20.42578125" style="786" bestFit="1" customWidth="1"/>
    <col min="5382" max="5383" width="10.85546875" style="786" bestFit="1" customWidth="1"/>
    <col min="5384" max="5632" width="9.140625" style="786"/>
    <col min="5633" max="5633" width="0" style="786" hidden="1" customWidth="1"/>
    <col min="5634" max="5634" width="41.28515625" style="786" bestFit="1" customWidth="1"/>
    <col min="5635" max="5635" width="15.7109375" style="786" customWidth="1"/>
    <col min="5636" max="5636" width="9.140625" style="786"/>
    <col min="5637" max="5637" width="20.42578125" style="786" bestFit="1" customWidth="1"/>
    <col min="5638" max="5639" width="10.85546875" style="786" bestFit="1" customWidth="1"/>
    <col min="5640" max="5888" width="9.140625" style="786"/>
    <col min="5889" max="5889" width="0" style="786" hidden="1" customWidth="1"/>
    <col min="5890" max="5890" width="41.28515625" style="786" bestFit="1" customWidth="1"/>
    <col min="5891" max="5891" width="15.7109375" style="786" customWidth="1"/>
    <col min="5892" max="5892" width="9.140625" style="786"/>
    <col min="5893" max="5893" width="20.42578125" style="786" bestFit="1" customWidth="1"/>
    <col min="5894" max="5895" width="10.85546875" style="786" bestFit="1" customWidth="1"/>
    <col min="5896" max="6144" width="9.140625" style="786"/>
    <col min="6145" max="6145" width="0" style="786" hidden="1" customWidth="1"/>
    <col min="6146" max="6146" width="41.28515625" style="786" bestFit="1" customWidth="1"/>
    <col min="6147" max="6147" width="15.7109375" style="786" customWidth="1"/>
    <col min="6148" max="6148" width="9.140625" style="786"/>
    <col min="6149" max="6149" width="20.42578125" style="786" bestFit="1" customWidth="1"/>
    <col min="6150" max="6151" width="10.85546875" style="786" bestFit="1" customWidth="1"/>
    <col min="6152" max="6400" width="9.140625" style="786"/>
    <col min="6401" max="6401" width="0" style="786" hidden="1" customWidth="1"/>
    <col min="6402" max="6402" width="41.28515625" style="786" bestFit="1" customWidth="1"/>
    <col min="6403" max="6403" width="15.7109375" style="786" customWidth="1"/>
    <col min="6404" max="6404" width="9.140625" style="786"/>
    <col min="6405" max="6405" width="20.42578125" style="786" bestFit="1" customWidth="1"/>
    <col min="6406" max="6407" width="10.85546875" style="786" bestFit="1" customWidth="1"/>
    <col min="6408" max="6656" width="9.140625" style="786"/>
    <col min="6657" max="6657" width="0" style="786" hidden="1" customWidth="1"/>
    <col min="6658" max="6658" width="41.28515625" style="786" bestFit="1" customWidth="1"/>
    <col min="6659" max="6659" width="15.7109375" style="786" customWidth="1"/>
    <col min="6660" max="6660" width="9.140625" style="786"/>
    <col min="6661" max="6661" width="20.42578125" style="786" bestFit="1" customWidth="1"/>
    <col min="6662" max="6663" width="10.85546875" style="786" bestFit="1" customWidth="1"/>
    <col min="6664" max="6912" width="9.140625" style="786"/>
    <col min="6913" max="6913" width="0" style="786" hidden="1" customWidth="1"/>
    <col min="6914" max="6914" width="41.28515625" style="786" bestFit="1" customWidth="1"/>
    <col min="6915" max="6915" width="15.7109375" style="786" customWidth="1"/>
    <col min="6916" max="6916" width="9.140625" style="786"/>
    <col min="6917" max="6917" width="20.42578125" style="786" bestFit="1" customWidth="1"/>
    <col min="6918" max="6919" width="10.85546875" style="786" bestFit="1" customWidth="1"/>
    <col min="6920" max="7168" width="9.140625" style="786"/>
    <col min="7169" max="7169" width="0" style="786" hidden="1" customWidth="1"/>
    <col min="7170" max="7170" width="41.28515625" style="786" bestFit="1" customWidth="1"/>
    <col min="7171" max="7171" width="15.7109375" style="786" customWidth="1"/>
    <col min="7172" max="7172" width="9.140625" style="786"/>
    <col min="7173" max="7173" width="20.42578125" style="786" bestFit="1" customWidth="1"/>
    <col min="7174" max="7175" width="10.85546875" style="786" bestFit="1" customWidth="1"/>
    <col min="7176" max="7424" width="9.140625" style="786"/>
    <col min="7425" max="7425" width="0" style="786" hidden="1" customWidth="1"/>
    <col min="7426" max="7426" width="41.28515625" style="786" bestFit="1" customWidth="1"/>
    <col min="7427" max="7427" width="15.7109375" style="786" customWidth="1"/>
    <col min="7428" max="7428" width="9.140625" style="786"/>
    <col min="7429" max="7429" width="20.42578125" style="786" bestFit="1" customWidth="1"/>
    <col min="7430" max="7431" width="10.85546875" style="786" bestFit="1" customWidth="1"/>
    <col min="7432" max="7680" width="9.140625" style="786"/>
    <col min="7681" max="7681" width="0" style="786" hidden="1" customWidth="1"/>
    <col min="7682" max="7682" width="41.28515625" style="786" bestFit="1" customWidth="1"/>
    <col min="7683" max="7683" width="15.7109375" style="786" customWidth="1"/>
    <col min="7684" max="7684" width="9.140625" style="786"/>
    <col min="7685" max="7685" width="20.42578125" style="786" bestFit="1" customWidth="1"/>
    <col min="7686" max="7687" width="10.85546875" style="786" bestFit="1" customWidth="1"/>
    <col min="7688" max="7936" width="9.140625" style="786"/>
    <col min="7937" max="7937" width="0" style="786" hidden="1" customWidth="1"/>
    <col min="7938" max="7938" width="41.28515625" style="786" bestFit="1" customWidth="1"/>
    <col min="7939" max="7939" width="15.7109375" style="786" customWidth="1"/>
    <col min="7940" max="7940" width="9.140625" style="786"/>
    <col min="7941" max="7941" width="20.42578125" style="786" bestFit="1" customWidth="1"/>
    <col min="7942" max="7943" width="10.85546875" style="786" bestFit="1" customWidth="1"/>
    <col min="7944" max="8192" width="9.140625" style="786"/>
    <col min="8193" max="8193" width="0" style="786" hidden="1" customWidth="1"/>
    <col min="8194" max="8194" width="41.28515625" style="786" bestFit="1" customWidth="1"/>
    <col min="8195" max="8195" width="15.7109375" style="786" customWidth="1"/>
    <col min="8196" max="8196" width="9.140625" style="786"/>
    <col min="8197" max="8197" width="20.42578125" style="786" bestFit="1" customWidth="1"/>
    <col min="8198" max="8199" width="10.85546875" style="786" bestFit="1" customWidth="1"/>
    <col min="8200" max="8448" width="9.140625" style="786"/>
    <col min="8449" max="8449" width="0" style="786" hidden="1" customWidth="1"/>
    <col min="8450" max="8450" width="41.28515625" style="786" bestFit="1" customWidth="1"/>
    <col min="8451" max="8451" width="15.7109375" style="786" customWidth="1"/>
    <col min="8452" max="8452" width="9.140625" style="786"/>
    <col min="8453" max="8453" width="20.42578125" style="786" bestFit="1" customWidth="1"/>
    <col min="8454" max="8455" width="10.85546875" style="786" bestFit="1" customWidth="1"/>
    <col min="8456" max="8704" width="9.140625" style="786"/>
    <col min="8705" max="8705" width="0" style="786" hidden="1" customWidth="1"/>
    <col min="8706" max="8706" width="41.28515625" style="786" bestFit="1" customWidth="1"/>
    <col min="8707" max="8707" width="15.7109375" style="786" customWidth="1"/>
    <col min="8708" max="8708" width="9.140625" style="786"/>
    <col min="8709" max="8709" width="20.42578125" style="786" bestFit="1" customWidth="1"/>
    <col min="8710" max="8711" width="10.85546875" style="786" bestFit="1" customWidth="1"/>
    <col min="8712" max="8960" width="9.140625" style="786"/>
    <col min="8961" max="8961" width="0" style="786" hidden="1" customWidth="1"/>
    <col min="8962" max="8962" width="41.28515625" style="786" bestFit="1" customWidth="1"/>
    <col min="8963" max="8963" width="15.7109375" style="786" customWidth="1"/>
    <col min="8964" max="8964" width="9.140625" style="786"/>
    <col min="8965" max="8965" width="20.42578125" style="786" bestFit="1" customWidth="1"/>
    <col min="8966" max="8967" width="10.85546875" style="786" bestFit="1" customWidth="1"/>
    <col min="8968" max="9216" width="9.140625" style="786"/>
    <col min="9217" max="9217" width="0" style="786" hidden="1" customWidth="1"/>
    <col min="9218" max="9218" width="41.28515625" style="786" bestFit="1" customWidth="1"/>
    <col min="9219" max="9219" width="15.7109375" style="786" customWidth="1"/>
    <col min="9220" max="9220" width="9.140625" style="786"/>
    <col min="9221" max="9221" width="20.42578125" style="786" bestFit="1" customWidth="1"/>
    <col min="9222" max="9223" width="10.85546875" style="786" bestFit="1" customWidth="1"/>
    <col min="9224" max="9472" width="9.140625" style="786"/>
    <col min="9473" max="9473" width="0" style="786" hidden="1" customWidth="1"/>
    <col min="9474" max="9474" width="41.28515625" style="786" bestFit="1" customWidth="1"/>
    <col min="9475" max="9475" width="15.7109375" style="786" customWidth="1"/>
    <col min="9476" max="9476" width="9.140625" style="786"/>
    <col min="9477" max="9477" width="20.42578125" style="786" bestFit="1" customWidth="1"/>
    <col min="9478" max="9479" width="10.85546875" style="786" bestFit="1" customWidth="1"/>
    <col min="9480" max="9728" width="9.140625" style="786"/>
    <col min="9729" max="9729" width="0" style="786" hidden="1" customWidth="1"/>
    <col min="9730" max="9730" width="41.28515625" style="786" bestFit="1" customWidth="1"/>
    <col min="9731" max="9731" width="15.7109375" style="786" customWidth="1"/>
    <col min="9732" max="9732" width="9.140625" style="786"/>
    <col min="9733" max="9733" width="20.42578125" style="786" bestFit="1" customWidth="1"/>
    <col min="9734" max="9735" width="10.85546875" style="786" bestFit="1" customWidth="1"/>
    <col min="9736" max="9984" width="9.140625" style="786"/>
    <col min="9985" max="9985" width="0" style="786" hidden="1" customWidth="1"/>
    <col min="9986" max="9986" width="41.28515625" style="786" bestFit="1" customWidth="1"/>
    <col min="9987" max="9987" width="15.7109375" style="786" customWidth="1"/>
    <col min="9988" max="9988" width="9.140625" style="786"/>
    <col min="9989" max="9989" width="20.42578125" style="786" bestFit="1" customWidth="1"/>
    <col min="9990" max="9991" width="10.85546875" style="786" bestFit="1" customWidth="1"/>
    <col min="9992" max="10240" width="9.140625" style="786"/>
    <col min="10241" max="10241" width="0" style="786" hidden="1" customWidth="1"/>
    <col min="10242" max="10242" width="41.28515625" style="786" bestFit="1" customWidth="1"/>
    <col min="10243" max="10243" width="15.7109375" style="786" customWidth="1"/>
    <col min="10244" max="10244" width="9.140625" style="786"/>
    <col min="10245" max="10245" width="20.42578125" style="786" bestFit="1" customWidth="1"/>
    <col min="10246" max="10247" width="10.85546875" style="786" bestFit="1" customWidth="1"/>
    <col min="10248" max="10496" width="9.140625" style="786"/>
    <col min="10497" max="10497" width="0" style="786" hidden="1" customWidth="1"/>
    <col min="10498" max="10498" width="41.28515625" style="786" bestFit="1" customWidth="1"/>
    <col min="10499" max="10499" width="15.7109375" style="786" customWidth="1"/>
    <col min="10500" max="10500" width="9.140625" style="786"/>
    <col min="10501" max="10501" width="20.42578125" style="786" bestFit="1" customWidth="1"/>
    <col min="10502" max="10503" width="10.85546875" style="786" bestFit="1" customWidth="1"/>
    <col min="10504" max="10752" width="9.140625" style="786"/>
    <col min="10753" max="10753" width="0" style="786" hidden="1" customWidth="1"/>
    <col min="10754" max="10754" width="41.28515625" style="786" bestFit="1" customWidth="1"/>
    <col min="10755" max="10755" width="15.7109375" style="786" customWidth="1"/>
    <col min="10756" max="10756" width="9.140625" style="786"/>
    <col min="10757" max="10757" width="20.42578125" style="786" bestFit="1" customWidth="1"/>
    <col min="10758" max="10759" width="10.85546875" style="786" bestFit="1" customWidth="1"/>
    <col min="10760" max="11008" width="9.140625" style="786"/>
    <col min="11009" max="11009" width="0" style="786" hidden="1" customWidth="1"/>
    <col min="11010" max="11010" width="41.28515625" style="786" bestFit="1" customWidth="1"/>
    <col min="11011" max="11011" width="15.7109375" style="786" customWidth="1"/>
    <col min="11012" max="11012" width="9.140625" style="786"/>
    <col min="11013" max="11013" width="20.42578125" style="786" bestFit="1" customWidth="1"/>
    <col min="11014" max="11015" width="10.85546875" style="786" bestFit="1" customWidth="1"/>
    <col min="11016" max="11264" width="9.140625" style="786"/>
    <col min="11265" max="11265" width="0" style="786" hidden="1" customWidth="1"/>
    <col min="11266" max="11266" width="41.28515625" style="786" bestFit="1" customWidth="1"/>
    <col min="11267" max="11267" width="15.7109375" style="786" customWidth="1"/>
    <col min="11268" max="11268" width="9.140625" style="786"/>
    <col min="11269" max="11269" width="20.42578125" style="786" bestFit="1" customWidth="1"/>
    <col min="11270" max="11271" width="10.85546875" style="786" bestFit="1" customWidth="1"/>
    <col min="11272" max="11520" width="9.140625" style="786"/>
    <col min="11521" max="11521" width="0" style="786" hidden="1" customWidth="1"/>
    <col min="11522" max="11522" width="41.28515625" style="786" bestFit="1" customWidth="1"/>
    <col min="11523" max="11523" width="15.7109375" style="786" customWidth="1"/>
    <col min="11524" max="11524" width="9.140625" style="786"/>
    <col min="11525" max="11525" width="20.42578125" style="786" bestFit="1" customWidth="1"/>
    <col min="11526" max="11527" width="10.85546875" style="786" bestFit="1" customWidth="1"/>
    <col min="11528" max="11776" width="9.140625" style="786"/>
    <col min="11777" max="11777" width="0" style="786" hidden="1" customWidth="1"/>
    <col min="11778" max="11778" width="41.28515625" style="786" bestFit="1" customWidth="1"/>
    <col min="11779" max="11779" width="15.7109375" style="786" customWidth="1"/>
    <col min="11780" max="11780" width="9.140625" style="786"/>
    <col min="11781" max="11781" width="20.42578125" style="786" bestFit="1" customWidth="1"/>
    <col min="11782" max="11783" width="10.85546875" style="786" bestFit="1" customWidth="1"/>
    <col min="11784" max="12032" width="9.140625" style="786"/>
    <col min="12033" max="12033" width="0" style="786" hidden="1" customWidth="1"/>
    <col min="12034" max="12034" width="41.28515625" style="786" bestFit="1" customWidth="1"/>
    <col min="12035" max="12035" width="15.7109375" style="786" customWidth="1"/>
    <col min="12036" max="12036" width="9.140625" style="786"/>
    <col min="12037" max="12037" width="20.42578125" style="786" bestFit="1" customWidth="1"/>
    <col min="12038" max="12039" width="10.85546875" style="786" bestFit="1" customWidth="1"/>
    <col min="12040" max="12288" width="9.140625" style="786"/>
    <col min="12289" max="12289" width="0" style="786" hidden="1" customWidth="1"/>
    <col min="12290" max="12290" width="41.28515625" style="786" bestFit="1" customWidth="1"/>
    <col min="12291" max="12291" width="15.7109375" style="786" customWidth="1"/>
    <col min="12292" max="12292" width="9.140625" style="786"/>
    <col min="12293" max="12293" width="20.42578125" style="786" bestFit="1" customWidth="1"/>
    <col min="12294" max="12295" width="10.85546875" style="786" bestFit="1" customWidth="1"/>
    <col min="12296" max="12544" width="9.140625" style="786"/>
    <col min="12545" max="12545" width="0" style="786" hidden="1" customWidth="1"/>
    <col min="12546" max="12546" width="41.28515625" style="786" bestFit="1" customWidth="1"/>
    <col min="12547" max="12547" width="15.7109375" style="786" customWidth="1"/>
    <col min="12548" max="12548" width="9.140625" style="786"/>
    <col min="12549" max="12549" width="20.42578125" style="786" bestFit="1" customWidth="1"/>
    <col min="12550" max="12551" width="10.85546875" style="786" bestFit="1" customWidth="1"/>
    <col min="12552" max="12800" width="9.140625" style="786"/>
    <col min="12801" max="12801" width="0" style="786" hidden="1" customWidth="1"/>
    <col min="12802" max="12802" width="41.28515625" style="786" bestFit="1" customWidth="1"/>
    <col min="12803" max="12803" width="15.7109375" style="786" customWidth="1"/>
    <col min="12804" max="12804" width="9.140625" style="786"/>
    <col min="12805" max="12805" width="20.42578125" style="786" bestFit="1" customWidth="1"/>
    <col min="12806" max="12807" width="10.85546875" style="786" bestFit="1" customWidth="1"/>
    <col min="12808" max="13056" width="9.140625" style="786"/>
    <col min="13057" max="13057" width="0" style="786" hidden="1" customWidth="1"/>
    <col min="13058" max="13058" width="41.28515625" style="786" bestFit="1" customWidth="1"/>
    <col min="13059" max="13059" width="15.7109375" style="786" customWidth="1"/>
    <col min="13060" max="13060" width="9.140625" style="786"/>
    <col min="13061" max="13061" width="20.42578125" style="786" bestFit="1" customWidth="1"/>
    <col min="13062" max="13063" width="10.85546875" style="786" bestFit="1" customWidth="1"/>
    <col min="13064" max="13312" width="9.140625" style="786"/>
    <col min="13313" max="13313" width="0" style="786" hidden="1" customWidth="1"/>
    <col min="13314" max="13314" width="41.28515625" style="786" bestFit="1" customWidth="1"/>
    <col min="13315" max="13315" width="15.7109375" style="786" customWidth="1"/>
    <col min="13316" max="13316" width="9.140625" style="786"/>
    <col min="13317" max="13317" width="20.42578125" style="786" bestFit="1" customWidth="1"/>
    <col min="13318" max="13319" width="10.85546875" style="786" bestFit="1" customWidth="1"/>
    <col min="13320" max="13568" width="9.140625" style="786"/>
    <col min="13569" max="13569" width="0" style="786" hidden="1" customWidth="1"/>
    <col min="13570" max="13570" width="41.28515625" style="786" bestFit="1" customWidth="1"/>
    <col min="13571" max="13571" width="15.7109375" style="786" customWidth="1"/>
    <col min="13572" max="13572" width="9.140625" style="786"/>
    <col min="13573" max="13573" width="20.42578125" style="786" bestFit="1" customWidth="1"/>
    <col min="13574" max="13575" width="10.85546875" style="786" bestFit="1" customWidth="1"/>
    <col min="13576" max="13824" width="9.140625" style="786"/>
    <col min="13825" max="13825" width="0" style="786" hidden="1" customWidth="1"/>
    <col min="13826" max="13826" width="41.28515625" style="786" bestFit="1" customWidth="1"/>
    <col min="13827" max="13827" width="15.7109375" style="786" customWidth="1"/>
    <col min="13828" max="13828" width="9.140625" style="786"/>
    <col min="13829" max="13829" width="20.42578125" style="786" bestFit="1" customWidth="1"/>
    <col min="13830" max="13831" width="10.85546875" style="786" bestFit="1" customWidth="1"/>
    <col min="13832" max="14080" width="9.140625" style="786"/>
    <col min="14081" max="14081" width="0" style="786" hidden="1" customWidth="1"/>
    <col min="14082" max="14082" width="41.28515625" style="786" bestFit="1" customWidth="1"/>
    <col min="14083" max="14083" width="15.7109375" style="786" customWidth="1"/>
    <col min="14084" max="14084" width="9.140625" style="786"/>
    <col min="14085" max="14085" width="20.42578125" style="786" bestFit="1" customWidth="1"/>
    <col min="14086" max="14087" width="10.85546875" style="786" bestFit="1" customWidth="1"/>
    <col min="14088" max="14336" width="9.140625" style="786"/>
    <col min="14337" max="14337" width="0" style="786" hidden="1" customWidth="1"/>
    <col min="14338" max="14338" width="41.28515625" style="786" bestFit="1" customWidth="1"/>
    <col min="14339" max="14339" width="15.7109375" style="786" customWidth="1"/>
    <col min="14340" max="14340" width="9.140625" style="786"/>
    <col min="14341" max="14341" width="20.42578125" style="786" bestFit="1" customWidth="1"/>
    <col min="14342" max="14343" width="10.85546875" style="786" bestFit="1" customWidth="1"/>
    <col min="14344" max="14592" width="9.140625" style="786"/>
    <col min="14593" max="14593" width="0" style="786" hidden="1" customWidth="1"/>
    <col min="14594" max="14594" width="41.28515625" style="786" bestFit="1" customWidth="1"/>
    <col min="14595" max="14595" width="15.7109375" style="786" customWidth="1"/>
    <col min="14596" max="14596" width="9.140625" style="786"/>
    <col min="14597" max="14597" width="20.42578125" style="786" bestFit="1" customWidth="1"/>
    <col min="14598" max="14599" width="10.85546875" style="786" bestFit="1" customWidth="1"/>
    <col min="14600" max="14848" width="9.140625" style="786"/>
    <col min="14849" max="14849" width="0" style="786" hidden="1" customWidth="1"/>
    <col min="14850" max="14850" width="41.28515625" style="786" bestFit="1" customWidth="1"/>
    <col min="14851" max="14851" width="15.7109375" style="786" customWidth="1"/>
    <col min="14852" max="14852" width="9.140625" style="786"/>
    <col min="14853" max="14853" width="20.42578125" style="786" bestFit="1" customWidth="1"/>
    <col min="14854" max="14855" width="10.85546875" style="786" bestFit="1" customWidth="1"/>
    <col min="14856" max="15104" width="9.140625" style="786"/>
    <col min="15105" max="15105" width="0" style="786" hidden="1" customWidth="1"/>
    <col min="15106" max="15106" width="41.28515625" style="786" bestFit="1" customWidth="1"/>
    <col min="15107" max="15107" width="15.7109375" style="786" customWidth="1"/>
    <col min="15108" max="15108" width="9.140625" style="786"/>
    <col min="15109" max="15109" width="20.42578125" style="786" bestFit="1" customWidth="1"/>
    <col min="15110" max="15111" width="10.85546875" style="786" bestFit="1" customWidth="1"/>
    <col min="15112" max="15360" width="9.140625" style="786"/>
    <col min="15361" max="15361" width="0" style="786" hidden="1" customWidth="1"/>
    <col min="15362" max="15362" width="41.28515625" style="786" bestFit="1" customWidth="1"/>
    <col min="15363" max="15363" width="15.7109375" style="786" customWidth="1"/>
    <col min="15364" max="15364" width="9.140625" style="786"/>
    <col min="15365" max="15365" width="20.42578125" style="786" bestFit="1" customWidth="1"/>
    <col min="15366" max="15367" width="10.85546875" style="786" bestFit="1" customWidth="1"/>
    <col min="15368" max="15616" width="9.140625" style="786"/>
    <col min="15617" max="15617" width="0" style="786" hidden="1" customWidth="1"/>
    <col min="15618" max="15618" width="41.28515625" style="786" bestFit="1" customWidth="1"/>
    <col min="15619" max="15619" width="15.7109375" style="786" customWidth="1"/>
    <col min="15620" max="15620" width="9.140625" style="786"/>
    <col min="15621" max="15621" width="20.42578125" style="786" bestFit="1" customWidth="1"/>
    <col min="15622" max="15623" width="10.85546875" style="786" bestFit="1" customWidth="1"/>
    <col min="15624" max="15872" width="9.140625" style="786"/>
    <col min="15873" max="15873" width="0" style="786" hidden="1" customWidth="1"/>
    <col min="15874" max="15874" width="41.28515625" style="786" bestFit="1" customWidth="1"/>
    <col min="15875" max="15875" width="15.7109375" style="786" customWidth="1"/>
    <col min="15876" max="15876" width="9.140625" style="786"/>
    <col min="15877" max="15877" width="20.42578125" style="786" bestFit="1" customWidth="1"/>
    <col min="15878" max="15879" width="10.85546875" style="786" bestFit="1" customWidth="1"/>
    <col min="15880" max="16128" width="9.140625" style="786"/>
    <col min="16129" max="16129" width="0" style="786" hidden="1" customWidth="1"/>
    <col min="16130" max="16130" width="41.28515625" style="786" bestFit="1" customWidth="1"/>
    <col min="16131" max="16131" width="15.7109375" style="786" customWidth="1"/>
    <col min="16132" max="16132" width="9.140625" style="786"/>
    <col min="16133" max="16133" width="20.42578125" style="786" bestFit="1" customWidth="1"/>
    <col min="16134" max="16135" width="10.85546875" style="786" bestFit="1" customWidth="1"/>
    <col min="16136" max="16384" width="9.140625" style="786"/>
  </cols>
  <sheetData>
    <row r="1" spans="1:7" hidden="1" outlineLevel="1">
      <c r="A1" s="234"/>
      <c r="B1" s="283" t="s">
        <v>590</v>
      </c>
      <c r="C1" s="285" t="s">
        <v>550</v>
      </c>
      <c r="D1" s="787"/>
      <c r="E1" s="787"/>
    </row>
    <row r="2" spans="1:7" hidden="1" outlineLevel="1">
      <c r="A2" s="234"/>
      <c r="B2" s="283" t="s">
        <v>221</v>
      </c>
      <c r="C2" s="285" t="s">
        <v>550</v>
      </c>
      <c r="D2" s="787"/>
      <c r="E2" s="787"/>
    </row>
    <row r="3" spans="1:7" hidden="1" outlineLevel="1">
      <c r="A3" s="234"/>
      <c r="B3" s="283" t="s">
        <v>551</v>
      </c>
      <c r="C3" s="285" t="s">
        <v>550</v>
      </c>
      <c r="D3" s="787"/>
      <c r="E3" s="787"/>
    </row>
    <row r="4" spans="1:7" hidden="1" outlineLevel="1">
      <c r="A4" s="234"/>
      <c r="B4" s="283" t="s">
        <v>552</v>
      </c>
      <c r="C4" s="285" t="s">
        <v>553</v>
      </c>
      <c r="D4" s="787"/>
      <c r="E4" s="787"/>
    </row>
    <row r="5" spans="1:7" hidden="1" outlineLevel="1">
      <c r="A5" s="234"/>
      <c r="B5" s="283" t="s">
        <v>554</v>
      </c>
      <c r="C5" s="285" t="s">
        <v>24</v>
      </c>
      <c r="D5" s="787"/>
      <c r="E5" s="787"/>
    </row>
    <row r="6" spans="1:7" hidden="1" outlineLevel="1">
      <c r="A6" s="234"/>
      <c r="B6" s="234"/>
      <c r="C6" s="234"/>
    </row>
    <row r="7" spans="1:7" collapsed="1">
      <c r="B7" s="1322" t="s">
        <v>218</v>
      </c>
      <c r="C7" s="1345"/>
    </row>
    <row r="8" spans="1:7">
      <c r="B8" s="1322" t="s">
        <v>591</v>
      </c>
    </row>
    <row r="9" spans="1:7" ht="30" customHeight="1">
      <c r="B9" s="1462" t="s">
        <v>560</v>
      </c>
      <c r="C9" s="1462"/>
      <c r="D9" s="1462"/>
      <c r="E9" s="1462"/>
      <c r="F9" s="787"/>
      <c r="G9" s="787"/>
    </row>
    <row r="10" spans="1:7">
      <c r="A10" s="1333"/>
      <c r="B10" s="1334"/>
      <c r="C10" s="1305" t="s">
        <v>592</v>
      </c>
    </row>
    <row r="11" spans="1:7" ht="15.75" thickBot="1">
      <c r="A11" s="1333"/>
      <c r="B11" s="1343"/>
      <c r="C11" s="1346" t="s">
        <v>593</v>
      </c>
    </row>
    <row r="12" spans="1:7" ht="15.75" thickBot="1">
      <c r="A12" s="267"/>
      <c r="B12" s="287" t="s">
        <v>594</v>
      </c>
      <c r="C12" s="286"/>
    </row>
    <row r="13" spans="1:7">
      <c r="A13" s="1333"/>
      <c r="B13" s="1334"/>
      <c r="C13" s="1334"/>
    </row>
    <row r="14" spans="1:7">
      <c r="A14" s="1333"/>
      <c r="B14" s="1334" t="s">
        <v>595</v>
      </c>
      <c r="C14" s="1334"/>
    </row>
    <row r="15" spans="1:7">
      <c r="A15" s="1278" t="s">
        <v>335</v>
      </c>
      <c r="B15" s="1335" t="s">
        <v>596</v>
      </c>
      <c r="C15" s="1327">
        <v>154423879.43000001</v>
      </c>
    </row>
    <row r="16" spans="1:7">
      <c r="A16" s="1278" t="s">
        <v>349</v>
      </c>
      <c r="B16" s="1335" t="s">
        <v>597</v>
      </c>
      <c r="C16" s="1328">
        <v>490864037.73000002</v>
      </c>
    </row>
    <row r="17" spans="1:5">
      <c r="A17" s="1278" t="s">
        <v>374</v>
      </c>
      <c r="B17" s="1335" t="s">
        <v>598</v>
      </c>
      <c r="C17" s="1328">
        <v>89177152</v>
      </c>
    </row>
    <row r="18" spans="1:5">
      <c r="A18" s="1278" t="s">
        <v>359</v>
      </c>
      <c r="B18" s="1335" t="s">
        <v>365</v>
      </c>
      <c r="C18" s="1328">
        <v>24757952.510000002</v>
      </c>
    </row>
    <row r="19" spans="1:5">
      <c r="A19" s="1278" t="s">
        <v>366</v>
      </c>
      <c r="B19" s="1335" t="s">
        <v>599</v>
      </c>
      <c r="C19" s="1336">
        <f>243533031.61-170187391</f>
        <v>73345640.610000014</v>
      </c>
    </row>
    <row r="20" spans="1:5" ht="15.75" thickBot="1">
      <c r="A20" s="1333"/>
      <c r="B20" s="1337" t="s">
        <v>600</v>
      </c>
      <c r="C20" s="1338">
        <f>SUM(C15:C19)</f>
        <v>832568662.28000009</v>
      </c>
    </row>
    <row r="21" spans="1:5">
      <c r="A21" s="1278"/>
      <c r="B21" s="1334"/>
      <c r="C21" s="1339"/>
    </row>
    <row r="22" spans="1:5">
      <c r="A22" s="1278" t="s">
        <v>377</v>
      </c>
      <c r="B22" s="1340" t="s">
        <v>601</v>
      </c>
      <c r="C22" s="1341">
        <v>4771678340.5100002</v>
      </c>
    </row>
    <row r="23" spans="1:5">
      <c r="A23" s="1278" t="s">
        <v>415</v>
      </c>
      <c r="B23" s="1340" t="s">
        <v>418</v>
      </c>
      <c r="C23" s="1341">
        <v>4400314962.8500004</v>
      </c>
    </row>
    <row r="24" spans="1:5">
      <c r="A24" s="1278" t="s">
        <v>419</v>
      </c>
      <c r="B24" s="1340" t="s">
        <v>602</v>
      </c>
      <c r="C24" s="1341">
        <v>1072251703.91</v>
      </c>
    </row>
    <row r="25" spans="1:5">
      <c r="A25" s="1342" t="s">
        <v>430</v>
      </c>
      <c r="B25" s="1340" t="s">
        <v>603</v>
      </c>
      <c r="C25" s="1341">
        <v>63406246.299999997</v>
      </c>
    </row>
    <row r="26" spans="1:5">
      <c r="A26" s="1342" t="s">
        <v>604</v>
      </c>
      <c r="B26" s="1340" t="s">
        <v>605</v>
      </c>
      <c r="C26" s="1341">
        <f>6601433179.07-6548551120</f>
        <v>52882059.069999695</v>
      </c>
    </row>
    <row r="27" spans="1:5">
      <c r="A27" s="1342" t="s">
        <v>436</v>
      </c>
      <c r="B27" s="1340" t="s">
        <v>439</v>
      </c>
      <c r="C27" s="1336">
        <v>0</v>
      </c>
    </row>
    <row r="28" spans="1:5">
      <c r="A28" s="1278"/>
      <c r="B28" s="1343"/>
      <c r="C28" s="1339"/>
    </row>
    <row r="29" spans="1:5" ht="15.75" thickBot="1">
      <c r="A29" s="1278"/>
      <c r="B29" s="1335"/>
      <c r="C29" s="1338">
        <f>SUM(C20:C27)</f>
        <v>11193101974.919998</v>
      </c>
      <c r="E29" s="1344"/>
    </row>
    <row r="30" spans="1:5" ht="15.75" thickBot="1">
      <c r="A30" s="1278"/>
      <c r="B30" s="1334"/>
      <c r="C30" s="1339"/>
    </row>
    <row r="31" spans="1:5" ht="15.75" thickBot="1">
      <c r="A31" s="288"/>
      <c r="B31" s="287" t="s">
        <v>606</v>
      </c>
      <c r="C31" s="286"/>
    </row>
    <row r="32" spans="1:5">
      <c r="A32" s="1342"/>
      <c r="B32" s="1334"/>
      <c r="C32" s="1334"/>
    </row>
    <row r="33" spans="1:3">
      <c r="A33" s="1342"/>
      <c r="B33" s="1340" t="s">
        <v>607</v>
      </c>
      <c r="C33" s="1334"/>
    </row>
    <row r="34" spans="1:3">
      <c r="A34" s="1342" t="s">
        <v>443</v>
      </c>
      <c r="B34" s="1337" t="s">
        <v>608</v>
      </c>
      <c r="C34" s="1327">
        <v>252572428.78</v>
      </c>
    </row>
    <row r="35" spans="1:3">
      <c r="A35" s="1347" t="s">
        <v>467</v>
      </c>
      <c r="B35" s="1337" t="s">
        <v>609</v>
      </c>
      <c r="C35" s="1328">
        <v>10955646.539999999</v>
      </c>
    </row>
    <row r="36" spans="1:3">
      <c r="A36" s="1342" t="s">
        <v>456</v>
      </c>
      <c r="B36" s="1337" t="s">
        <v>610</v>
      </c>
      <c r="C36" s="1328">
        <f>441400627.7-170187391</f>
        <v>271213236.69999999</v>
      </c>
    </row>
    <row r="37" spans="1:3">
      <c r="A37" s="1348" t="s">
        <v>611</v>
      </c>
      <c r="B37" s="1337" t="s">
        <v>612</v>
      </c>
      <c r="C37" s="1328">
        <v>21452869.300000001</v>
      </c>
    </row>
    <row r="38" spans="1:3">
      <c r="A38" s="1347" t="s">
        <v>453</v>
      </c>
      <c r="B38" s="1337" t="s">
        <v>613</v>
      </c>
      <c r="C38" s="1328">
        <v>134332635.94999999</v>
      </c>
    </row>
    <row r="39" spans="1:3">
      <c r="A39" s="1347" t="s">
        <v>441</v>
      </c>
      <c r="B39" s="1337" t="s">
        <v>614</v>
      </c>
      <c r="C39" s="1336">
        <v>1650261.87</v>
      </c>
    </row>
    <row r="40" spans="1:3">
      <c r="A40" s="1347"/>
      <c r="B40" s="1349" t="s">
        <v>615</v>
      </c>
      <c r="C40" s="1343">
        <f>SUM(C34:C39)</f>
        <v>692177079.13999999</v>
      </c>
    </row>
    <row r="41" spans="1:3">
      <c r="A41" s="1347"/>
      <c r="B41" s="1340"/>
      <c r="C41" s="1350"/>
    </row>
    <row r="42" spans="1:3">
      <c r="A42" s="1342" t="s">
        <v>616</v>
      </c>
      <c r="B42" s="1340" t="s">
        <v>617</v>
      </c>
      <c r="C42" s="1328">
        <f>10165311040.58-6548551120</f>
        <v>3616759920.5799999</v>
      </c>
    </row>
    <row r="43" spans="1:3">
      <c r="A43" s="1348" t="s">
        <v>618</v>
      </c>
      <c r="B43" s="1340" t="s">
        <v>619</v>
      </c>
      <c r="C43" s="1328">
        <v>30373383.73</v>
      </c>
    </row>
    <row r="44" spans="1:3">
      <c r="A44" s="1347" t="s">
        <v>471</v>
      </c>
      <c r="B44" s="1340" t="s">
        <v>620</v>
      </c>
      <c r="C44" s="1328">
        <v>867840568.61000001</v>
      </c>
    </row>
    <row r="45" spans="1:3">
      <c r="A45" s="1347" t="s">
        <v>469</v>
      </c>
      <c r="B45" s="1340" t="s">
        <v>621</v>
      </c>
      <c r="C45" s="1336">
        <v>331074148.98000002</v>
      </c>
    </row>
    <row r="46" spans="1:3">
      <c r="A46" s="1342"/>
      <c r="B46" s="1335" t="s">
        <v>622</v>
      </c>
      <c r="C46" s="1351">
        <f>SUM(C40:C45)</f>
        <v>5538225101.039999</v>
      </c>
    </row>
    <row r="47" spans="1:3">
      <c r="A47" s="1342"/>
      <c r="B47" s="1334"/>
      <c r="C47" s="1334"/>
    </row>
    <row r="48" spans="1:3">
      <c r="A48" s="1347"/>
      <c r="B48" s="1352" t="s">
        <v>623</v>
      </c>
      <c r="C48" s="1334"/>
    </row>
    <row r="49" spans="1:5">
      <c r="A49" s="1347" t="s">
        <v>476</v>
      </c>
      <c r="B49" s="1335" t="s">
        <v>624</v>
      </c>
      <c r="C49" s="1328">
        <v>4187864080.79</v>
      </c>
    </row>
    <row r="50" spans="1:5">
      <c r="A50" s="1347" t="s">
        <v>484</v>
      </c>
      <c r="B50" s="1335" t="s">
        <v>625</v>
      </c>
      <c r="C50" s="1328">
        <v>102220472.51000001</v>
      </c>
    </row>
    <row r="51" spans="1:5">
      <c r="A51" s="1347" t="s">
        <v>478</v>
      </c>
      <c r="B51" s="1335" t="s">
        <v>626</v>
      </c>
      <c r="C51" s="1328">
        <v>0</v>
      </c>
    </row>
    <row r="52" spans="1:5">
      <c r="A52" s="1347" t="s">
        <v>480</v>
      </c>
      <c r="B52" s="1335" t="s">
        <v>627</v>
      </c>
      <c r="C52" s="1328">
        <v>0</v>
      </c>
    </row>
    <row r="53" spans="1:5">
      <c r="A53" s="1347" t="s">
        <v>486</v>
      </c>
      <c r="B53" s="1335" t="s">
        <v>628</v>
      </c>
      <c r="C53" s="1328">
        <v>-13055938.08</v>
      </c>
      <c r="E53" s="1353"/>
    </row>
    <row r="54" spans="1:5">
      <c r="A54" s="1354" t="s">
        <v>629</v>
      </c>
      <c r="B54" s="1335" t="s">
        <v>630</v>
      </c>
      <c r="C54" s="1328">
        <v>-50930986.109999999</v>
      </c>
    </row>
    <row r="55" spans="1:5">
      <c r="A55" s="1354" t="s">
        <v>488</v>
      </c>
      <c r="B55" s="1335" t="s">
        <v>631</v>
      </c>
      <c r="C55" s="1328">
        <v>1413487582.53</v>
      </c>
    </row>
    <row r="56" spans="1:5">
      <c r="A56" s="1354" t="s">
        <v>482</v>
      </c>
      <c r="B56" s="1335" t="s">
        <v>632</v>
      </c>
      <c r="C56" s="1336">
        <v>7929741.6200000001</v>
      </c>
    </row>
    <row r="57" spans="1:5">
      <c r="A57" s="1342"/>
      <c r="B57" s="1337" t="s">
        <v>633</v>
      </c>
      <c r="C57" s="1341">
        <f>SUM(C49:C56)</f>
        <v>5647514953.2600002</v>
      </c>
    </row>
    <row r="58" spans="1:5">
      <c r="A58" s="1354" t="s">
        <v>634</v>
      </c>
      <c r="B58" s="1340" t="s">
        <v>635</v>
      </c>
      <c r="C58" s="1336">
        <v>7361920.3700000001</v>
      </c>
    </row>
    <row r="59" spans="1:5">
      <c r="A59" s="1347"/>
      <c r="B59" s="1337" t="s">
        <v>636</v>
      </c>
      <c r="C59" s="1336">
        <f>SUM(C57:C58)</f>
        <v>5654876873.6300001</v>
      </c>
    </row>
    <row r="60" spans="1:5">
      <c r="A60" s="1333"/>
      <c r="B60" s="1337"/>
      <c r="C60" s="1334"/>
    </row>
    <row r="61" spans="1:5" ht="15.75" thickBot="1">
      <c r="A61" s="1347"/>
      <c r="B61" s="1335"/>
      <c r="C61" s="1338">
        <f>+C59+C46</f>
        <v>11193101974.669998</v>
      </c>
    </row>
    <row r="62" spans="1:5">
      <c r="A62" s="1347"/>
      <c r="B62" s="1355"/>
      <c r="C62" s="1356"/>
    </row>
    <row r="63" spans="1:5">
      <c r="A63" s="1347"/>
      <c r="B63" s="1355"/>
      <c r="C63" s="1356"/>
    </row>
    <row r="64" spans="1:5">
      <c r="B64" s="1357"/>
      <c r="C64" s="1358"/>
    </row>
    <row r="65" spans="1:14" ht="15.75" thickBot="1">
      <c r="A65" s="1347"/>
      <c r="B65" s="1355"/>
      <c r="C65" s="1359"/>
    </row>
    <row r="66" spans="1:14">
      <c r="B66" s="1360"/>
      <c r="C66" s="1361" t="s">
        <v>637</v>
      </c>
      <c r="D66" s="1361"/>
      <c r="E66" s="1362" t="s">
        <v>1454</v>
      </c>
      <c r="F66" s="1363"/>
    </row>
    <row r="67" spans="1:14">
      <c r="B67" s="1364" t="s">
        <v>638</v>
      </c>
      <c r="C67" s="1365">
        <f>3616760+1650</f>
        <v>3618410</v>
      </c>
      <c r="D67" s="1366">
        <f>C67/C69</f>
        <v>0.3901971329044383</v>
      </c>
      <c r="E67" s="1367">
        <v>0.4</v>
      </c>
      <c r="F67" s="1368"/>
    </row>
    <row r="68" spans="1:14">
      <c r="B68" s="1364" t="s">
        <v>639</v>
      </c>
      <c r="C68" s="1369">
        <v>5654877</v>
      </c>
      <c r="D68" s="1366">
        <f>C68/C69</f>
        <v>0.60980286709556164</v>
      </c>
      <c r="E68" s="1367">
        <v>0.6</v>
      </c>
      <c r="F68" s="1368"/>
      <c r="N68" s="1370"/>
    </row>
    <row r="69" spans="1:14">
      <c r="B69" s="1364" t="s">
        <v>640</v>
      </c>
      <c r="C69" s="1371">
        <f>SUM(C67:C68)</f>
        <v>9273287</v>
      </c>
      <c r="D69" s="1368"/>
      <c r="E69" s="1372"/>
      <c r="F69" s="1368"/>
      <c r="N69" s="1370"/>
    </row>
    <row r="70" spans="1:14" ht="15.75" thickBot="1">
      <c r="B70" s="1373"/>
      <c r="C70" s="1374"/>
      <c r="D70" s="1374"/>
      <c r="E70" s="1375"/>
      <c r="F70" s="1368"/>
      <c r="N70" s="1376"/>
    </row>
    <row r="71" spans="1:14" ht="15.75" thickBot="1"/>
    <row r="72" spans="1:14">
      <c r="B72" s="1377"/>
      <c r="C72" s="1378" t="s">
        <v>641</v>
      </c>
      <c r="D72" s="1379"/>
    </row>
    <row r="73" spans="1:14">
      <c r="B73" s="1364" t="s">
        <v>642</v>
      </c>
      <c r="C73" s="1380">
        <f>-('WCI P&amp;L'!D28+'WCI P&amp;L'!D29)/1000</f>
        <v>92106.43392000001</v>
      </c>
      <c r="D73" s="1381"/>
      <c r="E73" s="1368"/>
      <c r="F73" s="1368"/>
      <c r="G73" s="1368"/>
    </row>
    <row r="74" spans="1:14">
      <c r="B74" s="1364" t="s">
        <v>638</v>
      </c>
      <c r="C74" s="1382">
        <f>C67</f>
        <v>3618410</v>
      </c>
      <c r="D74" s="1381"/>
      <c r="E74" s="1368"/>
      <c r="F74" s="1368"/>
      <c r="G74" s="1368"/>
    </row>
    <row r="75" spans="1:14">
      <c r="B75" s="1383"/>
      <c r="C75" s="1368"/>
      <c r="D75" s="1372"/>
      <c r="E75" s="1368"/>
      <c r="F75" s="1368"/>
      <c r="G75" s="1368"/>
    </row>
    <row r="76" spans="1:14" ht="15.75" thickBot="1">
      <c r="B76" s="1384" t="s">
        <v>641</v>
      </c>
      <c r="C76" s="1385">
        <f>C73/C74</f>
        <v>2.5454946763910118E-2</v>
      </c>
      <c r="D76" s="1386"/>
      <c r="E76" s="1368"/>
      <c r="F76" s="1368"/>
      <c r="G76" s="1368"/>
    </row>
    <row r="77" spans="1:14">
      <c r="B77" s="1368"/>
      <c r="C77" s="1368"/>
      <c r="D77" s="1368"/>
      <c r="E77" s="1368"/>
      <c r="F77" s="1368"/>
      <c r="G77" s="1368"/>
    </row>
  </sheetData>
  <mergeCells count="1">
    <mergeCell ref="B9:E9"/>
  </mergeCells>
  <pageMargins left="0.7" right="0.7" top="0.75" bottom="0.75" header="0.3" footer="0.3"/>
  <pageSetup scale="80" orientation="portrait" r:id="rId1"/>
  <rowBreaks count="1" manualBreakCount="1">
    <brk id="41" max="16383" man="1"/>
  </rowBreaks>
  <colBreaks count="2" manualBreakCount="2">
    <brk id="5" max="84" man="1"/>
    <brk id="15"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view="pageBreakPreview" zoomScale="60" zoomScaleNormal="100" workbookViewId="0">
      <pane ySplit="10" topLeftCell="A11" activePane="bottomLeft" state="frozen"/>
      <selection activeCell="G20" sqref="G20"/>
      <selection pane="bottomLeft" activeCell="G20" sqref="G20"/>
    </sheetView>
  </sheetViews>
  <sheetFormatPr defaultRowHeight="15" outlineLevelRow="1"/>
  <cols>
    <col min="1" max="1" width="9.140625" style="786"/>
    <col min="2" max="2" width="36.140625" style="786" bestFit="1" customWidth="1"/>
    <col min="3" max="4" width="18" style="786" bestFit="1" customWidth="1"/>
    <col min="5" max="5" width="16.42578125" style="786" customWidth="1"/>
    <col min="6" max="6" width="9.140625" style="786"/>
    <col min="7" max="7" width="10.85546875" style="786" customWidth="1"/>
    <col min="8" max="257" width="9.140625" style="786"/>
    <col min="258" max="258" width="36.140625" style="786" bestFit="1" customWidth="1"/>
    <col min="259" max="260" width="18" style="786" bestFit="1" customWidth="1"/>
    <col min="261" max="261" width="13.5703125" style="786" customWidth="1"/>
    <col min="262" max="513" width="9.140625" style="786"/>
    <col min="514" max="514" width="36.140625" style="786" bestFit="1" customWidth="1"/>
    <col min="515" max="516" width="18" style="786" bestFit="1" customWidth="1"/>
    <col min="517" max="517" width="13.5703125" style="786" customWidth="1"/>
    <col min="518" max="769" width="9.140625" style="786"/>
    <col min="770" max="770" width="36.140625" style="786" bestFit="1" customWidth="1"/>
    <col min="771" max="772" width="18" style="786" bestFit="1" customWidth="1"/>
    <col min="773" max="773" width="13.5703125" style="786" customWidth="1"/>
    <col min="774" max="1025" width="9.140625" style="786"/>
    <col min="1026" max="1026" width="36.140625" style="786" bestFit="1" customWidth="1"/>
    <col min="1027" max="1028" width="18" style="786" bestFit="1" customWidth="1"/>
    <col min="1029" max="1029" width="13.5703125" style="786" customWidth="1"/>
    <col min="1030" max="1281" width="9.140625" style="786"/>
    <col min="1282" max="1282" width="36.140625" style="786" bestFit="1" customWidth="1"/>
    <col min="1283" max="1284" width="18" style="786" bestFit="1" customWidth="1"/>
    <col min="1285" max="1285" width="13.5703125" style="786" customWidth="1"/>
    <col min="1286" max="1537" width="9.140625" style="786"/>
    <col min="1538" max="1538" width="36.140625" style="786" bestFit="1" customWidth="1"/>
    <col min="1539" max="1540" width="18" style="786" bestFit="1" customWidth="1"/>
    <col min="1541" max="1541" width="13.5703125" style="786" customWidth="1"/>
    <col min="1542" max="1793" width="9.140625" style="786"/>
    <col min="1794" max="1794" width="36.140625" style="786" bestFit="1" customWidth="1"/>
    <col min="1795" max="1796" width="18" style="786" bestFit="1" customWidth="1"/>
    <col min="1797" max="1797" width="13.5703125" style="786" customWidth="1"/>
    <col min="1798" max="2049" width="9.140625" style="786"/>
    <col min="2050" max="2050" width="36.140625" style="786" bestFit="1" customWidth="1"/>
    <col min="2051" max="2052" width="18" style="786" bestFit="1" customWidth="1"/>
    <col min="2053" max="2053" width="13.5703125" style="786" customWidth="1"/>
    <col min="2054" max="2305" width="9.140625" style="786"/>
    <col min="2306" max="2306" width="36.140625" style="786" bestFit="1" customWidth="1"/>
    <col min="2307" max="2308" width="18" style="786" bestFit="1" customWidth="1"/>
    <col min="2309" max="2309" width="13.5703125" style="786" customWidth="1"/>
    <col min="2310" max="2561" width="9.140625" style="786"/>
    <col min="2562" max="2562" width="36.140625" style="786" bestFit="1" customWidth="1"/>
    <col min="2563" max="2564" width="18" style="786" bestFit="1" customWidth="1"/>
    <col min="2565" max="2565" width="13.5703125" style="786" customWidth="1"/>
    <col min="2566" max="2817" width="9.140625" style="786"/>
    <col min="2818" max="2818" width="36.140625" style="786" bestFit="1" customWidth="1"/>
    <col min="2819" max="2820" width="18" style="786" bestFit="1" customWidth="1"/>
    <col min="2821" max="2821" width="13.5703125" style="786" customWidth="1"/>
    <col min="2822" max="3073" width="9.140625" style="786"/>
    <col min="3074" max="3074" width="36.140625" style="786" bestFit="1" customWidth="1"/>
    <col min="3075" max="3076" width="18" style="786" bestFit="1" customWidth="1"/>
    <col min="3077" max="3077" width="13.5703125" style="786" customWidth="1"/>
    <col min="3078" max="3329" width="9.140625" style="786"/>
    <col min="3330" max="3330" width="36.140625" style="786" bestFit="1" customWidth="1"/>
    <col min="3331" max="3332" width="18" style="786" bestFit="1" customWidth="1"/>
    <col min="3333" max="3333" width="13.5703125" style="786" customWidth="1"/>
    <col min="3334" max="3585" width="9.140625" style="786"/>
    <col min="3586" max="3586" width="36.140625" style="786" bestFit="1" customWidth="1"/>
    <col min="3587" max="3588" width="18" style="786" bestFit="1" customWidth="1"/>
    <col min="3589" max="3589" width="13.5703125" style="786" customWidth="1"/>
    <col min="3590" max="3841" width="9.140625" style="786"/>
    <col min="3842" max="3842" width="36.140625" style="786" bestFit="1" customWidth="1"/>
    <col min="3843" max="3844" width="18" style="786" bestFit="1" customWidth="1"/>
    <col min="3845" max="3845" width="13.5703125" style="786" customWidth="1"/>
    <col min="3846" max="4097" width="9.140625" style="786"/>
    <col min="4098" max="4098" width="36.140625" style="786" bestFit="1" customWidth="1"/>
    <col min="4099" max="4100" width="18" style="786" bestFit="1" customWidth="1"/>
    <col min="4101" max="4101" width="13.5703125" style="786" customWidth="1"/>
    <col min="4102" max="4353" width="9.140625" style="786"/>
    <col min="4354" max="4354" width="36.140625" style="786" bestFit="1" customWidth="1"/>
    <col min="4355" max="4356" width="18" style="786" bestFit="1" customWidth="1"/>
    <col min="4357" max="4357" width="13.5703125" style="786" customWidth="1"/>
    <col min="4358" max="4609" width="9.140625" style="786"/>
    <col min="4610" max="4610" width="36.140625" style="786" bestFit="1" customWidth="1"/>
    <col min="4611" max="4612" width="18" style="786" bestFit="1" customWidth="1"/>
    <col min="4613" max="4613" width="13.5703125" style="786" customWidth="1"/>
    <col min="4614" max="4865" width="9.140625" style="786"/>
    <col min="4866" max="4866" width="36.140625" style="786" bestFit="1" customWidth="1"/>
    <col min="4867" max="4868" width="18" style="786" bestFit="1" customWidth="1"/>
    <col min="4869" max="4869" width="13.5703125" style="786" customWidth="1"/>
    <col min="4870" max="5121" width="9.140625" style="786"/>
    <col min="5122" max="5122" width="36.140625" style="786" bestFit="1" customWidth="1"/>
    <col min="5123" max="5124" width="18" style="786" bestFit="1" customWidth="1"/>
    <col min="5125" max="5125" width="13.5703125" style="786" customWidth="1"/>
    <col min="5126" max="5377" width="9.140625" style="786"/>
    <col min="5378" max="5378" width="36.140625" style="786" bestFit="1" customWidth="1"/>
    <col min="5379" max="5380" width="18" style="786" bestFit="1" customWidth="1"/>
    <col min="5381" max="5381" width="13.5703125" style="786" customWidth="1"/>
    <col min="5382" max="5633" width="9.140625" style="786"/>
    <col min="5634" max="5634" width="36.140625" style="786" bestFit="1" customWidth="1"/>
    <col min="5635" max="5636" width="18" style="786" bestFit="1" customWidth="1"/>
    <col min="5637" max="5637" width="13.5703125" style="786" customWidth="1"/>
    <col min="5638" max="5889" width="9.140625" style="786"/>
    <col min="5890" max="5890" width="36.140625" style="786" bestFit="1" customWidth="1"/>
    <col min="5891" max="5892" width="18" style="786" bestFit="1" customWidth="1"/>
    <col min="5893" max="5893" width="13.5703125" style="786" customWidth="1"/>
    <col min="5894" max="6145" width="9.140625" style="786"/>
    <col min="6146" max="6146" width="36.140625" style="786" bestFit="1" customWidth="1"/>
    <col min="6147" max="6148" width="18" style="786" bestFit="1" customWidth="1"/>
    <col min="6149" max="6149" width="13.5703125" style="786" customWidth="1"/>
    <col min="6150" max="6401" width="9.140625" style="786"/>
    <col min="6402" max="6402" width="36.140625" style="786" bestFit="1" customWidth="1"/>
    <col min="6403" max="6404" width="18" style="786" bestFit="1" customWidth="1"/>
    <col min="6405" max="6405" width="13.5703125" style="786" customWidth="1"/>
    <col min="6406" max="6657" width="9.140625" style="786"/>
    <col min="6658" max="6658" width="36.140625" style="786" bestFit="1" customWidth="1"/>
    <col min="6659" max="6660" width="18" style="786" bestFit="1" customWidth="1"/>
    <col min="6661" max="6661" width="13.5703125" style="786" customWidth="1"/>
    <col min="6662" max="6913" width="9.140625" style="786"/>
    <col min="6914" max="6914" width="36.140625" style="786" bestFit="1" customWidth="1"/>
    <col min="6915" max="6916" width="18" style="786" bestFit="1" customWidth="1"/>
    <col min="6917" max="6917" width="13.5703125" style="786" customWidth="1"/>
    <col min="6918" max="7169" width="9.140625" style="786"/>
    <col min="7170" max="7170" width="36.140625" style="786" bestFit="1" customWidth="1"/>
    <col min="7171" max="7172" width="18" style="786" bestFit="1" customWidth="1"/>
    <col min="7173" max="7173" width="13.5703125" style="786" customWidth="1"/>
    <col min="7174" max="7425" width="9.140625" style="786"/>
    <col min="7426" max="7426" width="36.140625" style="786" bestFit="1" customWidth="1"/>
    <col min="7427" max="7428" width="18" style="786" bestFit="1" customWidth="1"/>
    <col min="7429" max="7429" width="13.5703125" style="786" customWidth="1"/>
    <col min="7430" max="7681" width="9.140625" style="786"/>
    <col min="7682" max="7682" width="36.140625" style="786" bestFit="1" customWidth="1"/>
    <col min="7683" max="7684" width="18" style="786" bestFit="1" customWidth="1"/>
    <col min="7685" max="7685" width="13.5703125" style="786" customWidth="1"/>
    <col min="7686" max="7937" width="9.140625" style="786"/>
    <col min="7938" max="7938" width="36.140625" style="786" bestFit="1" customWidth="1"/>
    <col min="7939" max="7940" width="18" style="786" bestFit="1" customWidth="1"/>
    <col min="7941" max="7941" width="13.5703125" style="786" customWidth="1"/>
    <col min="7942" max="8193" width="9.140625" style="786"/>
    <col min="8194" max="8194" width="36.140625" style="786" bestFit="1" customWidth="1"/>
    <col min="8195" max="8196" width="18" style="786" bestFit="1" customWidth="1"/>
    <col min="8197" max="8197" width="13.5703125" style="786" customWidth="1"/>
    <col min="8198" max="8449" width="9.140625" style="786"/>
    <col min="8450" max="8450" width="36.140625" style="786" bestFit="1" customWidth="1"/>
    <col min="8451" max="8452" width="18" style="786" bestFit="1" customWidth="1"/>
    <col min="8453" max="8453" width="13.5703125" style="786" customWidth="1"/>
    <col min="8454" max="8705" width="9.140625" style="786"/>
    <col min="8706" max="8706" width="36.140625" style="786" bestFit="1" customWidth="1"/>
    <col min="8707" max="8708" width="18" style="786" bestFit="1" customWidth="1"/>
    <col min="8709" max="8709" width="13.5703125" style="786" customWidth="1"/>
    <col min="8710" max="8961" width="9.140625" style="786"/>
    <col min="8962" max="8962" width="36.140625" style="786" bestFit="1" customWidth="1"/>
    <col min="8963" max="8964" width="18" style="786" bestFit="1" customWidth="1"/>
    <col min="8965" max="8965" width="13.5703125" style="786" customWidth="1"/>
    <col min="8966" max="9217" width="9.140625" style="786"/>
    <col min="9218" max="9218" width="36.140625" style="786" bestFit="1" customWidth="1"/>
    <col min="9219" max="9220" width="18" style="786" bestFit="1" customWidth="1"/>
    <col min="9221" max="9221" width="13.5703125" style="786" customWidth="1"/>
    <col min="9222" max="9473" width="9.140625" style="786"/>
    <col min="9474" max="9474" width="36.140625" style="786" bestFit="1" customWidth="1"/>
    <col min="9475" max="9476" width="18" style="786" bestFit="1" customWidth="1"/>
    <col min="9477" max="9477" width="13.5703125" style="786" customWidth="1"/>
    <col min="9478" max="9729" width="9.140625" style="786"/>
    <col min="9730" max="9730" width="36.140625" style="786" bestFit="1" customWidth="1"/>
    <col min="9731" max="9732" width="18" style="786" bestFit="1" customWidth="1"/>
    <col min="9733" max="9733" width="13.5703125" style="786" customWidth="1"/>
    <col min="9734" max="9985" width="9.140625" style="786"/>
    <col min="9986" max="9986" width="36.140625" style="786" bestFit="1" customWidth="1"/>
    <col min="9987" max="9988" width="18" style="786" bestFit="1" customWidth="1"/>
    <col min="9989" max="9989" width="13.5703125" style="786" customWidth="1"/>
    <col min="9990" max="10241" width="9.140625" style="786"/>
    <col min="10242" max="10242" width="36.140625" style="786" bestFit="1" customWidth="1"/>
    <col min="10243" max="10244" width="18" style="786" bestFit="1" customWidth="1"/>
    <col min="10245" max="10245" width="13.5703125" style="786" customWidth="1"/>
    <col min="10246" max="10497" width="9.140625" style="786"/>
    <col min="10498" max="10498" width="36.140625" style="786" bestFit="1" customWidth="1"/>
    <col min="10499" max="10500" width="18" style="786" bestFit="1" customWidth="1"/>
    <col min="10501" max="10501" width="13.5703125" style="786" customWidth="1"/>
    <col min="10502" max="10753" width="9.140625" style="786"/>
    <col min="10754" max="10754" width="36.140625" style="786" bestFit="1" customWidth="1"/>
    <col min="10755" max="10756" width="18" style="786" bestFit="1" customWidth="1"/>
    <col min="10757" max="10757" width="13.5703125" style="786" customWidth="1"/>
    <col min="10758" max="11009" width="9.140625" style="786"/>
    <col min="11010" max="11010" width="36.140625" style="786" bestFit="1" customWidth="1"/>
    <col min="11011" max="11012" width="18" style="786" bestFit="1" customWidth="1"/>
    <col min="11013" max="11013" width="13.5703125" style="786" customWidth="1"/>
    <col min="11014" max="11265" width="9.140625" style="786"/>
    <col min="11266" max="11266" width="36.140625" style="786" bestFit="1" customWidth="1"/>
    <col min="11267" max="11268" width="18" style="786" bestFit="1" customWidth="1"/>
    <col min="11269" max="11269" width="13.5703125" style="786" customWidth="1"/>
    <col min="11270" max="11521" width="9.140625" style="786"/>
    <col min="11522" max="11522" width="36.140625" style="786" bestFit="1" customWidth="1"/>
    <col min="11523" max="11524" width="18" style="786" bestFit="1" customWidth="1"/>
    <col min="11525" max="11525" width="13.5703125" style="786" customWidth="1"/>
    <col min="11526" max="11777" width="9.140625" style="786"/>
    <col min="11778" max="11778" width="36.140625" style="786" bestFit="1" customWidth="1"/>
    <col min="11779" max="11780" width="18" style="786" bestFit="1" customWidth="1"/>
    <col min="11781" max="11781" width="13.5703125" style="786" customWidth="1"/>
    <col min="11782" max="12033" width="9.140625" style="786"/>
    <col min="12034" max="12034" width="36.140625" style="786" bestFit="1" customWidth="1"/>
    <col min="12035" max="12036" width="18" style="786" bestFit="1" customWidth="1"/>
    <col min="12037" max="12037" width="13.5703125" style="786" customWidth="1"/>
    <col min="12038" max="12289" width="9.140625" style="786"/>
    <col min="12290" max="12290" width="36.140625" style="786" bestFit="1" customWidth="1"/>
    <col min="12291" max="12292" width="18" style="786" bestFit="1" customWidth="1"/>
    <col min="12293" max="12293" width="13.5703125" style="786" customWidth="1"/>
    <col min="12294" max="12545" width="9.140625" style="786"/>
    <col min="12546" max="12546" width="36.140625" style="786" bestFit="1" customWidth="1"/>
    <col min="12547" max="12548" width="18" style="786" bestFit="1" customWidth="1"/>
    <col min="12549" max="12549" width="13.5703125" style="786" customWidth="1"/>
    <col min="12550" max="12801" width="9.140625" style="786"/>
    <col min="12802" max="12802" width="36.140625" style="786" bestFit="1" customWidth="1"/>
    <col min="12803" max="12804" width="18" style="786" bestFit="1" customWidth="1"/>
    <col min="12805" max="12805" width="13.5703125" style="786" customWidth="1"/>
    <col min="12806" max="13057" width="9.140625" style="786"/>
    <col min="13058" max="13058" width="36.140625" style="786" bestFit="1" customWidth="1"/>
    <col min="13059" max="13060" width="18" style="786" bestFit="1" customWidth="1"/>
    <col min="13061" max="13061" width="13.5703125" style="786" customWidth="1"/>
    <col min="13062" max="13313" width="9.140625" style="786"/>
    <col min="13314" max="13314" width="36.140625" style="786" bestFit="1" customWidth="1"/>
    <col min="13315" max="13316" width="18" style="786" bestFit="1" customWidth="1"/>
    <col min="13317" max="13317" width="13.5703125" style="786" customWidth="1"/>
    <col min="13318" max="13569" width="9.140625" style="786"/>
    <col min="13570" max="13570" width="36.140625" style="786" bestFit="1" customWidth="1"/>
    <col min="13571" max="13572" width="18" style="786" bestFit="1" customWidth="1"/>
    <col min="13573" max="13573" width="13.5703125" style="786" customWidth="1"/>
    <col min="13574" max="13825" width="9.140625" style="786"/>
    <col min="13826" max="13826" width="36.140625" style="786" bestFit="1" customWidth="1"/>
    <col min="13827" max="13828" width="18" style="786" bestFit="1" customWidth="1"/>
    <col min="13829" max="13829" width="13.5703125" style="786" customWidth="1"/>
    <col min="13830" max="14081" width="9.140625" style="786"/>
    <col min="14082" max="14082" width="36.140625" style="786" bestFit="1" customWidth="1"/>
    <col min="14083" max="14084" width="18" style="786" bestFit="1" customWidth="1"/>
    <col min="14085" max="14085" width="13.5703125" style="786" customWidth="1"/>
    <col min="14086" max="14337" width="9.140625" style="786"/>
    <col min="14338" max="14338" width="36.140625" style="786" bestFit="1" customWidth="1"/>
    <col min="14339" max="14340" width="18" style="786" bestFit="1" customWidth="1"/>
    <col min="14341" max="14341" width="13.5703125" style="786" customWidth="1"/>
    <col min="14342" max="14593" width="9.140625" style="786"/>
    <col min="14594" max="14594" width="36.140625" style="786" bestFit="1" customWidth="1"/>
    <col min="14595" max="14596" width="18" style="786" bestFit="1" customWidth="1"/>
    <col min="14597" max="14597" width="13.5703125" style="786" customWidth="1"/>
    <col min="14598" max="14849" width="9.140625" style="786"/>
    <col min="14850" max="14850" width="36.140625" style="786" bestFit="1" customWidth="1"/>
    <col min="14851" max="14852" width="18" style="786" bestFit="1" customWidth="1"/>
    <col min="14853" max="14853" width="13.5703125" style="786" customWidth="1"/>
    <col min="14854" max="15105" width="9.140625" style="786"/>
    <col min="15106" max="15106" width="36.140625" style="786" bestFit="1" customWidth="1"/>
    <col min="15107" max="15108" width="18" style="786" bestFit="1" customWidth="1"/>
    <col min="15109" max="15109" width="13.5703125" style="786" customWidth="1"/>
    <col min="15110" max="15361" width="9.140625" style="786"/>
    <col min="15362" max="15362" width="36.140625" style="786" bestFit="1" customWidth="1"/>
    <col min="15363" max="15364" width="18" style="786" bestFit="1" customWidth="1"/>
    <col min="15365" max="15365" width="13.5703125" style="786" customWidth="1"/>
    <col min="15366" max="15617" width="9.140625" style="786"/>
    <col min="15618" max="15618" width="36.140625" style="786" bestFit="1" customWidth="1"/>
    <col min="15619" max="15620" width="18" style="786" bestFit="1" customWidth="1"/>
    <col min="15621" max="15621" width="13.5703125" style="786" customWidth="1"/>
    <col min="15622" max="15873" width="9.140625" style="786"/>
    <col min="15874" max="15874" width="36.140625" style="786" bestFit="1" customWidth="1"/>
    <col min="15875" max="15876" width="18" style="786" bestFit="1" customWidth="1"/>
    <col min="15877" max="15877" width="13.5703125" style="786" customWidth="1"/>
    <col min="15878" max="16129" width="9.140625" style="786"/>
    <col min="16130" max="16130" width="36.140625" style="786" bestFit="1" customWidth="1"/>
    <col min="16131" max="16132" width="18" style="786" bestFit="1" customWidth="1"/>
    <col min="16133" max="16133" width="13.5703125" style="786" customWidth="1"/>
    <col min="16134" max="16384" width="9.140625" style="786"/>
  </cols>
  <sheetData>
    <row r="1" spans="1:6" hidden="1" outlineLevel="1">
      <c r="C1" s="787" t="s">
        <v>643</v>
      </c>
      <c r="D1" s="787"/>
    </row>
    <row r="2" spans="1:6" hidden="1" outlineLevel="1">
      <c r="C2" s="787" t="s">
        <v>550</v>
      </c>
      <c r="D2" s="787" t="s">
        <v>24</v>
      </c>
    </row>
    <row r="3" spans="1:6" hidden="1" outlineLevel="1">
      <c r="C3" s="787" t="s">
        <v>550</v>
      </c>
      <c r="D3" s="787"/>
    </row>
    <row r="4" spans="1:6" hidden="1" outlineLevel="1">
      <c r="C4" s="787" t="s">
        <v>553</v>
      </c>
      <c r="D4" s="787"/>
    </row>
    <row r="5" spans="1:6" collapsed="1">
      <c r="A5" s="1322" t="s">
        <v>218</v>
      </c>
      <c r="B5" s="1278"/>
      <c r="C5" s="1345"/>
      <c r="D5" s="1345"/>
    </row>
    <row r="6" spans="1:6">
      <c r="A6" s="1322" t="s">
        <v>644</v>
      </c>
      <c r="B6" s="1333"/>
      <c r="C6" s="1333"/>
    </row>
    <row r="7" spans="1:6">
      <c r="A7" s="1322"/>
      <c r="B7" s="1333"/>
      <c r="C7" s="1333"/>
      <c r="E7" s="1305" t="s">
        <v>645</v>
      </c>
    </row>
    <row r="8" spans="1:6">
      <c r="A8" s="1322"/>
      <c r="B8" s="1333"/>
      <c r="C8" s="1387" t="s">
        <v>556</v>
      </c>
      <c r="D8" s="1305"/>
      <c r="E8" s="1305" t="s">
        <v>646</v>
      </c>
    </row>
    <row r="9" spans="1:6">
      <c r="A9" s="1322"/>
      <c r="B9" s="1333"/>
      <c r="C9" s="1388" t="s">
        <v>593</v>
      </c>
      <c r="D9" s="1388" t="s">
        <v>647</v>
      </c>
      <c r="E9" s="1305" t="s">
        <v>562</v>
      </c>
    </row>
    <row r="10" spans="1:6">
      <c r="A10" s="1333"/>
      <c r="B10" s="1333"/>
      <c r="C10" s="1389" t="s">
        <v>24</v>
      </c>
      <c r="D10" s="1390" t="s">
        <v>648</v>
      </c>
      <c r="E10" s="1391">
        <v>42735</v>
      </c>
    </row>
    <row r="11" spans="1:6" s="1395" customFormat="1">
      <c r="A11" s="1392">
        <v>50086</v>
      </c>
      <c r="B11" s="1393" t="s">
        <v>259</v>
      </c>
      <c r="C11" s="1327">
        <v>137975.42000000001</v>
      </c>
      <c r="D11" s="1328"/>
      <c r="E11" s="1394">
        <f t="shared" ref="E11:E74" si="0">C11+D11</f>
        <v>137975.42000000001</v>
      </c>
    </row>
    <row r="12" spans="1:6" s="1395" customFormat="1">
      <c r="A12" s="1392">
        <v>51260</v>
      </c>
      <c r="B12" s="1393" t="s">
        <v>310</v>
      </c>
      <c r="C12" s="1396">
        <v>480760.54</v>
      </c>
      <c r="D12" s="1328">
        <v>-13910</v>
      </c>
      <c r="E12" s="1394">
        <f t="shared" si="0"/>
        <v>466850.54</v>
      </c>
      <c r="F12" s="1395" t="s">
        <v>668</v>
      </c>
    </row>
    <row r="13" spans="1:6" s="1395" customFormat="1">
      <c r="A13" s="1392">
        <v>52090</v>
      </c>
      <c r="B13" s="1393" t="s">
        <v>64</v>
      </c>
      <c r="C13" s="1396">
        <v>0</v>
      </c>
      <c r="D13" s="1328"/>
      <c r="E13" s="1394">
        <f t="shared" si="0"/>
        <v>0</v>
      </c>
    </row>
    <row r="14" spans="1:6" s="1395" customFormat="1">
      <c r="A14" s="1392">
        <v>52120</v>
      </c>
      <c r="B14" s="1393" t="s">
        <v>263</v>
      </c>
      <c r="C14" s="1396">
        <v>-55112.39</v>
      </c>
      <c r="D14" s="1328"/>
      <c r="E14" s="1394">
        <f t="shared" si="0"/>
        <v>-55112.39</v>
      </c>
    </row>
    <row r="15" spans="1:6" s="1395" customFormat="1">
      <c r="A15" s="1392">
        <v>56037</v>
      </c>
      <c r="B15" s="1393" t="s">
        <v>649</v>
      </c>
      <c r="C15" s="1396">
        <v>0</v>
      </c>
      <c r="D15" s="1328"/>
      <c r="E15" s="1394">
        <f t="shared" si="0"/>
        <v>0</v>
      </c>
    </row>
    <row r="16" spans="1:6" s="1395" customFormat="1">
      <c r="A16" s="1392">
        <v>57255</v>
      </c>
      <c r="B16" s="1393" t="s">
        <v>93</v>
      </c>
      <c r="C16" s="1396">
        <v>0</v>
      </c>
      <c r="D16" s="1328"/>
      <c r="E16" s="1394">
        <f t="shared" si="0"/>
        <v>0</v>
      </c>
    </row>
    <row r="17" spans="1:13" s="1395" customFormat="1" ht="28.5" customHeight="1">
      <c r="A17" s="1404">
        <v>57260</v>
      </c>
      <c r="B17" s="1405" t="s">
        <v>310</v>
      </c>
      <c r="C17" s="1406">
        <v>516362.17</v>
      </c>
      <c r="D17" s="1407">
        <f>-4570.95</f>
        <v>-4570.95</v>
      </c>
      <c r="E17" s="1408">
        <f t="shared" si="0"/>
        <v>511791.22</v>
      </c>
      <c r="F17" s="1463" t="s">
        <v>669</v>
      </c>
      <c r="G17" s="1463"/>
      <c r="H17" s="1463"/>
      <c r="I17" s="1463"/>
      <c r="J17" s="1463"/>
      <c r="K17" s="1463"/>
      <c r="L17" s="1463"/>
      <c r="M17" s="1463"/>
    </row>
    <row r="18" spans="1:13" s="1395" customFormat="1">
      <c r="A18" s="1392">
        <v>59271</v>
      </c>
      <c r="B18" s="1393" t="s">
        <v>650</v>
      </c>
      <c r="C18" s="1396">
        <v>0</v>
      </c>
      <c r="D18" s="1328"/>
      <c r="E18" s="1394">
        <f t="shared" si="0"/>
        <v>0</v>
      </c>
    </row>
    <row r="19" spans="1:13" s="1395" customFormat="1">
      <c r="A19" s="1392">
        <v>59331</v>
      </c>
      <c r="B19" s="1393" t="s">
        <v>651</v>
      </c>
      <c r="C19" s="1396">
        <v>1072196.8700000001</v>
      </c>
      <c r="D19" s="1328"/>
      <c r="E19" s="1394">
        <f t="shared" si="0"/>
        <v>1072196.8700000001</v>
      </c>
    </row>
    <row r="20" spans="1:13" s="1395" customFormat="1">
      <c r="A20" s="1392">
        <v>59340</v>
      </c>
      <c r="B20" s="1393" t="s">
        <v>113</v>
      </c>
      <c r="C20" s="1396">
        <v>-60120</v>
      </c>
      <c r="D20" s="1328"/>
      <c r="E20" s="1394">
        <f t="shared" si="0"/>
        <v>-60120</v>
      </c>
    </row>
    <row r="21" spans="1:13" s="1395" customFormat="1">
      <c r="A21" s="1392">
        <v>70010</v>
      </c>
      <c r="B21" s="1393" t="s">
        <v>41</v>
      </c>
      <c r="C21" s="1396">
        <v>36426734.509999998</v>
      </c>
      <c r="D21" s="1328"/>
      <c r="E21" s="1394">
        <f t="shared" si="0"/>
        <v>36426734.509999998</v>
      </c>
    </row>
    <row r="22" spans="1:13" s="1395" customFormat="1">
      <c r="A22" s="1392">
        <v>70015</v>
      </c>
      <c r="B22" s="1393" t="s">
        <v>652</v>
      </c>
      <c r="C22" s="1396">
        <v>1174036.3899999999</v>
      </c>
      <c r="D22" s="1328"/>
      <c r="E22" s="1394">
        <f t="shared" si="0"/>
        <v>1174036.3899999999</v>
      </c>
    </row>
    <row r="23" spans="1:13" s="1395" customFormat="1">
      <c r="A23" s="1392">
        <v>70020</v>
      </c>
      <c r="B23" s="1393" t="s">
        <v>50</v>
      </c>
      <c r="C23" s="1396">
        <v>951107.51</v>
      </c>
      <c r="D23" s="1328"/>
      <c r="E23" s="1394">
        <f t="shared" si="0"/>
        <v>951107.51</v>
      </c>
    </row>
    <row r="24" spans="1:13" s="1395" customFormat="1">
      <c r="A24" s="1392">
        <v>70025</v>
      </c>
      <c r="B24" s="1393" t="s">
        <v>51</v>
      </c>
      <c r="C24" s="1396">
        <v>117670.29</v>
      </c>
      <c r="D24" s="1328"/>
      <c r="E24" s="1394">
        <f t="shared" si="0"/>
        <v>117670.29</v>
      </c>
    </row>
    <row r="25" spans="1:13" s="1395" customFormat="1">
      <c r="A25" s="1392">
        <v>70030</v>
      </c>
      <c r="B25" s="1393" t="s">
        <v>653</v>
      </c>
      <c r="C25" s="1396">
        <v>26829667.879999999</v>
      </c>
      <c r="D25" s="1328">
        <f>-C25</f>
        <v>-26829667.879999999</v>
      </c>
      <c r="E25" s="1394">
        <f t="shared" si="0"/>
        <v>0</v>
      </c>
    </row>
    <row r="26" spans="1:13" s="1395" customFormat="1">
      <c r="A26" s="1392">
        <v>70036</v>
      </c>
      <c r="B26" s="1393" t="s">
        <v>77</v>
      </c>
      <c r="C26" s="1396">
        <v>195541.07</v>
      </c>
      <c r="D26" s="1328">
        <f>-C26</f>
        <v>-195541.07</v>
      </c>
      <c r="E26" s="1394">
        <f t="shared" si="0"/>
        <v>0</v>
      </c>
    </row>
    <row r="27" spans="1:13" s="1395" customFormat="1">
      <c r="A27" s="1392">
        <v>70037</v>
      </c>
      <c r="B27" s="1393" t="s">
        <v>649</v>
      </c>
      <c r="C27" s="1396">
        <v>219093.16</v>
      </c>
      <c r="D27" s="1328">
        <f>-C27</f>
        <v>-219093.16</v>
      </c>
      <c r="E27" s="1394">
        <f t="shared" si="0"/>
        <v>0</v>
      </c>
    </row>
    <row r="28" spans="1:13" s="1395" customFormat="1">
      <c r="A28" s="1392">
        <v>70045</v>
      </c>
      <c r="B28" s="1393" t="s">
        <v>63</v>
      </c>
      <c r="C28" s="1396">
        <v>918125.96</v>
      </c>
      <c r="D28" s="1328"/>
      <c r="E28" s="1394">
        <f t="shared" si="0"/>
        <v>918125.96</v>
      </c>
    </row>
    <row r="29" spans="1:13" s="1395" customFormat="1">
      <c r="A29" s="1392">
        <v>70050</v>
      </c>
      <c r="B29" s="1393" t="s">
        <v>204</v>
      </c>
      <c r="C29" s="1396">
        <v>2437473.69</v>
      </c>
      <c r="D29" s="1328">
        <f>SUM(D25:D27)*F29</f>
        <v>-1005584.3805685312</v>
      </c>
      <c r="E29" s="1394">
        <f t="shared" si="0"/>
        <v>1431889.3094314686</v>
      </c>
      <c r="F29" s="1260">
        <f>C29/SUM(C21:C27,C31:C32)</f>
        <v>3.690989684773141E-2</v>
      </c>
      <c r="G29" s="1395" t="s">
        <v>654</v>
      </c>
    </row>
    <row r="30" spans="1:13" s="1395" customFormat="1">
      <c r="A30" s="1392">
        <v>70060</v>
      </c>
      <c r="B30" s="1393" t="s">
        <v>148</v>
      </c>
      <c r="C30" s="1396">
        <v>973470.95</v>
      </c>
      <c r="D30" s="1328"/>
      <c r="E30" s="1394">
        <f t="shared" si="0"/>
        <v>973470.95</v>
      </c>
    </row>
    <row r="31" spans="1:13" s="1395" customFormat="1">
      <c r="A31" s="1392">
        <v>70065</v>
      </c>
      <c r="B31" s="1393" t="s">
        <v>47</v>
      </c>
      <c r="C31" s="1396">
        <v>109763.79</v>
      </c>
      <c r="D31" s="1328"/>
      <c r="E31" s="1394">
        <f t="shared" si="0"/>
        <v>109763.79</v>
      </c>
    </row>
    <row r="32" spans="1:13" s="1395" customFormat="1">
      <c r="A32" s="1392">
        <v>70070</v>
      </c>
      <c r="B32" s="1393" t="s">
        <v>48</v>
      </c>
      <c r="C32" s="1396">
        <v>14870.96</v>
      </c>
      <c r="D32" s="1328"/>
      <c r="E32" s="1394">
        <f t="shared" si="0"/>
        <v>14870.96</v>
      </c>
    </row>
    <row r="33" spans="1:5" s="1395" customFormat="1">
      <c r="A33" s="1392">
        <v>70086</v>
      </c>
      <c r="B33" s="1393" t="s">
        <v>259</v>
      </c>
      <c r="C33" s="1396">
        <v>326544.23</v>
      </c>
      <c r="D33" s="1328"/>
      <c r="E33" s="1394">
        <f t="shared" si="0"/>
        <v>326544.23</v>
      </c>
    </row>
    <row r="34" spans="1:5" s="1395" customFormat="1">
      <c r="A34" s="1392">
        <v>70090</v>
      </c>
      <c r="B34" s="1393" t="s">
        <v>161</v>
      </c>
      <c r="C34" s="1396">
        <v>1202194.48</v>
      </c>
      <c r="D34" s="1328"/>
      <c r="E34" s="1394">
        <f t="shared" si="0"/>
        <v>1202194.48</v>
      </c>
    </row>
    <row r="35" spans="1:5" s="1395" customFormat="1">
      <c r="A35" s="1392">
        <v>70095</v>
      </c>
      <c r="B35" s="1393" t="s">
        <v>157</v>
      </c>
      <c r="C35" s="1396">
        <v>586005.43000000005</v>
      </c>
      <c r="D35" s="1328">
        <f>-C35</f>
        <v>-586005.43000000005</v>
      </c>
      <c r="E35" s="1394">
        <f t="shared" si="0"/>
        <v>0</v>
      </c>
    </row>
    <row r="36" spans="1:5" s="1395" customFormat="1">
      <c r="A36" s="1392">
        <v>70105</v>
      </c>
      <c r="B36" s="1393" t="s">
        <v>163</v>
      </c>
      <c r="C36" s="1396">
        <v>1123873.01</v>
      </c>
      <c r="D36" s="1328">
        <f>-C36</f>
        <v>-1123873.01</v>
      </c>
      <c r="E36" s="1394">
        <f t="shared" si="0"/>
        <v>0</v>
      </c>
    </row>
    <row r="37" spans="1:5" s="1395" customFormat="1">
      <c r="A37" s="1392">
        <v>70106</v>
      </c>
      <c r="B37" s="1393" t="s">
        <v>655</v>
      </c>
      <c r="C37" s="1396">
        <v>33779643.979999997</v>
      </c>
      <c r="D37" s="1328">
        <f>-C37</f>
        <v>-33779643.979999997</v>
      </c>
      <c r="E37" s="1394">
        <f t="shared" si="0"/>
        <v>0</v>
      </c>
    </row>
    <row r="38" spans="1:5" s="1395" customFormat="1">
      <c r="A38" s="1392">
        <v>70110</v>
      </c>
      <c r="B38" s="1393" t="s">
        <v>164</v>
      </c>
      <c r="C38" s="1396">
        <v>247397</v>
      </c>
      <c r="D38" s="1328">
        <f>-C38</f>
        <v>-247397</v>
      </c>
      <c r="E38" s="1394">
        <f t="shared" si="0"/>
        <v>0</v>
      </c>
    </row>
    <row r="39" spans="1:5" s="1395" customFormat="1">
      <c r="A39" s="1392">
        <v>70112</v>
      </c>
      <c r="B39" s="1393" t="s">
        <v>293</v>
      </c>
      <c r="C39" s="1396">
        <v>15000</v>
      </c>
      <c r="D39" s="1328">
        <f>-C39</f>
        <v>-15000</v>
      </c>
      <c r="E39" s="1394">
        <f t="shared" si="0"/>
        <v>0</v>
      </c>
    </row>
    <row r="40" spans="1:5" s="1395" customFormat="1">
      <c r="A40" s="1392">
        <v>70116</v>
      </c>
      <c r="B40" s="1393" t="s">
        <v>260</v>
      </c>
      <c r="C40" s="1396">
        <v>178092.35</v>
      </c>
      <c r="D40" s="1328"/>
      <c r="E40" s="1394">
        <f t="shared" si="0"/>
        <v>178092.35</v>
      </c>
    </row>
    <row r="41" spans="1:5" s="1395" customFormat="1">
      <c r="A41" s="1392">
        <v>70120</v>
      </c>
      <c r="B41" s="1393" t="s">
        <v>656</v>
      </c>
      <c r="C41" s="1396">
        <v>92694.42</v>
      </c>
      <c r="D41" s="1328">
        <f>-C41</f>
        <v>-92694.42</v>
      </c>
      <c r="E41" s="1394">
        <f t="shared" si="0"/>
        <v>0</v>
      </c>
    </row>
    <row r="42" spans="1:5" s="1395" customFormat="1">
      <c r="A42" s="1392">
        <v>70142</v>
      </c>
      <c r="B42" s="1393" t="s">
        <v>84</v>
      </c>
      <c r="C42" s="1396">
        <v>327232.68</v>
      </c>
      <c r="D42" s="1328"/>
      <c r="E42" s="1394">
        <f t="shared" si="0"/>
        <v>327232.68</v>
      </c>
    </row>
    <row r="43" spans="1:5" s="1395" customFormat="1">
      <c r="A43" s="1392">
        <v>70145</v>
      </c>
      <c r="B43" s="1393" t="s">
        <v>71</v>
      </c>
      <c r="C43" s="1396">
        <v>297500.31</v>
      </c>
      <c r="D43" s="1328"/>
      <c r="E43" s="1394">
        <f t="shared" si="0"/>
        <v>297500.31</v>
      </c>
    </row>
    <row r="44" spans="1:5" s="1395" customFormat="1">
      <c r="A44" s="1392">
        <v>70146</v>
      </c>
      <c r="B44" s="1393" t="s">
        <v>657</v>
      </c>
      <c r="C44" s="1396">
        <v>4132.8900000000003</v>
      </c>
      <c r="D44" s="1328">
        <f>-C44</f>
        <v>-4132.8900000000003</v>
      </c>
      <c r="E44" s="1394">
        <f t="shared" si="0"/>
        <v>0</v>
      </c>
    </row>
    <row r="45" spans="1:5" s="1395" customFormat="1">
      <c r="A45" s="1392">
        <v>70147</v>
      </c>
      <c r="B45" s="1393" t="s">
        <v>132</v>
      </c>
      <c r="C45" s="1396">
        <v>15236.37</v>
      </c>
      <c r="D45" s="1328"/>
      <c r="E45" s="1394">
        <f t="shared" si="0"/>
        <v>15236.37</v>
      </c>
    </row>
    <row r="46" spans="1:5" s="1395" customFormat="1">
      <c r="A46" s="1392">
        <v>70165</v>
      </c>
      <c r="B46" s="1393" t="s">
        <v>65</v>
      </c>
      <c r="C46" s="1396">
        <v>554489.85</v>
      </c>
      <c r="D46" s="1328"/>
      <c r="E46" s="1394">
        <f t="shared" si="0"/>
        <v>554489.85</v>
      </c>
    </row>
    <row r="47" spans="1:5" s="1395" customFormat="1">
      <c r="A47" s="1392">
        <v>70167</v>
      </c>
      <c r="B47" s="1393" t="s">
        <v>295</v>
      </c>
      <c r="C47" s="1396">
        <v>41909.86</v>
      </c>
      <c r="D47" s="1328"/>
      <c r="E47" s="1394">
        <f t="shared" si="0"/>
        <v>41909.86</v>
      </c>
    </row>
    <row r="48" spans="1:5" s="1395" customFormat="1">
      <c r="A48" s="1392">
        <v>70170</v>
      </c>
      <c r="B48" s="1393" t="s">
        <v>658</v>
      </c>
      <c r="C48" s="1396">
        <v>1178313.82</v>
      </c>
      <c r="D48" s="1328"/>
      <c r="E48" s="1394">
        <f t="shared" si="0"/>
        <v>1178313.82</v>
      </c>
    </row>
    <row r="49" spans="1:5" s="1395" customFormat="1">
      <c r="A49" s="1392">
        <v>70175</v>
      </c>
      <c r="B49" s="1393" t="s">
        <v>66</v>
      </c>
      <c r="C49" s="1396">
        <v>551338.06000000006</v>
      </c>
      <c r="D49" s="1328"/>
      <c r="E49" s="1394">
        <f t="shared" si="0"/>
        <v>551338.06000000006</v>
      </c>
    </row>
    <row r="50" spans="1:5" s="1395" customFormat="1">
      <c r="A50" s="1392">
        <v>70185</v>
      </c>
      <c r="B50" s="1393" t="s">
        <v>130</v>
      </c>
      <c r="C50" s="1396">
        <v>404429.3</v>
      </c>
      <c r="D50" s="1328"/>
      <c r="E50" s="1394">
        <f t="shared" si="0"/>
        <v>404429.3</v>
      </c>
    </row>
    <row r="51" spans="1:5" s="1395" customFormat="1">
      <c r="A51" s="1392">
        <v>70190</v>
      </c>
      <c r="B51" s="1393" t="s">
        <v>659</v>
      </c>
      <c r="C51" s="1396">
        <v>410220.09</v>
      </c>
      <c r="D51" s="1328">
        <f>-C51</f>
        <v>-410220.09</v>
      </c>
      <c r="E51" s="1394">
        <f t="shared" si="0"/>
        <v>0</v>
      </c>
    </row>
    <row r="52" spans="1:5" s="1395" customFormat="1">
      <c r="A52" s="1392">
        <v>70195</v>
      </c>
      <c r="B52" s="1393" t="s">
        <v>296</v>
      </c>
      <c r="C52" s="1396">
        <v>1678472.33</v>
      </c>
      <c r="D52" s="1328"/>
      <c r="E52" s="1394">
        <f t="shared" si="0"/>
        <v>1678472.33</v>
      </c>
    </row>
    <row r="53" spans="1:5" s="1395" customFormat="1">
      <c r="A53" s="1392">
        <v>70196</v>
      </c>
      <c r="B53" s="1393" t="s">
        <v>169</v>
      </c>
      <c r="C53" s="1396">
        <v>61101.41</v>
      </c>
      <c r="D53" s="1328">
        <f>-C53</f>
        <v>-61101.41</v>
      </c>
      <c r="E53" s="1394">
        <f t="shared" si="0"/>
        <v>0</v>
      </c>
    </row>
    <row r="54" spans="1:5" s="1395" customFormat="1">
      <c r="A54" s="1392">
        <v>70200</v>
      </c>
      <c r="B54" s="1393" t="s">
        <v>170</v>
      </c>
      <c r="C54" s="1396">
        <v>837320.83</v>
      </c>
      <c r="D54" s="1328"/>
      <c r="E54" s="1394">
        <f t="shared" si="0"/>
        <v>837320.83</v>
      </c>
    </row>
    <row r="55" spans="1:5" s="1395" customFormat="1">
      <c r="A55" s="1392">
        <v>70201</v>
      </c>
      <c r="B55" s="1393" t="s">
        <v>171</v>
      </c>
      <c r="C55" s="1396">
        <v>511871.88</v>
      </c>
      <c r="D55" s="1328">
        <f>-C55</f>
        <v>-511871.88</v>
      </c>
      <c r="E55" s="1394">
        <f t="shared" si="0"/>
        <v>0</v>
      </c>
    </row>
    <row r="56" spans="1:5" s="1395" customFormat="1">
      <c r="A56" s="1392">
        <v>70202</v>
      </c>
      <c r="B56" s="1393" t="s">
        <v>297</v>
      </c>
      <c r="C56" s="1396">
        <v>2115061.9700000002</v>
      </c>
      <c r="D56" s="1328"/>
      <c r="E56" s="1394">
        <f t="shared" si="0"/>
        <v>2115061.9700000002</v>
      </c>
    </row>
    <row r="57" spans="1:5" s="1395" customFormat="1">
      <c r="A57" s="1392">
        <v>70203</v>
      </c>
      <c r="B57" s="1393" t="s">
        <v>173</v>
      </c>
      <c r="C57" s="1396">
        <v>530479.63</v>
      </c>
      <c r="D57" s="1328"/>
      <c r="E57" s="1394">
        <f t="shared" si="0"/>
        <v>530479.63</v>
      </c>
    </row>
    <row r="58" spans="1:5" s="1395" customFormat="1">
      <c r="A58" s="1392">
        <v>70205</v>
      </c>
      <c r="B58" s="1393" t="s">
        <v>298</v>
      </c>
      <c r="C58" s="1396">
        <v>313623.40999999997</v>
      </c>
      <c r="D58" s="1328"/>
      <c r="E58" s="1394">
        <f t="shared" si="0"/>
        <v>313623.40999999997</v>
      </c>
    </row>
    <row r="59" spans="1:5" s="1395" customFormat="1">
      <c r="A59" s="1392">
        <v>70206</v>
      </c>
      <c r="B59" s="1393" t="s">
        <v>299</v>
      </c>
      <c r="C59" s="1396">
        <v>282265.96999999997</v>
      </c>
      <c r="D59" s="1328"/>
      <c r="E59" s="1394">
        <f t="shared" si="0"/>
        <v>282265.96999999997</v>
      </c>
    </row>
    <row r="60" spans="1:5" s="1395" customFormat="1">
      <c r="A60" s="1392">
        <v>70210</v>
      </c>
      <c r="B60" s="1393" t="s">
        <v>129</v>
      </c>
      <c r="C60" s="1396">
        <v>334659.73</v>
      </c>
      <c r="D60" s="1328"/>
      <c r="E60" s="1394">
        <f t="shared" si="0"/>
        <v>334659.73</v>
      </c>
    </row>
    <row r="61" spans="1:5" s="1395" customFormat="1">
      <c r="A61" s="1392">
        <v>70214</v>
      </c>
      <c r="B61" s="1393" t="s">
        <v>175</v>
      </c>
      <c r="C61" s="1396">
        <v>39741.54</v>
      </c>
      <c r="D61" s="1328"/>
      <c r="E61" s="1394">
        <f t="shared" si="0"/>
        <v>39741.54</v>
      </c>
    </row>
    <row r="62" spans="1:5" s="1395" customFormat="1">
      <c r="A62" s="1392">
        <v>70215</v>
      </c>
      <c r="B62" s="1393" t="s">
        <v>134</v>
      </c>
      <c r="C62" s="1396">
        <v>2569730.54</v>
      </c>
      <c r="D62" s="1328"/>
      <c r="E62" s="1394">
        <f t="shared" si="0"/>
        <v>2569730.54</v>
      </c>
    </row>
    <row r="63" spans="1:5" s="1395" customFormat="1">
      <c r="A63" s="1392">
        <v>70216</v>
      </c>
      <c r="B63" s="1393" t="s">
        <v>660</v>
      </c>
      <c r="C63" s="1396">
        <v>101210.63</v>
      </c>
      <c r="D63" s="1328"/>
      <c r="E63" s="1394">
        <f t="shared" si="0"/>
        <v>101210.63</v>
      </c>
    </row>
    <row r="64" spans="1:5" s="1395" customFormat="1">
      <c r="A64" s="1392">
        <v>70230</v>
      </c>
      <c r="B64" s="1393" t="s">
        <v>177</v>
      </c>
      <c r="C64" s="1396">
        <v>316490.03999999998</v>
      </c>
      <c r="D64" s="1328"/>
      <c r="E64" s="1394">
        <f t="shared" si="0"/>
        <v>316490.03999999998</v>
      </c>
    </row>
    <row r="65" spans="1:5" s="1395" customFormat="1">
      <c r="A65" s="1392">
        <v>70231</v>
      </c>
      <c r="B65" s="1393" t="s">
        <v>302</v>
      </c>
      <c r="C65" s="1396">
        <v>432959.75</v>
      </c>
      <c r="D65" s="1328"/>
      <c r="E65" s="1394">
        <f t="shared" si="0"/>
        <v>432959.75</v>
      </c>
    </row>
    <row r="66" spans="1:5" s="1395" customFormat="1">
      <c r="A66" s="1392">
        <v>70232</v>
      </c>
      <c r="B66" s="1393" t="s">
        <v>178</v>
      </c>
      <c r="C66" s="1396">
        <v>10176.040000000001</v>
      </c>
      <c r="D66" s="1328"/>
      <c r="E66" s="1394">
        <f t="shared" si="0"/>
        <v>10176.040000000001</v>
      </c>
    </row>
    <row r="67" spans="1:5" s="1395" customFormat="1">
      <c r="A67" s="1392">
        <v>70235</v>
      </c>
      <c r="B67" s="1393" t="s">
        <v>143</v>
      </c>
      <c r="C67" s="1396">
        <v>6999776.4299999997</v>
      </c>
      <c r="D67" s="1328">
        <f>-C67</f>
        <v>-6999776.4299999997</v>
      </c>
      <c r="E67" s="1394">
        <f t="shared" si="0"/>
        <v>0</v>
      </c>
    </row>
    <row r="68" spans="1:5" s="1395" customFormat="1">
      <c r="A68" s="1392">
        <v>70240</v>
      </c>
      <c r="B68" s="1393" t="s">
        <v>661</v>
      </c>
      <c r="C68" s="1396">
        <v>3231428.53</v>
      </c>
      <c r="D68" s="1328"/>
      <c r="E68" s="1394">
        <f t="shared" si="0"/>
        <v>3231428.53</v>
      </c>
    </row>
    <row r="69" spans="1:5" s="1395" customFormat="1">
      <c r="A69" s="1392">
        <v>70245</v>
      </c>
      <c r="B69" s="1393" t="s">
        <v>303</v>
      </c>
      <c r="C69" s="1396">
        <v>741467.98</v>
      </c>
      <c r="D69" s="1328"/>
      <c r="E69" s="1394">
        <f t="shared" si="0"/>
        <v>741467.98</v>
      </c>
    </row>
    <row r="70" spans="1:5" s="1395" customFormat="1">
      <c r="A70" s="1392">
        <v>70250</v>
      </c>
      <c r="B70" s="1393" t="s">
        <v>662</v>
      </c>
      <c r="C70" s="1396">
        <v>1842708.18</v>
      </c>
      <c r="D70" s="1328">
        <f>-C70</f>
        <v>-1842708.18</v>
      </c>
      <c r="E70" s="1394">
        <f t="shared" si="0"/>
        <v>0</v>
      </c>
    </row>
    <row r="71" spans="1:5" s="1395" customFormat="1">
      <c r="A71" s="1392">
        <v>70255</v>
      </c>
      <c r="B71" s="1393" t="s">
        <v>93</v>
      </c>
      <c r="C71" s="1396">
        <v>2151631</v>
      </c>
      <c r="D71" s="1328"/>
      <c r="E71" s="1394">
        <f t="shared" si="0"/>
        <v>2151631</v>
      </c>
    </row>
    <row r="72" spans="1:5" s="1395" customFormat="1">
      <c r="A72" s="1392">
        <v>70260</v>
      </c>
      <c r="B72" s="1393" t="s">
        <v>310</v>
      </c>
      <c r="C72" s="1396">
        <v>2959060.72</v>
      </c>
      <c r="D72" s="1328">
        <v>-63927</v>
      </c>
      <c r="E72" s="1394">
        <f t="shared" si="0"/>
        <v>2895133.72</v>
      </c>
    </row>
    <row r="73" spans="1:5" s="1395" customFormat="1">
      <c r="A73" s="1392">
        <v>70271</v>
      </c>
      <c r="B73" s="1393" t="s">
        <v>650</v>
      </c>
      <c r="C73" s="1396">
        <v>634265.86</v>
      </c>
      <c r="D73" s="1328"/>
      <c r="E73" s="1394">
        <f t="shared" si="0"/>
        <v>634265.86</v>
      </c>
    </row>
    <row r="74" spans="1:5" s="1395" customFormat="1">
      <c r="A74" s="1392">
        <v>70273</v>
      </c>
      <c r="B74" s="1393" t="s">
        <v>663</v>
      </c>
      <c r="C74" s="1396">
        <v>246292.15</v>
      </c>
      <c r="D74" s="1328">
        <f>-C74</f>
        <v>-246292.15</v>
      </c>
      <c r="E74" s="1394">
        <f t="shared" si="0"/>
        <v>0</v>
      </c>
    </row>
    <row r="75" spans="1:5" s="1395" customFormat="1">
      <c r="A75" s="1392">
        <v>70275</v>
      </c>
      <c r="B75" s="1393" t="s">
        <v>275</v>
      </c>
      <c r="C75" s="1396">
        <v>261474.24</v>
      </c>
      <c r="D75" s="1328"/>
      <c r="E75" s="1394">
        <f t="shared" ref="E75:E84" si="1">C75+D75</f>
        <v>261474.24</v>
      </c>
    </row>
    <row r="76" spans="1:5" s="1395" customFormat="1">
      <c r="A76" s="1392">
        <v>70300</v>
      </c>
      <c r="B76" s="1393" t="s">
        <v>136</v>
      </c>
      <c r="C76" s="1396">
        <v>-89465.86</v>
      </c>
      <c r="D76" s="1328"/>
      <c r="E76" s="1394">
        <f t="shared" si="1"/>
        <v>-89465.86</v>
      </c>
    </row>
    <row r="77" spans="1:5" s="1395" customFormat="1">
      <c r="A77" s="1392">
        <v>70301</v>
      </c>
      <c r="B77" s="1393" t="s">
        <v>180</v>
      </c>
      <c r="C77" s="1396">
        <v>22183.66</v>
      </c>
      <c r="D77" s="1328"/>
      <c r="E77" s="1394">
        <f t="shared" si="1"/>
        <v>22183.66</v>
      </c>
    </row>
    <row r="78" spans="1:5">
      <c r="A78" s="1392">
        <v>70302</v>
      </c>
      <c r="B78" s="1393" t="s">
        <v>139</v>
      </c>
      <c r="C78" s="1396">
        <v>59108.66</v>
      </c>
      <c r="D78" s="1328"/>
      <c r="E78" s="1394">
        <f t="shared" si="1"/>
        <v>59108.66</v>
      </c>
    </row>
    <row r="79" spans="1:5">
      <c r="A79" s="1392">
        <v>70324</v>
      </c>
      <c r="B79" s="1393" t="s">
        <v>276</v>
      </c>
      <c r="C79" s="1396">
        <v>12869.67</v>
      </c>
      <c r="D79" s="1328">
        <f>-C79</f>
        <v>-12869.67</v>
      </c>
      <c r="E79" s="1394">
        <f t="shared" si="1"/>
        <v>0</v>
      </c>
    </row>
    <row r="80" spans="1:5">
      <c r="A80" s="1392">
        <v>70345</v>
      </c>
      <c r="B80" s="1393" t="s">
        <v>131</v>
      </c>
      <c r="C80" s="1396">
        <v>0</v>
      </c>
      <c r="D80" s="1328"/>
      <c r="E80" s="1394">
        <f t="shared" si="1"/>
        <v>0</v>
      </c>
    </row>
    <row r="81" spans="1:6">
      <c r="A81" s="1392">
        <v>70357</v>
      </c>
      <c r="B81" s="1393" t="s">
        <v>182</v>
      </c>
      <c r="C81" s="1396">
        <v>0</v>
      </c>
      <c r="D81" s="1341"/>
      <c r="E81" s="1394">
        <f t="shared" si="1"/>
        <v>0</v>
      </c>
      <c r="F81" s="1395"/>
    </row>
    <row r="82" spans="1:6">
      <c r="A82" s="1392">
        <v>70371</v>
      </c>
      <c r="B82" s="1393" t="s">
        <v>664</v>
      </c>
      <c r="C82" s="1396">
        <v>137499.95000000001</v>
      </c>
      <c r="D82" s="1328">
        <f>-C82</f>
        <v>-137499.95000000001</v>
      </c>
      <c r="E82" s="1394">
        <f t="shared" si="1"/>
        <v>0</v>
      </c>
      <c r="F82" s="1395"/>
    </row>
    <row r="83" spans="1:6">
      <c r="A83" s="1392">
        <v>70372</v>
      </c>
      <c r="B83" s="1393" t="s">
        <v>665</v>
      </c>
      <c r="C83" s="1396">
        <v>28627.02</v>
      </c>
      <c r="D83" s="1328">
        <f>-C83</f>
        <v>-28627.02</v>
      </c>
      <c r="E83" s="1394">
        <f t="shared" si="1"/>
        <v>0</v>
      </c>
      <c r="F83" s="1395"/>
    </row>
    <row r="84" spans="1:6">
      <c r="A84" s="1392">
        <v>70475</v>
      </c>
      <c r="B84" s="1393" t="s">
        <v>183</v>
      </c>
      <c r="C84" s="1396">
        <v>812769.26</v>
      </c>
      <c r="D84" s="1328">
        <f>-C84</f>
        <v>-812769.26</v>
      </c>
      <c r="E84" s="1394">
        <f t="shared" si="1"/>
        <v>0</v>
      </c>
      <c r="F84" s="1395"/>
    </row>
    <row r="85" spans="1:6">
      <c r="A85" s="1393"/>
      <c r="B85" s="1393" t="s">
        <v>666</v>
      </c>
      <c r="C85" s="1397">
        <f>SUM(C11:C84)</f>
        <v>143982730.04999998</v>
      </c>
      <c r="D85" s="1397">
        <f t="shared" ref="D85:E85" si="2">SUM(D11:D84)</f>
        <v>-75244777.210568547</v>
      </c>
      <c r="E85" s="1397">
        <f t="shared" si="2"/>
        <v>68737952.83943145</v>
      </c>
      <c r="F85" s="1395"/>
    </row>
    <row r="86" spans="1:6">
      <c r="A86" s="1393"/>
      <c r="B86" s="1393"/>
      <c r="C86" s="1327"/>
      <c r="D86" s="1398"/>
      <c r="E86" s="1399"/>
    </row>
    <row r="87" spans="1:6">
      <c r="A87" s="1393"/>
      <c r="B87" s="1400" t="s">
        <v>667</v>
      </c>
      <c r="C87" s="1327">
        <v>2968002284.0900002</v>
      </c>
      <c r="D87" s="1356"/>
      <c r="E87" s="1344">
        <f>C87</f>
        <v>2968002284.0900002</v>
      </c>
    </row>
    <row r="88" spans="1:6" ht="15.75" thickBot="1">
      <c r="A88" s="1393"/>
      <c r="B88" s="1393"/>
      <c r="C88" s="1401">
        <f>+C85/C87</f>
        <v>4.8511664166102753E-2</v>
      </c>
      <c r="D88" s="1402"/>
      <c r="E88" s="1401">
        <f>+E85/E87</f>
        <v>2.3159669791327921E-2</v>
      </c>
    </row>
    <row r="89" spans="1:6">
      <c r="B89" s="1395"/>
      <c r="C89" s="1395"/>
      <c r="D89" s="1395"/>
    </row>
    <row r="94" spans="1:6">
      <c r="E94" s="1399"/>
    </row>
    <row r="95" spans="1:6">
      <c r="E95" s="1403"/>
    </row>
  </sheetData>
  <mergeCells count="1">
    <mergeCell ref="F17:M17"/>
  </mergeCells>
  <pageMargins left="0.7" right="0.7" top="0.75" bottom="0.75" header="0.3" footer="0.3"/>
  <pageSetup scale="70" fitToHeight="6"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60"/>
  <sheetViews>
    <sheetView showGridLines="0" view="pageBreakPreview" topLeftCell="A9" zoomScale="60" zoomScaleNormal="80" workbookViewId="0">
      <pane ySplit="11" topLeftCell="A20" activePane="bottomLeft" state="frozen"/>
      <selection activeCell="G20" sqref="G20"/>
      <selection pane="bottomLeft" activeCell="G20" sqref="G20"/>
    </sheetView>
  </sheetViews>
  <sheetFormatPr defaultRowHeight="12.75" outlineLevelRow="1"/>
  <cols>
    <col min="1" max="1" width="2.7109375" style="295" customWidth="1"/>
    <col min="2" max="2" width="18" style="295" customWidth="1"/>
    <col min="3" max="3" width="12.42578125" style="295" customWidth="1"/>
    <col min="4" max="5" width="18.7109375" style="295" customWidth="1"/>
    <col min="6" max="6" width="12.28515625" style="295" customWidth="1"/>
    <col min="7" max="7" width="19" style="295" customWidth="1"/>
    <col min="8" max="8" width="7.85546875" style="295" customWidth="1"/>
    <col min="9" max="9" width="30.28515625" style="295" customWidth="1"/>
    <col min="10" max="10" width="10.28515625" style="295" customWidth="1"/>
    <col min="11" max="11" width="13.5703125" style="295" customWidth="1"/>
    <col min="12" max="12" width="15.140625" style="295" customWidth="1"/>
    <col min="13" max="13" width="29.85546875" style="295" customWidth="1"/>
    <col min="14" max="14" width="38.5703125" style="295" customWidth="1"/>
    <col min="15" max="15" width="11.42578125" style="295" customWidth="1"/>
    <col min="16" max="16" width="35.140625" style="295" customWidth="1"/>
    <col min="17" max="17" width="13.42578125" style="295" customWidth="1"/>
    <col min="18" max="18" width="19.5703125" style="295" customWidth="1"/>
    <col min="19" max="19" width="17.7109375" style="295" customWidth="1"/>
    <col min="20" max="20" width="12.7109375" style="295" customWidth="1"/>
    <col min="21" max="21" width="15.85546875" style="295" customWidth="1"/>
    <col min="22" max="22" width="13.7109375" style="295" bestFit="1" customWidth="1"/>
    <col min="23" max="23" width="13.28515625" style="295" customWidth="1"/>
    <col min="24" max="24" width="12.28515625" style="295" customWidth="1"/>
    <col min="25" max="25" width="11.5703125" style="295" customWidth="1"/>
    <col min="26" max="26" width="9.85546875" style="295" customWidth="1"/>
    <col min="27" max="27" width="11.42578125" style="295" customWidth="1"/>
    <col min="28" max="28" width="11" style="295" customWidth="1"/>
    <col min="29" max="29" width="11.5703125" style="295" customWidth="1"/>
    <col min="30" max="30" width="7" style="295" customWidth="1"/>
    <col min="31" max="31" width="11.140625" style="295" customWidth="1"/>
    <col min="32" max="32" width="11" style="295" customWidth="1"/>
    <col min="33" max="33" width="8.5703125" style="295" customWidth="1"/>
    <col min="34" max="34" width="8.42578125" style="295" customWidth="1"/>
    <col min="35" max="36" width="10.28515625" style="295" customWidth="1"/>
    <col min="37" max="37" width="10.140625" style="295" customWidth="1"/>
    <col min="38" max="38" width="10.42578125" style="295" customWidth="1"/>
    <col min="39" max="39" width="21.140625" style="295" customWidth="1"/>
    <col min="40" max="42" width="18.85546875" style="295" customWidth="1"/>
    <col min="43" max="43" width="20.42578125" style="295" customWidth="1"/>
    <col min="44" max="44" width="9.140625" style="295" customWidth="1"/>
    <col min="45" max="45" width="9.140625" style="295" hidden="1" customWidth="1"/>
    <col min="46" max="46" width="9.140625" style="295" customWidth="1"/>
    <col min="47" max="16384" width="9.140625" style="295"/>
  </cols>
  <sheetData>
    <row r="1" spans="1:43" hidden="1" outlineLevel="1">
      <c r="A1" s="294" t="b">
        <v>1</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row>
    <row r="2" spans="1:43" hidden="1" outlineLevel="1">
      <c r="B2" s="295" t="s">
        <v>673</v>
      </c>
      <c r="C2" s="295" t="s">
        <v>674</v>
      </c>
      <c r="D2" s="296" t="s">
        <v>675</v>
      </c>
      <c r="E2" s="296" t="s">
        <v>676</v>
      </c>
      <c r="F2" s="296" t="s">
        <v>677</v>
      </c>
      <c r="G2" s="295" t="s">
        <v>678</v>
      </c>
      <c r="H2" s="295" t="s">
        <v>679</v>
      </c>
      <c r="I2" s="295" t="s">
        <v>680</v>
      </c>
      <c r="J2" s="295" t="s">
        <v>681</v>
      </c>
      <c r="K2" s="295" t="s">
        <v>682</v>
      </c>
      <c r="L2" s="295" t="s">
        <v>683</v>
      </c>
      <c r="M2" s="295" t="s">
        <v>684</v>
      </c>
      <c r="N2" s="295" t="s">
        <v>685</v>
      </c>
      <c r="O2" s="295" t="s">
        <v>686</v>
      </c>
      <c r="P2" s="295" t="s">
        <v>687</v>
      </c>
      <c r="Q2" s="295" t="s">
        <v>688</v>
      </c>
      <c r="R2" s="295" t="s">
        <v>689</v>
      </c>
      <c r="S2" s="295" t="s">
        <v>690</v>
      </c>
      <c r="T2" s="295" t="s">
        <v>691</v>
      </c>
      <c r="U2" s="295" t="s">
        <v>692</v>
      </c>
      <c r="V2" s="295" t="s">
        <v>693</v>
      </c>
      <c r="W2" s="295" t="s">
        <v>694</v>
      </c>
      <c r="X2" s="295" t="s">
        <v>695</v>
      </c>
      <c r="Y2" s="295" t="s">
        <v>696</v>
      </c>
      <c r="Z2" s="295" t="s">
        <v>697</v>
      </c>
      <c r="AA2" s="295" t="s">
        <v>698</v>
      </c>
      <c r="AB2" s="295" t="s">
        <v>699</v>
      </c>
      <c r="AC2" s="295" t="s">
        <v>700</v>
      </c>
      <c r="AD2" s="295" t="s">
        <v>701</v>
      </c>
      <c r="AE2" s="295" t="s">
        <v>702</v>
      </c>
      <c r="AF2" s="295" t="s">
        <v>703</v>
      </c>
      <c r="AG2" s="295" t="s">
        <v>704</v>
      </c>
      <c r="AH2" s="295" t="s">
        <v>705</v>
      </c>
      <c r="AI2" s="295" t="s">
        <v>706</v>
      </c>
      <c r="AJ2" s="295" t="s">
        <v>707</v>
      </c>
      <c r="AK2" s="295" t="s">
        <v>708</v>
      </c>
      <c r="AL2" s="295" t="s">
        <v>709</v>
      </c>
      <c r="AM2" s="295" t="s">
        <v>710</v>
      </c>
      <c r="AN2" s="295" t="s">
        <v>711</v>
      </c>
      <c r="AO2" s="295" t="s">
        <v>712</v>
      </c>
      <c r="AP2" s="295" t="s">
        <v>713</v>
      </c>
      <c r="AQ2" s="296"/>
    </row>
    <row r="3" spans="1:43" hidden="1" outlineLevel="1">
      <c r="A3" s="294" t="s">
        <v>714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row>
    <row r="4" spans="1:43" hidden="1" outlineLevel="1">
      <c r="Q4" s="295" t="s">
        <v>2550</v>
      </c>
      <c r="U4" s="295" t="str">
        <f ca="1">_xll.ReportDrill(,"APDrill",_xll.PairGroup(_xll.PairExt(AQ20:AQ42,"H8")),"AP Detail")</f>
        <v>OK!: ReportDrill 'AP Detail' Formula OK [jAction{}]</v>
      </c>
      <c r="Y4" s="295" t="str">
        <f ca="1">_xll.ReportDrill(,"JEStaged_DrillToDetail",_xll.PairGroup(_xll.PairExt(Q19:Q42,"dControlNum",TRUE),_xll.PairExt(AP19:AP42,"dDistrict",TRUE),_xll.PairExt(AO19:AO42,"dApplyMonth",TRUE)),"JE Staged Details")</f>
        <v>OK!: ReportDrill 'JE Staged Details' Formula OK [jAction{}]</v>
      </c>
    </row>
    <row r="5" spans="1:43" hidden="1" outlineLevel="1">
      <c r="B5" s="295" t="str">
        <f ca="1">_xll.ReportRange("JEQuery_WithStaged",B20:AS41,B2:AS2,,_xll.Param(I12,DateTo,IF(M12="","all",M12),M13,M14,M15,P12,P13,P14,P15,EntrieShownLimit,DateFrom,DateTo),TRUE)</f>
        <v>OK!: ReportRange Formula OK [jAction{}]</v>
      </c>
      <c r="Q5" s="295" t="s">
        <v>2551</v>
      </c>
    </row>
    <row r="6" spans="1:43" hidden="1" outlineLevel="1">
      <c r="B6" s="297" t="s">
        <v>715</v>
      </c>
      <c r="D6" s="295">
        <v>10000</v>
      </c>
    </row>
    <row r="7" spans="1:43" hidden="1" outlineLevel="1">
      <c r="A7" s="294" t="s">
        <v>716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row>
    <row r="8" spans="1:43" hidden="1" outlineLevel="1">
      <c r="B8" s="298" t="s">
        <v>717</v>
      </c>
      <c r="C8" s="295" t="str">
        <f>IF(DateFrom="",CurrentMonth,DateFrom)</f>
        <v>2017-07</v>
      </c>
      <c r="E8" s="298" t="s">
        <v>718</v>
      </c>
      <c r="G8" s="295" t="str">
        <f>IF(DateTo="",CurrentMonth,DateTo)</f>
        <v>2017-07</v>
      </c>
      <c r="I8" s="298" t="s">
        <v>719</v>
      </c>
      <c r="J8" s="299" t="str">
        <f ca="1">TEXT(NOW() - 15,"yyyy-mm")</f>
        <v>2017-07</v>
      </c>
    </row>
    <row r="9" spans="1:43" ht="18" collapsed="1">
      <c r="B9" s="300" t="s">
        <v>720</v>
      </c>
      <c r="G9" s="301" t="s">
        <v>721</v>
      </c>
      <c r="P9" s="302"/>
      <c r="U9" s="297"/>
    </row>
    <row r="10" spans="1:43" ht="14.25">
      <c r="B10" s="296" t="s">
        <v>722</v>
      </c>
      <c r="G10" s="303"/>
      <c r="P10" s="302"/>
      <c r="U10" s="297"/>
    </row>
    <row r="11" spans="1:43">
      <c r="G11" s="304" t="s">
        <v>723</v>
      </c>
      <c r="H11" s="305"/>
      <c r="I11" s="306"/>
      <c r="L11" s="305" t="s">
        <v>724</v>
      </c>
      <c r="M11" s="305"/>
      <c r="N11" s="305"/>
      <c r="O11" s="305"/>
      <c r="P11" s="305"/>
      <c r="U11" s="296"/>
    </row>
    <row r="12" spans="1:43" s="297" customFormat="1">
      <c r="H12" s="307" t="s">
        <v>725</v>
      </c>
      <c r="I12" s="308" t="s">
        <v>2490</v>
      </c>
      <c r="K12" s="309"/>
      <c r="L12" s="297" t="s">
        <v>727</v>
      </c>
      <c r="M12" s="308" t="s">
        <v>219</v>
      </c>
      <c r="O12" s="307" t="s">
        <v>728</v>
      </c>
      <c r="P12" s="310"/>
      <c r="Z12" s="295"/>
      <c r="AA12" s="295"/>
      <c r="AB12" s="295"/>
      <c r="AH12" s="295"/>
      <c r="AI12" s="295"/>
      <c r="AJ12" s="295"/>
      <c r="AK12" s="295"/>
      <c r="AL12" s="295"/>
    </row>
    <row r="13" spans="1:43" s="297" customFormat="1">
      <c r="H13" s="307" t="s">
        <v>729</v>
      </c>
      <c r="I13" s="308" t="s">
        <v>2490</v>
      </c>
      <c r="K13" s="309"/>
      <c r="L13" s="297" t="s">
        <v>730</v>
      </c>
      <c r="M13" s="308" t="s">
        <v>2491</v>
      </c>
      <c r="N13" s="295"/>
      <c r="O13" s="307" t="s">
        <v>732</v>
      </c>
      <c r="P13" s="311"/>
      <c r="Q13" s="312"/>
      <c r="Z13" s="295"/>
      <c r="AA13" s="295"/>
      <c r="AB13" s="295"/>
      <c r="AH13" s="295"/>
      <c r="AI13" s="295"/>
      <c r="AJ13" s="295"/>
      <c r="AK13" s="295"/>
      <c r="AL13" s="295"/>
    </row>
    <row r="14" spans="1:43">
      <c r="L14" s="297" t="s">
        <v>221</v>
      </c>
      <c r="M14" s="308" t="s">
        <v>220</v>
      </c>
      <c r="O14" s="307" t="s">
        <v>733</v>
      </c>
      <c r="P14" s="311"/>
      <c r="Q14" s="312"/>
    </row>
    <row r="15" spans="1:43">
      <c r="L15" s="297" t="s">
        <v>551</v>
      </c>
      <c r="M15" s="308" t="s">
        <v>220</v>
      </c>
      <c r="O15" s="307" t="s">
        <v>734</v>
      </c>
      <c r="P15" s="313" t="s">
        <v>735</v>
      </c>
    </row>
    <row r="16" spans="1:43">
      <c r="B16" s="314" t="s">
        <v>736</v>
      </c>
      <c r="C16" s="315"/>
      <c r="D16" s="316">
        <f>SUM(D19:D42)</f>
        <v>64029.689999999988</v>
      </c>
      <c r="E16" s="316">
        <f>SUM(E19:E42)</f>
        <v>0</v>
      </c>
      <c r="F16" s="295" t="s">
        <v>737</v>
      </c>
      <c r="N16" s="317"/>
      <c r="O16" s="317"/>
      <c r="P16" s="317"/>
      <c r="Q16" s="317"/>
    </row>
    <row r="17" spans="2:45">
      <c r="B17" s="314" t="s">
        <v>738</v>
      </c>
      <c r="C17" s="315"/>
      <c r="D17" s="318">
        <f>COUNT(D20:D43)</f>
        <v>21</v>
      </c>
      <c r="E17" s="318">
        <f>COUNT(E20:E43)</f>
        <v>21</v>
      </c>
      <c r="F17" s="296" t="s">
        <v>739</v>
      </c>
      <c r="G17" s="319" t="str">
        <f>""&amp;EntrieShownLimit</f>
        <v>10000</v>
      </c>
    </row>
    <row r="18" spans="2:45">
      <c r="O18" s="320"/>
      <c r="R18" s="321" t="s">
        <v>740</v>
      </c>
      <c r="S18" s="322"/>
      <c r="T18" s="322"/>
      <c r="U18" s="322"/>
      <c r="V18" s="322"/>
      <c r="W18" s="322"/>
      <c r="X18" s="322"/>
      <c r="Y18" s="322"/>
      <c r="Z18" s="323"/>
      <c r="AA18" s="323"/>
      <c r="AB18" s="323"/>
      <c r="AC18" s="323"/>
      <c r="AD18" s="323"/>
      <c r="AE18" s="323"/>
      <c r="AF18" s="323"/>
      <c r="AG18" s="323"/>
      <c r="AH18" s="323"/>
      <c r="AI18" s="323"/>
      <c r="AJ18" s="323"/>
      <c r="AK18" s="323"/>
      <c r="AL18" s="323"/>
      <c r="AM18" s="323"/>
      <c r="AN18" s="323"/>
      <c r="AO18" s="323"/>
      <c r="AP18" s="323"/>
      <c r="AQ18" s="323"/>
    </row>
    <row r="19" spans="2:45" s="324" customFormat="1" ht="29.25" customHeight="1" thickBot="1">
      <c r="B19" s="325" t="s">
        <v>741</v>
      </c>
      <c r="C19" s="326" t="s">
        <v>742</v>
      </c>
      <c r="D19" s="327" t="s">
        <v>743</v>
      </c>
      <c r="E19" s="327" t="s">
        <v>744</v>
      </c>
      <c r="F19" s="327" t="s">
        <v>745</v>
      </c>
      <c r="G19" s="328" t="s">
        <v>746</v>
      </c>
      <c r="H19" s="325" t="s">
        <v>747</v>
      </c>
      <c r="I19" s="325" t="s">
        <v>748</v>
      </c>
      <c r="J19" s="325" t="s">
        <v>681</v>
      </c>
      <c r="K19" s="325" t="s">
        <v>749</v>
      </c>
      <c r="L19" s="325" t="s">
        <v>750</v>
      </c>
      <c r="M19" s="325" t="s">
        <v>751</v>
      </c>
      <c r="N19" s="325" t="s">
        <v>752</v>
      </c>
      <c r="O19" s="329" t="s">
        <v>753</v>
      </c>
      <c r="P19" s="325" t="s">
        <v>754</v>
      </c>
      <c r="Q19" s="325" t="s">
        <v>755</v>
      </c>
      <c r="R19" s="325" t="s">
        <v>756</v>
      </c>
      <c r="S19" s="325" t="s">
        <v>757</v>
      </c>
      <c r="T19" s="325" t="s">
        <v>758</v>
      </c>
      <c r="U19" s="325" t="s">
        <v>759</v>
      </c>
      <c r="V19" s="325" t="s">
        <v>760</v>
      </c>
      <c r="W19" s="325" t="s">
        <v>761</v>
      </c>
      <c r="X19" s="325" t="s">
        <v>762</v>
      </c>
      <c r="Y19" s="325" t="s">
        <v>763</v>
      </c>
      <c r="Z19" s="325" t="s">
        <v>764</v>
      </c>
      <c r="AA19" s="325" t="s">
        <v>765</v>
      </c>
      <c r="AB19" s="325" t="s">
        <v>766</v>
      </c>
      <c r="AC19" s="330" t="s">
        <v>767</v>
      </c>
      <c r="AD19" s="330" t="s">
        <v>768</v>
      </c>
      <c r="AE19" s="330" t="s">
        <v>769</v>
      </c>
      <c r="AF19" s="330" t="s">
        <v>770</v>
      </c>
      <c r="AG19" s="330" t="s">
        <v>771</v>
      </c>
      <c r="AH19" s="330" t="s">
        <v>772</v>
      </c>
      <c r="AI19" s="326" t="s">
        <v>773</v>
      </c>
      <c r="AJ19" s="326" t="s">
        <v>774</v>
      </c>
      <c r="AK19" s="326" t="s">
        <v>775</v>
      </c>
      <c r="AL19" s="326" t="s">
        <v>776</v>
      </c>
      <c r="AM19" s="326" t="s">
        <v>777</v>
      </c>
      <c r="AN19" s="326" t="s">
        <v>711</v>
      </c>
      <c r="AO19" s="331" t="s">
        <v>778</v>
      </c>
      <c r="AP19" s="331" t="s">
        <v>779</v>
      </c>
      <c r="AQ19" s="331" t="s">
        <v>780</v>
      </c>
    </row>
    <row r="20" spans="2:45">
      <c r="B20" s="295" t="s">
        <v>2492</v>
      </c>
      <c r="C20" s="332">
        <v>42922</v>
      </c>
      <c r="D20" s="333">
        <v>23992.39</v>
      </c>
      <c r="E20" s="333">
        <v>0</v>
      </c>
      <c r="F20" s="334" t="s">
        <v>782</v>
      </c>
      <c r="G20" s="295" t="s">
        <v>2493</v>
      </c>
      <c r="H20" s="335" t="s">
        <v>784</v>
      </c>
      <c r="I20" s="295" t="s">
        <v>785</v>
      </c>
      <c r="J20" s="295" t="s">
        <v>810</v>
      </c>
      <c r="K20" s="295" t="s">
        <v>787</v>
      </c>
      <c r="L20" s="299" t="s">
        <v>2494</v>
      </c>
      <c r="M20" s="299"/>
      <c r="N20" s="299" t="s">
        <v>2495</v>
      </c>
      <c r="O20" s="320">
        <v>42907</v>
      </c>
      <c r="P20" s="299" t="s">
        <v>2496</v>
      </c>
      <c r="Q20" s="299">
        <v>15933</v>
      </c>
      <c r="R20" s="295" t="s">
        <v>2497</v>
      </c>
      <c r="U20" s="295" t="s">
        <v>2498</v>
      </c>
      <c r="V20" s="295" t="s">
        <v>2499</v>
      </c>
      <c r="W20" s="295">
        <v>2195</v>
      </c>
      <c r="X20" s="332">
        <v>42922</v>
      </c>
      <c r="Y20" s="332">
        <v>42922</v>
      </c>
      <c r="Z20" s="295">
        <v>23992.400000000001</v>
      </c>
      <c r="AA20" s="332">
        <v>42908</v>
      </c>
      <c r="AB20" s="295" t="s">
        <v>793</v>
      </c>
      <c r="AC20" s="295">
        <v>0</v>
      </c>
      <c r="AD20" s="295">
        <v>0</v>
      </c>
      <c r="AE20" s="295">
        <v>0</v>
      </c>
      <c r="AF20" s="295">
        <v>0</v>
      </c>
      <c r="AG20" s="295">
        <v>0</v>
      </c>
      <c r="AH20" s="295">
        <v>1</v>
      </c>
      <c r="AI20" s="295">
        <v>52142</v>
      </c>
      <c r="AJ20" s="295">
        <v>2195</v>
      </c>
      <c r="AK20" s="295">
        <v>0</v>
      </c>
      <c r="AL20" s="295">
        <v>0</v>
      </c>
      <c r="AO20" s="335"/>
      <c r="AP20" s="335"/>
      <c r="AQ20" s="295" t="str">
        <f>IF(LEFT(U20,2)="VO",U20,"")</f>
        <v>VO04339888</v>
      </c>
      <c r="AS20" s="295" t="str">
        <f>IF(RIGHT(K20,2)="IC",IF(OR(AB20="wci_canada",AB20="wci_can_corp"),"wci_can_Corp","wci_corp"),AB20)</f>
        <v>wci_corp</v>
      </c>
    </row>
    <row r="21" spans="2:45">
      <c r="B21" s="295" t="s">
        <v>2492</v>
      </c>
      <c r="C21" s="332">
        <v>42922</v>
      </c>
      <c r="D21" s="333">
        <v>679.83</v>
      </c>
      <c r="E21" s="333">
        <v>0</v>
      </c>
      <c r="F21" s="334" t="s">
        <v>782</v>
      </c>
      <c r="G21" s="295" t="s">
        <v>2493</v>
      </c>
      <c r="H21" s="335" t="s">
        <v>784</v>
      </c>
      <c r="I21" s="295" t="s">
        <v>785</v>
      </c>
      <c r="J21" s="295" t="s">
        <v>810</v>
      </c>
      <c r="K21" s="295" t="s">
        <v>787</v>
      </c>
      <c r="L21" s="299" t="s">
        <v>2500</v>
      </c>
      <c r="M21" s="299"/>
      <c r="N21" s="299" t="s">
        <v>2501</v>
      </c>
      <c r="O21" s="320">
        <v>42897</v>
      </c>
      <c r="P21" s="299" t="s">
        <v>2502</v>
      </c>
      <c r="Q21" s="299" t="s">
        <v>2503</v>
      </c>
      <c r="R21" s="295" t="s">
        <v>2504</v>
      </c>
      <c r="U21" s="295" t="s">
        <v>2505</v>
      </c>
      <c r="V21" s="295" t="s">
        <v>2499</v>
      </c>
      <c r="W21" s="295">
        <v>2195</v>
      </c>
      <c r="X21" s="332">
        <v>42922</v>
      </c>
      <c r="Y21" s="332">
        <v>42922</v>
      </c>
      <c r="Z21" s="295">
        <v>679.83</v>
      </c>
      <c r="AA21" s="332">
        <v>42898</v>
      </c>
      <c r="AB21" s="295" t="s">
        <v>793</v>
      </c>
      <c r="AC21" s="295">
        <v>0</v>
      </c>
      <c r="AD21" s="295">
        <v>0</v>
      </c>
      <c r="AE21" s="295">
        <v>0</v>
      </c>
      <c r="AF21" s="295">
        <v>0</v>
      </c>
      <c r="AG21" s="295">
        <v>0</v>
      </c>
      <c r="AH21" s="295">
        <v>1</v>
      </c>
      <c r="AI21" s="295">
        <v>52142</v>
      </c>
      <c r="AJ21" s="295">
        <v>2195</v>
      </c>
      <c r="AK21" s="295">
        <v>0</v>
      </c>
      <c r="AL21" s="295">
        <v>0</v>
      </c>
      <c r="AO21" s="335"/>
      <c r="AP21" s="335"/>
      <c r="AQ21" s="295" t="str">
        <f t="shared" ref="AQ21:AQ40" si="0">IF(LEFT(U21,2)="VO",U21,"")</f>
        <v>VO04339990</v>
      </c>
      <c r="AS21" s="295" t="str">
        <f t="shared" ref="AS21:AS40" si="1">IF(RIGHT(K21,2)="IC",IF(OR(AB21="wci_canada",AB21="wci_can_corp"),"wci_can_Corp","wci_corp"),AB21)</f>
        <v>wci_corp</v>
      </c>
    </row>
    <row r="22" spans="2:45">
      <c r="B22" s="295" t="s">
        <v>2492</v>
      </c>
      <c r="C22" s="332">
        <v>42922</v>
      </c>
      <c r="D22" s="333">
        <v>107.49</v>
      </c>
      <c r="E22" s="333">
        <v>0</v>
      </c>
      <c r="F22" s="334" t="s">
        <v>782</v>
      </c>
      <c r="G22" s="295" t="s">
        <v>2493</v>
      </c>
      <c r="H22" s="335" t="s">
        <v>784</v>
      </c>
      <c r="I22" s="295" t="s">
        <v>785</v>
      </c>
      <c r="J22" s="295" t="s">
        <v>810</v>
      </c>
      <c r="K22" s="295" t="s">
        <v>787</v>
      </c>
      <c r="L22" s="299" t="s">
        <v>2500</v>
      </c>
      <c r="M22" s="299"/>
      <c r="N22" s="299" t="s">
        <v>2501</v>
      </c>
      <c r="O22" s="320">
        <v>42904</v>
      </c>
      <c r="P22" s="299" t="s">
        <v>2502</v>
      </c>
      <c r="Q22" s="299" t="s">
        <v>2506</v>
      </c>
      <c r="R22" s="295" t="s">
        <v>2504</v>
      </c>
      <c r="U22" s="295" t="s">
        <v>2507</v>
      </c>
      <c r="V22" s="295" t="s">
        <v>2499</v>
      </c>
      <c r="W22" s="295">
        <v>2195</v>
      </c>
      <c r="X22" s="332">
        <v>42922</v>
      </c>
      <c r="Y22" s="332">
        <v>42922</v>
      </c>
      <c r="Z22" s="295">
        <v>107.49</v>
      </c>
      <c r="AA22" s="332">
        <v>42905</v>
      </c>
      <c r="AB22" s="295" t="s">
        <v>793</v>
      </c>
      <c r="AC22" s="295">
        <v>0</v>
      </c>
      <c r="AD22" s="295">
        <v>0</v>
      </c>
      <c r="AE22" s="295">
        <v>0</v>
      </c>
      <c r="AF22" s="295">
        <v>0</v>
      </c>
      <c r="AG22" s="295">
        <v>0</v>
      </c>
      <c r="AH22" s="295">
        <v>1</v>
      </c>
      <c r="AI22" s="295">
        <v>52142</v>
      </c>
      <c r="AJ22" s="295">
        <v>2195</v>
      </c>
      <c r="AK22" s="295">
        <v>0</v>
      </c>
      <c r="AL22" s="295">
        <v>0</v>
      </c>
      <c r="AO22" s="335"/>
      <c r="AP22" s="335"/>
      <c r="AQ22" s="295" t="str">
        <f t="shared" si="0"/>
        <v>VO04339991</v>
      </c>
      <c r="AS22" s="295" t="str">
        <f t="shared" si="1"/>
        <v>wci_corp</v>
      </c>
    </row>
    <row r="23" spans="2:45">
      <c r="B23" s="295" t="s">
        <v>2492</v>
      </c>
      <c r="C23" s="332">
        <v>42934</v>
      </c>
      <c r="D23" s="333">
        <v>177.57</v>
      </c>
      <c r="E23" s="333">
        <v>0</v>
      </c>
      <c r="F23" s="334" t="s">
        <v>782</v>
      </c>
      <c r="G23" s="295" t="s">
        <v>2508</v>
      </c>
      <c r="H23" s="335" t="s">
        <v>784</v>
      </c>
      <c r="I23" s="295" t="s">
        <v>785</v>
      </c>
      <c r="J23" s="295" t="s">
        <v>810</v>
      </c>
      <c r="K23" s="295" t="s">
        <v>787</v>
      </c>
      <c r="L23" s="299" t="s">
        <v>2500</v>
      </c>
      <c r="M23" s="299"/>
      <c r="N23" s="299" t="s">
        <v>2501</v>
      </c>
      <c r="O23" s="320">
        <v>42911</v>
      </c>
      <c r="P23" s="299" t="s">
        <v>2502</v>
      </c>
      <c r="Q23" s="299" t="s">
        <v>2509</v>
      </c>
      <c r="R23" s="295" t="s">
        <v>2504</v>
      </c>
      <c r="U23" s="295" t="s">
        <v>2510</v>
      </c>
      <c r="V23" s="295" t="s">
        <v>2511</v>
      </c>
      <c r="W23" s="295">
        <v>2195</v>
      </c>
      <c r="X23" s="332">
        <v>42934</v>
      </c>
      <c r="Y23" s="332">
        <v>42934</v>
      </c>
      <c r="Z23" s="295">
        <v>177.57</v>
      </c>
      <c r="AA23" s="332">
        <v>42912</v>
      </c>
      <c r="AB23" s="295" t="s">
        <v>793</v>
      </c>
      <c r="AC23" s="295">
        <v>0</v>
      </c>
      <c r="AD23" s="295">
        <v>0</v>
      </c>
      <c r="AE23" s="295">
        <v>0</v>
      </c>
      <c r="AF23" s="295">
        <v>0</v>
      </c>
      <c r="AG23" s="295">
        <v>0</v>
      </c>
      <c r="AH23" s="295">
        <v>1</v>
      </c>
      <c r="AI23" s="295">
        <v>52142</v>
      </c>
      <c r="AJ23" s="295">
        <v>2195</v>
      </c>
      <c r="AK23" s="295">
        <v>0</v>
      </c>
      <c r="AL23" s="295">
        <v>0</v>
      </c>
      <c r="AO23" s="335"/>
      <c r="AP23" s="335"/>
      <c r="AQ23" s="295" t="str">
        <f t="shared" si="0"/>
        <v>VO04349423</v>
      </c>
      <c r="AS23" s="295" t="str">
        <f t="shared" si="1"/>
        <v>wci_corp</v>
      </c>
    </row>
    <row r="24" spans="2:45">
      <c r="B24" s="295" t="s">
        <v>2492</v>
      </c>
      <c r="C24" s="332">
        <v>42934</v>
      </c>
      <c r="D24" s="333">
        <v>53.58</v>
      </c>
      <c r="E24" s="333">
        <v>0</v>
      </c>
      <c r="F24" s="334" t="s">
        <v>782</v>
      </c>
      <c r="G24" s="295" t="s">
        <v>2508</v>
      </c>
      <c r="H24" s="335" t="s">
        <v>784</v>
      </c>
      <c r="I24" s="295" t="s">
        <v>785</v>
      </c>
      <c r="J24" s="295" t="s">
        <v>810</v>
      </c>
      <c r="K24" s="295" t="s">
        <v>787</v>
      </c>
      <c r="L24" s="299" t="s">
        <v>2500</v>
      </c>
      <c r="M24" s="299"/>
      <c r="N24" s="299" t="s">
        <v>2501</v>
      </c>
      <c r="O24" s="320">
        <v>42918</v>
      </c>
      <c r="P24" s="299" t="s">
        <v>2502</v>
      </c>
      <c r="Q24" s="299" t="s">
        <v>2512</v>
      </c>
      <c r="R24" s="295" t="s">
        <v>2504</v>
      </c>
      <c r="U24" s="295" t="s">
        <v>2513</v>
      </c>
      <c r="V24" s="295" t="s">
        <v>2511</v>
      </c>
      <c r="W24" s="295">
        <v>2195</v>
      </c>
      <c r="X24" s="332">
        <v>42934</v>
      </c>
      <c r="Y24" s="332">
        <v>42934</v>
      </c>
      <c r="Z24" s="295">
        <v>53.58</v>
      </c>
      <c r="AA24" s="332">
        <v>42919</v>
      </c>
      <c r="AB24" s="295" t="s">
        <v>793</v>
      </c>
      <c r="AC24" s="295">
        <v>0</v>
      </c>
      <c r="AD24" s="295">
        <v>0</v>
      </c>
      <c r="AE24" s="295">
        <v>0</v>
      </c>
      <c r="AF24" s="295">
        <v>0</v>
      </c>
      <c r="AG24" s="295">
        <v>0</v>
      </c>
      <c r="AH24" s="295">
        <v>1</v>
      </c>
      <c r="AI24" s="295">
        <v>52142</v>
      </c>
      <c r="AJ24" s="295">
        <v>2195</v>
      </c>
      <c r="AK24" s="295">
        <v>0</v>
      </c>
      <c r="AL24" s="295">
        <v>0</v>
      </c>
      <c r="AO24" s="335"/>
      <c r="AP24" s="335"/>
      <c r="AQ24" s="295" t="str">
        <f t="shared" si="0"/>
        <v>VO04349424</v>
      </c>
      <c r="AS24" s="295" t="str">
        <f t="shared" si="1"/>
        <v>wci_corp</v>
      </c>
    </row>
    <row r="25" spans="2:45">
      <c r="B25" s="295" t="s">
        <v>2492</v>
      </c>
      <c r="C25" s="332">
        <v>42944</v>
      </c>
      <c r="D25" s="333">
        <v>24274.86</v>
      </c>
      <c r="E25" s="333">
        <v>0</v>
      </c>
      <c r="F25" s="334" t="s">
        <v>782</v>
      </c>
      <c r="G25" s="295" t="s">
        <v>2514</v>
      </c>
      <c r="H25" s="335" t="s">
        <v>784</v>
      </c>
      <c r="I25" s="295" t="s">
        <v>785</v>
      </c>
      <c r="J25" s="295" t="s">
        <v>810</v>
      </c>
      <c r="K25" s="295" t="s">
        <v>787</v>
      </c>
      <c r="L25" s="299" t="s">
        <v>2494</v>
      </c>
      <c r="M25" s="299"/>
      <c r="N25" s="299" t="s">
        <v>2495</v>
      </c>
      <c r="O25" s="320">
        <v>42926</v>
      </c>
      <c r="P25" s="299" t="s">
        <v>2515</v>
      </c>
      <c r="Q25" s="299">
        <v>15974</v>
      </c>
      <c r="R25" s="295" t="s">
        <v>2516</v>
      </c>
      <c r="U25" s="295" t="s">
        <v>2517</v>
      </c>
      <c r="V25" s="295" t="s">
        <v>2518</v>
      </c>
      <c r="W25" s="295">
        <v>2195</v>
      </c>
      <c r="X25" s="332">
        <v>42944</v>
      </c>
      <c r="Y25" s="332">
        <v>42947</v>
      </c>
      <c r="Z25" s="295">
        <v>24274.9</v>
      </c>
      <c r="AA25" s="332">
        <v>42927</v>
      </c>
      <c r="AB25" s="295" t="s">
        <v>793</v>
      </c>
      <c r="AC25" s="295">
        <v>0</v>
      </c>
      <c r="AD25" s="295">
        <v>0</v>
      </c>
      <c r="AE25" s="295">
        <v>0</v>
      </c>
      <c r="AF25" s="295">
        <v>0</v>
      </c>
      <c r="AG25" s="295">
        <v>0</v>
      </c>
      <c r="AH25" s="295">
        <v>1</v>
      </c>
      <c r="AI25" s="295">
        <v>52142</v>
      </c>
      <c r="AJ25" s="295">
        <v>2195</v>
      </c>
      <c r="AK25" s="295">
        <v>0</v>
      </c>
      <c r="AL25" s="295">
        <v>0</v>
      </c>
      <c r="AO25" s="335"/>
      <c r="AP25" s="335"/>
      <c r="AQ25" s="295" t="str">
        <f t="shared" si="0"/>
        <v>VO04362698</v>
      </c>
      <c r="AS25" s="295" t="str">
        <f t="shared" si="1"/>
        <v>wci_corp</v>
      </c>
    </row>
    <row r="26" spans="2:45">
      <c r="B26" s="295" t="s">
        <v>2492</v>
      </c>
      <c r="C26" s="332">
        <v>42944</v>
      </c>
      <c r="D26" s="333">
        <v>24574.92</v>
      </c>
      <c r="E26" s="333">
        <v>0</v>
      </c>
      <c r="F26" s="334" t="s">
        <v>782</v>
      </c>
      <c r="G26" s="295" t="s">
        <v>2514</v>
      </c>
      <c r="H26" s="335" t="s">
        <v>784</v>
      </c>
      <c r="I26" s="295" t="s">
        <v>785</v>
      </c>
      <c r="J26" s="295" t="s">
        <v>810</v>
      </c>
      <c r="K26" s="295" t="s">
        <v>787</v>
      </c>
      <c r="L26" s="299" t="s">
        <v>2494</v>
      </c>
      <c r="M26" s="299"/>
      <c r="N26" s="299" t="s">
        <v>2495</v>
      </c>
      <c r="O26" s="320">
        <v>42923</v>
      </c>
      <c r="P26" s="299" t="s">
        <v>2519</v>
      </c>
      <c r="Q26" s="299">
        <v>15968</v>
      </c>
      <c r="R26" s="295" t="s">
        <v>2520</v>
      </c>
      <c r="U26" s="295" t="s">
        <v>2521</v>
      </c>
      <c r="V26" s="295" t="s">
        <v>2518</v>
      </c>
      <c r="W26" s="295">
        <v>2195</v>
      </c>
      <c r="X26" s="332">
        <v>42944</v>
      </c>
      <c r="Y26" s="332">
        <v>42947</v>
      </c>
      <c r="Z26" s="295">
        <v>24574.9</v>
      </c>
      <c r="AA26" s="332">
        <v>42924</v>
      </c>
      <c r="AB26" s="295" t="s">
        <v>793</v>
      </c>
      <c r="AC26" s="295">
        <v>0</v>
      </c>
      <c r="AD26" s="295">
        <v>0</v>
      </c>
      <c r="AE26" s="295">
        <v>0</v>
      </c>
      <c r="AF26" s="295">
        <v>0</v>
      </c>
      <c r="AG26" s="295">
        <v>0</v>
      </c>
      <c r="AH26" s="295">
        <v>1</v>
      </c>
      <c r="AI26" s="295">
        <v>52142</v>
      </c>
      <c r="AJ26" s="295">
        <v>2195</v>
      </c>
      <c r="AK26" s="295">
        <v>0</v>
      </c>
      <c r="AL26" s="295">
        <v>0</v>
      </c>
      <c r="AO26" s="335"/>
      <c r="AP26" s="335"/>
      <c r="AQ26" s="295" t="str">
        <f t="shared" si="0"/>
        <v>VO04362700</v>
      </c>
      <c r="AS26" s="295" t="str">
        <f t="shared" si="1"/>
        <v>wci_corp</v>
      </c>
    </row>
    <row r="27" spans="2:45">
      <c r="B27" s="295" t="s">
        <v>2492</v>
      </c>
      <c r="C27" s="332">
        <v>42944</v>
      </c>
      <c r="D27" s="333">
        <v>24550</v>
      </c>
      <c r="E27" s="333">
        <v>0</v>
      </c>
      <c r="F27" s="334" t="s">
        <v>782</v>
      </c>
      <c r="G27" s="295" t="s">
        <v>2522</v>
      </c>
      <c r="H27" s="335" t="s">
        <v>784</v>
      </c>
      <c r="I27" s="295" t="s">
        <v>785</v>
      </c>
      <c r="J27" s="295" t="s">
        <v>810</v>
      </c>
      <c r="K27" s="295" t="s">
        <v>787</v>
      </c>
      <c r="L27" s="299" t="s">
        <v>2494</v>
      </c>
      <c r="M27" s="299"/>
      <c r="N27" s="299" t="s">
        <v>2495</v>
      </c>
      <c r="O27" s="320">
        <v>42941</v>
      </c>
      <c r="P27" s="299" t="s">
        <v>2523</v>
      </c>
      <c r="Q27" s="299">
        <v>16004</v>
      </c>
      <c r="R27" s="295" t="s">
        <v>2524</v>
      </c>
      <c r="U27" s="295" t="s">
        <v>2525</v>
      </c>
      <c r="V27" s="295" t="s">
        <v>2526</v>
      </c>
      <c r="W27" s="295">
        <v>2195</v>
      </c>
      <c r="X27" s="332">
        <v>42944</v>
      </c>
      <c r="Y27" s="332">
        <v>42947</v>
      </c>
      <c r="Z27" s="295">
        <v>24550</v>
      </c>
      <c r="AA27" s="332">
        <v>42942</v>
      </c>
      <c r="AB27" s="295" t="s">
        <v>793</v>
      </c>
      <c r="AC27" s="295">
        <v>0</v>
      </c>
      <c r="AD27" s="295">
        <v>0</v>
      </c>
      <c r="AE27" s="295">
        <v>0</v>
      </c>
      <c r="AF27" s="295">
        <v>0</v>
      </c>
      <c r="AG27" s="295">
        <v>0</v>
      </c>
      <c r="AH27" s="295">
        <v>1</v>
      </c>
      <c r="AI27" s="295">
        <v>52142</v>
      </c>
      <c r="AJ27" s="295">
        <v>2195</v>
      </c>
      <c r="AK27" s="295">
        <v>0</v>
      </c>
      <c r="AL27" s="295">
        <v>0</v>
      </c>
      <c r="AO27" s="335"/>
      <c r="AP27" s="335"/>
      <c r="AQ27" s="295" t="str">
        <f t="shared" si="0"/>
        <v>VO04363108</v>
      </c>
      <c r="AS27" s="295" t="str">
        <f t="shared" si="1"/>
        <v>wci_corp</v>
      </c>
    </row>
    <row r="28" spans="2:45">
      <c r="B28" s="295" t="s">
        <v>2492</v>
      </c>
      <c r="C28" s="332">
        <v>42947</v>
      </c>
      <c r="D28" s="333">
        <v>-679.83</v>
      </c>
      <c r="E28" s="333">
        <v>0</v>
      </c>
      <c r="F28" s="334" t="s">
        <v>782</v>
      </c>
      <c r="H28" s="335" t="s">
        <v>2527</v>
      </c>
      <c r="I28" s="295" t="s">
        <v>2528</v>
      </c>
      <c r="J28" s="295" t="s">
        <v>2529</v>
      </c>
      <c r="L28" s="299"/>
      <c r="M28" s="299"/>
      <c r="N28" s="299" t="s">
        <v>2530</v>
      </c>
      <c r="O28" s="320"/>
      <c r="P28" s="299"/>
      <c r="Q28" s="299" t="s">
        <v>2531</v>
      </c>
      <c r="X28" s="332">
        <v>42948</v>
      </c>
      <c r="Y28" s="332"/>
      <c r="AA28" s="332"/>
      <c r="AB28" s="295" t="s">
        <v>2532</v>
      </c>
      <c r="AC28" s="295">
        <v>0</v>
      </c>
      <c r="AI28" s="295">
        <v>52142</v>
      </c>
      <c r="AJ28" s="295">
        <v>2195</v>
      </c>
      <c r="AK28" s="295">
        <v>0</v>
      </c>
      <c r="AL28" s="295">
        <v>0</v>
      </c>
      <c r="AO28" s="335" t="s">
        <v>2490</v>
      </c>
      <c r="AP28" s="335">
        <v>2195</v>
      </c>
      <c r="AQ28" s="295" t="str">
        <f t="shared" si="0"/>
        <v/>
      </c>
      <c r="AS28" s="295" t="str">
        <f t="shared" si="1"/>
        <v>WCI_WA</v>
      </c>
    </row>
    <row r="29" spans="2:45">
      <c r="B29" s="295" t="s">
        <v>2492</v>
      </c>
      <c r="C29" s="332">
        <v>42947</v>
      </c>
      <c r="D29" s="333">
        <v>-107.49</v>
      </c>
      <c r="E29" s="333">
        <v>0</v>
      </c>
      <c r="F29" s="334" t="s">
        <v>782</v>
      </c>
      <c r="H29" s="335" t="s">
        <v>2527</v>
      </c>
      <c r="I29" s="295" t="s">
        <v>2528</v>
      </c>
      <c r="J29" s="295" t="s">
        <v>2529</v>
      </c>
      <c r="L29" s="299"/>
      <c r="M29" s="299"/>
      <c r="N29" s="299" t="s">
        <v>2530</v>
      </c>
      <c r="O29" s="320"/>
      <c r="P29" s="299"/>
      <c r="Q29" s="299" t="s">
        <v>2531</v>
      </c>
      <c r="X29" s="332">
        <v>42948</v>
      </c>
      <c r="Y29" s="332"/>
      <c r="AA29" s="332"/>
      <c r="AB29" s="295" t="s">
        <v>2532</v>
      </c>
      <c r="AC29" s="295">
        <v>0</v>
      </c>
      <c r="AI29" s="295">
        <v>52142</v>
      </c>
      <c r="AJ29" s="295">
        <v>2195</v>
      </c>
      <c r="AK29" s="295">
        <v>0</v>
      </c>
      <c r="AL29" s="295">
        <v>0</v>
      </c>
      <c r="AO29" s="335" t="s">
        <v>2490</v>
      </c>
      <c r="AP29" s="335">
        <v>2195</v>
      </c>
      <c r="AQ29" s="295" t="str">
        <f t="shared" si="0"/>
        <v/>
      </c>
      <c r="AS29" s="295" t="str">
        <f t="shared" si="1"/>
        <v>WCI_WA</v>
      </c>
    </row>
    <row r="30" spans="2:45">
      <c r="B30" s="295" t="s">
        <v>2492</v>
      </c>
      <c r="C30" s="332">
        <v>42947</v>
      </c>
      <c r="D30" s="333">
        <v>-177.57</v>
      </c>
      <c r="E30" s="333">
        <v>0</v>
      </c>
      <c r="F30" s="334" t="s">
        <v>782</v>
      </c>
      <c r="H30" s="335" t="s">
        <v>2527</v>
      </c>
      <c r="I30" s="295" t="s">
        <v>2528</v>
      </c>
      <c r="J30" s="295" t="s">
        <v>2529</v>
      </c>
      <c r="L30" s="299"/>
      <c r="M30" s="299"/>
      <c r="N30" s="299" t="s">
        <v>2530</v>
      </c>
      <c r="O30" s="320"/>
      <c r="P30" s="299"/>
      <c r="Q30" s="299" t="s">
        <v>2531</v>
      </c>
      <c r="X30" s="332">
        <v>42948</v>
      </c>
      <c r="Y30" s="332"/>
      <c r="AA30" s="332"/>
      <c r="AB30" s="295" t="s">
        <v>2532</v>
      </c>
      <c r="AC30" s="295">
        <v>0</v>
      </c>
      <c r="AI30" s="295">
        <v>52142</v>
      </c>
      <c r="AJ30" s="295">
        <v>2195</v>
      </c>
      <c r="AK30" s="295">
        <v>0</v>
      </c>
      <c r="AL30" s="295">
        <v>0</v>
      </c>
      <c r="AO30" s="335" t="s">
        <v>2490</v>
      </c>
      <c r="AP30" s="335">
        <v>2195</v>
      </c>
      <c r="AQ30" s="295" t="str">
        <f t="shared" si="0"/>
        <v/>
      </c>
      <c r="AS30" s="295" t="str">
        <f t="shared" si="1"/>
        <v>WCI_WA</v>
      </c>
    </row>
    <row r="31" spans="2:45">
      <c r="B31" s="295" t="s">
        <v>2492</v>
      </c>
      <c r="C31" s="332">
        <v>42947</v>
      </c>
      <c r="D31" s="333">
        <v>-23992.39</v>
      </c>
      <c r="E31" s="333">
        <v>0</v>
      </c>
      <c r="F31" s="334" t="s">
        <v>782</v>
      </c>
      <c r="H31" s="335" t="s">
        <v>2527</v>
      </c>
      <c r="I31" s="295" t="s">
        <v>2528</v>
      </c>
      <c r="J31" s="295" t="s">
        <v>2529</v>
      </c>
      <c r="L31" s="299"/>
      <c r="M31" s="299"/>
      <c r="N31" s="299" t="s">
        <v>2530</v>
      </c>
      <c r="O31" s="320"/>
      <c r="P31" s="299"/>
      <c r="Q31" s="299" t="s">
        <v>2531</v>
      </c>
      <c r="X31" s="332">
        <v>42948</v>
      </c>
      <c r="Y31" s="332"/>
      <c r="AA31" s="332"/>
      <c r="AB31" s="295" t="s">
        <v>2532</v>
      </c>
      <c r="AC31" s="295">
        <v>0</v>
      </c>
      <c r="AI31" s="295">
        <v>52142</v>
      </c>
      <c r="AJ31" s="295">
        <v>2195</v>
      </c>
      <c r="AK31" s="295">
        <v>0</v>
      </c>
      <c r="AL31" s="295">
        <v>0</v>
      </c>
      <c r="AO31" s="335" t="s">
        <v>2490</v>
      </c>
      <c r="AP31" s="335">
        <v>2195</v>
      </c>
      <c r="AQ31" s="295" t="str">
        <f t="shared" si="0"/>
        <v/>
      </c>
      <c r="AS31" s="295" t="str">
        <f t="shared" si="1"/>
        <v>WCI_WA</v>
      </c>
    </row>
    <row r="32" spans="2:45">
      <c r="B32" s="295" t="s">
        <v>2492</v>
      </c>
      <c r="C32" s="332">
        <v>42947</v>
      </c>
      <c r="D32" s="333">
        <v>679.83</v>
      </c>
      <c r="E32" s="333">
        <v>0</v>
      </c>
      <c r="F32" s="334" t="s">
        <v>782</v>
      </c>
      <c r="G32" s="295" t="s">
        <v>2533</v>
      </c>
      <c r="H32" s="335" t="s">
        <v>784</v>
      </c>
      <c r="I32" s="295" t="s">
        <v>802</v>
      </c>
      <c r="J32" s="295" t="s">
        <v>856</v>
      </c>
      <c r="K32" s="295" t="s">
        <v>787</v>
      </c>
      <c r="L32" s="299"/>
      <c r="M32" s="299"/>
      <c r="N32" s="299" t="s">
        <v>2534</v>
      </c>
      <c r="O32" s="320"/>
      <c r="P32" s="299"/>
      <c r="Q32" s="299"/>
      <c r="U32" s="295" t="s">
        <v>2535</v>
      </c>
      <c r="V32" s="295" t="s">
        <v>2536</v>
      </c>
      <c r="X32" s="332">
        <v>42926</v>
      </c>
      <c r="Y32" s="332">
        <v>42926</v>
      </c>
      <c r="AA32" s="332"/>
      <c r="AB32" s="295" t="s">
        <v>793</v>
      </c>
      <c r="AC32" s="295">
        <v>0</v>
      </c>
      <c r="AD32" s="295">
        <v>0</v>
      </c>
      <c r="AE32" s="295">
        <v>0</v>
      </c>
      <c r="AF32" s="295">
        <v>0</v>
      </c>
      <c r="AG32" s="295">
        <v>5</v>
      </c>
      <c r="AH32" s="295">
        <v>1</v>
      </c>
      <c r="AI32" s="295">
        <v>52142</v>
      </c>
      <c r="AJ32" s="295">
        <v>2195</v>
      </c>
      <c r="AK32" s="295">
        <v>0</v>
      </c>
      <c r="AL32" s="295">
        <v>0</v>
      </c>
      <c r="AO32" s="335"/>
      <c r="AP32" s="335"/>
      <c r="AQ32" s="295" t="str">
        <f t="shared" si="0"/>
        <v/>
      </c>
      <c r="AS32" s="295" t="str">
        <f t="shared" si="1"/>
        <v>wci_corp</v>
      </c>
    </row>
    <row r="33" spans="2:45">
      <c r="B33" s="295" t="s">
        <v>2492</v>
      </c>
      <c r="C33" s="332">
        <v>42947</v>
      </c>
      <c r="D33" s="333">
        <v>107.49</v>
      </c>
      <c r="E33" s="333">
        <v>0</v>
      </c>
      <c r="F33" s="334" t="s">
        <v>782</v>
      </c>
      <c r="G33" s="295" t="s">
        <v>2533</v>
      </c>
      <c r="H33" s="335" t="s">
        <v>784</v>
      </c>
      <c r="I33" s="295" t="s">
        <v>802</v>
      </c>
      <c r="J33" s="295" t="s">
        <v>856</v>
      </c>
      <c r="K33" s="295" t="s">
        <v>787</v>
      </c>
      <c r="L33" s="299"/>
      <c r="M33" s="299"/>
      <c r="N33" s="299" t="s">
        <v>2534</v>
      </c>
      <c r="O33" s="320"/>
      <c r="P33" s="299"/>
      <c r="Q33" s="299"/>
      <c r="U33" s="295" t="s">
        <v>2535</v>
      </c>
      <c r="V33" s="295" t="s">
        <v>2536</v>
      </c>
      <c r="X33" s="332">
        <v>42926</v>
      </c>
      <c r="Y33" s="332">
        <v>42926</v>
      </c>
      <c r="AA33" s="332"/>
      <c r="AB33" s="295" t="s">
        <v>793</v>
      </c>
      <c r="AC33" s="295">
        <v>0</v>
      </c>
      <c r="AD33" s="295">
        <v>0</v>
      </c>
      <c r="AE33" s="295">
        <v>0</v>
      </c>
      <c r="AF33" s="295">
        <v>0</v>
      </c>
      <c r="AG33" s="295">
        <v>5</v>
      </c>
      <c r="AH33" s="295">
        <v>1</v>
      </c>
      <c r="AI33" s="295">
        <v>52142</v>
      </c>
      <c r="AJ33" s="295">
        <v>2195</v>
      </c>
      <c r="AK33" s="295">
        <v>0</v>
      </c>
      <c r="AL33" s="295">
        <v>0</v>
      </c>
      <c r="AO33" s="335"/>
      <c r="AP33" s="335"/>
      <c r="AQ33" s="295" t="str">
        <f t="shared" si="0"/>
        <v/>
      </c>
      <c r="AS33" s="295" t="str">
        <f t="shared" si="1"/>
        <v>wci_corp</v>
      </c>
    </row>
    <row r="34" spans="2:45">
      <c r="B34" s="295" t="s">
        <v>2492</v>
      </c>
      <c r="C34" s="332">
        <v>42947</v>
      </c>
      <c r="D34" s="333">
        <v>177.57</v>
      </c>
      <c r="E34" s="333">
        <v>0</v>
      </c>
      <c r="F34" s="334" t="s">
        <v>782</v>
      </c>
      <c r="G34" s="295" t="s">
        <v>2533</v>
      </c>
      <c r="H34" s="335" t="s">
        <v>784</v>
      </c>
      <c r="I34" s="295" t="s">
        <v>802</v>
      </c>
      <c r="J34" s="295" t="s">
        <v>856</v>
      </c>
      <c r="K34" s="295" t="s">
        <v>787</v>
      </c>
      <c r="L34" s="299"/>
      <c r="M34" s="299"/>
      <c r="N34" s="299" t="s">
        <v>2534</v>
      </c>
      <c r="O34" s="320"/>
      <c r="P34" s="299"/>
      <c r="Q34" s="299"/>
      <c r="U34" s="295" t="s">
        <v>2535</v>
      </c>
      <c r="V34" s="295" t="s">
        <v>2536</v>
      </c>
      <c r="X34" s="332">
        <v>42926</v>
      </c>
      <c r="Y34" s="332">
        <v>42926</v>
      </c>
      <c r="AA34" s="332"/>
      <c r="AB34" s="295" t="s">
        <v>793</v>
      </c>
      <c r="AC34" s="295">
        <v>0</v>
      </c>
      <c r="AD34" s="295">
        <v>0</v>
      </c>
      <c r="AE34" s="295">
        <v>0</v>
      </c>
      <c r="AF34" s="295">
        <v>0</v>
      </c>
      <c r="AG34" s="295">
        <v>5</v>
      </c>
      <c r="AH34" s="295">
        <v>1</v>
      </c>
      <c r="AI34" s="295">
        <v>52142</v>
      </c>
      <c r="AJ34" s="295">
        <v>2195</v>
      </c>
      <c r="AK34" s="295">
        <v>0</v>
      </c>
      <c r="AL34" s="295">
        <v>0</v>
      </c>
      <c r="AO34" s="335"/>
      <c r="AP34" s="335"/>
      <c r="AQ34" s="295" t="str">
        <f t="shared" si="0"/>
        <v/>
      </c>
      <c r="AS34" s="295" t="str">
        <f t="shared" si="1"/>
        <v>wci_corp</v>
      </c>
    </row>
    <row r="35" spans="2:45">
      <c r="B35" s="295" t="s">
        <v>2492</v>
      </c>
      <c r="C35" s="332">
        <v>42947</v>
      </c>
      <c r="D35" s="333">
        <v>23992.39</v>
      </c>
      <c r="E35" s="333">
        <v>0</v>
      </c>
      <c r="F35" s="334" t="s">
        <v>782</v>
      </c>
      <c r="G35" s="295" t="s">
        <v>2533</v>
      </c>
      <c r="H35" s="335" t="s">
        <v>784</v>
      </c>
      <c r="I35" s="295" t="s">
        <v>802</v>
      </c>
      <c r="J35" s="295" t="s">
        <v>856</v>
      </c>
      <c r="K35" s="295" t="s">
        <v>787</v>
      </c>
      <c r="L35" s="299"/>
      <c r="M35" s="299"/>
      <c r="N35" s="299" t="s">
        <v>2537</v>
      </c>
      <c r="O35" s="320"/>
      <c r="P35" s="299"/>
      <c r="Q35" s="299"/>
      <c r="U35" s="295" t="s">
        <v>2535</v>
      </c>
      <c r="V35" s="295" t="s">
        <v>2536</v>
      </c>
      <c r="X35" s="332">
        <v>42926</v>
      </c>
      <c r="Y35" s="332">
        <v>42926</v>
      </c>
      <c r="AA35" s="332"/>
      <c r="AB35" s="295" t="s">
        <v>793</v>
      </c>
      <c r="AC35" s="295">
        <v>0</v>
      </c>
      <c r="AD35" s="295">
        <v>0</v>
      </c>
      <c r="AE35" s="295">
        <v>0</v>
      </c>
      <c r="AF35" s="295">
        <v>0</v>
      </c>
      <c r="AG35" s="295">
        <v>5</v>
      </c>
      <c r="AH35" s="295">
        <v>1</v>
      </c>
      <c r="AI35" s="295">
        <v>52142</v>
      </c>
      <c r="AJ35" s="295">
        <v>2195</v>
      </c>
      <c r="AK35" s="295">
        <v>0</v>
      </c>
      <c r="AL35" s="295">
        <v>0</v>
      </c>
      <c r="AO35" s="335"/>
      <c r="AP35" s="335"/>
      <c r="AQ35" s="295" t="str">
        <f t="shared" si="0"/>
        <v/>
      </c>
      <c r="AS35" s="295" t="str">
        <f t="shared" si="1"/>
        <v>wci_corp</v>
      </c>
    </row>
    <row r="36" spans="2:45">
      <c r="B36" s="295" t="s">
        <v>2492</v>
      </c>
      <c r="C36" s="332">
        <v>42947</v>
      </c>
      <c r="D36" s="333">
        <v>-679.83</v>
      </c>
      <c r="E36" s="333">
        <v>0</v>
      </c>
      <c r="F36" s="334" t="s">
        <v>782</v>
      </c>
      <c r="G36" s="295" t="s">
        <v>2538</v>
      </c>
      <c r="H36" s="335" t="s">
        <v>784</v>
      </c>
      <c r="I36" s="295" t="s">
        <v>2539</v>
      </c>
      <c r="J36" s="295" t="s">
        <v>2255</v>
      </c>
      <c r="K36" s="295" t="s">
        <v>787</v>
      </c>
      <c r="L36" s="299"/>
      <c r="M36" s="299"/>
      <c r="N36" s="299" t="s">
        <v>2534</v>
      </c>
      <c r="O36" s="320"/>
      <c r="P36" s="299"/>
      <c r="Q36" s="299"/>
      <c r="U36" s="295" t="s">
        <v>2540</v>
      </c>
      <c r="V36" s="295" t="s">
        <v>2541</v>
      </c>
      <c r="X36" s="332">
        <v>42927</v>
      </c>
      <c r="Y36" s="332">
        <v>42927</v>
      </c>
      <c r="AA36" s="332"/>
      <c r="AB36" s="295" t="s">
        <v>793</v>
      </c>
      <c r="AC36" s="295">
        <v>0</v>
      </c>
      <c r="AD36" s="295">
        <v>0</v>
      </c>
      <c r="AE36" s="295">
        <v>0</v>
      </c>
      <c r="AF36" s="295">
        <v>0</v>
      </c>
      <c r="AG36" s="295">
        <v>5</v>
      </c>
      <c r="AH36" s="295">
        <v>1</v>
      </c>
      <c r="AI36" s="295">
        <v>52142</v>
      </c>
      <c r="AJ36" s="295">
        <v>2195</v>
      </c>
      <c r="AK36" s="295">
        <v>0</v>
      </c>
      <c r="AL36" s="295">
        <v>0</v>
      </c>
      <c r="AO36" s="335"/>
      <c r="AP36" s="335"/>
      <c r="AQ36" s="295" t="str">
        <f t="shared" si="0"/>
        <v/>
      </c>
      <c r="AS36" s="295" t="str">
        <f t="shared" si="1"/>
        <v>wci_corp</v>
      </c>
    </row>
    <row r="37" spans="2:45">
      <c r="B37" s="295" t="s">
        <v>2492</v>
      </c>
      <c r="C37" s="332">
        <v>42947</v>
      </c>
      <c r="D37" s="333">
        <v>-107.49</v>
      </c>
      <c r="E37" s="333">
        <v>0</v>
      </c>
      <c r="F37" s="334" t="s">
        <v>782</v>
      </c>
      <c r="G37" s="295" t="s">
        <v>2538</v>
      </c>
      <c r="H37" s="335" t="s">
        <v>784</v>
      </c>
      <c r="I37" s="295" t="s">
        <v>2539</v>
      </c>
      <c r="J37" s="295" t="s">
        <v>2255</v>
      </c>
      <c r="K37" s="295" t="s">
        <v>787</v>
      </c>
      <c r="L37" s="299"/>
      <c r="M37" s="299"/>
      <c r="N37" s="299" t="s">
        <v>2534</v>
      </c>
      <c r="O37" s="320"/>
      <c r="P37" s="299"/>
      <c r="Q37" s="299"/>
      <c r="U37" s="295" t="s">
        <v>2540</v>
      </c>
      <c r="V37" s="295" t="s">
        <v>2541</v>
      </c>
      <c r="X37" s="332">
        <v>42927</v>
      </c>
      <c r="Y37" s="332">
        <v>42927</v>
      </c>
      <c r="AA37" s="332"/>
      <c r="AB37" s="295" t="s">
        <v>793</v>
      </c>
      <c r="AC37" s="295">
        <v>0</v>
      </c>
      <c r="AD37" s="295">
        <v>0</v>
      </c>
      <c r="AE37" s="295">
        <v>0</v>
      </c>
      <c r="AF37" s="295">
        <v>0</v>
      </c>
      <c r="AG37" s="295">
        <v>5</v>
      </c>
      <c r="AH37" s="295">
        <v>1</v>
      </c>
      <c r="AI37" s="295">
        <v>52142</v>
      </c>
      <c r="AJ37" s="295">
        <v>2195</v>
      </c>
      <c r="AK37" s="295">
        <v>0</v>
      </c>
      <c r="AL37" s="295">
        <v>0</v>
      </c>
      <c r="AO37" s="335"/>
      <c r="AP37" s="335"/>
      <c r="AQ37" s="295" t="str">
        <f t="shared" si="0"/>
        <v/>
      </c>
      <c r="AS37" s="295" t="str">
        <f t="shared" si="1"/>
        <v>wci_corp</v>
      </c>
    </row>
    <row r="38" spans="2:45">
      <c r="B38" s="295" t="s">
        <v>2492</v>
      </c>
      <c r="C38" s="332">
        <v>42947</v>
      </c>
      <c r="D38" s="333">
        <v>-177.57</v>
      </c>
      <c r="E38" s="333">
        <v>0</v>
      </c>
      <c r="F38" s="334" t="s">
        <v>782</v>
      </c>
      <c r="G38" s="295" t="s">
        <v>2538</v>
      </c>
      <c r="H38" s="335" t="s">
        <v>784</v>
      </c>
      <c r="I38" s="295" t="s">
        <v>2539</v>
      </c>
      <c r="J38" s="295" t="s">
        <v>2255</v>
      </c>
      <c r="K38" s="295" t="s">
        <v>787</v>
      </c>
      <c r="L38" s="299"/>
      <c r="M38" s="299"/>
      <c r="N38" s="299" t="s">
        <v>2534</v>
      </c>
      <c r="O38" s="320"/>
      <c r="P38" s="299"/>
      <c r="Q38" s="299"/>
      <c r="U38" s="295" t="s">
        <v>2540</v>
      </c>
      <c r="V38" s="295" t="s">
        <v>2541</v>
      </c>
      <c r="X38" s="332">
        <v>42927</v>
      </c>
      <c r="Y38" s="332">
        <v>42927</v>
      </c>
      <c r="AA38" s="332"/>
      <c r="AB38" s="295" t="s">
        <v>793</v>
      </c>
      <c r="AC38" s="295">
        <v>0</v>
      </c>
      <c r="AD38" s="295">
        <v>0</v>
      </c>
      <c r="AE38" s="295">
        <v>0</v>
      </c>
      <c r="AF38" s="295">
        <v>0</v>
      </c>
      <c r="AG38" s="295">
        <v>5</v>
      </c>
      <c r="AH38" s="295">
        <v>1</v>
      </c>
      <c r="AI38" s="295">
        <v>52142</v>
      </c>
      <c r="AJ38" s="295">
        <v>2195</v>
      </c>
      <c r="AK38" s="295">
        <v>0</v>
      </c>
      <c r="AL38" s="295">
        <v>0</v>
      </c>
      <c r="AO38" s="335"/>
      <c r="AP38" s="335"/>
      <c r="AQ38" s="295" t="str">
        <f t="shared" si="0"/>
        <v/>
      </c>
      <c r="AS38" s="295" t="str">
        <f t="shared" si="1"/>
        <v>wci_corp</v>
      </c>
    </row>
    <row r="39" spans="2:45">
      <c r="B39" s="295" t="s">
        <v>2492</v>
      </c>
      <c r="C39" s="332">
        <v>42947</v>
      </c>
      <c r="D39" s="333">
        <v>-23992.39</v>
      </c>
      <c r="E39" s="333">
        <v>0</v>
      </c>
      <c r="F39" s="334" t="s">
        <v>782</v>
      </c>
      <c r="G39" s="295" t="s">
        <v>2538</v>
      </c>
      <c r="H39" s="335" t="s">
        <v>784</v>
      </c>
      <c r="I39" s="295" t="s">
        <v>2539</v>
      </c>
      <c r="J39" s="295" t="s">
        <v>2255</v>
      </c>
      <c r="K39" s="295" t="s">
        <v>787</v>
      </c>
      <c r="L39" s="299"/>
      <c r="M39" s="299"/>
      <c r="N39" s="299" t="s">
        <v>2537</v>
      </c>
      <c r="O39" s="320"/>
      <c r="P39" s="299"/>
      <c r="Q39" s="299"/>
      <c r="U39" s="295" t="s">
        <v>2540</v>
      </c>
      <c r="V39" s="295" t="s">
        <v>2541</v>
      </c>
      <c r="X39" s="332">
        <v>42927</v>
      </c>
      <c r="Y39" s="332">
        <v>42927</v>
      </c>
      <c r="AA39" s="332"/>
      <c r="AB39" s="295" t="s">
        <v>793</v>
      </c>
      <c r="AC39" s="295">
        <v>0</v>
      </c>
      <c r="AD39" s="295">
        <v>0</v>
      </c>
      <c r="AE39" s="295">
        <v>0</v>
      </c>
      <c r="AF39" s="295">
        <v>0</v>
      </c>
      <c r="AG39" s="295">
        <v>5</v>
      </c>
      <c r="AH39" s="295">
        <v>1</v>
      </c>
      <c r="AI39" s="295">
        <v>52142</v>
      </c>
      <c r="AJ39" s="295">
        <v>2195</v>
      </c>
      <c r="AK39" s="295">
        <v>0</v>
      </c>
      <c r="AL39" s="295">
        <v>0</v>
      </c>
      <c r="AO39" s="335"/>
      <c r="AP39" s="335"/>
      <c r="AQ39" s="295" t="str">
        <f t="shared" si="0"/>
        <v/>
      </c>
      <c r="AS39" s="295" t="str">
        <f t="shared" si="1"/>
        <v>wci_corp</v>
      </c>
    </row>
    <row r="40" spans="2:45">
      <c r="B40" s="295" t="s">
        <v>2492</v>
      </c>
      <c r="C40" s="332">
        <v>42947</v>
      </c>
      <c r="D40" s="333">
        <v>-9423.67</v>
      </c>
      <c r="E40" s="333">
        <v>0</v>
      </c>
      <c r="F40" s="334" t="s">
        <v>782</v>
      </c>
      <c r="G40" s="295" t="s">
        <v>2542</v>
      </c>
      <c r="H40" s="335" t="s">
        <v>784</v>
      </c>
      <c r="I40" s="295" t="s">
        <v>2543</v>
      </c>
      <c r="J40" s="295" t="s">
        <v>796</v>
      </c>
      <c r="K40" s="295" t="s">
        <v>787</v>
      </c>
      <c r="L40" s="299"/>
      <c r="M40" s="299"/>
      <c r="N40" s="299" t="s">
        <v>2544</v>
      </c>
      <c r="O40" s="320"/>
      <c r="P40" s="299"/>
      <c r="Q40" s="299"/>
      <c r="U40" s="295" t="s">
        <v>2545</v>
      </c>
      <c r="V40" s="295" t="s">
        <v>2545</v>
      </c>
      <c r="X40" s="332">
        <v>42948</v>
      </c>
      <c r="Y40" s="332">
        <v>42949</v>
      </c>
      <c r="AA40" s="332"/>
      <c r="AB40" s="295" t="s">
        <v>793</v>
      </c>
      <c r="AC40" s="295">
        <v>0</v>
      </c>
      <c r="AD40" s="295">
        <v>0</v>
      </c>
      <c r="AE40" s="295">
        <v>0</v>
      </c>
      <c r="AF40" s="295">
        <v>0</v>
      </c>
      <c r="AG40" s="295">
        <v>0</v>
      </c>
      <c r="AH40" s="295">
        <v>1</v>
      </c>
      <c r="AI40" s="295">
        <v>52142</v>
      </c>
      <c r="AJ40" s="295">
        <v>2195</v>
      </c>
      <c r="AK40" s="295">
        <v>0</v>
      </c>
      <c r="AL40" s="295">
        <v>0</v>
      </c>
      <c r="AO40" s="335"/>
      <c r="AP40" s="335"/>
      <c r="AQ40" s="295" t="str">
        <f t="shared" si="0"/>
        <v/>
      </c>
      <c r="AS40" s="295" t="str">
        <f t="shared" si="1"/>
        <v>wci_corp</v>
      </c>
    </row>
    <row r="41" spans="2:45">
      <c r="C41" s="332"/>
      <c r="D41" s="338"/>
      <c r="E41" s="338"/>
      <c r="F41" s="338"/>
      <c r="H41" s="298"/>
    </row>
    <row r="42" spans="2:45">
      <c r="B42" s="339" t="s">
        <v>991</v>
      </c>
      <c r="C42" s="339"/>
      <c r="D42" s="340"/>
      <c r="E42" s="340"/>
      <c r="F42" s="340"/>
      <c r="G42" s="339"/>
      <c r="H42" s="341"/>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42"/>
    </row>
    <row r="43" spans="2:45">
      <c r="H43" s="298"/>
    </row>
    <row r="44" spans="2:45">
      <c r="H44" s="298"/>
    </row>
    <row r="45" spans="2:45">
      <c r="H45" s="298"/>
    </row>
    <row r="46" spans="2:45">
      <c r="H46" s="298"/>
    </row>
    <row r="47" spans="2:45">
      <c r="H47" s="298"/>
    </row>
    <row r="48" spans="2:45">
      <c r="H48" s="298"/>
    </row>
    <row r="49" spans="2:8">
      <c r="H49" s="298"/>
    </row>
    <row r="50" spans="2:8">
      <c r="H50" s="298"/>
    </row>
    <row r="51" spans="2:8">
      <c r="H51" s="298"/>
    </row>
    <row r="52" spans="2:8">
      <c r="H52" s="298"/>
    </row>
    <row r="53" spans="2:8">
      <c r="H53" s="298"/>
    </row>
    <row r="54" spans="2:8">
      <c r="H54" s="298"/>
    </row>
    <row r="55" spans="2:8">
      <c r="H55" s="298"/>
    </row>
    <row r="56" spans="2:8">
      <c r="H56" s="298"/>
    </row>
    <row r="57" spans="2:8">
      <c r="H57" s="298"/>
    </row>
    <row r="58" spans="2:8">
      <c r="H58" s="298"/>
    </row>
    <row r="59" spans="2:8">
      <c r="H59" s="298"/>
    </row>
    <row r="60" spans="2:8">
      <c r="B60" s="1249"/>
      <c r="H60" s="298"/>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50" fitToHeight="0" orientation="landscape" r:id="rId1"/>
  <headerFooter alignWithMargins="0">
    <oddHeader>&amp;L&amp;"Arial"&amp;L&amp;08 &amp;R&amp;"Arial"&amp;R&amp;08 &amp;D-&amp;T-Jeff Honsowetz</oddHeader>
    <oddFooter>&amp;L&amp;"Arial"&amp;L&amp;08 Path:D:\Data_WCNX\Financials\MidMonths\BrentProject\\&amp;F-&amp;A&amp;R&amp;"Arial"&amp;R&amp;08  Page &amp;P</oddFooter>
  </headerFooter>
  <colBreaks count="2" manualBreakCount="2">
    <brk id="11" min="8" max="40" man="1"/>
    <brk id="18" max="43"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63"/>
  <sheetViews>
    <sheetView showGridLines="0" view="pageBreakPreview" topLeftCell="A9" zoomScale="60" zoomScaleNormal="80" workbookViewId="0">
      <pane ySplit="11" topLeftCell="A20" activePane="bottomLeft" state="frozen"/>
      <selection activeCell="G20" sqref="G20"/>
      <selection pane="bottomLeft" activeCell="G20" sqref="G20"/>
    </sheetView>
  </sheetViews>
  <sheetFormatPr defaultRowHeight="12.75" outlineLevelRow="1"/>
  <cols>
    <col min="1" max="1" width="2.7109375" style="930" customWidth="1"/>
    <col min="2" max="2" width="18" style="930" customWidth="1"/>
    <col min="3" max="3" width="12.42578125" style="930" customWidth="1"/>
    <col min="4" max="5" width="18.7109375" style="930" customWidth="1"/>
    <col min="6" max="6" width="12.28515625" style="930" customWidth="1"/>
    <col min="7" max="7" width="19" style="930" customWidth="1"/>
    <col min="8" max="8" width="7.85546875" style="930" customWidth="1"/>
    <col min="9" max="9" width="30.28515625" style="930" customWidth="1"/>
    <col min="10" max="10" width="10.28515625" style="930" customWidth="1"/>
    <col min="11" max="11" width="13.5703125" style="930" customWidth="1"/>
    <col min="12" max="12" width="15.140625" style="930" customWidth="1"/>
    <col min="13" max="13" width="29.85546875" style="930" customWidth="1"/>
    <col min="14" max="14" width="38.5703125" style="930" customWidth="1"/>
    <col min="15" max="15" width="11.42578125" style="930" customWidth="1"/>
    <col min="16" max="16" width="35.140625" style="930" customWidth="1"/>
    <col min="17" max="17" width="18" style="930" customWidth="1"/>
    <col min="18" max="18" width="14.140625" style="930" customWidth="1"/>
    <col min="19" max="19" width="17.7109375" style="930" customWidth="1"/>
    <col min="20" max="20" width="12.7109375" style="930" customWidth="1"/>
    <col min="21" max="21" width="15.85546875" style="930" customWidth="1"/>
    <col min="22" max="22" width="13.7109375" style="930" bestFit="1" customWidth="1"/>
    <col min="23" max="23" width="13.28515625" style="930" customWidth="1"/>
    <col min="24" max="24" width="12.28515625" style="930" customWidth="1"/>
    <col min="25" max="25" width="11.5703125" style="930" customWidth="1"/>
    <col min="26" max="26" width="9.85546875" style="930" customWidth="1"/>
    <col min="27" max="27" width="11.42578125" style="930" customWidth="1"/>
    <col min="28" max="28" width="11" style="930" customWidth="1"/>
    <col min="29" max="29" width="11.5703125" style="930" customWidth="1"/>
    <col min="30" max="30" width="7" style="930" customWidth="1"/>
    <col min="31" max="31" width="11.140625" style="930" customWidth="1"/>
    <col min="32" max="32" width="11" style="930" customWidth="1"/>
    <col min="33" max="33" width="8.5703125" style="930" customWidth="1"/>
    <col min="34" max="34" width="8.42578125" style="930" customWidth="1"/>
    <col min="35" max="36" width="10.28515625" style="930" customWidth="1"/>
    <col min="37" max="37" width="10.140625" style="930" customWidth="1"/>
    <col min="38" max="38" width="10.42578125" style="930" customWidth="1"/>
    <col min="39" max="39" width="21.140625" style="930" customWidth="1"/>
    <col min="40" max="42" width="18.85546875" style="930" customWidth="1"/>
    <col min="43" max="43" width="20.42578125" style="930" customWidth="1"/>
    <col min="44" max="44" width="9.140625" style="930" customWidth="1"/>
    <col min="45" max="45" width="9.140625" style="930" hidden="1" customWidth="1"/>
    <col min="46" max="46" width="9.140625" style="930" customWidth="1"/>
    <col min="47" max="16384" width="9.140625" style="930"/>
  </cols>
  <sheetData>
    <row r="1" spans="1:43" hidden="1" outlineLevel="1">
      <c r="A1" s="929" t="b">
        <v>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row>
    <row r="2" spans="1:43" hidden="1" outlineLevel="1">
      <c r="B2" s="930" t="s">
        <v>673</v>
      </c>
      <c r="C2" s="930" t="s">
        <v>674</v>
      </c>
      <c r="D2" s="931" t="s">
        <v>675</v>
      </c>
      <c r="E2" s="931" t="s">
        <v>676</v>
      </c>
      <c r="F2" s="931" t="s">
        <v>677</v>
      </c>
      <c r="G2" s="930" t="s">
        <v>678</v>
      </c>
      <c r="H2" s="930" t="s">
        <v>679</v>
      </c>
      <c r="I2" s="930" t="s">
        <v>680</v>
      </c>
      <c r="J2" s="930" t="s">
        <v>681</v>
      </c>
      <c r="K2" s="930" t="s">
        <v>682</v>
      </c>
      <c r="L2" s="930" t="s">
        <v>683</v>
      </c>
      <c r="M2" s="930" t="s">
        <v>684</v>
      </c>
      <c r="N2" s="930" t="s">
        <v>685</v>
      </c>
      <c r="O2" s="930" t="s">
        <v>686</v>
      </c>
      <c r="P2" s="930" t="s">
        <v>687</v>
      </c>
      <c r="Q2" s="930" t="s">
        <v>688</v>
      </c>
      <c r="R2" s="930" t="s">
        <v>689</v>
      </c>
      <c r="S2" s="930" t="s">
        <v>690</v>
      </c>
      <c r="T2" s="930" t="s">
        <v>691</v>
      </c>
      <c r="U2" s="930" t="s">
        <v>692</v>
      </c>
      <c r="V2" s="930" t="s">
        <v>693</v>
      </c>
      <c r="W2" s="930" t="s">
        <v>694</v>
      </c>
      <c r="X2" s="930" t="s">
        <v>695</v>
      </c>
      <c r="Y2" s="930" t="s">
        <v>696</v>
      </c>
      <c r="Z2" s="930" t="s">
        <v>697</v>
      </c>
      <c r="AA2" s="930" t="s">
        <v>698</v>
      </c>
      <c r="AB2" s="930" t="s">
        <v>699</v>
      </c>
      <c r="AC2" s="930" t="s">
        <v>700</v>
      </c>
      <c r="AD2" s="930" t="s">
        <v>701</v>
      </c>
      <c r="AE2" s="930" t="s">
        <v>702</v>
      </c>
      <c r="AF2" s="930" t="s">
        <v>703</v>
      </c>
      <c r="AG2" s="930" t="s">
        <v>704</v>
      </c>
      <c r="AH2" s="930" t="s">
        <v>705</v>
      </c>
      <c r="AI2" s="930" t="s">
        <v>706</v>
      </c>
      <c r="AJ2" s="930" t="s">
        <v>707</v>
      </c>
      <c r="AK2" s="930" t="s">
        <v>708</v>
      </c>
      <c r="AL2" s="930" t="s">
        <v>709</v>
      </c>
      <c r="AM2" s="930" t="s">
        <v>710</v>
      </c>
      <c r="AN2" s="930" t="s">
        <v>711</v>
      </c>
      <c r="AO2" s="930" t="s">
        <v>712</v>
      </c>
      <c r="AP2" s="930" t="s">
        <v>713</v>
      </c>
      <c r="AQ2" s="931"/>
    </row>
    <row r="3" spans="1:43" hidden="1" outlineLevel="1">
      <c r="A3" s="929" t="s">
        <v>714</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row>
    <row r="4" spans="1:43" hidden="1" outlineLevel="1">
      <c r="Q4" s="930" t="s">
        <v>2550</v>
      </c>
      <c r="U4" s="930" t="str">
        <f ca="1">_xll.ReportDrill(,"APDrill",_xll.PairGroup(_xll.PairExt(AQ20:AQ45,"H8")),"AP Detail")</f>
        <v>OK!: ReportDrill 'AP Detail' Formula OK [jAction{}]</v>
      </c>
      <c r="Y4" s="930" t="str">
        <f ca="1">_xll.ReportDrill(,"JEStaged_DrillToDetail",_xll.PairGroup(_xll.PairExt(Q19:Q45,"dControlNum",TRUE),_xll.PairExt(AP19:AP45,"dDistrict",TRUE),_xll.PairExt(AO19:AO45,"dApplyMonth",TRUE)),"JE Staged Details")</f>
        <v>OK!: ReportDrill 'JE Staged Details' Formula OK [jAction{}]</v>
      </c>
    </row>
    <row r="5" spans="1:43" hidden="1" outlineLevel="1">
      <c r="B5" s="930" t="str">
        <f ca="1">_xll.ReportRange("JEQuery_WithStaged",B20:AS44,B2:AS2,,_xll.Param(I12,DateTo,IF(M12="","all",M12),M13,M14,M15,P12,P13,P14,P15,EntrieShownLimit,DateFrom,DateTo),TRUE)</f>
        <v>OK!: ReportRange Formula OK [jAction{}]</v>
      </c>
      <c r="Q5" s="930" t="s">
        <v>2551</v>
      </c>
    </row>
    <row r="6" spans="1:43" hidden="1" outlineLevel="1">
      <c r="B6" s="932" t="s">
        <v>715</v>
      </c>
      <c r="D6" s="930">
        <v>10000</v>
      </c>
    </row>
    <row r="7" spans="1:43" hidden="1" outlineLevel="1">
      <c r="A7" s="929" t="s">
        <v>716</v>
      </c>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row>
    <row r="8" spans="1:43" hidden="1" outlineLevel="1">
      <c r="B8" s="933" t="s">
        <v>717</v>
      </c>
      <c r="C8" s="930" t="str">
        <f>IF(DateFrom="",CurrentMonth,DateFrom)</f>
        <v>2016-07</v>
      </c>
      <c r="E8" s="933" t="s">
        <v>718</v>
      </c>
      <c r="G8" s="930" t="str">
        <f>IF(DateTo="",CurrentMonth,DateTo)</f>
        <v>2017-06</v>
      </c>
      <c r="I8" s="933" t="s">
        <v>719</v>
      </c>
      <c r="J8" s="934" t="str">
        <f ca="1">TEXT(NOW() - 15,"yyyy-mm")</f>
        <v>2017-07</v>
      </c>
    </row>
    <row r="9" spans="1:43" ht="18" collapsed="1">
      <c r="B9" s="935" t="s">
        <v>720</v>
      </c>
      <c r="G9" s="936" t="s">
        <v>721</v>
      </c>
      <c r="P9" s="937"/>
      <c r="U9" s="932"/>
    </row>
    <row r="10" spans="1:43" ht="14.25">
      <c r="B10" s="931" t="s">
        <v>722</v>
      </c>
      <c r="G10" s="938"/>
      <c r="P10" s="937"/>
      <c r="U10" s="932"/>
    </row>
    <row r="11" spans="1:43">
      <c r="G11" s="939" t="s">
        <v>723</v>
      </c>
      <c r="H11" s="940"/>
      <c r="I11" s="941"/>
      <c r="L11" s="940" t="s">
        <v>724</v>
      </c>
      <c r="M11" s="940"/>
      <c r="N11" s="940"/>
      <c r="O11" s="940"/>
      <c r="P11" s="940"/>
      <c r="U11" s="931"/>
    </row>
    <row r="12" spans="1:43" s="932" customFormat="1">
      <c r="H12" s="942" t="s">
        <v>725</v>
      </c>
      <c r="I12" s="943" t="s">
        <v>726</v>
      </c>
      <c r="K12" s="944"/>
      <c r="L12" s="932" t="s">
        <v>727</v>
      </c>
      <c r="M12" s="943" t="s">
        <v>219</v>
      </c>
      <c r="O12" s="942" t="s">
        <v>728</v>
      </c>
      <c r="P12" s="945"/>
      <c r="Z12" s="930"/>
      <c r="AA12" s="930"/>
      <c r="AB12" s="930"/>
      <c r="AH12" s="930"/>
      <c r="AI12" s="930"/>
      <c r="AJ12" s="930"/>
      <c r="AK12" s="930"/>
      <c r="AL12" s="930"/>
    </row>
    <row r="13" spans="1:43" s="932" customFormat="1">
      <c r="H13" s="942" t="s">
        <v>729</v>
      </c>
      <c r="I13" s="943" t="s">
        <v>222</v>
      </c>
      <c r="K13" s="944"/>
      <c r="L13" s="932" t="s">
        <v>730</v>
      </c>
      <c r="M13" s="943" t="s">
        <v>2210</v>
      </c>
      <c r="N13" s="930"/>
      <c r="O13" s="942" t="s">
        <v>732</v>
      </c>
      <c r="P13" s="311"/>
      <c r="Q13" s="946"/>
      <c r="Z13" s="930"/>
      <c r="AA13" s="930"/>
      <c r="AB13" s="930"/>
      <c r="AH13" s="930"/>
      <c r="AI13" s="930"/>
      <c r="AJ13" s="930"/>
      <c r="AK13" s="930"/>
      <c r="AL13" s="930"/>
    </row>
    <row r="14" spans="1:43">
      <c r="L14" s="932" t="s">
        <v>221</v>
      </c>
      <c r="M14" s="943" t="s">
        <v>220</v>
      </c>
      <c r="O14" s="942" t="s">
        <v>733</v>
      </c>
      <c r="P14" s="311"/>
      <c r="Q14" s="946"/>
    </row>
    <row r="15" spans="1:43">
      <c r="L15" s="932" t="s">
        <v>551</v>
      </c>
      <c r="M15" s="943" t="s">
        <v>220</v>
      </c>
      <c r="O15" s="942" t="s">
        <v>734</v>
      </c>
      <c r="P15" s="947" t="s">
        <v>735</v>
      </c>
    </row>
    <row r="16" spans="1:43">
      <c r="B16" s="948" t="s">
        <v>736</v>
      </c>
      <c r="C16" s="949"/>
      <c r="D16" s="316">
        <f>SUM(D19:D45)</f>
        <v>247314.19999999972</v>
      </c>
      <c r="E16" s="316">
        <f>SUM(E19:E45)</f>
        <v>0</v>
      </c>
      <c r="F16" s="930" t="s">
        <v>737</v>
      </c>
      <c r="N16" s="950"/>
      <c r="O16" s="950"/>
      <c r="P16" s="950"/>
      <c r="Q16" s="950"/>
    </row>
    <row r="17" spans="2:45">
      <c r="B17" s="948" t="s">
        <v>738</v>
      </c>
      <c r="C17" s="949"/>
      <c r="D17" s="318">
        <f>COUNT(D20:D46)</f>
        <v>24</v>
      </c>
      <c r="E17" s="318">
        <f>COUNT(E20:E46)</f>
        <v>24</v>
      </c>
      <c r="F17" s="931" t="s">
        <v>739</v>
      </c>
      <c r="G17" s="951" t="str">
        <f>""&amp;EntrieShownLimit</f>
        <v>10000</v>
      </c>
    </row>
    <row r="18" spans="2:45">
      <c r="O18" s="952"/>
      <c r="R18" s="953" t="s">
        <v>740</v>
      </c>
      <c r="S18" s="954"/>
      <c r="T18" s="954"/>
      <c r="U18" s="954"/>
      <c r="V18" s="954"/>
      <c r="W18" s="954"/>
      <c r="X18" s="954"/>
      <c r="Y18" s="954"/>
      <c r="Z18" s="955"/>
      <c r="AA18" s="955"/>
      <c r="AB18" s="955"/>
      <c r="AC18" s="955"/>
      <c r="AD18" s="955"/>
      <c r="AE18" s="955"/>
      <c r="AF18" s="955"/>
      <c r="AG18" s="955"/>
      <c r="AH18" s="955"/>
      <c r="AI18" s="955"/>
      <c r="AJ18" s="955"/>
      <c r="AK18" s="955"/>
      <c r="AL18" s="955"/>
      <c r="AM18" s="955"/>
      <c r="AN18" s="955"/>
      <c r="AO18" s="955"/>
      <c r="AP18" s="955"/>
      <c r="AQ18" s="955"/>
    </row>
    <row r="19" spans="2:45" s="956" customFormat="1" ht="29.25" customHeight="1" thickBot="1">
      <c r="B19" s="957" t="s">
        <v>741</v>
      </c>
      <c r="C19" s="958" t="s">
        <v>742</v>
      </c>
      <c r="D19" s="959" t="s">
        <v>743</v>
      </c>
      <c r="E19" s="959" t="s">
        <v>744</v>
      </c>
      <c r="F19" s="959" t="s">
        <v>745</v>
      </c>
      <c r="G19" s="960" t="s">
        <v>746</v>
      </c>
      <c r="H19" s="957" t="s">
        <v>747</v>
      </c>
      <c r="I19" s="957" t="s">
        <v>748</v>
      </c>
      <c r="J19" s="957" t="s">
        <v>681</v>
      </c>
      <c r="K19" s="957" t="s">
        <v>749</v>
      </c>
      <c r="L19" s="957" t="s">
        <v>750</v>
      </c>
      <c r="M19" s="957" t="s">
        <v>751</v>
      </c>
      <c r="N19" s="957" t="s">
        <v>752</v>
      </c>
      <c r="O19" s="961" t="s">
        <v>753</v>
      </c>
      <c r="P19" s="957" t="s">
        <v>754</v>
      </c>
      <c r="Q19" s="957" t="s">
        <v>755</v>
      </c>
      <c r="R19" s="957" t="s">
        <v>756</v>
      </c>
      <c r="S19" s="957" t="s">
        <v>757</v>
      </c>
      <c r="T19" s="957" t="s">
        <v>758</v>
      </c>
      <c r="U19" s="957" t="s">
        <v>759</v>
      </c>
      <c r="V19" s="957" t="s">
        <v>760</v>
      </c>
      <c r="W19" s="957" t="s">
        <v>761</v>
      </c>
      <c r="X19" s="957" t="s">
        <v>762</v>
      </c>
      <c r="Y19" s="957" t="s">
        <v>763</v>
      </c>
      <c r="Z19" s="957" t="s">
        <v>764</v>
      </c>
      <c r="AA19" s="957" t="s">
        <v>765</v>
      </c>
      <c r="AB19" s="957" t="s">
        <v>766</v>
      </c>
      <c r="AC19" s="962" t="s">
        <v>767</v>
      </c>
      <c r="AD19" s="962" t="s">
        <v>768</v>
      </c>
      <c r="AE19" s="962" t="s">
        <v>769</v>
      </c>
      <c r="AF19" s="962" t="s">
        <v>770</v>
      </c>
      <c r="AG19" s="962" t="s">
        <v>771</v>
      </c>
      <c r="AH19" s="962" t="s">
        <v>772</v>
      </c>
      <c r="AI19" s="958" t="s">
        <v>773</v>
      </c>
      <c r="AJ19" s="958" t="s">
        <v>774</v>
      </c>
      <c r="AK19" s="958" t="s">
        <v>775</v>
      </c>
      <c r="AL19" s="958" t="s">
        <v>776</v>
      </c>
      <c r="AM19" s="958" t="s">
        <v>777</v>
      </c>
      <c r="AN19" s="958" t="s">
        <v>711</v>
      </c>
      <c r="AO19" s="963" t="s">
        <v>778</v>
      </c>
      <c r="AP19" s="963" t="s">
        <v>779</v>
      </c>
      <c r="AQ19" s="963" t="s">
        <v>780</v>
      </c>
    </row>
    <row r="20" spans="2:45">
      <c r="B20" s="930" t="s">
        <v>2211</v>
      </c>
      <c r="C20" s="964">
        <v>42855</v>
      </c>
      <c r="D20" s="965">
        <v>35349.03</v>
      </c>
      <c r="E20" s="965">
        <v>0</v>
      </c>
      <c r="F20" s="966" t="s">
        <v>782</v>
      </c>
      <c r="G20" s="930" t="s">
        <v>2269</v>
      </c>
      <c r="H20" s="967" t="s">
        <v>784</v>
      </c>
      <c r="I20" s="930" t="s">
        <v>2270</v>
      </c>
      <c r="J20" s="930" t="s">
        <v>796</v>
      </c>
      <c r="K20" s="930" t="s">
        <v>787</v>
      </c>
      <c r="L20" s="934"/>
      <c r="M20" s="934"/>
      <c r="N20" s="934" t="s">
        <v>2270</v>
      </c>
      <c r="O20" s="952"/>
      <c r="P20" s="934"/>
      <c r="Q20" s="934"/>
      <c r="U20" s="930" t="s">
        <v>2214</v>
      </c>
      <c r="V20" s="930" t="s">
        <v>2214</v>
      </c>
      <c r="X20" s="964">
        <v>42580</v>
      </c>
      <c r="Y20" s="964">
        <v>42580</v>
      </c>
      <c r="AA20" s="964"/>
      <c r="AB20" s="930" t="s">
        <v>793</v>
      </c>
      <c r="AC20" s="930">
        <v>0</v>
      </c>
      <c r="AD20" s="930">
        <v>0</v>
      </c>
      <c r="AE20" s="930">
        <v>0</v>
      </c>
      <c r="AF20" s="930">
        <v>0</v>
      </c>
      <c r="AG20" s="930">
        <v>0</v>
      </c>
      <c r="AH20" s="930">
        <v>1</v>
      </c>
      <c r="AI20" s="930">
        <v>70149</v>
      </c>
      <c r="AJ20" s="930">
        <v>2195</v>
      </c>
      <c r="AK20" s="930">
        <v>0</v>
      </c>
      <c r="AL20" s="930">
        <v>0</v>
      </c>
      <c r="AO20" s="967"/>
      <c r="AP20" s="967"/>
      <c r="AQ20" s="930" t="str">
        <f>IF(LEFT(U20,2)="VO",U20,"")</f>
        <v/>
      </c>
      <c r="AS20" s="930" t="str">
        <f>IF(RIGHT(K20,2)="IC",IF(OR(AB20="wci_canada",AB20="wci_can_corp"),"wci_can_Corp","wci_corp"),AB20)</f>
        <v>wci_corp</v>
      </c>
    </row>
    <row r="21" spans="2:45">
      <c r="B21" s="930" t="s">
        <v>2211</v>
      </c>
      <c r="C21" s="964">
        <v>42613</v>
      </c>
      <c r="D21" s="965">
        <v>38806</v>
      </c>
      <c r="E21" s="965">
        <v>0</v>
      </c>
      <c r="F21" s="966" t="s">
        <v>782</v>
      </c>
      <c r="G21" s="930" t="s">
        <v>2220</v>
      </c>
      <c r="H21" s="967" t="s">
        <v>784</v>
      </c>
      <c r="I21" s="930" t="s">
        <v>2221</v>
      </c>
      <c r="J21" s="930" t="s">
        <v>803</v>
      </c>
      <c r="K21" s="930" t="s">
        <v>787</v>
      </c>
      <c r="L21" s="934"/>
      <c r="M21" s="934"/>
      <c r="N21" s="934" t="s">
        <v>2221</v>
      </c>
      <c r="O21" s="952"/>
      <c r="P21" s="934"/>
      <c r="Q21" s="934"/>
      <c r="U21" s="930" t="s">
        <v>2219</v>
      </c>
      <c r="V21" s="930" t="s">
        <v>2219</v>
      </c>
      <c r="X21" s="964">
        <v>42797</v>
      </c>
      <c r="Y21" s="964">
        <v>42797</v>
      </c>
      <c r="AA21" s="964"/>
      <c r="AB21" s="930" t="s">
        <v>793</v>
      </c>
      <c r="AC21" s="930">
        <v>0</v>
      </c>
      <c r="AD21" s="930">
        <v>0</v>
      </c>
      <c r="AE21" s="930">
        <v>0</v>
      </c>
      <c r="AF21" s="930">
        <v>0</v>
      </c>
      <c r="AG21" s="930">
        <v>0</v>
      </c>
      <c r="AH21" s="930">
        <v>1</v>
      </c>
      <c r="AI21" s="930">
        <v>70149</v>
      </c>
      <c r="AJ21" s="930">
        <v>2195</v>
      </c>
      <c r="AK21" s="930">
        <v>0</v>
      </c>
      <c r="AL21" s="930">
        <v>1</v>
      </c>
      <c r="AO21" s="967"/>
      <c r="AP21" s="967"/>
      <c r="AQ21" s="930" t="str">
        <f t="shared" ref="AQ21:AQ43" si="0">IF(LEFT(U21,2)="VO",U21,"")</f>
        <v/>
      </c>
      <c r="AS21" s="930" t="str">
        <f t="shared" ref="AS21:AS43" si="1">IF(RIGHT(K21,2)="IC",IF(OR(AB21="wci_canada",AB21="wci_can_corp"),"wci_can_Corp","wci_corp"),AB21)</f>
        <v>wci_corp</v>
      </c>
    </row>
    <row r="22" spans="2:45">
      <c r="B22" s="930" t="s">
        <v>2211</v>
      </c>
      <c r="C22" s="964">
        <v>42734</v>
      </c>
      <c r="D22" s="965">
        <v>33985.160000000003</v>
      </c>
      <c r="E22" s="965">
        <v>0</v>
      </c>
      <c r="F22" s="966" t="s">
        <v>782</v>
      </c>
      <c r="G22" s="930" t="s">
        <v>2244</v>
      </c>
      <c r="H22" s="967" t="s">
        <v>784</v>
      </c>
      <c r="I22" s="930" t="s">
        <v>2245</v>
      </c>
      <c r="J22" s="930" t="s">
        <v>803</v>
      </c>
      <c r="K22" s="930" t="s">
        <v>787</v>
      </c>
      <c r="L22" s="934"/>
      <c r="M22" s="934"/>
      <c r="N22" s="934" t="s">
        <v>2245</v>
      </c>
      <c r="O22" s="952"/>
      <c r="P22" s="934"/>
      <c r="Q22" s="934"/>
      <c r="U22" s="930" t="s">
        <v>2222</v>
      </c>
      <c r="V22" s="930" t="s">
        <v>2222</v>
      </c>
      <c r="X22" s="964">
        <v>42613</v>
      </c>
      <c r="Y22" s="964">
        <v>42614</v>
      </c>
      <c r="AA22" s="964"/>
      <c r="AB22" s="930" t="s">
        <v>793</v>
      </c>
      <c r="AC22" s="930">
        <v>0</v>
      </c>
      <c r="AD22" s="930">
        <v>0</v>
      </c>
      <c r="AE22" s="930">
        <v>0</v>
      </c>
      <c r="AF22" s="930">
        <v>0</v>
      </c>
      <c r="AG22" s="930">
        <v>0</v>
      </c>
      <c r="AH22" s="930">
        <v>1</v>
      </c>
      <c r="AI22" s="930">
        <v>70149</v>
      </c>
      <c r="AJ22" s="930">
        <v>2195</v>
      </c>
      <c r="AK22" s="930">
        <v>0</v>
      </c>
      <c r="AL22" s="930">
        <v>0</v>
      </c>
      <c r="AO22" s="967"/>
      <c r="AP22" s="967"/>
      <c r="AQ22" s="930" t="str">
        <f t="shared" si="0"/>
        <v/>
      </c>
      <c r="AS22" s="930" t="str">
        <f t="shared" si="1"/>
        <v>wci_corp</v>
      </c>
    </row>
    <row r="23" spans="2:45">
      <c r="B23" s="930" t="s">
        <v>2211</v>
      </c>
      <c r="C23" s="964">
        <v>42794</v>
      </c>
      <c r="D23" s="965">
        <v>34195.370000000003</v>
      </c>
      <c r="E23" s="965">
        <v>0</v>
      </c>
      <c r="F23" s="966" t="s">
        <v>782</v>
      </c>
      <c r="G23" s="930" t="s">
        <v>2257</v>
      </c>
      <c r="H23" s="967" t="s">
        <v>784</v>
      </c>
      <c r="I23" s="930" t="s">
        <v>2258</v>
      </c>
      <c r="J23" s="930" t="s">
        <v>796</v>
      </c>
      <c r="K23" s="930" t="s">
        <v>787</v>
      </c>
      <c r="L23" s="934"/>
      <c r="M23" s="934"/>
      <c r="N23" s="934" t="s">
        <v>2258</v>
      </c>
      <c r="O23" s="952"/>
      <c r="P23" s="934"/>
      <c r="Q23" s="934"/>
      <c r="U23" s="930" t="s">
        <v>2225</v>
      </c>
      <c r="V23" s="930" t="s">
        <v>2225</v>
      </c>
      <c r="X23" s="964">
        <v>42797</v>
      </c>
      <c r="Y23" s="964">
        <v>42797</v>
      </c>
      <c r="AA23" s="964"/>
      <c r="AB23" s="930" t="s">
        <v>793</v>
      </c>
      <c r="AC23" s="930">
        <v>0</v>
      </c>
      <c r="AD23" s="930">
        <v>0</v>
      </c>
      <c r="AE23" s="930">
        <v>0</v>
      </c>
      <c r="AF23" s="930">
        <v>0</v>
      </c>
      <c r="AG23" s="930">
        <v>0</v>
      </c>
      <c r="AH23" s="930">
        <v>1</v>
      </c>
      <c r="AI23" s="930">
        <v>70149</v>
      </c>
      <c r="AJ23" s="930">
        <v>2195</v>
      </c>
      <c r="AK23" s="930">
        <v>0</v>
      </c>
      <c r="AL23" s="930">
        <v>1</v>
      </c>
      <c r="AO23" s="967"/>
      <c r="AP23" s="967"/>
      <c r="AQ23" s="930" t="str">
        <f t="shared" si="0"/>
        <v/>
      </c>
      <c r="AS23" s="930" t="str">
        <f t="shared" si="1"/>
        <v>wci_corp</v>
      </c>
    </row>
    <row r="24" spans="2:45">
      <c r="B24" s="930" t="s">
        <v>2211</v>
      </c>
      <c r="C24" s="964">
        <v>42766</v>
      </c>
      <c r="D24" s="965">
        <v>33619.449999999997</v>
      </c>
      <c r="E24" s="965">
        <v>0</v>
      </c>
      <c r="F24" s="966" t="s">
        <v>782</v>
      </c>
      <c r="G24" s="930" t="s">
        <v>2250</v>
      </c>
      <c r="H24" s="967" t="s">
        <v>784</v>
      </c>
      <c r="I24" s="930" t="s">
        <v>2251</v>
      </c>
      <c r="J24" s="930" t="s">
        <v>796</v>
      </c>
      <c r="K24" s="930" t="s">
        <v>787</v>
      </c>
      <c r="L24" s="934"/>
      <c r="M24" s="934"/>
      <c r="N24" s="934" t="s">
        <v>2251</v>
      </c>
      <c r="O24" s="952"/>
      <c r="P24" s="934"/>
      <c r="Q24" s="934"/>
      <c r="U24" s="930" t="s">
        <v>2228</v>
      </c>
      <c r="V24" s="930" t="s">
        <v>2228</v>
      </c>
      <c r="X24" s="964">
        <v>42646</v>
      </c>
      <c r="Y24" s="964">
        <v>42646</v>
      </c>
      <c r="AA24" s="964"/>
      <c r="AB24" s="930" t="s">
        <v>793</v>
      </c>
      <c r="AC24" s="930">
        <v>0</v>
      </c>
      <c r="AD24" s="930">
        <v>0</v>
      </c>
      <c r="AE24" s="930">
        <v>0</v>
      </c>
      <c r="AF24" s="930">
        <v>0</v>
      </c>
      <c r="AG24" s="930">
        <v>0</v>
      </c>
      <c r="AH24" s="930">
        <v>1</v>
      </c>
      <c r="AI24" s="930">
        <v>70149</v>
      </c>
      <c r="AJ24" s="930">
        <v>2195</v>
      </c>
      <c r="AK24" s="930">
        <v>0</v>
      </c>
      <c r="AL24" s="930">
        <v>0</v>
      </c>
      <c r="AO24" s="967"/>
      <c r="AP24" s="967"/>
      <c r="AQ24" s="930" t="str">
        <f t="shared" si="0"/>
        <v/>
      </c>
      <c r="AS24" s="930" t="str">
        <f t="shared" si="1"/>
        <v>wci_corp</v>
      </c>
    </row>
    <row r="25" spans="2:45">
      <c r="B25" s="930" t="s">
        <v>2211</v>
      </c>
      <c r="C25" s="964">
        <v>42580</v>
      </c>
      <c r="D25" s="965">
        <v>37022</v>
      </c>
      <c r="E25" s="965">
        <v>0</v>
      </c>
      <c r="F25" s="966" t="s">
        <v>782</v>
      </c>
      <c r="G25" s="930" t="s">
        <v>2212</v>
      </c>
      <c r="H25" s="967" t="s">
        <v>784</v>
      </c>
      <c r="I25" s="930" t="s">
        <v>2213</v>
      </c>
      <c r="J25" s="930" t="s">
        <v>803</v>
      </c>
      <c r="K25" s="930" t="s">
        <v>787</v>
      </c>
      <c r="L25" s="934"/>
      <c r="M25" s="934"/>
      <c r="N25" s="934" t="s">
        <v>2213</v>
      </c>
      <c r="O25" s="952"/>
      <c r="P25" s="934"/>
      <c r="Q25" s="934"/>
      <c r="U25" s="930" t="s">
        <v>2231</v>
      </c>
      <c r="V25" s="930" t="s">
        <v>2231</v>
      </c>
      <c r="X25" s="964">
        <v>42797</v>
      </c>
      <c r="Y25" s="964">
        <v>42797</v>
      </c>
      <c r="AA25" s="964"/>
      <c r="AB25" s="930" t="s">
        <v>793</v>
      </c>
      <c r="AC25" s="930">
        <v>0</v>
      </c>
      <c r="AD25" s="930">
        <v>0</v>
      </c>
      <c r="AE25" s="930">
        <v>0</v>
      </c>
      <c r="AF25" s="930">
        <v>0</v>
      </c>
      <c r="AG25" s="930">
        <v>0</v>
      </c>
      <c r="AH25" s="930">
        <v>1</v>
      </c>
      <c r="AI25" s="930">
        <v>70149</v>
      </c>
      <c r="AJ25" s="930">
        <v>2195</v>
      </c>
      <c r="AK25" s="930">
        <v>0</v>
      </c>
      <c r="AL25" s="930">
        <v>1</v>
      </c>
      <c r="AO25" s="967"/>
      <c r="AP25" s="967"/>
      <c r="AQ25" s="930" t="str">
        <f t="shared" si="0"/>
        <v/>
      </c>
      <c r="AS25" s="930" t="str">
        <f t="shared" si="1"/>
        <v>wci_corp</v>
      </c>
    </row>
    <row r="26" spans="2:45">
      <c r="B26" s="930" t="s">
        <v>2211</v>
      </c>
      <c r="C26" s="964">
        <v>42915</v>
      </c>
      <c r="D26" s="965">
        <v>37738.720000000001</v>
      </c>
      <c r="E26" s="965">
        <v>0</v>
      </c>
      <c r="F26" s="966" t="s">
        <v>782</v>
      </c>
      <c r="G26" s="930" t="s">
        <v>2281</v>
      </c>
      <c r="H26" s="967" t="s">
        <v>784</v>
      </c>
      <c r="I26" s="930" t="s">
        <v>2282</v>
      </c>
      <c r="J26" s="930" t="s">
        <v>796</v>
      </c>
      <c r="K26" s="930" t="s">
        <v>787</v>
      </c>
      <c r="L26" s="934"/>
      <c r="M26" s="934"/>
      <c r="N26" s="934" t="s">
        <v>2282</v>
      </c>
      <c r="O26" s="952"/>
      <c r="P26" s="934"/>
      <c r="Q26" s="934"/>
      <c r="U26" s="930" t="s">
        <v>2234</v>
      </c>
      <c r="V26" s="930" t="s">
        <v>2234</v>
      </c>
      <c r="X26" s="964">
        <v>42675</v>
      </c>
      <c r="Y26" s="964">
        <v>42675</v>
      </c>
      <c r="AA26" s="964"/>
      <c r="AB26" s="930" t="s">
        <v>793</v>
      </c>
      <c r="AC26" s="930">
        <v>0</v>
      </c>
      <c r="AD26" s="930">
        <v>0</v>
      </c>
      <c r="AE26" s="930">
        <v>0</v>
      </c>
      <c r="AF26" s="930">
        <v>0</v>
      </c>
      <c r="AG26" s="930">
        <v>0</v>
      </c>
      <c r="AH26" s="930">
        <v>1</v>
      </c>
      <c r="AI26" s="930">
        <v>70149</v>
      </c>
      <c r="AJ26" s="930">
        <v>2195</v>
      </c>
      <c r="AK26" s="930">
        <v>0</v>
      </c>
      <c r="AL26" s="930">
        <v>0</v>
      </c>
      <c r="AO26" s="967"/>
      <c r="AP26" s="967"/>
      <c r="AQ26" s="930" t="str">
        <f t="shared" si="0"/>
        <v/>
      </c>
      <c r="AS26" s="930" t="str">
        <f t="shared" si="1"/>
        <v>wci_corp</v>
      </c>
    </row>
    <row r="27" spans="2:45">
      <c r="B27" s="930" t="s">
        <v>2211</v>
      </c>
      <c r="C27" s="964">
        <v>42825</v>
      </c>
      <c r="D27" s="965">
        <v>36658.519999999997</v>
      </c>
      <c r="E27" s="965">
        <v>0</v>
      </c>
      <c r="F27" s="966" t="s">
        <v>782</v>
      </c>
      <c r="G27" s="930" t="s">
        <v>2263</v>
      </c>
      <c r="H27" s="967" t="s">
        <v>784</v>
      </c>
      <c r="I27" s="930" t="s">
        <v>2264</v>
      </c>
      <c r="J27" s="930" t="s">
        <v>796</v>
      </c>
      <c r="K27" s="930" t="s">
        <v>787</v>
      </c>
      <c r="L27" s="934"/>
      <c r="M27" s="934"/>
      <c r="N27" s="934" t="s">
        <v>2264</v>
      </c>
      <c r="O27" s="952"/>
      <c r="P27" s="934"/>
      <c r="Q27" s="934"/>
      <c r="U27" s="930" t="s">
        <v>2237</v>
      </c>
      <c r="V27" s="930" t="s">
        <v>2237</v>
      </c>
      <c r="X27" s="964">
        <v>42797</v>
      </c>
      <c r="Y27" s="964">
        <v>42797</v>
      </c>
      <c r="AA27" s="964"/>
      <c r="AB27" s="930" t="s">
        <v>793</v>
      </c>
      <c r="AC27" s="930">
        <v>0</v>
      </c>
      <c r="AD27" s="930">
        <v>0</v>
      </c>
      <c r="AE27" s="930">
        <v>0</v>
      </c>
      <c r="AF27" s="930">
        <v>0</v>
      </c>
      <c r="AG27" s="930">
        <v>0</v>
      </c>
      <c r="AH27" s="930">
        <v>1</v>
      </c>
      <c r="AI27" s="930">
        <v>70149</v>
      </c>
      <c r="AJ27" s="930">
        <v>2195</v>
      </c>
      <c r="AK27" s="930">
        <v>0</v>
      </c>
      <c r="AL27" s="930">
        <v>1</v>
      </c>
      <c r="AO27" s="967"/>
      <c r="AP27" s="967"/>
      <c r="AQ27" s="930" t="str">
        <f t="shared" si="0"/>
        <v/>
      </c>
      <c r="AS27" s="930" t="str">
        <f t="shared" si="1"/>
        <v>wci_corp</v>
      </c>
    </row>
    <row r="28" spans="2:45">
      <c r="B28" s="930" t="s">
        <v>2211</v>
      </c>
      <c r="C28" s="964">
        <v>42886</v>
      </c>
      <c r="D28" s="965">
        <v>36907.839999999997</v>
      </c>
      <c r="E28" s="965">
        <v>0</v>
      </c>
      <c r="F28" s="966" t="s">
        <v>782</v>
      </c>
      <c r="G28" s="930" t="s">
        <v>2275</v>
      </c>
      <c r="H28" s="967" t="s">
        <v>784</v>
      </c>
      <c r="I28" s="930" t="s">
        <v>2276</v>
      </c>
      <c r="J28" s="930" t="s">
        <v>796</v>
      </c>
      <c r="K28" s="930" t="s">
        <v>787</v>
      </c>
      <c r="L28" s="934"/>
      <c r="M28" s="934"/>
      <c r="N28" s="934" t="s">
        <v>2276</v>
      </c>
      <c r="O28" s="952"/>
      <c r="P28" s="934"/>
      <c r="Q28" s="934"/>
      <c r="U28" s="930" t="s">
        <v>2240</v>
      </c>
      <c r="V28" s="930" t="s">
        <v>2240</v>
      </c>
      <c r="X28" s="964">
        <v>42704</v>
      </c>
      <c r="Y28" s="964">
        <v>42704</v>
      </c>
      <c r="AA28" s="964"/>
      <c r="AB28" s="930" t="s">
        <v>793</v>
      </c>
      <c r="AC28" s="930">
        <v>0</v>
      </c>
      <c r="AD28" s="930">
        <v>0</v>
      </c>
      <c r="AE28" s="930">
        <v>0</v>
      </c>
      <c r="AF28" s="930">
        <v>0</v>
      </c>
      <c r="AG28" s="930">
        <v>0</v>
      </c>
      <c r="AH28" s="930">
        <v>1</v>
      </c>
      <c r="AI28" s="930">
        <v>70149</v>
      </c>
      <c r="AJ28" s="930">
        <v>2195</v>
      </c>
      <c r="AK28" s="930">
        <v>0</v>
      </c>
      <c r="AL28" s="930">
        <v>0</v>
      </c>
      <c r="AO28" s="967"/>
      <c r="AP28" s="967"/>
      <c r="AQ28" s="930" t="str">
        <f t="shared" si="0"/>
        <v/>
      </c>
      <c r="AS28" s="930" t="str">
        <f t="shared" si="1"/>
        <v>wci_corp</v>
      </c>
    </row>
    <row r="29" spans="2:45">
      <c r="B29" s="930" t="s">
        <v>2211</v>
      </c>
      <c r="C29" s="964">
        <v>42704</v>
      </c>
      <c r="D29" s="965">
        <v>35486.97</v>
      </c>
      <c r="E29" s="965">
        <v>0</v>
      </c>
      <c r="F29" s="966" t="s">
        <v>782</v>
      </c>
      <c r="G29" s="930" t="s">
        <v>2238</v>
      </c>
      <c r="H29" s="967" t="s">
        <v>784</v>
      </c>
      <c r="I29" s="930" t="s">
        <v>2239</v>
      </c>
      <c r="J29" s="930" t="s">
        <v>796</v>
      </c>
      <c r="K29" s="930" t="s">
        <v>787</v>
      </c>
      <c r="L29" s="934"/>
      <c r="M29" s="934"/>
      <c r="N29" s="934" t="s">
        <v>2239</v>
      </c>
      <c r="O29" s="952"/>
      <c r="P29" s="934"/>
      <c r="Q29" s="934"/>
      <c r="U29" s="930" t="s">
        <v>2243</v>
      </c>
      <c r="V29" s="930" t="s">
        <v>2243</v>
      </c>
      <c r="X29" s="964">
        <v>42797</v>
      </c>
      <c r="Y29" s="964">
        <v>42797</v>
      </c>
      <c r="AA29" s="964"/>
      <c r="AB29" s="930" t="s">
        <v>793</v>
      </c>
      <c r="AC29" s="930">
        <v>0</v>
      </c>
      <c r="AD29" s="930">
        <v>0</v>
      </c>
      <c r="AE29" s="930">
        <v>0</v>
      </c>
      <c r="AF29" s="930">
        <v>0</v>
      </c>
      <c r="AG29" s="930">
        <v>0</v>
      </c>
      <c r="AH29" s="930">
        <v>1</v>
      </c>
      <c r="AI29" s="930">
        <v>70149</v>
      </c>
      <c r="AJ29" s="930">
        <v>2195</v>
      </c>
      <c r="AK29" s="930">
        <v>0</v>
      </c>
      <c r="AL29" s="930">
        <v>1</v>
      </c>
      <c r="AO29" s="967"/>
      <c r="AP29" s="967"/>
      <c r="AQ29" s="930" t="str">
        <f t="shared" si="0"/>
        <v/>
      </c>
      <c r="AS29" s="930" t="str">
        <f t="shared" si="1"/>
        <v>wci_corp</v>
      </c>
    </row>
    <row r="30" spans="2:45">
      <c r="B30" s="930" t="s">
        <v>2211</v>
      </c>
      <c r="C30" s="964">
        <v>42674</v>
      </c>
      <c r="D30" s="965">
        <v>35455.519999999997</v>
      </c>
      <c r="E30" s="965">
        <v>0</v>
      </c>
      <c r="F30" s="966" t="s">
        <v>782</v>
      </c>
      <c r="G30" s="930" t="s">
        <v>2232</v>
      </c>
      <c r="H30" s="967" t="s">
        <v>784</v>
      </c>
      <c r="I30" s="930" t="s">
        <v>2233</v>
      </c>
      <c r="J30" s="930" t="s">
        <v>796</v>
      </c>
      <c r="K30" s="930" t="s">
        <v>787</v>
      </c>
      <c r="L30" s="934"/>
      <c r="M30" s="934"/>
      <c r="N30" s="934" t="s">
        <v>2233</v>
      </c>
      <c r="O30" s="952"/>
      <c r="P30" s="934"/>
      <c r="Q30" s="934"/>
      <c r="U30" s="930" t="s">
        <v>2246</v>
      </c>
      <c r="V30" s="930" t="s">
        <v>2246</v>
      </c>
      <c r="X30" s="964">
        <v>42734</v>
      </c>
      <c r="Y30" s="964">
        <v>42738</v>
      </c>
      <c r="AA30" s="964"/>
      <c r="AB30" s="930" t="s">
        <v>793</v>
      </c>
      <c r="AC30" s="930">
        <v>0</v>
      </c>
      <c r="AD30" s="930">
        <v>0</v>
      </c>
      <c r="AE30" s="930">
        <v>0</v>
      </c>
      <c r="AF30" s="930">
        <v>0</v>
      </c>
      <c r="AG30" s="930">
        <v>0</v>
      </c>
      <c r="AH30" s="930">
        <v>1</v>
      </c>
      <c r="AI30" s="930">
        <v>70149</v>
      </c>
      <c r="AJ30" s="930">
        <v>2195</v>
      </c>
      <c r="AK30" s="930">
        <v>0</v>
      </c>
      <c r="AL30" s="930">
        <v>0</v>
      </c>
      <c r="AO30" s="967"/>
      <c r="AP30" s="967"/>
      <c r="AQ30" s="930" t="str">
        <f t="shared" si="0"/>
        <v/>
      </c>
      <c r="AS30" s="930" t="str">
        <f t="shared" si="1"/>
        <v>wci_corp</v>
      </c>
    </row>
    <row r="31" spans="2:45">
      <c r="B31" s="930" t="s">
        <v>2211</v>
      </c>
      <c r="C31" s="964">
        <v>42643</v>
      </c>
      <c r="D31" s="965">
        <v>38448</v>
      </c>
      <c r="E31" s="965">
        <v>0</v>
      </c>
      <c r="F31" s="966" t="s">
        <v>782</v>
      </c>
      <c r="G31" s="930" t="s">
        <v>2226</v>
      </c>
      <c r="H31" s="967" t="s">
        <v>784</v>
      </c>
      <c r="I31" s="930" t="s">
        <v>2227</v>
      </c>
      <c r="J31" s="930" t="s">
        <v>803</v>
      </c>
      <c r="K31" s="930" t="s">
        <v>787</v>
      </c>
      <c r="L31" s="934"/>
      <c r="M31" s="934"/>
      <c r="N31" s="934" t="s">
        <v>2227</v>
      </c>
      <c r="O31" s="952"/>
      <c r="P31" s="934"/>
      <c r="Q31" s="934"/>
      <c r="U31" s="930" t="s">
        <v>2286</v>
      </c>
      <c r="V31" s="930" t="s">
        <v>2286</v>
      </c>
      <c r="X31" s="964">
        <v>42947</v>
      </c>
      <c r="Y31" s="964">
        <v>42947</v>
      </c>
      <c r="AA31" s="964"/>
      <c r="AB31" s="930" t="s">
        <v>793</v>
      </c>
      <c r="AC31" s="930">
        <v>0</v>
      </c>
      <c r="AD31" s="930">
        <v>0</v>
      </c>
      <c r="AE31" s="930">
        <v>0</v>
      </c>
      <c r="AF31" s="930">
        <v>0</v>
      </c>
      <c r="AG31" s="930">
        <v>0</v>
      </c>
      <c r="AH31" s="930">
        <v>1</v>
      </c>
      <c r="AI31" s="930">
        <v>70149</v>
      </c>
      <c r="AJ31" s="930">
        <v>2195</v>
      </c>
      <c r="AK31" s="930">
        <v>0</v>
      </c>
      <c r="AL31" s="930">
        <v>1</v>
      </c>
      <c r="AO31" s="967"/>
      <c r="AP31" s="967"/>
      <c r="AQ31" s="930" t="str">
        <f>IF(LEFT(U31,2)="VO",U31,"")</f>
        <v/>
      </c>
      <c r="AS31" s="930" t="str">
        <f>IF(RIGHT(K31,2)="IC",IF(OR(AB31="wci_canada",AB31="wci_can_corp"),"wci_can_Corp","wci_corp"),AB31)</f>
        <v>wci_corp</v>
      </c>
    </row>
    <row r="32" spans="2:45">
      <c r="B32" s="930" t="s">
        <v>2215</v>
      </c>
      <c r="C32" s="964">
        <v>42582</v>
      </c>
      <c r="D32" s="965">
        <v>-14291.03</v>
      </c>
      <c r="E32" s="965">
        <v>0</v>
      </c>
      <c r="F32" s="966" t="s">
        <v>782</v>
      </c>
      <c r="G32" s="930" t="s">
        <v>2216</v>
      </c>
      <c r="H32" s="967" t="s">
        <v>784</v>
      </c>
      <c r="I32" s="930" t="s">
        <v>2217</v>
      </c>
      <c r="J32" s="930" t="s">
        <v>803</v>
      </c>
      <c r="K32" s="930" t="s">
        <v>787</v>
      </c>
      <c r="L32" s="934"/>
      <c r="M32" s="934"/>
      <c r="N32" s="934" t="s">
        <v>2218</v>
      </c>
      <c r="O32" s="952"/>
      <c r="P32" s="934"/>
      <c r="Q32" s="934"/>
      <c r="U32" s="930" t="s">
        <v>2249</v>
      </c>
      <c r="V32" s="930" t="s">
        <v>2249</v>
      </c>
      <c r="X32" s="964">
        <v>42797</v>
      </c>
      <c r="Y32" s="964">
        <v>42797</v>
      </c>
      <c r="AA32" s="964"/>
      <c r="AB32" s="930" t="s">
        <v>793</v>
      </c>
      <c r="AC32" s="930">
        <v>0</v>
      </c>
      <c r="AD32" s="930">
        <v>0</v>
      </c>
      <c r="AE32" s="930">
        <v>0</v>
      </c>
      <c r="AF32" s="930">
        <v>0</v>
      </c>
      <c r="AG32" s="930">
        <v>0</v>
      </c>
      <c r="AH32" s="930">
        <v>1</v>
      </c>
      <c r="AI32" s="930">
        <v>70149</v>
      </c>
      <c r="AJ32" s="930">
        <v>2195</v>
      </c>
      <c r="AK32" s="930">
        <v>0</v>
      </c>
      <c r="AL32" s="930">
        <v>1</v>
      </c>
      <c r="AO32" s="967"/>
      <c r="AP32" s="967"/>
      <c r="AQ32" s="930" t="str">
        <f t="shared" si="0"/>
        <v/>
      </c>
      <c r="AS32" s="930" t="str">
        <f t="shared" si="1"/>
        <v>wci_corp</v>
      </c>
    </row>
    <row r="33" spans="2:45">
      <c r="B33" s="930" t="s">
        <v>2215</v>
      </c>
      <c r="C33" s="964">
        <v>42613</v>
      </c>
      <c r="D33" s="965">
        <v>-14291.03</v>
      </c>
      <c r="E33" s="965">
        <v>0</v>
      </c>
      <c r="F33" s="966" t="s">
        <v>782</v>
      </c>
      <c r="G33" s="930" t="s">
        <v>2223</v>
      </c>
      <c r="H33" s="967" t="s">
        <v>784</v>
      </c>
      <c r="I33" s="930" t="s">
        <v>2224</v>
      </c>
      <c r="J33" s="930" t="s">
        <v>803</v>
      </c>
      <c r="K33" s="930" t="s">
        <v>787</v>
      </c>
      <c r="L33" s="934"/>
      <c r="M33" s="934"/>
      <c r="N33" s="934" t="s">
        <v>2218</v>
      </c>
      <c r="O33" s="952"/>
      <c r="P33" s="934"/>
      <c r="Q33" s="934"/>
      <c r="U33" s="930" t="s">
        <v>2252</v>
      </c>
      <c r="V33" s="930" t="s">
        <v>2252</v>
      </c>
      <c r="X33" s="964">
        <v>42766</v>
      </c>
      <c r="Y33" s="964">
        <v>42766</v>
      </c>
      <c r="AA33" s="964"/>
      <c r="AB33" s="930" t="s">
        <v>793</v>
      </c>
      <c r="AC33" s="930">
        <v>0</v>
      </c>
      <c r="AD33" s="930">
        <v>0</v>
      </c>
      <c r="AE33" s="930">
        <v>0</v>
      </c>
      <c r="AF33" s="930">
        <v>0</v>
      </c>
      <c r="AG33" s="930">
        <v>0</v>
      </c>
      <c r="AH33" s="930">
        <v>1</v>
      </c>
      <c r="AI33" s="930">
        <v>70149</v>
      </c>
      <c r="AJ33" s="930">
        <v>2195</v>
      </c>
      <c r="AK33" s="930">
        <v>0</v>
      </c>
      <c r="AL33" s="930">
        <v>0</v>
      </c>
      <c r="AO33" s="967"/>
      <c r="AP33" s="967"/>
      <c r="AQ33" s="930" t="str">
        <f t="shared" si="0"/>
        <v/>
      </c>
      <c r="AS33" s="930" t="str">
        <f t="shared" si="1"/>
        <v>wci_corp</v>
      </c>
    </row>
    <row r="34" spans="2:45">
      <c r="B34" s="930" t="s">
        <v>2215</v>
      </c>
      <c r="C34" s="964">
        <v>42643</v>
      </c>
      <c r="D34" s="965">
        <v>-14291.03</v>
      </c>
      <c r="E34" s="965">
        <v>0</v>
      </c>
      <c r="F34" s="966" t="s">
        <v>782</v>
      </c>
      <c r="G34" s="930" t="s">
        <v>2229</v>
      </c>
      <c r="H34" s="967" t="s">
        <v>784</v>
      </c>
      <c r="I34" s="930" t="s">
        <v>2230</v>
      </c>
      <c r="J34" s="930" t="s">
        <v>803</v>
      </c>
      <c r="K34" s="930" t="s">
        <v>787</v>
      </c>
      <c r="L34" s="934"/>
      <c r="M34" s="934"/>
      <c r="N34" s="934" t="s">
        <v>2218</v>
      </c>
      <c r="O34" s="952"/>
      <c r="P34" s="934"/>
      <c r="Q34" s="934"/>
      <c r="U34" s="930" t="s">
        <v>2256</v>
      </c>
      <c r="V34" s="930" t="s">
        <v>2256</v>
      </c>
      <c r="X34" s="964">
        <v>42947</v>
      </c>
      <c r="Y34" s="964">
        <v>42947</v>
      </c>
      <c r="AA34" s="964"/>
      <c r="AB34" s="930" t="s">
        <v>793</v>
      </c>
      <c r="AC34" s="930">
        <v>0</v>
      </c>
      <c r="AD34" s="930">
        <v>0</v>
      </c>
      <c r="AE34" s="930">
        <v>0</v>
      </c>
      <c r="AF34" s="930">
        <v>0</v>
      </c>
      <c r="AG34" s="930">
        <v>0</v>
      </c>
      <c r="AH34" s="930">
        <v>1</v>
      </c>
      <c r="AI34" s="930">
        <v>70149</v>
      </c>
      <c r="AJ34" s="930">
        <v>2195</v>
      </c>
      <c r="AK34" s="930">
        <v>0</v>
      </c>
      <c r="AL34" s="930">
        <v>1</v>
      </c>
      <c r="AO34" s="967"/>
      <c r="AP34" s="967"/>
      <c r="AQ34" s="930" t="str">
        <f t="shared" si="0"/>
        <v/>
      </c>
      <c r="AS34" s="930" t="str">
        <f t="shared" si="1"/>
        <v>wci_corp</v>
      </c>
    </row>
    <row r="35" spans="2:45">
      <c r="B35" s="930" t="s">
        <v>2215</v>
      </c>
      <c r="C35" s="964">
        <v>42674</v>
      </c>
      <c r="D35" s="965">
        <v>-14291.03</v>
      </c>
      <c r="E35" s="965">
        <v>0</v>
      </c>
      <c r="F35" s="966" t="s">
        <v>782</v>
      </c>
      <c r="G35" s="930" t="s">
        <v>2235</v>
      </c>
      <c r="H35" s="967" t="s">
        <v>784</v>
      </c>
      <c r="I35" s="930" t="s">
        <v>2236</v>
      </c>
      <c r="J35" s="930" t="s">
        <v>803</v>
      </c>
      <c r="K35" s="930" t="s">
        <v>787</v>
      </c>
      <c r="L35" s="934"/>
      <c r="M35" s="934"/>
      <c r="N35" s="934" t="s">
        <v>2218</v>
      </c>
      <c r="O35" s="952"/>
      <c r="P35" s="934"/>
      <c r="Q35" s="934"/>
      <c r="U35" s="930" t="s">
        <v>2259</v>
      </c>
      <c r="V35" s="930" t="s">
        <v>2259</v>
      </c>
      <c r="X35" s="964">
        <v>42794</v>
      </c>
      <c r="Y35" s="964">
        <v>42794</v>
      </c>
      <c r="AA35" s="964"/>
      <c r="AB35" s="930" t="s">
        <v>793</v>
      </c>
      <c r="AC35" s="930">
        <v>0</v>
      </c>
      <c r="AD35" s="930">
        <v>0</v>
      </c>
      <c r="AE35" s="930">
        <v>0</v>
      </c>
      <c r="AF35" s="930">
        <v>0</v>
      </c>
      <c r="AG35" s="930">
        <v>0</v>
      </c>
      <c r="AH35" s="930">
        <v>1</v>
      </c>
      <c r="AI35" s="930">
        <v>70149</v>
      </c>
      <c r="AJ35" s="930">
        <v>2195</v>
      </c>
      <c r="AK35" s="930">
        <v>0</v>
      </c>
      <c r="AL35" s="930">
        <v>0</v>
      </c>
      <c r="AO35" s="967"/>
      <c r="AP35" s="967"/>
      <c r="AQ35" s="930" t="str">
        <f t="shared" si="0"/>
        <v/>
      </c>
      <c r="AS35" s="930" t="str">
        <f t="shared" si="1"/>
        <v>wci_corp</v>
      </c>
    </row>
    <row r="36" spans="2:45">
      <c r="B36" s="930" t="s">
        <v>2215</v>
      </c>
      <c r="C36" s="964">
        <v>42704</v>
      </c>
      <c r="D36" s="965">
        <v>-14291.03</v>
      </c>
      <c r="E36" s="965">
        <v>0</v>
      </c>
      <c r="F36" s="966" t="s">
        <v>782</v>
      </c>
      <c r="G36" s="930" t="s">
        <v>2241</v>
      </c>
      <c r="H36" s="967" t="s">
        <v>784</v>
      </c>
      <c r="I36" s="930" t="s">
        <v>2242</v>
      </c>
      <c r="J36" s="930" t="s">
        <v>803</v>
      </c>
      <c r="K36" s="930" t="s">
        <v>787</v>
      </c>
      <c r="L36" s="934"/>
      <c r="M36" s="934"/>
      <c r="N36" s="934" t="s">
        <v>2218</v>
      </c>
      <c r="O36" s="952"/>
      <c r="P36" s="934"/>
      <c r="Q36" s="934"/>
      <c r="U36" s="930" t="s">
        <v>2262</v>
      </c>
      <c r="V36" s="930" t="s">
        <v>2262</v>
      </c>
      <c r="X36" s="964">
        <v>42947</v>
      </c>
      <c r="Y36" s="964">
        <v>42947</v>
      </c>
      <c r="AA36" s="964"/>
      <c r="AB36" s="930" t="s">
        <v>793</v>
      </c>
      <c r="AC36" s="930">
        <v>0</v>
      </c>
      <c r="AD36" s="930">
        <v>0</v>
      </c>
      <c r="AE36" s="930">
        <v>0</v>
      </c>
      <c r="AF36" s="930">
        <v>0</v>
      </c>
      <c r="AG36" s="930">
        <v>0</v>
      </c>
      <c r="AH36" s="930">
        <v>1</v>
      </c>
      <c r="AI36" s="930">
        <v>70149</v>
      </c>
      <c r="AJ36" s="930">
        <v>2195</v>
      </c>
      <c r="AK36" s="930">
        <v>0</v>
      </c>
      <c r="AL36" s="930">
        <v>1</v>
      </c>
      <c r="AO36" s="967"/>
      <c r="AP36" s="967"/>
      <c r="AQ36" s="930" t="str">
        <f t="shared" si="0"/>
        <v/>
      </c>
      <c r="AS36" s="930" t="str">
        <f t="shared" si="1"/>
        <v>wci_corp</v>
      </c>
    </row>
    <row r="37" spans="2:45">
      <c r="B37" s="930" t="s">
        <v>2215</v>
      </c>
      <c r="C37" s="964">
        <v>42735</v>
      </c>
      <c r="D37" s="965">
        <v>-14291.03</v>
      </c>
      <c r="E37" s="965">
        <v>0</v>
      </c>
      <c r="F37" s="966" t="s">
        <v>782</v>
      </c>
      <c r="G37" s="930" t="s">
        <v>2247</v>
      </c>
      <c r="H37" s="967" t="s">
        <v>784</v>
      </c>
      <c r="I37" s="930" t="s">
        <v>2248</v>
      </c>
      <c r="J37" s="930" t="s">
        <v>803</v>
      </c>
      <c r="K37" s="930" t="s">
        <v>787</v>
      </c>
      <c r="L37" s="934"/>
      <c r="M37" s="934"/>
      <c r="N37" s="934" t="s">
        <v>2218</v>
      </c>
      <c r="O37" s="952"/>
      <c r="P37" s="934"/>
      <c r="Q37" s="934"/>
      <c r="U37" s="930" t="s">
        <v>2265</v>
      </c>
      <c r="V37" s="930" t="s">
        <v>2265</v>
      </c>
      <c r="X37" s="964">
        <v>42825</v>
      </c>
      <c r="Y37" s="964">
        <v>42825</v>
      </c>
      <c r="AA37" s="964"/>
      <c r="AB37" s="930" t="s">
        <v>793</v>
      </c>
      <c r="AC37" s="930">
        <v>0</v>
      </c>
      <c r="AD37" s="930">
        <v>0</v>
      </c>
      <c r="AE37" s="930">
        <v>0</v>
      </c>
      <c r="AF37" s="930">
        <v>0</v>
      </c>
      <c r="AG37" s="930">
        <v>0</v>
      </c>
      <c r="AH37" s="930">
        <v>1</v>
      </c>
      <c r="AI37" s="930">
        <v>70149</v>
      </c>
      <c r="AJ37" s="930">
        <v>2195</v>
      </c>
      <c r="AK37" s="930">
        <v>0</v>
      </c>
      <c r="AL37" s="930">
        <v>0</v>
      </c>
      <c r="AO37" s="967"/>
      <c r="AP37" s="967"/>
      <c r="AQ37" s="930" t="str">
        <f t="shared" si="0"/>
        <v/>
      </c>
      <c r="AS37" s="930" t="str">
        <f t="shared" si="1"/>
        <v>wci_corp</v>
      </c>
    </row>
    <row r="38" spans="2:45">
      <c r="B38" s="930" t="s">
        <v>2215</v>
      </c>
      <c r="C38" s="964">
        <v>42766</v>
      </c>
      <c r="D38" s="965">
        <v>-16768.7</v>
      </c>
      <c r="E38" s="965">
        <v>0</v>
      </c>
      <c r="F38" s="966" t="s">
        <v>782</v>
      </c>
      <c r="G38" s="930" t="s">
        <v>2253</v>
      </c>
      <c r="H38" s="967" t="s">
        <v>784</v>
      </c>
      <c r="I38" s="930" t="s">
        <v>2254</v>
      </c>
      <c r="J38" s="930" t="s">
        <v>2255</v>
      </c>
      <c r="K38" s="930" t="s">
        <v>787</v>
      </c>
      <c r="L38" s="934"/>
      <c r="M38" s="934"/>
      <c r="N38" s="934" t="s">
        <v>2218</v>
      </c>
      <c r="O38" s="952"/>
      <c r="P38" s="934"/>
      <c r="Q38" s="934"/>
      <c r="U38" s="930" t="s">
        <v>2268</v>
      </c>
      <c r="V38" s="930" t="s">
        <v>2268</v>
      </c>
      <c r="X38" s="964">
        <v>42947</v>
      </c>
      <c r="Y38" s="964">
        <v>42947</v>
      </c>
      <c r="AA38" s="964"/>
      <c r="AB38" s="930" t="s">
        <v>793</v>
      </c>
      <c r="AC38" s="930">
        <v>0</v>
      </c>
      <c r="AD38" s="930">
        <v>0</v>
      </c>
      <c r="AE38" s="930">
        <v>0</v>
      </c>
      <c r="AF38" s="930">
        <v>0</v>
      </c>
      <c r="AG38" s="930">
        <v>0</v>
      </c>
      <c r="AH38" s="930">
        <v>1</v>
      </c>
      <c r="AI38" s="930">
        <v>70149</v>
      </c>
      <c r="AJ38" s="930">
        <v>2195</v>
      </c>
      <c r="AK38" s="930">
        <v>0</v>
      </c>
      <c r="AL38" s="930">
        <v>1</v>
      </c>
      <c r="AO38" s="967"/>
      <c r="AP38" s="967"/>
      <c r="AQ38" s="930" t="str">
        <f t="shared" si="0"/>
        <v/>
      </c>
      <c r="AS38" s="930" t="str">
        <f t="shared" si="1"/>
        <v>wci_corp</v>
      </c>
    </row>
    <row r="39" spans="2:45">
      <c r="B39" s="930" t="s">
        <v>2215</v>
      </c>
      <c r="C39" s="964">
        <v>42794</v>
      </c>
      <c r="D39" s="965">
        <v>-16768.7</v>
      </c>
      <c r="E39" s="965">
        <v>0</v>
      </c>
      <c r="F39" s="966" t="s">
        <v>782</v>
      </c>
      <c r="G39" s="930" t="s">
        <v>2260</v>
      </c>
      <c r="H39" s="967" t="s">
        <v>784</v>
      </c>
      <c r="I39" s="930" t="s">
        <v>2261</v>
      </c>
      <c r="J39" s="930" t="s">
        <v>2255</v>
      </c>
      <c r="K39" s="930" t="s">
        <v>787</v>
      </c>
      <c r="L39" s="934"/>
      <c r="M39" s="934"/>
      <c r="N39" s="934" t="s">
        <v>2218</v>
      </c>
      <c r="O39" s="952"/>
      <c r="P39" s="934"/>
      <c r="Q39" s="934"/>
      <c r="U39" s="930" t="s">
        <v>2271</v>
      </c>
      <c r="V39" s="930" t="s">
        <v>2271</v>
      </c>
      <c r="X39" s="964">
        <v>42856</v>
      </c>
      <c r="Y39" s="964">
        <v>42857</v>
      </c>
      <c r="AA39" s="964"/>
      <c r="AB39" s="930" t="s">
        <v>793</v>
      </c>
      <c r="AC39" s="930">
        <v>0</v>
      </c>
      <c r="AD39" s="930">
        <v>0</v>
      </c>
      <c r="AE39" s="930">
        <v>0</v>
      </c>
      <c r="AF39" s="930">
        <v>0</v>
      </c>
      <c r="AG39" s="930">
        <v>0</v>
      </c>
      <c r="AH39" s="930">
        <v>1</v>
      </c>
      <c r="AI39" s="930">
        <v>70149</v>
      </c>
      <c r="AJ39" s="930">
        <v>2195</v>
      </c>
      <c r="AK39" s="930">
        <v>0</v>
      </c>
      <c r="AL39" s="930">
        <v>0</v>
      </c>
      <c r="AO39" s="967"/>
      <c r="AP39" s="967"/>
      <c r="AQ39" s="930" t="str">
        <f t="shared" si="0"/>
        <v/>
      </c>
      <c r="AS39" s="930" t="str">
        <f t="shared" si="1"/>
        <v>wci_corp</v>
      </c>
    </row>
    <row r="40" spans="2:45">
      <c r="B40" s="930" t="s">
        <v>2215</v>
      </c>
      <c r="C40" s="964">
        <v>42825</v>
      </c>
      <c r="D40" s="965">
        <v>-16768.7</v>
      </c>
      <c r="E40" s="965">
        <v>0</v>
      </c>
      <c r="F40" s="966" t="s">
        <v>782</v>
      </c>
      <c r="G40" s="930" t="s">
        <v>2266</v>
      </c>
      <c r="H40" s="967" t="s">
        <v>784</v>
      </c>
      <c r="I40" s="930" t="s">
        <v>2267</v>
      </c>
      <c r="J40" s="930" t="s">
        <v>2255</v>
      </c>
      <c r="K40" s="930" t="s">
        <v>787</v>
      </c>
      <c r="L40" s="934"/>
      <c r="M40" s="934"/>
      <c r="N40" s="934" t="s">
        <v>2218</v>
      </c>
      <c r="O40" s="952"/>
      <c r="P40" s="934"/>
      <c r="Q40" s="934"/>
      <c r="U40" s="930" t="s">
        <v>2274</v>
      </c>
      <c r="V40" s="930" t="s">
        <v>2274</v>
      </c>
      <c r="X40" s="964">
        <v>42947</v>
      </c>
      <c r="Y40" s="964">
        <v>42947</v>
      </c>
      <c r="AA40" s="964"/>
      <c r="AB40" s="930" t="s">
        <v>793</v>
      </c>
      <c r="AC40" s="930">
        <v>0</v>
      </c>
      <c r="AD40" s="930">
        <v>0</v>
      </c>
      <c r="AE40" s="930">
        <v>0</v>
      </c>
      <c r="AF40" s="930">
        <v>0</v>
      </c>
      <c r="AG40" s="930">
        <v>0</v>
      </c>
      <c r="AH40" s="930">
        <v>1</v>
      </c>
      <c r="AI40" s="930">
        <v>70149</v>
      </c>
      <c r="AJ40" s="930">
        <v>2195</v>
      </c>
      <c r="AK40" s="930">
        <v>0</v>
      </c>
      <c r="AL40" s="930">
        <v>1</v>
      </c>
      <c r="AO40" s="967"/>
      <c r="AP40" s="967"/>
      <c r="AQ40" s="930" t="str">
        <f t="shared" si="0"/>
        <v/>
      </c>
      <c r="AS40" s="930" t="str">
        <f t="shared" si="1"/>
        <v>wci_corp</v>
      </c>
    </row>
    <row r="41" spans="2:45">
      <c r="B41" s="930" t="s">
        <v>2215</v>
      </c>
      <c r="C41" s="964">
        <v>42855</v>
      </c>
      <c r="D41" s="965">
        <v>-16768.7</v>
      </c>
      <c r="E41" s="965">
        <v>0</v>
      </c>
      <c r="F41" s="966" t="s">
        <v>782</v>
      </c>
      <c r="G41" s="930" t="s">
        <v>2272</v>
      </c>
      <c r="H41" s="967" t="s">
        <v>784</v>
      </c>
      <c r="I41" s="930" t="s">
        <v>2273</v>
      </c>
      <c r="J41" s="930" t="s">
        <v>2255</v>
      </c>
      <c r="K41" s="930" t="s">
        <v>787</v>
      </c>
      <c r="L41" s="934"/>
      <c r="M41" s="934"/>
      <c r="N41" s="934" t="s">
        <v>2218</v>
      </c>
      <c r="O41" s="952"/>
      <c r="P41" s="934"/>
      <c r="Q41" s="934"/>
      <c r="U41" s="930" t="s">
        <v>2277</v>
      </c>
      <c r="V41" s="930" t="s">
        <v>2277</v>
      </c>
      <c r="X41" s="964">
        <v>42886</v>
      </c>
      <c r="Y41" s="964">
        <v>42886</v>
      </c>
      <c r="AA41" s="964"/>
      <c r="AB41" s="930" t="s">
        <v>793</v>
      </c>
      <c r="AC41" s="930">
        <v>0</v>
      </c>
      <c r="AD41" s="930">
        <v>0</v>
      </c>
      <c r="AE41" s="930">
        <v>0</v>
      </c>
      <c r="AF41" s="930">
        <v>0</v>
      </c>
      <c r="AG41" s="930">
        <v>0</v>
      </c>
      <c r="AH41" s="930">
        <v>1</v>
      </c>
      <c r="AI41" s="930">
        <v>70149</v>
      </c>
      <c r="AJ41" s="930">
        <v>2195</v>
      </c>
      <c r="AK41" s="930">
        <v>0</v>
      </c>
      <c r="AL41" s="930">
        <v>0</v>
      </c>
      <c r="AO41" s="967"/>
      <c r="AP41" s="967"/>
      <c r="AQ41" s="930" t="str">
        <f t="shared" si="0"/>
        <v/>
      </c>
      <c r="AS41" s="930" t="str">
        <f t="shared" si="1"/>
        <v>wci_corp</v>
      </c>
    </row>
    <row r="42" spans="2:45">
      <c r="B42" s="930" t="s">
        <v>2215</v>
      </c>
      <c r="C42" s="964">
        <v>42886</v>
      </c>
      <c r="D42" s="965">
        <v>-16768.7</v>
      </c>
      <c r="E42" s="965">
        <v>0</v>
      </c>
      <c r="F42" s="966" t="s">
        <v>782</v>
      </c>
      <c r="G42" s="930" t="s">
        <v>2278</v>
      </c>
      <c r="H42" s="967" t="s">
        <v>784</v>
      </c>
      <c r="I42" s="930" t="s">
        <v>2279</v>
      </c>
      <c r="J42" s="930" t="s">
        <v>2255</v>
      </c>
      <c r="K42" s="930" t="s">
        <v>787</v>
      </c>
      <c r="L42" s="934"/>
      <c r="M42" s="934"/>
      <c r="N42" s="934" t="s">
        <v>2218</v>
      </c>
      <c r="O42" s="952"/>
      <c r="P42" s="934"/>
      <c r="Q42" s="934"/>
      <c r="U42" s="930" t="s">
        <v>2280</v>
      </c>
      <c r="V42" s="930" t="s">
        <v>2280</v>
      </c>
      <c r="X42" s="964">
        <v>42947</v>
      </c>
      <c r="Y42" s="964">
        <v>42947</v>
      </c>
      <c r="AA42" s="964"/>
      <c r="AB42" s="930" t="s">
        <v>793</v>
      </c>
      <c r="AC42" s="930">
        <v>0</v>
      </c>
      <c r="AD42" s="930">
        <v>0</v>
      </c>
      <c r="AE42" s="930">
        <v>0</v>
      </c>
      <c r="AF42" s="930">
        <v>0</v>
      </c>
      <c r="AG42" s="930">
        <v>0</v>
      </c>
      <c r="AH42" s="930">
        <v>1</v>
      </c>
      <c r="AI42" s="930">
        <v>70149</v>
      </c>
      <c r="AJ42" s="930">
        <v>2195</v>
      </c>
      <c r="AK42" s="930">
        <v>0</v>
      </c>
      <c r="AL42" s="930">
        <v>1</v>
      </c>
      <c r="AO42" s="967"/>
      <c r="AP42" s="967"/>
      <c r="AQ42" s="930" t="str">
        <f t="shared" si="0"/>
        <v/>
      </c>
      <c r="AS42" s="930" t="str">
        <f t="shared" si="1"/>
        <v>wci_corp</v>
      </c>
    </row>
    <row r="43" spans="2:45">
      <c r="B43" s="930" t="s">
        <v>2215</v>
      </c>
      <c r="C43" s="964">
        <v>42916</v>
      </c>
      <c r="D43" s="965">
        <v>-16768.7</v>
      </c>
      <c r="E43" s="965">
        <v>0</v>
      </c>
      <c r="F43" s="966" t="s">
        <v>782</v>
      </c>
      <c r="G43" s="930" t="s">
        <v>2284</v>
      </c>
      <c r="H43" s="967" t="s">
        <v>784</v>
      </c>
      <c r="I43" s="930" t="s">
        <v>2285</v>
      </c>
      <c r="J43" s="930" t="s">
        <v>2255</v>
      </c>
      <c r="K43" s="930" t="s">
        <v>787</v>
      </c>
      <c r="L43" s="934"/>
      <c r="M43" s="934"/>
      <c r="N43" s="934" t="s">
        <v>2218</v>
      </c>
      <c r="O43" s="952"/>
      <c r="P43" s="934"/>
      <c r="Q43" s="934"/>
      <c r="U43" s="930" t="s">
        <v>2283</v>
      </c>
      <c r="V43" s="930" t="s">
        <v>2283</v>
      </c>
      <c r="X43" s="964">
        <v>42915</v>
      </c>
      <c r="Y43" s="964">
        <v>42916</v>
      </c>
      <c r="AA43" s="964"/>
      <c r="AB43" s="930" t="s">
        <v>793</v>
      </c>
      <c r="AC43" s="930">
        <v>0</v>
      </c>
      <c r="AD43" s="930">
        <v>0</v>
      </c>
      <c r="AE43" s="930">
        <v>0</v>
      </c>
      <c r="AF43" s="930">
        <v>0</v>
      </c>
      <c r="AG43" s="930">
        <v>0</v>
      </c>
      <c r="AH43" s="930">
        <v>1</v>
      </c>
      <c r="AI43" s="930">
        <v>70149</v>
      </c>
      <c r="AJ43" s="930">
        <v>2195</v>
      </c>
      <c r="AK43" s="930">
        <v>0</v>
      </c>
      <c r="AL43" s="930">
        <v>0</v>
      </c>
      <c r="AO43" s="967"/>
      <c r="AP43" s="967"/>
      <c r="AQ43" s="930" t="str">
        <f t="shared" si="0"/>
        <v/>
      </c>
      <c r="AS43" s="930" t="str">
        <f t="shared" si="1"/>
        <v>wci_corp</v>
      </c>
    </row>
    <row r="44" spans="2:45">
      <c r="C44" s="964"/>
      <c r="D44" s="338"/>
      <c r="E44" s="338"/>
      <c r="F44" s="338"/>
      <c r="H44" s="933"/>
    </row>
    <row r="45" spans="2:45">
      <c r="B45" s="968" t="s">
        <v>991</v>
      </c>
      <c r="C45" s="968"/>
      <c r="D45" s="340"/>
      <c r="E45" s="340"/>
      <c r="F45" s="340"/>
      <c r="G45" s="968"/>
      <c r="H45" s="969"/>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70"/>
    </row>
    <row r="46" spans="2:45">
      <c r="H46" s="933"/>
    </row>
    <row r="47" spans="2:45">
      <c r="H47" s="933"/>
    </row>
    <row r="48" spans="2:45">
      <c r="H48" s="933"/>
    </row>
    <row r="49" spans="2:8">
      <c r="H49" s="933"/>
    </row>
    <row r="50" spans="2:8">
      <c r="D50" s="972"/>
      <c r="H50" s="933"/>
    </row>
    <row r="51" spans="2:8">
      <c r="H51" s="933"/>
    </row>
    <row r="52" spans="2:8">
      <c r="H52" s="933"/>
    </row>
    <row r="53" spans="2:8">
      <c r="G53" s="972"/>
      <c r="H53" s="933"/>
    </row>
    <row r="54" spans="2:8">
      <c r="H54" s="933"/>
    </row>
    <row r="55" spans="2:8">
      <c r="H55" s="933"/>
    </row>
    <row r="56" spans="2:8">
      <c r="H56" s="933"/>
    </row>
    <row r="57" spans="2:8">
      <c r="H57" s="933"/>
    </row>
    <row r="58" spans="2:8">
      <c r="H58" s="933"/>
    </row>
    <row r="59" spans="2:8">
      <c r="H59" s="933"/>
    </row>
    <row r="60" spans="2:8">
      <c r="H60" s="933"/>
    </row>
    <row r="61" spans="2:8">
      <c r="H61" s="933"/>
    </row>
    <row r="62" spans="2:8">
      <c r="H62" s="933"/>
    </row>
    <row r="63" spans="2:8">
      <c r="B63" s="971"/>
      <c r="H63" s="933"/>
    </row>
  </sheetData>
  <sortState ref="B20:N43">
    <sortCondition ref="N20:N43"/>
  </sortState>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50" fitToHeight="0" orientation="landscape" r:id="rId1"/>
  <headerFooter alignWithMargins="0">
    <oddHeader>&amp;L&amp;"Arial"&amp;L&amp;08 &amp;R&amp;"Arial"&amp;R&amp;08 &amp;D-&amp;T-Jeff Honsowetz</oddHeader>
    <oddFooter>&amp;L&amp;"Arial"&amp;L&amp;08 Path:D:\Data_WCNX\Financials\MidMonths\BrentProject\\&amp;F-&amp;A&amp;R&amp;"Arial"&amp;R&amp;08  Page &amp;P</oddFooter>
  </headerFooter>
  <colBreaks count="1" manualBreakCount="1">
    <brk id="11" min="8" max="4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173"/>
  <sheetViews>
    <sheetView showGridLines="0" view="pageBreakPreview" topLeftCell="A9" zoomScale="60" zoomScaleNormal="80" workbookViewId="0">
      <selection activeCell="G20" sqref="G20"/>
    </sheetView>
  </sheetViews>
  <sheetFormatPr defaultRowHeight="12.75" outlineLevelRow="1"/>
  <cols>
    <col min="1" max="1" width="2.7109375" style="295" customWidth="1"/>
    <col min="2" max="2" width="48.28515625" style="295" customWidth="1"/>
    <col min="3" max="3" width="21.28515625" style="295" customWidth="1"/>
    <col min="4" max="5" width="18.7109375" style="295" customWidth="1"/>
    <col min="6" max="6" width="12.28515625" style="295" customWidth="1"/>
    <col min="7" max="7" width="19" style="295" customWidth="1"/>
    <col min="8" max="8" width="7.85546875" style="295" customWidth="1"/>
    <col min="9" max="9" width="30.28515625" style="295" customWidth="1"/>
    <col min="10" max="10" width="10.28515625" style="295" customWidth="1"/>
    <col min="11" max="11" width="13.5703125" style="295" customWidth="1"/>
    <col min="12" max="12" width="15.140625" style="295" customWidth="1"/>
    <col min="13" max="13" width="10.140625" style="295" customWidth="1"/>
    <col min="14" max="14" width="62.42578125" style="295" customWidth="1"/>
    <col min="15" max="15" width="11.42578125" style="295" customWidth="1"/>
    <col min="16" max="16" width="35.140625" style="295" customWidth="1"/>
    <col min="17" max="17" width="18" style="295" customWidth="1"/>
    <col min="18" max="18" width="14.140625" style="295" customWidth="1"/>
    <col min="19" max="19" width="17.7109375" style="295" customWidth="1"/>
    <col min="20" max="20" width="12.7109375" style="295" customWidth="1"/>
    <col min="21" max="21" width="15.85546875" style="295" customWidth="1"/>
    <col min="22" max="22" width="13.7109375" style="295" bestFit="1" customWidth="1"/>
    <col min="23" max="23" width="13.28515625" style="295" customWidth="1"/>
    <col min="24" max="24" width="12.28515625" style="295" customWidth="1"/>
    <col min="25" max="25" width="11.5703125" style="295" customWidth="1"/>
    <col min="26" max="26" width="9.85546875" style="295" customWidth="1"/>
    <col min="27" max="27" width="11.42578125" style="295" customWidth="1"/>
    <col min="28" max="28" width="11" style="295" customWidth="1"/>
    <col min="29" max="29" width="11.5703125" style="295" customWidth="1"/>
    <col min="30" max="30" width="7" style="295" customWidth="1"/>
    <col min="31" max="31" width="11.140625" style="295" customWidth="1"/>
    <col min="32" max="32" width="11" style="295" customWidth="1"/>
    <col min="33" max="33" width="8.5703125" style="295" customWidth="1"/>
    <col min="34" max="34" width="8.42578125" style="295" customWidth="1"/>
    <col min="35" max="36" width="10.28515625" style="295" customWidth="1"/>
    <col min="37" max="37" width="10.140625" style="295" customWidth="1"/>
    <col min="38" max="38" width="10.42578125" style="295" customWidth="1"/>
    <col min="39" max="39" width="21.140625" style="295" customWidth="1"/>
    <col min="40" max="42" width="18.85546875" style="295" customWidth="1"/>
    <col min="43" max="43" width="20.42578125" style="295" customWidth="1"/>
    <col min="44" max="46" width="9.140625" style="295" customWidth="1"/>
    <col min="47" max="16384" width="9.140625" style="295"/>
  </cols>
  <sheetData>
    <row r="1" spans="1:43" hidden="1" outlineLevel="1">
      <c r="A1" s="294" t="b">
        <v>1</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row>
    <row r="2" spans="1:43" hidden="1" outlineLevel="1">
      <c r="B2" s="295" t="s">
        <v>673</v>
      </c>
      <c r="C2" s="295" t="s">
        <v>674</v>
      </c>
      <c r="D2" s="296" t="s">
        <v>675</v>
      </c>
      <c r="E2" s="296" t="s">
        <v>676</v>
      </c>
      <c r="F2" s="296" t="s">
        <v>677</v>
      </c>
      <c r="G2" s="295" t="s">
        <v>678</v>
      </c>
      <c r="H2" s="295" t="s">
        <v>679</v>
      </c>
      <c r="I2" s="295" t="s">
        <v>680</v>
      </c>
      <c r="J2" s="295" t="s">
        <v>681</v>
      </c>
      <c r="K2" s="295" t="s">
        <v>682</v>
      </c>
      <c r="L2" s="295" t="s">
        <v>683</v>
      </c>
      <c r="M2" s="295" t="s">
        <v>684</v>
      </c>
      <c r="N2" s="295" t="s">
        <v>685</v>
      </c>
      <c r="O2" s="295" t="s">
        <v>686</v>
      </c>
      <c r="P2" s="295" t="s">
        <v>687</v>
      </c>
      <c r="Q2" s="295" t="s">
        <v>688</v>
      </c>
      <c r="R2" s="295" t="s">
        <v>689</v>
      </c>
      <c r="S2" s="295" t="s">
        <v>690</v>
      </c>
      <c r="T2" s="295" t="s">
        <v>691</v>
      </c>
      <c r="U2" s="295" t="s">
        <v>692</v>
      </c>
      <c r="V2" s="295" t="s">
        <v>693</v>
      </c>
      <c r="W2" s="295" t="s">
        <v>694</v>
      </c>
      <c r="X2" s="295" t="s">
        <v>695</v>
      </c>
      <c r="Y2" s="295" t="s">
        <v>696</v>
      </c>
      <c r="Z2" s="295" t="s">
        <v>697</v>
      </c>
      <c r="AA2" s="295" t="s">
        <v>698</v>
      </c>
      <c r="AB2" s="295" t="s">
        <v>699</v>
      </c>
      <c r="AC2" s="295" t="s">
        <v>700</v>
      </c>
      <c r="AD2" s="295" t="s">
        <v>701</v>
      </c>
      <c r="AE2" s="295" t="s">
        <v>702</v>
      </c>
      <c r="AF2" s="295" t="s">
        <v>703</v>
      </c>
      <c r="AG2" s="295" t="s">
        <v>704</v>
      </c>
      <c r="AH2" s="295" t="s">
        <v>705</v>
      </c>
      <c r="AI2" s="295" t="s">
        <v>706</v>
      </c>
      <c r="AJ2" s="295" t="s">
        <v>707</v>
      </c>
      <c r="AK2" s="295" t="s">
        <v>708</v>
      </c>
      <c r="AL2" s="295" t="s">
        <v>709</v>
      </c>
      <c r="AM2" s="295" t="s">
        <v>710</v>
      </c>
      <c r="AN2" s="295" t="s">
        <v>711</v>
      </c>
      <c r="AO2" s="295" t="s">
        <v>712</v>
      </c>
      <c r="AP2" s="295" t="s">
        <v>713</v>
      </c>
      <c r="AQ2" s="296"/>
    </row>
    <row r="3" spans="1:43" hidden="1" outlineLevel="1">
      <c r="A3" s="294" t="s">
        <v>714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row>
    <row r="4" spans="1:43" hidden="1" outlineLevel="1">
      <c r="Q4" s="295" t="s">
        <v>2550</v>
      </c>
      <c r="U4" s="295" t="str">
        <f ca="1">_xll.ReportDrill(,"APDrill",_xll.PairGroup(_xll.PairExt(AQ20:AQ122,"H8")),"AP Detail")</f>
        <v>OK!: ReportDrill 'AP Detail' Formula OK [jAction{}]</v>
      </c>
      <c r="Y4" s="295" t="str">
        <f ca="1">_xll.ReportDrill(,"JEStaged_DrillToDetail",_xll.PairGroup(_xll.PairExt(Q19:Q122,"dControlNum",TRUE),_xll.PairExt(AP19:AP122,"dDistrict",TRUE),_xll.PairExt(AO19:AO122,"dApplyMonth",TRUE)),"JE Staged Details")</f>
        <v>OK!: ReportDrill 'JE Staged Details' Formula OK [jAction{}]</v>
      </c>
    </row>
    <row r="5" spans="1:43" hidden="1" outlineLevel="1">
      <c r="B5" s="295" t="str">
        <f ca="1">_xll.ReportRange("JEQuery_WithStaged",B20:AR121,B2:AR2,,_xll.Param(I12,DateTo,IF(M12="","all",M12),M13,M14,M15,P12,P13,P14,P15,EntrieShownLimit,DateFrom,DateTo),TRUE)</f>
        <v>OK!: ReportRange Formula OK [jAction{}]</v>
      </c>
    </row>
    <row r="6" spans="1:43" hidden="1" outlineLevel="1">
      <c r="B6" s="297" t="s">
        <v>715</v>
      </c>
      <c r="D6" s="295">
        <v>10000</v>
      </c>
    </row>
    <row r="7" spans="1:43" hidden="1" outlineLevel="1">
      <c r="A7" s="294" t="s">
        <v>716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row>
    <row r="8" spans="1:43" hidden="1" outlineLevel="1">
      <c r="B8" s="298" t="s">
        <v>717</v>
      </c>
      <c r="C8" s="295" t="str">
        <f>IF(DateFrom="",CurrentMonth,DateFrom)</f>
        <v>2016-07</v>
      </c>
      <c r="E8" s="298" t="s">
        <v>718</v>
      </c>
      <c r="G8" s="295" t="str">
        <f>IF(DateTo="",CurrentMonth,DateTo)</f>
        <v>2017-06</v>
      </c>
      <c r="I8" s="298" t="s">
        <v>719</v>
      </c>
      <c r="J8" s="299" t="str">
        <f ca="1">TEXT(NOW() - 15,"yyyy-mm")</f>
        <v>2017-07</v>
      </c>
    </row>
    <row r="9" spans="1:43" ht="18" collapsed="1">
      <c r="B9" s="300" t="s">
        <v>720</v>
      </c>
      <c r="G9" s="301" t="s">
        <v>721</v>
      </c>
      <c r="P9" s="302"/>
      <c r="U9" s="297"/>
    </row>
    <row r="10" spans="1:43" ht="14.25">
      <c r="B10" s="296" t="s">
        <v>722</v>
      </c>
      <c r="G10" s="303"/>
      <c r="P10" s="302"/>
      <c r="U10" s="297"/>
    </row>
    <row r="11" spans="1:43">
      <c r="G11" s="304" t="s">
        <v>723</v>
      </c>
      <c r="H11" s="305"/>
      <c r="I11" s="306"/>
      <c r="L11" s="305" t="s">
        <v>724</v>
      </c>
      <c r="M11" s="305"/>
      <c r="N11" s="305"/>
      <c r="O11" s="305"/>
      <c r="P11" s="305"/>
      <c r="U11" s="296"/>
    </row>
    <row r="12" spans="1:43" s="297" customFormat="1">
      <c r="H12" s="307" t="s">
        <v>725</v>
      </c>
      <c r="I12" s="308" t="s">
        <v>726</v>
      </c>
      <c r="K12" s="309"/>
      <c r="L12" s="297" t="s">
        <v>727</v>
      </c>
      <c r="M12" s="308" t="s">
        <v>219</v>
      </c>
      <c r="O12" s="307" t="s">
        <v>728</v>
      </c>
      <c r="P12" s="310"/>
      <c r="Z12" s="295"/>
      <c r="AA12" s="295"/>
      <c r="AB12" s="295"/>
      <c r="AH12" s="295"/>
      <c r="AI12" s="295"/>
      <c r="AJ12" s="295"/>
      <c r="AK12" s="295"/>
      <c r="AL12" s="295"/>
    </row>
    <row r="13" spans="1:43" s="297" customFormat="1">
      <c r="H13" s="307" t="s">
        <v>729</v>
      </c>
      <c r="I13" s="308" t="s">
        <v>222</v>
      </c>
      <c r="K13" s="309"/>
      <c r="L13" s="297" t="s">
        <v>730</v>
      </c>
      <c r="M13" s="308" t="s">
        <v>731</v>
      </c>
      <c r="N13" s="295"/>
      <c r="O13" s="307" t="s">
        <v>732</v>
      </c>
      <c r="P13" s="311"/>
      <c r="Q13" s="312"/>
      <c r="Z13" s="295"/>
      <c r="AA13" s="295"/>
      <c r="AB13" s="295"/>
      <c r="AH13" s="295"/>
      <c r="AI13" s="295"/>
      <c r="AJ13" s="295"/>
      <c r="AK13" s="295"/>
      <c r="AL13" s="295"/>
    </row>
    <row r="14" spans="1:43">
      <c r="L14" s="297" t="s">
        <v>221</v>
      </c>
      <c r="M14" s="308" t="s">
        <v>220</v>
      </c>
      <c r="O14" s="307" t="s">
        <v>733</v>
      </c>
      <c r="P14" s="311"/>
      <c r="Q14" s="312"/>
    </row>
    <row r="15" spans="1:43">
      <c r="L15" s="297" t="s">
        <v>551</v>
      </c>
      <c r="M15" s="308" t="s">
        <v>220</v>
      </c>
      <c r="O15" s="307" t="s">
        <v>734</v>
      </c>
      <c r="P15" s="313" t="s">
        <v>735</v>
      </c>
    </row>
    <row r="16" spans="1:43">
      <c r="B16" s="314" t="s">
        <v>736</v>
      </c>
      <c r="C16" s="315"/>
      <c r="D16" s="316">
        <f>SUM(D19:D122)</f>
        <v>10289.119999999999</v>
      </c>
      <c r="E16" s="316">
        <f>SUM(E19:E122)</f>
        <v>0</v>
      </c>
      <c r="F16" s="295" t="s">
        <v>737</v>
      </c>
      <c r="N16" s="317"/>
      <c r="O16" s="317"/>
      <c r="P16" s="317"/>
      <c r="Q16" s="317"/>
    </row>
    <row r="17" spans="2:43">
      <c r="B17" s="314" t="s">
        <v>738</v>
      </c>
      <c r="C17" s="315"/>
      <c r="D17" s="318">
        <f>COUNT(D20:D123)</f>
        <v>101</v>
      </c>
      <c r="E17" s="318">
        <f>COUNT(E20:E123)</f>
        <v>101</v>
      </c>
      <c r="F17" s="296" t="s">
        <v>739</v>
      </c>
      <c r="G17" s="319" t="str">
        <f>""&amp;EntrieShownLimit</f>
        <v>10000</v>
      </c>
    </row>
    <row r="18" spans="2:43">
      <c r="O18" s="320"/>
      <c r="R18" s="321" t="s">
        <v>740</v>
      </c>
      <c r="S18" s="322"/>
      <c r="T18" s="322"/>
      <c r="U18" s="322"/>
      <c r="V18" s="322"/>
      <c r="W18" s="322"/>
      <c r="X18" s="322"/>
      <c r="Y18" s="322"/>
      <c r="Z18" s="323"/>
      <c r="AA18" s="323"/>
      <c r="AB18" s="323"/>
      <c r="AC18" s="323"/>
      <c r="AD18" s="323"/>
      <c r="AE18" s="323"/>
      <c r="AF18" s="323"/>
      <c r="AG18" s="323"/>
      <c r="AH18" s="323"/>
      <c r="AI18" s="323"/>
      <c r="AJ18" s="323"/>
      <c r="AK18" s="323"/>
      <c r="AL18" s="323"/>
      <c r="AM18" s="323"/>
      <c r="AN18" s="323"/>
      <c r="AO18" s="323"/>
      <c r="AP18" s="323"/>
      <c r="AQ18" s="323"/>
    </row>
    <row r="19" spans="2:43" s="324" customFormat="1" ht="29.25" customHeight="1" thickBot="1">
      <c r="B19" s="325" t="s">
        <v>741</v>
      </c>
      <c r="C19" s="326" t="s">
        <v>742</v>
      </c>
      <c r="D19" s="327" t="s">
        <v>743</v>
      </c>
      <c r="E19" s="327" t="s">
        <v>744</v>
      </c>
      <c r="F19" s="327" t="s">
        <v>745</v>
      </c>
      <c r="G19" s="328" t="s">
        <v>746</v>
      </c>
      <c r="H19" s="325" t="s">
        <v>747</v>
      </c>
      <c r="I19" s="325" t="s">
        <v>748</v>
      </c>
      <c r="J19" s="325" t="s">
        <v>681</v>
      </c>
      <c r="K19" s="325" t="s">
        <v>749</v>
      </c>
      <c r="L19" s="325" t="s">
        <v>750</v>
      </c>
      <c r="M19" s="325" t="s">
        <v>751</v>
      </c>
      <c r="N19" s="325" t="s">
        <v>752</v>
      </c>
      <c r="O19" s="329" t="s">
        <v>753</v>
      </c>
      <c r="P19" s="325" t="s">
        <v>754</v>
      </c>
      <c r="Q19" s="325" t="s">
        <v>755</v>
      </c>
      <c r="R19" s="325" t="s">
        <v>756</v>
      </c>
      <c r="S19" s="325" t="s">
        <v>757</v>
      </c>
      <c r="T19" s="325" t="s">
        <v>758</v>
      </c>
      <c r="U19" s="325" t="s">
        <v>759</v>
      </c>
      <c r="V19" s="325" t="s">
        <v>760</v>
      </c>
      <c r="W19" s="325" t="s">
        <v>761</v>
      </c>
      <c r="X19" s="325" t="s">
        <v>762</v>
      </c>
      <c r="Y19" s="325" t="s">
        <v>763</v>
      </c>
      <c r="Z19" s="325" t="s">
        <v>764</v>
      </c>
      <c r="AA19" s="325" t="s">
        <v>765</v>
      </c>
      <c r="AB19" s="325" t="s">
        <v>766</v>
      </c>
      <c r="AC19" s="330" t="s">
        <v>767</v>
      </c>
      <c r="AD19" s="330" t="s">
        <v>768</v>
      </c>
      <c r="AE19" s="330" t="s">
        <v>769</v>
      </c>
      <c r="AF19" s="330" t="s">
        <v>770</v>
      </c>
      <c r="AG19" s="330" t="s">
        <v>771</v>
      </c>
      <c r="AH19" s="330" t="s">
        <v>772</v>
      </c>
      <c r="AI19" s="326" t="s">
        <v>773</v>
      </c>
      <c r="AJ19" s="326" t="s">
        <v>774</v>
      </c>
      <c r="AK19" s="326" t="s">
        <v>775</v>
      </c>
      <c r="AL19" s="326" t="s">
        <v>776</v>
      </c>
      <c r="AM19" s="326" t="s">
        <v>777</v>
      </c>
      <c r="AN19" s="326" t="s">
        <v>711</v>
      </c>
      <c r="AO19" s="331" t="s">
        <v>778</v>
      </c>
      <c r="AP19" s="331" t="s">
        <v>779</v>
      </c>
      <c r="AQ19" s="331" t="s">
        <v>780</v>
      </c>
    </row>
    <row r="20" spans="2:43">
      <c r="B20" s="295" t="s">
        <v>781</v>
      </c>
      <c r="C20" s="332">
        <v>42576</v>
      </c>
      <c r="D20" s="333">
        <v>64.03</v>
      </c>
      <c r="E20" s="333">
        <v>0</v>
      </c>
      <c r="F20" s="334" t="s">
        <v>782</v>
      </c>
      <c r="G20" s="295" t="s">
        <v>783</v>
      </c>
      <c r="H20" s="335" t="s">
        <v>784</v>
      </c>
      <c r="I20" s="295" t="s">
        <v>785</v>
      </c>
      <c r="J20" s="295" t="s">
        <v>786</v>
      </c>
      <c r="K20" s="295" t="s">
        <v>787</v>
      </c>
      <c r="L20" s="299" t="s">
        <v>788</v>
      </c>
      <c r="M20" s="299"/>
      <c r="N20" s="299" t="s">
        <v>789</v>
      </c>
      <c r="O20" s="320">
        <v>42550</v>
      </c>
      <c r="P20" s="299"/>
      <c r="Q20" s="299" t="s">
        <v>790</v>
      </c>
      <c r="U20" s="295" t="s">
        <v>791</v>
      </c>
      <c r="V20" s="295" t="s">
        <v>792</v>
      </c>
      <c r="W20" s="295">
        <v>2195</v>
      </c>
      <c r="X20" s="332">
        <v>42576</v>
      </c>
      <c r="Y20" s="332">
        <v>42580</v>
      </c>
      <c r="Z20" s="295">
        <v>394.74</v>
      </c>
      <c r="AA20" s="332">
        <v>42551</v>
      </c>
      <c r="AB20" s="295" t="s">
        <v>793</v>
      </c>
      <c r="AC20" s="295">
        <v>0</v>
      </c>
      <c r="AD20" s="295">
        <v>0</v>
      </c>
      <c r="AE20" s="295">
        <v>0</v>
      </c>
      <c r="AF20" s="295">
        <v>0</v>
      </c>
      <c r="AG20" s="295">
        <v>0</v>
      </c>
      <c r="AH20" s="295">
        <v>1</v>
      </c>
      <c r="AI20" s="295">
        <v>70095</v>
      </c>
      <c r="AJ20" s="295">
        <v>2195</v>
      </c>
      <c r="AK20" s="295">
        <v>0</v>
      </c>
      <c r="AL20" s="295">
        <v>0</v>
      </c>
      <c r="AO20" s="335"/>
      <c r="AP20" s="335"/>
      <c r="AQ20" s="295" t="str">
        <f>IF(LEFT(U20,2)="VO",U20,"")</f>
        <v>VO03999471</v>
      </c>
    </row>
    <row r="21" spans="2:43">
      <c r="B21" s="295" t="s">
        <v>781</v>
      </c>
      <c r="C21" s="332">
        <v>42576</v>
      </c>
      <c r="D21" s="333">
        <v>127.94</v>
      </c>
      <c r="E21" s="333">
        <v>0</v>
      </c>
      <c r="F21" s="334" t="s">
        <v>782</v>
      </c>
      <c r="G21" s="295" t="s">
        <v>783</v>
      </c>
      <c r="H21" s="335" t="s">
        <v>784</v>
      </c>
      <c r="I21" s="295" t="s">
        <v>785</v>
      </c>
      <c r="J21" s="295" t="s">
        <v>786</v>
      </c>
      <c r="K21" s="295" t="s">
        <v>787</v>
      </c>
      <c r="L21" s="299" t="s">
        <v>788</v>
      </c>
      <c r="M21" s="299"/>
      <c r="N21" s="299" t="s">
        <v>789</v>
      </c>
      <c r="O21" s="320">
        <v>42550</v>
      </c>
      <c r="P21" s="299"/>
      <c r="Q21" s="299" t="s">
        <v>790</v>
      </c>
      <c r="U21" s="295" t="s">
        <v>791</v>
      </c>
      <c r="V21" s="295" t="s">
        <v>792</v>
      </c>
      <c r="W21" s="295">
        <v>2195</v>
      </c>
      <c r="X21" s="332">
        <v>42576</v>
      </c>
      <c r="Y21" s="332">
        <v>42580</v>
      </c>
      <c r="Z21" s="295">
        <v>394.74</v>
      </c>
      <c r="AA21" s="332">
        <v>42551</v>
      </c>
      <c r="AB21" s="295" t="s">
        <v>793</v>
      </c>
      <c r="AC21" s="295">
        <v>0</v>
      </c>
      <c r="AD21" s="295">
        <v>0</v>
      </c>
      <c r="AE21" s="295">
        <v>0</v>
      </c>
      <c r="AF21" s="295">
        <v>0</v>
      </c>
      <c r="AG21" s="295">
        <v>0</v>
      </c>
      <c r="AH21" s="295">
        <v>1</v>
      </c>
      <c r="AI21" s="295">
        <v>70095</v>
      </c>
      <c r="AJ21" s="295">
        <v>2195</v>
      </c>
      <c r="AK21" s="295">
        <v>0</v>
      </c>
      <c r="AL21" s="295">
        <v>0</v>
      </c>
      <c r="AO21" s="335"/>
      <c r="AP21" s="335"/>
      <c r="AQ21" s="295" t="str">
        <f t="shared" ref="AQ21:AQ84" si="0">IF(LEFT(U21,2)="VO",U21,"")</f>
        <v>VO03999471</v>
      </c>
    </row>
    <row r="22" spans="2:43">
      <c r="B22" s="295" t="s">
        <v>781</v>
      </c>
      <c r="C22" s="332">
        <v>42582</v>
      </c>
      <c r="D22" s="333">
        <v>-21.59</v>
      </c>
      <c r="E22" s="333">
        <v>0</v>
      </c>
      <c r="F22" s="334" t="s">
        <v>782</v>
      </c>
      <c r="G22" s="295" t="s">
        <v>794</v>
      </c>
      <c r="H22" s="335" t="s">
        <v>784</v>
      </c>
      <c r="I22" s="295" t="s">
        <v>795</v>
      </c>
      <c r="J22" s="295" t="s">
        <v>796</v>
      </c>
      <c r="K22" s="295" t="s">
        <v>787</v>
      </c>
      <c r="L22" s="299"/>
      <c r="M22" s="299"/>
      <c r="N22" s="299" t="s">
        <v>797</v>
      </c>
      <c r="O22" s="320"/>
      <c r="P22" s="299"/>
      <c r="Q22" s="299"/>
      <c r="U22" s="295" t="s">
        <v>798</v>
      </c>
      <c r="V22" s="295" t="s">
        <v>799</v>
      </c>
      <c r="X22" s="332">
        <v>42557</v>
      </c>
      <c r="Y22" s="332">
        <v>42557</v>
      </c>
      <c r="AA22" s="332"/>
      <c r="AB22" s="295" t="s">
        <v>793</v>
      </c>
      <c r="AC22" s="295">
        <v>0</v>
      </c>
      <c r="AD22" s="295">
        <v>0</v>
      </c>
      <c r="AE22" s="295">
        <v>0</v>
      </c>
      <c r="AF22" s="295">
        <v>0</v>
      </c>
      <c r="AG22" s="295">
        <v>5</v>
      </c>
      <c r="AH22" s="295">
        <v>1</v>
      </c>
      <c r="AI22" s="295">
        <v>70095</v>
      </c>
      <c r="AJ22" s="295">
        <v>2195</v>
      </c>
      <c r="AK22" s="295">
        <v>0</v>
      </c>
      <c r="AL22" s="295">
        <v>0</v>
      </c>
      <c r="AO22" s="335"/>
      <c r="AP22" s="335"/>
      <c r="AQ22" s="295" t="str">
        <f t="shared" si="0"/>
        <v/>
      </c>
    </row>
    <row r="23" spans="2:43">
      <c r="B23" s="295" t="s">
        <v>781</v>
      </c>
      <c r="C23" s="332">
        <v>42582</v>
      </c>
      <c r="D23" s="333">
        <v>-75.989999999999995</v>
      </c>
      <c r="E23" s="333">
        <v>0</v>
      </c>
      <c r="F23" s="334" t="s">
        <v>782</v>
      </c>
      <c r="G23" s="295" t="s">
        <v>794</v>
      </c>
      <c r="H23" s="335" t="s">
        <v>784</v>
      </c>
      <c r="I23" s="295" t="s">
        <v>795</v>
      </c>
      <c r="J23" s="295" t="s">
        <v>796</v>
      </c>
      <c r="K23" s="295" t="s">
        <v>787</v>
      </c>
      <c r="L23" s="299"/>
      <c r="M23" s="299"/>
      <c r="N23" s="299" t="s">
        <v>800</v>
      </c>
      <c r="O23" s="320"/>
      <c r="P23" s="299"/>
      <c r="Q23" s="299"/>
      <c r="U23" s="295" t="s">
        <v>798</v>
      </c>
      <c r="V23" s="295" t="s">
        <v>799</v>
      </c>
      <c r="X23" s="332">
        <v>42557</v>
      </c>
      <c r="Y23" s="332">
        <v>42557</v>
      </c>
      <c r="AA23" s="332"/>
      <c r="AB23" s="295" t="s">
        <v>793</v>
      </c>
      <c r="AC23" s="295">
        <v>0</v>
      </c>
      <c r="AD23" s="295">
        <v>0</v>
      </c>
      <c r="AE23" s="295">
        <v>0</v>
      </c>
      <c r="AF23" s="295">
        <v>0</v>
      </c>
      <c r="AG23" s="295">
        <v>5</v>
      </c>
      <c r="AH23" s="295">
        <v>1</v>
      </c>
      <c r="AI23" s="295">
        <v>70095</v>
      </c>
      <c r="AJ23" s="295">
        <v>2195</v>
      </c>
      <c r="AK23" s="295">
        <v>0</v>
      </c>
      <c r="AL23" s="295">
        <v>0</v>
      </c>
      <c r="AO23" s="335"/>
      <c r="AP23" s="335"/>
      <c r="AQ23" s="295" t="str">
        <f t="shared" si="0"/>
        <v/>
      </c>
    </row>
    <row r="24" spans="2:43">
      <c r="B24" s="295" t="s">
        <v>781</v>
      </c>
      <c r="C24" s="332">
        <v>42582</v>
      </c>
      <c r="D24" s="333">
        <v>-127.94</v>
      </c>
      <c r="E24" s="333">
        <v>0</v>
      </c>
      <c r="F24" s="334" t="s">
        <v>782</v>
      </c>
      <c r="G24" s="295" t="s">
        <v>801</v>
      </c>
      <c r="H24" s="335" t="s">
        <v>784</v>
      </c>
      <c r="I24" s="295" t="s">
        <v>802</v>
      </c>
      <c r="J24" s="295" t="s">
        <v>803</v>
      </c>
      <c r="K24" s="295" t="s">
        <v>787</v>
      </c>
      <c r="L24" s="299"/>
      <c r="M24" s="299"/>
      <c r="N24" s="299" t="s">
        <v>804</v>
      </c>
      <c r="O24" s="320"/>
      <c r="P24" s="299"/>
      <c r="Q24" s="299"/>
      <c r="U24" s="295" t="s">
        <v>805</v>
      </c>
      <c r="V24" s="295" t="s">
        <v>806</v>
      </c>
      <c r="X24" s="332">
        <v>42559</v>
      </c>
      <c r="Y24" s="332">
        <v>42559</v>
      </c>
      <c r="AA24" s="332"/>
      <c r="AB24" s="295" t="s">
        <v>793</v>
      </c>
      <c r="AC24" s="295">
        <v>0</v>
      </c>
      <c r="AD24" s="295">
        <v>0</v>
      </c>
      <c r="AE24" s="295">
        <v>0</v>
      </c>
      <c r="AF24" s="295">
        <v>0</v>
      </c>
      <c r="AG24" s="295">
        <v>5</v>
      </c>
      <c r="AH24" s="295">
        <v>1</v>
      </c>
      <c r="AI24" s="295">
        <v>70095</v>
      </c>
      <c r="AJ24" s="295">
        <v>2195</v>
      </c>
      <c r="AK24" s="295">
        <v>0</v>
      </c>
      <c r="AL24" s="295">
        <v>0</v>
      </c>
      <c r="AO24" s="335"/>
      <c r="AP24" s="335"/>
      <c r="AQ24" s="295" t="str">
        <f t="shared" si="0"/>
        <v/>
      </c>
    </row>
    <row r="25" spans="2:43">
      <c r="B25" s="295" t="s">
        <v>781</v>
      </c>
      <c r="C25" s="332">
        <v>42582</v>
      </c>
      <c r="D25" s="333">
        <v>-64.03</v>
      </c>
      <c r="E25" s="333">
        <v>0</v>
      </c>
      <c r="F25" s="334" t="s">
        <v>782</v>
      </c>
      <c r="G25" s="295" t="s">
        <v>801</v>
      </c>
      <c r="H25" s="335" t="s">
        <v>784</v>
      </c>
      <c r="I25" s="295" t="s">
        <v>802</v>
      </c>
      <c r="J25" s="295" t="s">
        <v>803</v>
      </c>
      <c r="K25" s="295" t="s">
        <v>787</v>
      </c>
      <c r="L25" s="299"/>
      <c r="M25" s="299"/>
      <c r="N25" s="299" t="s">
        <v>807</v>
      </c>
      <c r="O25" s="320"/>
      <c r="P25" s="299"/>
      <c r="Q25" s="299"/>
      <c r="U25" s="295" t="s">
        <v>805</v>
      </c>
      <c r="V25" s="295" t="s">
        <v>806</v>
      </c>
      <c r="X25" s="332">
        <v>42559</v>
      </c>
      <c r="Y25" s="332">
        <v>42559</v>
      </c>
      <c r="AA25" s="332"/>
      <c r="AB25" s="295" t="s">
        <v>793</v>
      </c>
      <c r="AC25" s="295">
        <v>0</v>
      </c>
      <c r="AD25" s="295">
        <v>0</v>
      </c>
      <c r="AE25" s="295">
        <v>0</v>
      </c>
      <c r="AF25" s="295">
        <v>0</v>
      </c>
      <c r="AG25" s="295">
        <v>5</v>
      </c>
      <c r="AH25" s="295">
        <v>1</v>
      </c>
      <c r="AI25" s="295">
        <v>70095</v>
      </c>
      <c r="AJ25" s="295">
        <v>2195</v>
      </c>
      <c r="AK25" s="295">
        <v>0</v>
      </c>
      <c r="AL25" s="295">
        <v>0</v>
      </c>
      <c r="AO25" s="335"/>
      <c r="AP25" s="335"/>
      <c r="AQ25" s="295" t="str">
        <f t="shared" si="0"/>
        <v/>
      </c>
    </row>
    <row r="26" spans="2:43">
      <c r="B26" s="295" t="s">
        <v>781</v>
      </c>
      <c r="C26" s="332">
        <v>42582</v>
      </c>
      <c r="D26" s="333">
        <v>-15.11</v>
      </c>
      <c r="E26" s="333">
        <v>0</v>
      </c>
      <c r="F26" s="334" t="s">
        <v>782</v>
      </c>
      <c r="G26" s="295" t="s">
        <v>801</v>
      </c>
      <c r="H26" s="335" t="s">
        <v>784</v>
      </c>
      <c r="I26" s="295" t="s">
        <v>802</v>
      </c>
      <c r="J26" s="295" t="s">
        <v>803</v>
      </c>
      <c r="K26" s="295" t="s">
        <v>787</v>
      </c>
      <c r="L26" s="299"/>
      <c r="M26" s="299"/>
      <c r="N26" s="299" t="s">
        <v>808</v>
      </c>
      <c r="O26" s="320"/>
      <c r="P26" s="299"/>
      <c r="Q26" s="299"/>
      <c r="U26" s="295" t="s">
        <v>805</v>
      </c>
      <c r="V26" s="295" t="s">
        <v>806</v>
      </c>
      <c r="X26" s="332">
        <v>42559</v>
      </c>
      <c r="Y26" s="332">
        <v>42559</v>
      </c>
      <c r="AA26" s="332"/>
      <c r="AB26" s="295" t="s">
        <v>793</v>
      </c>
      <c r="AC26" s="295">
        <v>0</v>
      </c>
      <c r="AD26" s="295">
        <v>0</v>
      </c>
      <c r="AE26" s="295">
        <v>0</v>
      </c>
      <c r="AF26" s="295">
        <v>0</v>
      </c>
      <c r="AG26" s="295">
        <v>5</v>
      </c>
      <c r="AH26" s="295">
        <v>1</v>
      </c>
      <c r="AI26" s="295">
        <v>70095</v>
      </c>
      <c r="AJ26" s="295">
        <v>2195</v>
      </c>
      <c r="AK26" s="295">
        <v>0</v>
      </c>
      <c r="AL26" s="295">
        <v>0</v>
      </c>
      <c r="AO26" s="335"/>
      <c r="AP26" s="335"/>
      <c r="AQ26" s="295" t="str">
        <f t="shared" si="0"/>
        <v/>
      </c>
    </row>
    <row r="27" spans="2:43">
      <c r="B27" s="295" t="s">
        <v>781</v>
      </c>
      <c r="C27" s="332">
        <v>42582</v>
      </c>
      <c r="D27" s="333">
        <v>96.92</v>
      </c>
      <c r="E27" s="333">
        <v>0</v>
      </c>
      <c r="F27" s="334" t="s">
        <v>782</v>
      </c>
      <c r="G27" s="295" t="s">
        <v>809</v>
      </c>
      <c r="H27" s="335" t="s">
        <v>784</v>
      </c>
      <c r="I27" s="295" t="s">
        <v>785</v>
      </c>
      <c r="J27" s="295" t="s">
        <v>810</v>
      </c>
      <c r="K27" s="295" t="s">
        <v>787</v>
      </c>
      <c r="L27" s="299" t="s">
        <v>811</v>
      </c>
      <c r="M27" s="299"/>
      <c r="N27" s="299" t="s">
        <v>812</v>
      </c>
      <c r="O27" s="320">
        <v>42551</v>
      </c>
      <c r="P27" s="299" t="s">
        <v>813</v>
      </c>
      <c r="Q27" s="336">
        <v>42522</v>
      </c>
      <c r="R27" s="295" t="s">
        <v>814</v>
      </c>
      <c r="U27" s="295" t="s">
        <v>815</v>
      </c>
      <c r="V27" s="295" t="s">
        <v>816</v>
      </c>
      <c r="W27" s="295">
        <v>2195</v>
      </c>
      <c r="X27" s="332">
        <v>42584</v>
      </c>
      <c r="Y27" s="332">
        <v>42584</v>
      </c>
      <c r="Z27" s="295">
        <v>112.16</v>
      </c>
      <c r="AA27" s="332">
        <v>42552</v>
      </c>
      <c r="AB27" s="295" t="s">
        <v>793</v>
      </c>
      <c r="AC27" s="295">
        <v>0</v>
      </c>
      <c r="AD27" s="295">
        <v>0</v>
      </c>
      <c r="AE27" s="295">
        <v>0</v>
      </c>
      <c r="AF27" s="295">
        <v>0</v>
      </c>
      <c r="AG27" s="295">
        <v>0</v>
      </c>
      <c r="AH27" s="295">
        <v>1</v>
      </c>
      <c r="AI27" s="295">
        <v>70095</v>
      </c>
      <c r="AJ27" s="295">
        <v>2195</v>
      </c>
      <c r="AK27" s="295">
        <v>0</v>
      </c>
      <c r="AL27" s="295">
        <v>0</v>
      </c>
      <c r="AO27" s="335"/>
      <c r="AP27" s="335"/>
      <c r="AQ27" s="295" t="str">
        <f t="shared" si="0"/>
        <v>VO04006696</v>
      </c>
    </row>
    <row r="28" spans="2:43">
      <c r="B28" s="295" t="s">
        <v>781</v>
      </c>
      <c r="C28" s="332">
        <v>42582</v>
      </c>
      <c r="D28" s="333">
        <v>21.59</v>
      </c>
      <c r="E28" s="333">
        <v>0</v>
      </c>
      <c r="F28" s="334" t="s">
        <v>782</v>
      </c>
      <c r="G28" s="295" t="s">
        <v>817</v>
      </c>
      <c r="H28" s="335" t="s">
        <v>784</v>
      </c>
      <c r="I28" s="295" t="s">
        <v>818</v>
      </c>
      <c r="J28" s="295" t="s">
        <v>803</v>
      </c>
      <c r="K28" s="295" t="s">
        <v>787</v>
      </c>
      <c r="L28" s="299"/>
      <c r="M28" s="299"/>
      <c r="N28" s="299" t="s">
        <v>819</v>
      </c>
      <c r="O28" s="320"/>
      <c r="P28" s="299"/>
      <c r="Q28" s="299"/>
      <c r="U28" s="295" t="s">
        <v>820</v>
      </c>
      <c r="V28" s="295" t="s">
        <v>820</v>
      </c>
      <c r="X28" s="332">
        <v>42584</v>
      </c>
      <c r="Y28" s="332">
        <v>42585</v>
      </c>
      <c r="AA28" s="332"/>
      <c r="AB28" s="295" t="s">
        <v>793</v>
      </c>
      <c r="AC28" s="295">
        <v>0</v>
      </c>
      <c r="AD28" s="295">
        <v>0</v>
      </c>
      <c r="AE28" s="295">
        <v>0</v>
      </c>
      <c r="AF28" s="295">
        <v>0</v>
      </c>
      <c r="AG28" s="295">
        <v>0</v>
      </c>
      <c r="AH28" s="295">
        <v>1</v>
      </c>
      <c r="AI28" s="295">
        <v>70095</v>
      </c>
      <c r="AJ28" s="295">
        <v>2195</v>
      </c>
      <c r="AK28" s="295">
        <v>0</v>
      </c>
      <c r="AL28" s="295">
        <v>0</v>
      </c>
      <c r="AO28" s="335"/>
      <c r="AP28" s="335"/>
      <c r="AQ28" s="295" t="str">
        <f t="shared" si="0"/>
        <v/>
      </c>
    </row>
    <row r="29" spans="2:43">
      <c r="B29" s="295" t="s">
        <v>781</v>
      </c>
      <c r="C29" s="332">
        <v>42582</v>
      </c>
      <c r="D29" s="333">
        <v>40</v>
      </c>
      <c r="E29" s="333">
        <v>0</v>
      </c>
      <c r="F29" s="334" t="s">
        <v>782</v>
      </c>
      <c r="G29" s="295" t="s">
        <v>817</v>
      </c>
      <c r="H29" s="335" t="s">
        <v>784</v>
      </c>
      <c r="I29" s="295" t="s">
        <v>818</v>
      </c>
      <c r="J29" s="295" t="s">
        <v>803</v>
      </c>
      <c r="K29" s="295" t="s">
        <v>787</v>
      </c>
      <c r="L29" s="299"/>
      <c r="M29" s="299"/>
      <c r="N29" s="299" t="s">
        <v>821</v>
      </c>
      <c r="O29" s="320"/>
      <c r="P29" s="299"/>
      <c r="Q29" s="299"/>
      <c r="U29" s="295" t="s">
        <v>820</v>
      </c>
      <c r="V29" s="295" t="s">
        <v>820</v>
      </c>
      <c r="X29" s="332">
        <v>42584</v>
      </c>
      <c r="Y29" s="332">
        <v>42585</v>
      </c>
      <c r="AA29" s="332"/>
      <c r="AB29" s="295" t="s">
        <v>793</v>
      </c>
      <c r="AC29" s="295">
        <v>0</v>
      </c>
      <c r="AD29" s="295">
        <v>0</v>
      </c>
      <c r="AE29" s="295">
        <v>0</v>
      </c>
      <c r="AF29" s="295">
        <v>0</v>
      </c>
      <c r="AG29" s="295">
        <v>0</v>
      </c>
      <c r="AH29" s="295">
        <v>1</v>
      </c>
      <c r="AI29" s="295">
        <v>70095</v>
      </c>
      <c r="AJ29" s="295">
        <v>2195</v>
      </c>
      <c r="AK29" s="295">
        <v>0</v>
      </c>
      <c r="AL29" s="295">
        <v>0</v>
      </c>
      <c r="AO29" s="335"/>
      <c r="AP29" s="335"/>
      <c r="AQ29" s="295" t="str">
        <f t="shared" si="0"/>
        <v/>
      </c>
    </row>
    <row r="30" spans="2:43">
      <c r="B30" s="295" t="s">
        <v>781</v>
      </c>
      <c r="C30" s="332">
        <v>42582</v>
      </c>
      <c r="D30" s="333">
        <v>44.45</v>
      </c>
      <c r="E30" s="333">
        <v>0</v>
      </c>
      <c r="F30" s="334" t="s">
        <v>782</v>
      </c>
      <c r="G30" s="295" t="s">
        <v>822</v>
      </c>
      <c r="H30" s="335" t="s">
        <v>784</v>
      </c>
      <c r="I30" s="295" t="s">
        <v>802</v>
      </c>
      <c r="J30" s="295" t="s">
        <v>796</v>
      </c>
      <c r="K30" s="295" t="s">
        <v>787</v>
      </c>
      <c r="L30" s="299"/>
      <c r="M30" s="299"/>
      <c r="N30" s="299" t="s">
        <v>823</v>
      </c>
      <c r="O30" s="320"/>
      <c r="P30" s="299"/>
      <c r="Q30" s="299"/>
      <c r="U30" s="295" t="s">
        <v>824</v>
      </c>
      <c r="V30" s="295" t="s">
        <v>824</v>
      </c>
      <c r="X30" s="332">
        <v>42586</v>
      </c>
      <c r="Y30" s="332">
        <v>42587</v>
      </c>
      <c r="AA30" s="332"/>
      <c r="AB30" s="295" t="s">
        <v>793</v>
      </c>
      <c r="AC30" s="295">
        <v>0</v>
      </c>
      <c r="AD30" s="295">
        <v>0</v>
      </c>
      <c r="AE30" s="295">
        <v>0</v>
      </c>
      <c r="AF30" s="295">
        <v>0</v>
      </c>
      <c r="AG30" s="295">
        <v>0</v>
      </c>
      <c r="AH30" s="295">
        <v>1</v>
      </c>
      <c r="AI30" s="295">
        <v>70095</v>
      </c>
      <c r="AJ30" s="295">
        <v>2195</v>
      </c>
      <c r="AK30" s="295">
        <v>0</v>
      </c>
      <c r="AL30" s="295">
        <v>0</v>
      </c>
      <c r="AO30" s="335"/>
      <c r="AP30" s="335"/>
      <c r="AQ30" s="295" t="str">
        <f t="shared" si="0"/>
        <v/>
      </c>
    </row>
    <row r="31" spans="2:43">
      <c r="B31" s="295" t="s">
        <v>781</v>
      </c>
      <c r="C31" s="332">
        <v>42586</v>
      </c>
      <c r="D31" s="333">
        <v>44.45</v>
      </c>
      <c r="E31" s="333">
        <v>0</v>
      </c>
      <c r="F31" s="334" t="s">
        <v>782</v>
      </c>
      <c r="G31" s="295" t="s">
        <v>825</v>
      </c>
      <c r="H31" s="335" t="s">
        <v>784</v>
      </c>
      <c r="I31" s="295" t="s">
        <v>785</v>
      </c>
      <c r="J31" s="295" t="s">
        <v>786</v>
      </c>
      <c r="K31" s="295" t="s">
        <v>787</v>
      </c>
      <c r="L31" s="299" t="s">
        <v>811</v>
      </c>
      <c r="M31" s="299"/>
      <c r="N31" s="299" t="s">
        <v>812</v>
      </c>
      <c r="O31" s="320">
        <v>42582</v>
      </c>
      <c r="P31" s="299" t="s">
        <v>826</v>
      </c>
      <c r="Q31" s="336">
        <v>42552</v>
      </c>
      <c r="R31" s="295" t="s">
        <v>827</v>
      </c>
      <c r="U31" s="295" t="s">
        <v>828</v>
      </c>
      <c r="V31" s="295" t="s">
        <v>829</v>
      </c>
      <c r="W31" s="295">
        <v>2195</v>
      </c>
      <c r="X31" s="332">
        <v>42586</v>
      </c>
      <c r="Y31" s="332">
        <v>42586</v>
      </c>
      <c r="Z31" s="295">
        <v>44.45</v>
      </c>
      <c r="AA31" s="332">
        <v>42583</v>
      </c>
      <c r="AB31" s="295" t="s">
        <v>793</v>
      </c>
      <c r="AC31" s="295">
        <v>0</v>
      </c>
      <c r="AD31" s="295">
        <v>0</v>
      </c>
      <c r="AE31" s="295">
        <v>0</v>
      </c>
      <c r="AF31" s="295">
        <v>0</v>
      </c>
      <c r="AG31" s="295">
        <v>0</v>
      </c>
      <c r="AH31" s="295">
        <v>1</v>
      </c>
      <c r="AI31" s="295">
        <v>70095</v>
      </c>
      <c r="AJ31" s="295">
        <v>2195</v>
      </c>
      <c r="AK31" s="295">
        <v>0</v>
      </c>
      <c r="AL31" s="295">
        <v>0</v>
      </c>
      <c r="AO31" s="335"/>
      <c r="AP31" s="335"/>
      <c r="AQ31" s="295" t="str">
        <f t="shared" si="0"/>
        <v>VO04011841</v>
      </c>
    </row>
    <row r="32" spans="2:43">
      <c r="B32" s="295" t="s">
        <v>781</v>
      </c>
      <c r="C32" s="332">
        <v>42613</v>
      </c>
      <c r="D32" s="333">
        <v>-44.45</v>
      </c>
      <c r="E32" s="333">
        <v>0</v>
      </c>
      <c r="F32" s="334" t="s">
        <v>782</v>
      </c>
      <c r="G32" s="295" t="s">
        <v>830</v>
      </c>
      <c r="H32" s="335" t="s">
        <v>784</v>
      </c>
      <c r="I32" s="295" t="s">
        <v>802</v>
      </c>
      <c r="J32" s="295" t="s">
        <v>803</v>
      </c>
      <c r="K32" s="295" t="s">
        <v>787</v>
      </c>
      <c r="L32" s="299"/>
      <c r="M32" s="299"/>
      <c r="N32" s="299" t="s">
        <v>823</v>
      </c>
      <c r="O32" s="320"/>
      <c r="P32" s="299"/>
      <c r="Q32" s="299"/>
      <c r="U32" s="295" t="s">
        <v>824</v>
      </c>
      <c r="V32" s="295" t="s">
        <v>831</v>
      </c>
      <c r="X32" s="332">
        <v>42587</v>
      </c>
      <c r="Y32" s="332">
        <v>42587</v>
      </c>
      <c r="AA32" s="332"/>
      <c r="AB32" s="295" t="s">
        <v>793</v>
      </c>
      <c r="AC32" s="295">
        <v>0</v>
      </c>
      <c r="AD32" s="295">
        <v>0</v>
      </c>
      <c r="AE32" s="295">
        <v>0</v>
      </c>
      <c r="AF32" s="295">
        <v>0</v>
      </c>
      <c r="AG32" s="295">
        <v>5</v>
      </c>
      <c r="AH32" s="295">
        <v>1</v>
      </c>
      <c r="AI32" s="295">
        <v>70095</v>
      </c>
      <c r="AJ32" s="295">
        <v>2195</v>
      </c>
      <c r="AK32" s="295">
        <v>0</v>
      </c>
      <c r="AL32" s="295">
        <v>0</v>
      </c>
      <c r="AO32" s="335"/>
      <c r="AP32" s="335"/>
      <c r="AQ32" s="295" t="str">
        <f t="shared" si="0"/>
        <v/>
      </c>
    </row>
    <row r="33" spans="2:43">
      <c r="B33" s="295" t="s">
        <v>781</v>
      </c>
      <c r="C33" s="332">
        <v>42613</v>
      </c>
      <c r="D33" s="333">
        <v>40</v>
      </c>
      <c r="E33" s="333">
        <v>0</v>
      </c>
      <c r="F33" s="334" t="s">
        <v>782</v>
      </c>
      <c r="G33" s="295" t="s">
        <v>832</v>
      </c>
      <c r="H33" s="335" t="s">
        <v>784</v>
      </c>
      <c r="I33" s="295" t="s">
        <v>833</v>
      </c>
      <c r="J33" s="295" t="s">
        <v>803</v>
      </c>
      <c r="K33" s="295" t="s">
        <v>787</v>
      </c>
      <c r="L33" s="299"/>
      <c r="M33" s="299"/>
      <c r="N33" s="299" t="s">
        <v>834</v>
      </c>
      <c r="O33" s="320"/>
      <c r="P33" s="299"/>
      <c r="Q33" s="299"/>
      <c r="U33" s="295" t="s">
        <v>835</v>
      </c>
      <c r="V33" s="295" t="s">
        <v>835</v>
      </c>
      <c r="X33" s="332">
        <v>42615</v>
      </c>
      <c r="Y33" s="332">
        <v>42619</v>
      </c>
      <c r="AA33" s="332"/>
      <c r="AB33" s="295" t="s">
        <v>793</v>
      </c>
      <c r="AC33" s="295">
        <v>0</v>
      </c>
      <c r="AD33" s="295">
        <v>0</v>
      </c>
      <c r="AE33" s="295">
        <v>0</v>
      </c>
      <c r="AF33" s="295">
        <v>0</v>
      </c>
      <c r="AG33" s="295">
        <v>0</v>
      </c>
      <c r="AH33" s="295">
        <v>1</v>
      </c>
      <c r="AI33" s="295">
        <v>70095</v>
      </c>
      <c r="AJ33" s="295">
        <v>2195</v>
      </c>
      <c r="AK33" s="295">
        <v>0</v>
      </c>
      <c r="AL33" s="295">
        <v>0</v>
      </c>
      <c r="AO33" s="335"/>
      <c r="AP33" s="335"/>
      <c r="AQ33" s="295" t="str">
        <f t="shared" si="0"/>
        <v/>
      </c>
    </row>
    <row r="34" spans="2:43">
      <c r="B34" s="295" t="s">
        <v>781</v>
      </c>
      <c r="C34" s="332">
        <v>42613</v>
      </c>
      <c r="D34" s="333">
        <v>74.650000000000006</v>
      </c>
      <c r="E34" s="333">
        <v>0</v>
      </c>
      <c r="F34" s="334" t="s">
        <v>782</v>
      </c>
      <c r="G34" s="295" t="s">
        <v>836</v>
      </c>
      <c r="H34" s="335" t="s">
        <v>784</v>
      </c>
      <c r="I34" s="295" t="s">
        <v>802</v>
      </c>
      <c r="J34" s="295" t="s">
        <v>796</v>
      </c>
      <c r="K34" s="295" t="s">
        <v>787</v>
      </c>
      <c r="L34" s="299"/>
      <c r="M34" s="299"/>
      <c r="N34" s="299" t="s">
        <v>837</v>
      </c>
      <c r="O34" s="320"/>
      <c r="P34" s="299"/>
      <c r="Q34" s="299"/>
      <c r="U34" s="295" t="s">
        <v>838</v>
      </c>
      <c r="V34" s="295" t="s">
        <v>838</v>
      </c>
      <c r="X34" s="332">
        <v>42620</v>
      </c>
      <c r="Y34" s="332">
        <v>42620</v>
      </c>
      <c r="AA34" s="332"/>
      <c r="AB34" s="295" t="s">
        <v>793</v>
      </c>
      <c r="AC34" s="295">
        <v>0</v>
      </c>
      <c r="AD34" s="295">
        <v>0</v>
      </c>
      <c r="AE34" s="295">
        <v>0</v>
      </c>
      <c r="AF34" s="295">
        <v>0</v>
      </c>
      <c r="AG34" s="295">
        <v>0</v>
      </c>
      <c r="AH34" s="295">
        <v>1</v>
      </c>
      <c r="AI34" s="295">
        <v>70095</v>
      </c>
      <c r="AJ34" s="295">
        <v>2195</v>
      </c>
      <c r="AK34" s="295">
        <v>0</v>
      </c>
      <c r="AL34" s="295">
        <v>0</v>
      </c>
      <c r="AO34" s="335"/>
      <c r="AP34" s="335"/>
      <c r="AQ34" s="295" t="str">
        <f t="shared" si="0"/>
        <v/>
      </c>
    </row>
    <row r="35" spans="2:43">
      <c r="B35" s="295" t="s">
        <v>781</v>
      </c>
      <c r="C35" s="332">
        <v>42633</v>
      </c>
      <c r="D35" s="333">
        <v>74.650000000000006</v>
      </c>
      <c r="E35" s="333">
        <v>0</v>
      </c>
      <c r="F35" s="334" t="s">
        <v>782</v>
      </c>
      <c r="G35" s="295" t="s">
        <v>839</v>
      </c>
      <c r="H35" s="335" t="s">
        <v>784</v>
      </c>
      <c r="I35" s="295" t="s">
        <v>785</v>
      </c>
      <c r="J35" s="295" t="s">
        <v>810</v>
      </c>
      <c r="K35" s="295" t="s">
        <v>787</v>
      </c>
      <c r="L35" s="299" t="s">
        <v>811</v>
      </c>
      <c r="M35" s="299"/>
      <c r="N35" s="299" t="s">
        <v>812</v>
      </c>
      <c r="O35" s="320">
        <v>42613</v>
      </c>
      <c r="P35" s="299" t="s">
        <v>840</v>
      </c>
      <c r="Q35" s="336">
        <v>42583</v>
      </c>
      <c r="R35" s="295" t="s">
        <v>841</v>
      </c>
      <c r="U35" s="295" t="s">
        <v>842</v>
      </c>
      <c r="V35" s="295" t="s">
        <v>843</v>
      </c>
      <c r="W35" s="295">
        <v>2195</v>
      </c>
      <c r="X35" s="332">
        <v>42633</v>
      </c>
      <c r="Y35" s="332">
        <v>42635</v>
      </c>
      <c r="Z35" s="295">
        <v>74.650000000000006</v>
      </c>
      <c r="AA35" s="332">
        <v>42614</v>
      </c>
      <c r="AB35" s="295" t="s">
        <v>793</v>
      </c>
      <c r="AC35" s="295">
        <v>0</v>
      </c>
      <c r="AD35" s="295">
        <v>0</v>
      </c>
      <c r="AE35" s="295">
        <v>0</v>
      </c>
      <c r="AF35" s="295">
        <v>0</v>
      </c>
      <c r="AG35" s="295">
        <v>0</v>
      </c>
      <c r="AH35" s="295">
        <v>1</v>
      </c>
      <c r="AI35" s="295">
        <v>70095</v>
      </c>
      <c r="AJ35" s="295">
        <v>2195</v>
      </c>
      <c r="AK35" s="295">
        <v>0</v>
      </c>
      <c r="AL35" s="295">
        <v>0</v>
      </c>
      <c r="AO35" s="335"/>
      <c r="AP35" s="335"/>
      <c r="AQ35" s="295" t="str">
        <f t="shared" si="0"/>
        <v>VO04054999</v>
      </c>
    </row>
    <row r="36" spans="2:43">
      <c r="B36" s="295" t="s">
        <v>781</v>
      </c>
      <c r="C36" s="332">
        <v>42643</v>
      </c>
      <c r="D36" s="333">
        <v>-74.650000000000006</v>
      </c>
      <c r="E36" s="333">
        <v>0</v>
      </c>
      <c r="F36" s="334" t="s">
        <v>782</v>
      </c>
      <c r="G36" s="295" t="s">
        <v>844</v>
      </c>
      <c r="H36" s="335" t="s">
        <v>784</v>
      </c>
      <c r="I36" s="295" t="s">
        <v>802</v>
      </c>
      <c r="J36" s="295" t="s">
        <v>796</v>
      </c>
      <c r="K36" s="295" t="s">
        <v>787</v>
      </c>
      <c r="L36" s="299"/>
      <c r="M36" s="299"/>
      <c r="N36" s="299" t="s">
        <v>837</v>
      </c>
      <c r="O36" s="320"/>
      <c r="P36" s="299"/>
      <c r="Q36" s="299"/>
      <c r="U36" s="295" t="s">
        <v>838</v>
      </c>
      <c r="V36" s="295" t="s">
        <v>845</v>
      </c>
      <c r="X36" s="332">
        <v>42620</v>
      </c>
      <c r="Y36" s="332">
        <v>42621</v>
      </c>
      <c r="AA36" s="332"/>
      <c r="AB36" s="295" t="s">
        <v>793</v>
      </c>
      <c r="AC36" s="295">
        <v>0</v>
      </c>
      <c r="AD36" s="295">
        <v>0</v>
      </c>
      <c r="AE36" s="295">
        <v>0</v>
      </c>
      <c r="AF36" s="295">
        <v>0</v>
      </c>
      <c r="AG36" s="295">
        <v>5</v>
      </c>
      <c r="AH36" s="295">
        <v>1</v>
      </c>
      <c r="AI36" s="295">
        <v>70095</v>
      </c>
      <c r="AJ36" s="295">
        <v>2195</v>
      </c>
      <c r="AK36" s="295">
        <v>0</v>
      </c>
      <c r="AL36" s="295">
        <v>0</v>
      </c>
      <c r="AO36" s="335"/>
      <c r="AP36" s="335"/>
      <c r="AQ36" s="295" t="str">
        <f t="shared" si="0"/>
        <v/>
      </c>
    </row>
    <row r="37" spans="2:43">
      <c r="B37" s="295" t="s">
        <v>781</v>
      </c>
      <c r="C37" s="332">
        <v>42643</v>
      </c>
      <c r="D37" s="333">
        <v>40</v>
      </c>
      <c r="E37" s="333">
        <v>0</v>
      </c>
      <c r="F37" s="334" t="s">
        <v>782</v>
      </c>
      <c r="G37" s="295" t="s">
        <v>846</v>
      </c>
      <c r="H37" s="335" t="s">
        <v>784</v>
      </c>
      <c r="I37" s="295" t="s">
        <v>847</v>
      </c>
      <c r="J37" s="295" t="s">
        <v>803</v>
      </c>
      <c r="K37" s="295" t="s">
        <v>787</v>
      </c>
      <c r="L37" s="299"/>
      <c r="M37" s="299"/>
      <c r="N37" s="299" t="s">
        <v>834</v>
      </c>
      <c r="O37" s="320"/>
      <c r="P37" s="299"/>
      <c r="Q37" s="299"/>
      <c r="U37" s="295" t="s">
        <v>848</v>
      </c>
      <c r="V37" s="295" t="s">
        <v>848</v>
      </c>
      <c r="X37" s="332">
        <v>42648</v>
      </c>
      <c r="Y37" s="332">
        <v>42648</v>
      </c>
      <c r="AA37" s="332"/>
      <c r="AB37" s="295" t="s">
        <v>793</v>
      </c>
      <c r="AC37" s="295">
        <v>0</v>
      </c>
      <c r="AD37" s="295">
        <v>0</v>
      </c>
      <c r="AE37" s="295">
        <v>0</v>
      </c>
      <c r="AF37" s="295">
        <v>0</v>
      </c>
      <c r="AG37" s="295">
        <v>0</v>
      </c>
      <c r="AH37" s="295">
        <v>1</v>
      </c>
      <c r="AI37" s="295">
        <v>70095</v>
      </c>
      <c r="AJ37" s="295">
        <v>2195</v>
      </c>
      <c r="AK37" s="295">
        <v>0</v>
      </c>
      <c r="AL37" s="295">
        <v>0</v>
      </c>
      <c r="AO37" s="335"/>
      <c r="AP37" s="335"/>
      <c r="AQ37" s="295" t="str">
        <f t="shared" si="0"/>
        <v/>
      </c>
    </row>
    <row r="38" spans="2:43">
      <c r="B38" s="295" t="s">
        <v>781</v>
      </c>
      <c r="C38" s="332">
        <v>42643</v>
      </c>
      <c r="D38" s="333">
        <v>-40</v>
      </c>
      <c r="E38" s="333">
        <v>0</v>
      </c>
      <c r="F38" s="334" t="s">
        <v>782</v>
      </c>
      <c r="G38" s="295" t="s">
        <v>849</v>
      </c>
      <c r="H38" s="335" t="s">
        <v>784</v>
      </c>
      <c r="I38" s="295" t="s">
        <v>850</v>
      </c>
      <c r="J38" s="295" t="s">
        <v>796</v>
      </c>
      <c r="K38" s="295" t="s">
        <v>787</v>
      </c>
      <c r="L38" s="299"/>
      <c r="M38" s="299"/>
      <c r="N38" s="299" t="s">
        <v>834</v>
      </c>
      <c r="O38" s="320"/>
      <c r="P38" s="299"/>
      <c r="Q38" s="299"/>
      <c r="U38" s="295" t="s">
        <v>851</v>
      </c>
      <c r="V38" s="295" t="s">
        <v>851</v>
      </c>
      <c r="X38" s="332">
        <v>42648</v>
      </c>
      <c r="Y38" s="332">
        <v>42648</v>
      </c>
      <c r="AA38" s="332"/>
      <c r="AB38" s="295" t="s">
        <v>793</v>
      </c>
      <c r="AC38" s="295">
        <v>0</v>
      </c>
      <c r="AD38" s="295">
        <v>0</v>
      </c>
      <c r="AE38" s="295">
        <v>0</v>
      </c>
      <c r="AF38" s="295">
        <v>0</v>
      </c>
      <c r="AG38" s="295">
        <v>0</v>
      </c>
      <c r="AH38" s="295">
        <v>1</v>
      </c>
      <c r="AI38" s="295">
        <v>70095</v>
      </c>
      <c r="AJ38" s="295">
        <v>2195</v>
      </c>
      <c r="AK38" s="295">
        <v>0</v>
      </c>
      <c r="AL38" s="295">
        <v>0</v>
      </c>
      <c r="AO38" s="335"/>
      <c r="AP38" s="335"/>
      <c r="AQ38" s="295" t="str">
        <f t="shared" si="0"/>
        <v/>
      </c>
    </row>
    <row r="39" spans="2:43">
      <c r="B39" s="295" t="s">
        <v>781</v>
      </c>
      <c r="C39" s="332">
        <v>42643</v>
      </c>
      <c r="D39" s="333">
        <v>40</v>
      </c>
      <c r="E39" s="333">
        <v>0</v>
      </c>
      <c r="F39" s="334" t="s">
        <v>782</v>
      </c>
      <c r="G39" s="295" t="s">
        <v>852</v>
      </c>
      <c r="H39" s="335" t="s">
        <v>784</v>
      </c>
      <c r="I39" s="295" t="s">
        <v>853</v>
      </c>
      <c r="J39" s="295" t="s">
        <v>796</v>
      </c>
      <c r="K39" s="295" t="s">
        <v>787</v>
      </c>
      <c r="L39" s="299"/>
      <c r="M39" s="299"/>
      <c r="N39" s="299" t="s">
        <v>834</v>
      </c>
      <c r="O39" s="320"/>
      <c r="P39" s="299"/>
      <c r="Q39" s="299"/>
      <c r="U39" s="295" t="s">
        <v>854</v>
      </c>
      <c r="V39" s="295" t="s">
        <v>854</v>
      </c>
      <c r="X39" s="332">
        <v>42648</v>
      </c>
      <c r="Y39" s="332">
        <v>42648</v>
      </c>
      <c r="AA39" s="332"/>
      <c r="AB39" s="295" t="s">
        <v>793</v>
      </c>
      <c r="AC39" s="295">
        <v>0</v>
      </c>
      <c r="AD39" s="295">
        <v>0</v>
      </c>
      <c r="AE39" s="295">
        <v>0</v>
      </c>
      <c r="AF39" s="295">
        <v>0</v>
      </c>
      <c r="AG39" s="295">
        <v>0</v>
      </c>
      <c r="AH39" s="295">
        <v>1</v>
      </c>
      <c r="AI39" s="295">
        <v>70095</v>
      </c>
      <c r="AJ39" s="295">
        <v>2195</v>
      </c>
      <c r="AK39" s="295">
        <v>0</v>
      </c>
      <c r="AL39" s="295">
        <v>0</v>
      </c>
      <c r="AO39" s="335"/>
      <c r="AP39" s="335"/>
      <c r="AQ39" s="295" t="str">
        <f t="shared" si="0"/>
        <v/>
      </c>
    </row>
    <row r="40" spans="2:43">
      <c r="B40" s="295" t="s">
        <v>781</v>
      </c>
      <c r="C40" s="332">
        <v>42643</v>
      </c>
      <c r="D40" s="333">
        <v>26.47</v>
      </c>
      <c r="E40" s="333">
        <v>0</v>
      </c>
      <c r="F40" s="334" t="s">
        <v>782</v>
      </c>
      <c r="G40" s="295" t="s">
        <v>855</v>
      </c>
      <c r="H40" s="335" t="s">
        <v>784</v>
      </c>
      <c r="I40" s="295" t="s">
        <v>802</v>
      </c>
      <c r="J40" s="295" t="s">
        <v>856</v>
      </c>
      <c r="K40" s="295" t="s">
        <v>787</v>
      </c>
      <c r="L40" s="299"/>
      <c r="M40" s="299"/>
      <c r="N40" s="299" t="s">
        <v>857</v>
      </c>
      <c r="O40" s="320"/>
      <c r="P40" s="299"/>
      <c r="Q40" s="299"/>
      <c r="U40" s="295" t="s">
        <v>858</v>
      </c>
      <c r="V40" s="295" t="s">
        <v>858</v>
      </c>
      <c r="X40" s="332">
        <v>42649</v>
      </c>
      <c r="Y40" s="332">
        <v>42649</v>
      </c>
      <c r="AA40" s="332"/>
      <c r="AB40" s="295" t="s">
        <v>793</v>
      </c>
      <c r="AC40" s="295">
        <v>0</v>
      </c>
      <c r="AD40" s="295">
        <v>0</v>
      </c>
      <c r="AE40" s="295">
        <v>0</v>
      </c>
      <c r="AF40" s="295">
        <v>0</v>
      </c>
      <c r="AG40" s="295">
        <v>0</v>
      </c>
      <c r="AH40" s="295">
        <v>1</v>
      </c>
      <c r="AI40" s="295">
        <v>70095</v>
      </c>
      <c r="AJ40" s="295">
        <v>2195</v>
      </c>
      <c r="AK40" s="295">
        <v>0</v>
      </c>
      <c r="AL40" s="295">
        <v>0</v>
      </c>
      <c r="AO40" s="335"/>
      <c r="AP40" s="335"/>
      <c r="AQ40" s="295" t="str">
        <f t="shared" si="0"/>
        <v/>
      </c>
    </row>
    <row r="41" spans="2:43">
      <c r="B41" s="295" t="s">
        <v>781</v>
      </c>
      <c r="C41" s="332">
        <v>42654</v>
      </c>
      <c r="D41" s="333">
        <v>26.47</v>
      </c>
      <c r="E41" s="333">
        <v>0</v>
      </c>
      <c r="F41" s="334" t="s">
        <v>782</v>
      </c>
      <c r="G41" s="295" t="s">
        <v>859</v>
      </c>
      <c r="H41" s="335" t="s">
        <v>784</v>
      </c>
      <c r="I41" s="295" t="s">
        <v>785</v>
      </c>
      <c r="J41" s="295" t="s">
        <v>810</v>
      </c>
      <c r="K41" s="295" t="s">
        <v>787</v>
      </c>
      <c r="L41" s="299" t="s">
        <v>860</v>
      </c>
      <c r="M41" s="299"/>
      <c r="N41" s="299" t="s">
        <v>861</v>
      </c>
      <c r="O41" s="320">
        <v>42643</v>
      </c>
      <c r="P41" s="299"/>
      <c r="Q41" s="337">
        <v>42614</v>
      </c>
      <c r="U41" s="295" t="s">
        <v>862</v>
      </c>
      <c r="V41" s="295" t="s">
        <v>863</v>
      </c>
      <c r="W41" s="295">
        <v>2195</v>
      </c>
      <c r="X41" s="332">
        <v>42654</v>
      </c>
      <c r="Y41" s="332">
        <v>42655</v>
      </c>
      <c r="Z41" s="295">
        <v>276.17</v>
      </c>
      <c r="AA41" s="332">
        <v>42644</v>
      </c>
      <c r="AB41" s="295" t="s">
        <v>793</v>
      </c>
      <c r="AC41" s="295">
        <v>0</v>
      </c>
      <c r="AD41" s="295">
        <v>0</v>
      </c>
      <c r="AE41" s="295">
        <v>0</v>
      </c>
      <c r="AF41" s="295">
        <v>0</v>
      </c>
      <c r="AG41" s="295">
        <v>0</v>
      </c>
      <c r="AH41" s="295">
        <v>1</v>
      </c>
      <c r="AI41" s="295">
        <v>70095</v>
      </c>
      <c r="AJ41" s="295">
        <v>2195</v>
      </c>
      <c r="AK41" s="295">
        <v>0</v>
      </c>
      <c r="AL41" s="295">
        <v>0</v>
      </c>
      <c r="AO41" s="335"/>
      <c r="AP41" s="335"/>
      <c r="AQ41" s="295" t="str">
        <f t="shared" si="0"/>
        <v>VO04075779</v>
      </c>
    </row>
    <row r="42" spans="2:43">
      <c r="B42" s="295" t="s">
        <v>781</v>
      </c>
      <c r="C42" s="332">
        <v>42674</v>
      </c>
      <c r="D42" s="333">
        <v>-26.47</v>
      </c>
      <c r="E42" s="333">
        <v>0</v>
      </c>
      <c r="F42" s="334" t="s">
        <v>782</v>
      </c>
      <c r="G42" s="295" t="s">
        <v>864</v>
      </c>
      <c r="H42" s="335" t="s">
        <v>784</v>
      </c>
      <c r="I42" s="295" t="s">
        <v>802</v>
      </c>
      <c r="J42" s="295" t="s">
        <v>796</v>
      </c>
      <c r="K42" s="295" t="s">
        <v>787</v>
      </c>
      <c r="L42" s="299"/>
      <c r="M42" s="299"/>
      <c r="N42" s="299" t="s">
        <v>857</v>
      </c>
      <c r="O42" s="320"/>
      <c r="P42" s="299"/>
      <c r="Q42" s="299"/>
      <c r="U42" s="295" t="s">
        <v>858</v>
      </c>
      <c r="V42" s="295" t="s">
        <v>865</v>
      </c>
      <c r="X42" s="332">
        <v>42649</v>
      </c>
      <c r="Y42" s="332">
        <v>42649</v>
      </c>
      <c r="AA42" s="332"/>
      <c r="AB42" s="295" t="s">
        <v>793</v>
      </c>
      <c r="AC42" s="295">
        <v>0</v>
      </c>
      <c r="AD42" s="295">
        <v>0</v>
      </c>
      <c r="AE42" s="295">
        <v>0</v>
      </c>
      <c r="AF42" s="295">
        <v>0</v>
      </c>
      <c r="AG42" s="295">
        <v>5</v>
      </c>
      <c r="AH42" s="295">
        <v>1</v>
      </c>
      <c r="AI42" s="295">
        <v>70095</v>
      </c>
      <c r="AJ42" s="295">
        <v>2195</v>
      </c>
      <c r="AK42" s="295">
        <v>0</v>
      </c>
      <c r="AL42" s="295">
        <v>0</v>
      </c>
      <c r="AO42" s="335"/>
      <c r="AP42" s="335"/>
      <c r="AQ42" s="295" t="str">
        <f t="shared" si="0"/>
        <v/>
      </c>
    </row>
    <row r="43" spans="2:43">
      <c r="B43" s="295" t="s">
        <v>781</v>
      </c>
      <c r="C43" s="332">
        <v>42674</v>
      </c>
      <c r="D43" s="333">
        <v>195.33</v>
      </c>
      <c r="E43" s="333">
        <v>0</v>
      </c>
      <c r="F43" s="334" t="s">
        <v>782</v>
      </c>
      <c r="G43" s="295" t="s">
        <v>866</v>
      </c>
      <c r="H43" s="335" t="s">
        <v>784</v>
      </c>
      <c r="I43" s="295" t="s">
        <v>867</v>
      </c>
      <c r="J43" s="295" t="s">
        <v>796</v>
      </c>
      <c r="K43" s="295" t="s">
        <v>787</v>
      </c>
      <c r="L43" s="299"/>
      <c r="M43" s="299"/>
      <c r="N43" s="299" t="s">
        <v>868</v>
      </c>
      <c r="O43" s="320"/>
      <c r="P43" s="299"/>
      <c r="Q43" s="299"/>
      <c r="U43" s="295" t="s">
        <v>869</v>
      </c>
      <c r="V43" s="295" t="s">
        <v>869</v>
      </c>
      <c r="X43" s="332">
        <v>42678</v>
      </c>
      <c r="Y43" s="332">
        <v>42681</v>
      </c>
      <c r="AA43" s="332"/>
      <c r="AB43" s="295" t="s">
        <v>793</v>
      </c>
      <c r="AC43" s="295">
        <v>0</v>
      </c>
      <c r="AD43" s="295">
        <v>0</v>
      </c>
      <c r="AE43" s="295">
        <v>0</v>
      </c>
      <c r="AF43" s="295">
        <v>0</v>
      </c>
      <c r="AG43" s="295">
        <v>0</v>
      </c>
      <c r="AH43" s="295">
        <v>1</v>
      </c>
      <c r="AI43" s="295">
        <v>70095</v>
      </c>
      <c r="AJ43" s="295">
        <v>2195</v>
      </c>
      <c r="AK43" s="295">
        <v>0</v>
      </c>
      <c r="AL43" s="295">
        <v>0</v>
      </c>
      <c r="AO43" s="335"/>
      <c r="AP43" s="335"/>
      <c r="AQ43" s="295" t="str">
        <f t="shared" si="0"/>
        <v/>
      </c>
    </row>
    <row r="44" spans="2:43">
      <c r="B44" s="295" t="s">
        <v>781</v>
      </c>
      <c r="C44" s="332">
        <v>42674</v>
      </c>
      <c r="D44" s="333">
        <v>112</v>
      </c>
      <c r="E44" s="333">
        <v>0</v>
      </c>
      <c r="F44" s="334" t="s">
        <v>782</v>
      </c>
      <c r="G44" s="295" t="s">
        <v>866</v>
      </c>
      <c r="H44" s="335" t="s">
        <v>784</v>
      </c>
      <c r="I44" s="295" t="s">
        <v>867</v>
      </c>
      <c r="J44" s="295" t="s">
        <v>796</v>
      </c>
      <c r="K44" s="295" t="s">
        <v>787</v>
      </c>
      <c r="L44" s="299"/>
      <c r="M44" s="299"/>
      <c r="N44" s="299" t="s">
        <v>870</v>
      </c>
      <c r="O44" s="320"/>
      <c r="P44" s="299"/>
      <c r="Q44" s="299"/>
      <c r="U44" s="295" t="s">
        <v>869</v>
      </c>
      <c r="V44" s="295" t="s">
        <v>869</v>
      </c>
      <c r="X44" s="332">
        <v>42678</v>
      </c>
      <c r="Y44" s="332">
        <v>42681</v>
      </c>
      <c r="AA44" s="332"/>
      <c r="AB44" s="295" t="s">
        <v>793</v>
      </c>
      <c r="AC44" s="295">
        <v>0</v>
      </c>
      <c r="AD44" s="295">
        <v>0</v>
      </c>
      <c r="AE44" s="295">
        <v>0</v>
      </c>
      <c r="AF44" s="295">
        <v>0</v>
      </c>
      <c r="AG44" s="295">
        <v>0</v>
      </c>
      <c r="AH44" s="295">
        <v>1</v>
      </c>
      <c r="AI44" s="295">
        <v>70095</v>
      </c>
      <c r="AJ44" s="295">
        <v>2195</v>
      </c>
      <c r="AK44" s="295">
        <v>0</v>
      </c>
      <c r="AL44" s="295">
        <v>0</v>
      </c>
      <c r="AO44" s="335"/>
      <c r="AP44" s="335"/>
      <c r="AQ44" s="295" t="str">
        <f t="shared" si="0"/>
        <v/>
      </c>
    </row>
    <row r="45" spans="2:43">
      <c r="B45" s="295" t="s">
        <v>781</v>
      </c>
      <c r="C45" s="332">
        <v>42704</v>
      </c>
      <c r="D45" s="333">
        <v>-195.33</v>
      </c>
      <c r="E45" s="333">
        <v>0</v>
      </c>
      <c r="F45" s="334" t="s">
        <v>782</v>
      </c>
      <c r="G45" s="295" t="s">
        <v>871</v>
      </c>
      <c r="H45" s="335" t="s">
        <v>784</v>
      </c>
      <c r="I45" s="295" t="s">
        <v>867</v>
      </c>
      <c r="J45" s="295" t="s">
        <v>803</v>
      </c>
      <c r="K45" s="295" t="s">
        <v>787</v>
      </c>
      <c r="L45" s="299"/>
      <c r="M45" s="299"/>
      <c r="N45" s="299" t="s">
        <v>868</v>
      </c>
      <c r="O45" s="320"/>
      <c r="P45" s="299"/>
      <c r="Q45" s="299"/>
      <c r="U45" s="295" t="s">
        <v>869</v>
      </c>
      <c r="V45" s="295" t="s">
        <v>872</v>
      </c>
      <c r="X45" s="332">
        <v>42681</v>
      </c>
      <c r="Y45" s="332">
        <v>42681</v>
      </c>
      <c r="AA45" s="332"/>
      <c r="AB45" s="295" t="s">
        <v>793</v>
      </c>
      <c r="AC45" s="295">
        <v>0</v>
      </c>
      <c r="AD45" s="295">
        <v>0</v>
      </c>
      <c r="AE45" s="295">
        <v>0</v>
      </c>
      <c r="AF45" s="295">
        <v>0</v>
      </c>
      <c r="AG45" s="295">
        <v>5</v>
      </c>
      <c r="AH45" s="295">
        <v>1</v>
      </c>
      <c r="AI45" s="295">
        <v>70095</v>
      </c>
      <c r="AJ45" s="295">
        <v>2195</v>
      </c>
      <c r="AK45" s="295">
        <v>0</v>
      </c>
      <c r="AL45" s="295">
        <v>0</v>
      </c>
      <c r="AO45" s="335"/>
      <c r="AP45" s="335"/>
      <c r="AQ45" s="295" t="str">
        <f t="shared" si="0"/>
        <v/>
      </c>
    </row>
    <row r="46" spans="2:43">
      <c r="B46" s="295" t="s">
        <v>781</v>
      </c>
      <c r="C46" s="332">
        <v>42704</v>
      </c>
      <c r="D46" s="333">
        <v>-112</v>
      </c>
      <c r="E46" s="333">
        <v>0</v>
      </c>
      <c r="F46" s="334" t="s">
        <v>782</v>
      </c>
      <c r="G46" s="295" t="s">
        <v>871</v>
      </c>
      <c r="H46" s="335" t="s">
        <v>784</v>
      </c>
      <c r="I46" s="295" t="s">
        <v>867</v>
      </c>
      <c r="J46" s="295" t="s">
        <v>803</v>
      </c>
      <c r="K46" s="295" t="s">
        <v>787</v>
      </c>
      <c r="L46" s="299"/>
      <c r="M46" s="299"/>
      <c r="N46" s="299" t="s">
        <v>870</v>
      </c>
      <c r="O46" s="320"/>
      <c r="P46" s="299"/>
      <c r="Q46" s="299"/>
      <c r="U46" s="295" t="s">
        <v>869</v>
      </c>
      <c r="V46" s="295" t="s">
        <v>872</v>
      </c>
      <c r="X46" s="332">
        <v>42681</v>
      </c>
      <c r="Y46" s="332">
        <v>42681</v>
      </c>
      <c r="AA46" s="332"/>
      <c r="AB46" s="295" t="s">
        <v>793</v>
      </c>
      <c r="AC46" s="295">
        <v>0</v>
      </c>
      <c r="AD46" s="295">
        <v>0</v>
      </c>
      <c r="AE46" s="295">
        <v>0</v>
      </c>
      <c r="AF46" s="295">
        <v>0</v>
      </c>
      <c r="AG46" s="295">
        <v>5</v>
      </c>
      <c r="AH46" s="295">
        <v>1</v>
      </c>
      <c r="AI46" s="295">
        <v>70095</v>
      </c>
      <c r="AJ46" s="295">
        <v>2195</v>
      </c>
      <c r="AK46" s="295">
        <v>0</v>
      </c>
      <c r="AL46" s="295">
        <v>0</v>
      </c>
      <c r="AO46" s="335"/>
      <c r="AP46" s="335"/>
      <c r="AQ46" s="295" t="str">
        <f t="shared" si="0"/>
        <v/>
      </c>
    </row>
    <row r="47" spans="2:43">
      <c r="B47" s="295" t="s">
        <v>781</v>
      </c>
      <c r="C47" s="332">
        <v>42704</v>
      </c>
      <c r="D47" s="333">
        <v>195.33</v>
      </c>
      <c r="E47" s="333">
        <v>0</v>
      </c>
      <c r="F47" s="334" t="s">
        <v>782</v>
      </c>
      <c r="G47" s="295" t="s">
        <v>873</v>
      </c>
      <c r="H47" s="335" t="s">
        <v>784</v>
      </c>
      <c r="I47" s="295" t="s">
        <v>874</v>
      </c>
      <c r="J47" s="295" t="s">
        <v>803</v>
      </c>
      <c r="K47" s="295" t="s">
        <v>787</v>
      </c>
      <c r="L47" s="299"/>
      <c r="M47" s="299"/>
      <c r="N47" s="299" t="s">
        <v>868</v>
      </c>
      <c r="O47" s="320"/>
      <c r="P47" s="299"/>
      <c r="Q47" s="299"/>
      <c r="U47" s="295" t="s">
        <v>875</v>
      </c>
      <c r="V47" s="295" t="s">
        <v>875</v>
      </c>
      <c r="X47" s="332">
        <v>42706</v>
      </c>
      <c r="Y47" s="332">
        <v>42709</v>
      </c>
      <c r="AA47" s="332"/>
      <c r="AB47" s="295" t="s">
        <v>793</v>
      </c>
      <c r="AC47" s="295">
        <v>0</v>
      </c>
      <c r="AD47" s="295">
        <v>0</v>
      </c>
      <c r="AE47" s="295">
        <v>0</v>
      </c>
      <c r="AF47" s="295">
        <v>0</v>
      </c>
      <c r="AG47" s="295">
        <v>0</v>
      </c>
      <c r="AH47" s="295">
        <v>1</v>
      </c>
      <c r="AI47" s="295">
        <v>70095</v>
      </c>
      <c r="AJ47" s="295">
        <v>2195</v>
      </c>
      <c r="AK47" s="295">
        <v>0</v>
      </c>
      <c r="AL47" s="295">
        <v>0</v>
      </c>
      <c r="AO47" s="335"/>
      <c r="AP47" s="335"/>
      <c r="AQ47" s="295" t="str">
        <f t="shared" si="0"/>
        <v/>
      </c>
    </row>
    <row r="48" spans="2:43">
      <c r="B48" s="295" t="s">
        <v>781</v>
      </c>
      <c r="C48" s="332">
        <v>42704</v>
      </c>
      <c r="D48" s="333">
        <v>112</v>
      </c>
      <c r="E48" s="333">
        <v>0</v>
      </c>
      <c r="F48" s="334" t="s">
        <v>782</v>
      </c>
      <c r="G48" s="295" t="s">
        <v>873</v>
      </c>
      <c r="H48" s="335" t="s">
        <v>784</v>
      </c>
      <c r="I48" s="295" t="s">
        <v>874</v>
      </c>
      <c r="J48" s="295" t="s">
        <v>803</v>
      </c>
      <c r="K48" s="295" t="s">
        <v>787</v>
      </c>
      <c r="L48" s="299"/>
      <c r="M48" s="299"/>
      <c r="N48" s="299" t="s">
        <v>870</v>
      </c>
      <c r="O48" s="320"/>
      <c r="P48" s="299"/>
      <c r="Q48" s="299"/>
      <c r="U48" s="295" t="s">
        <v>875</v>
      </c>
      <c r="V48" s="295" t="s">
        <v>875</v>
      </c>
      <c r="X48" s="332">
        <v>42706</v>
      </c>
      <c r="Y48" s="332">
        <v>42709</v>
      </c>
      <c r="AA48" s="332"/>
      <c r="AB48" s="295" t="s">
        <v>793</v>
      </c>
      <c r="AC48" s="295">
        <v>0</v>
      </c>
      <c r="AD48" s="295">
        <v>0</v>
      </c>
      <c r="AE48" s="295">
        <v>0</v>
      </c>
      <c r="AF48" s="295">
        <v>0</v>
      </c>
      <c r="AG48" s="295">
        <v>0</v>
      </c>
      <c r="AH48" s="295">
        <v>1</v>
      </c>
      <c r="AI48" s="295">
        <v>70095</v>
      </c>
      <c r="AJ48" s="295">
        <v>2195</v>
      </c>
      <c r="AK48" s="295">
        <v>0</v>
      </c>
      <c r="AL48" s="295">
        <v>0</v>
      </c>
      <c r="AO48" s="335"/>
      <c r="AP48" s="335"/>
      <c r="AQ48" s="295" t="str">
        <f t="shared" si="0"/>
        <v/>
      </c>
    </row>
    <row r="49" spans="2:43">
      <c r="B49" s="295" t="s">
        <v>781</v>
      </c>
      <c r="C49" s="332">
        <v>42732</v>
      </c>
      <c r="D49" s="333">
        <v>92.33</v>
      </c>
      <c r="E49" s="333">
        <v>0</v>
      </c>
      <c r="F49" s="334" t="s">
        <v>782</v>
      </c>
      <c r="G49" s="295" t="s">
        <v>876</v>
      </c>
      <c r="H49" s="335" t="s">
        <v>784</v>
      </c>
      <c r="I49" s="295" t="s">
        <v>785</v>
      </c>
      <c r="J49" s="295" t="s">
        <v>810</v>
      </c>
      <c r="K49" s="295" t="s">
        <v>787</v>
      </c>
      <c r="L49" s="299" t="s">
        <v>877</v>
      </c>
      <c r="M49" s="299"/>
      <c r="N49" s="299" t="s">
        <v>878</v>
      </c>
      <c r="O49" s="320">
        <v>42710</v>
      </c>
      <c r="P49" s="299" t="s">
        <v>879</v>
      </c>
      <c r="Q49" s="299">
        <v>13158</v>
      </c>
      <c r="R49" s="295" t="s">
        <v>880</v>
      </c>
      <c r="U49" s="295" t="s">
        <v>881</v>
      </c>
      <c r="V49" s="295" t="s">
        <v>882</v>
      </c>
      <c r="W49" s="295">
        <v>2111</v>
      </c>
      <c r="X49" s="332">
        <v>42732</v>
      </c>
      <c r="Y49" s="332">
        <v>42732</v>
      </c>
      <c r="Z49" s="295">
        <v>554</v>
      </c>
      <c r="AA49" s="332">
        <v>42740</v>
      </c>
      <c r="AB49" s="295" t="s">
        <v>793</v>
      </c>
      <c r="AC49" s="295">
        <v>0</v>
      </c>
      <c r="AD49" s="295">
        <v>0</v>
      </c>
      <c r="AE49" s="295">
        <v>0</v>
      </c>
      <c r="AF49" s="295">
        <v>0</v>
      </c>
      <c r="AG49" s="295">
        <v>0</v>
      </c>
      <c r="AH49" s="295">
        <v>1</v>
      </c>
      <c r="AI49" s="295">
        <v>70095</v>
      </c>
      <c r="AJ49" s="295">
        <v>2195</v>
      </c>
      <c r="AK49" s="295">
        <v>0</v>
      </c>
      <c r="AL49" s="295">
        <v>0</v>
      </c>
      <c r="AO49" s="335"/>
      <c r="AP49" s="335"/>
      <c r="AQ49" s="295" t="str">
        <f t="shared" si="0"/>
        <v>VO04149099</v>
      </c>
    </row>
    <row r="50" spans="2:43">
      <c r="B50" s="295" t="s">
        <v>781</v>
      </c>
      <c r="C50" s="332">
        <v>42732</v>
      </c>
      <c r="D50" s="333">
        <v>249.95</v>
      </c>
      <c r="E50" s="333">
        <v>0</v>
      </c>
      <c r="F50" s="334" t="s">
        <v>782</v>
      </c>
      <c r="G50" s="295" t="s">
        <v>883</v>
      </c>
      <c r="H50" s="335" t="s">
        <v>784</v>
      </c>
      <c r="I50" s="295" t="s">
        <v>785</v>
      </c>
      <c r="J50" s="295" t="s">
        <v>786</v>
      </c>
      <c r="K50" s="295" t="s">
        <v>787</v>
      </c>
      <c r="L50" s="299" t="s">
        <v>788</v>
      </c>
      <c r="M50" s="299"/>
      <c r="N50" s="299" t="s">
        <v>789</v>
      </c>
      <c r="O50" s="320">
        <v>42726</v>
      </c>
      <c r="P50" s="299"/>
      <c r="Q50" s="299" t="s">
        <v>884</v>
      </c>
      <c r="U50" s="295" t="s">
        <v>885</v>
      </c>
      <c r="V50" s="295" t="s">
        <v>886</v>
      </c>
      <c r="W50" s="295">
        <v>2195</v>
      </c>
      <c r="X50" s="332">
        <v>42732</v>
      </c>
      <c r="Y50" s="332">
        <v>42733</v>
      </c>
      <c r="Z50" s="295">
        <v>502.78</v>
      </c>
      <c r="AA50" s="332">
        <v>42727</v>
      </c>
      <c r="AB50" s="295" t="s">
        <v>793</v>
      </c>
      <c r="AC50" s="295">
        <v>0</v>
      </c>
      <c r="AD50" s="295">
        <v>0</v>
      </c>
      <c r="AE50" s="295">
        <v>0</v>
      </c>
      <c r="AF50" s="295">
        <v>0</v>
      </c>
      <c r="AG50" s="295">
        <v>0</v>
      </c>
      <c r="AH50" s="295">
        <v>1</v>
      </c>
      <c r="AI50" s="295">
        <v>70095</v>
      </c>
      <c r="AJ50" s="295">
        <v>2195</v>
      </c>
      <c r="AK50" s="295">
        <v>0</v>
      </c>
      <c r="AL50" s="295">
        <v>0</v>
      </c>
      <c r="AO50" s="335"/>
      <c r="AP50" s="335"/>
      <c r="AQ50" s="295" t="str">
        <f t="shared" si="0"/>
        <v>VO04149514</v>
      </c>
    </row>
    <row r="51" spans="2:43">
      <c r="B51" s="295" t="s">
        <v>781</v>
      </c>
      <c r="C51" s="332">
        <v>42735</v>
      </c>
      <c r="D51" s="333">
        <v>44</v>
      </c>
      <c r="E51" s="333">
        <v>0</v>
      </c>
      <c r="F51" s="334" t="s">
        <v>782</v>
      </c>
      <c r="G51" s="295" t="s">
        <v>887</v>
      </c>
      <c r="H51" s="335" t="s">
        <v>784</v>
      </c>
      <c r="I51" s="295" t="s">
        <v>888</v>
      </c>
      <c r="J51" s="295" t="s">
        <v>803</v>
      </c>
      <c r="K51" s="295" t="s">
        <v>787</v>
      </c>
      <c r="L51" s="299"/>
      <c r="M51" s="299"/>
      <c r="N51" s="299" t="s">
        <v>834</v>
      </c>
      <c r="O51" s="320"/>
      <c r="P51" s="299"/>
      <c r="Q51" s="299"/>
      <c r="U51" s="295" t="s">
        <v>889</v>
      </c>
      <c r="V51" s="295" t="s">
        <v>889</v>
      </c>
      <c r="X51" s="332">
        <v>42740</v>
      </c>
      <c r="Y51" s="332">
        <v>42740</v>
      </c>
      <c r="AA51" s="332"/>
      <c r="AB51" s="295" t="s">
        <v>793</v>
      </c>
      <c r="AC51" s="295">
        <v>0</v>
      </c>
      <c r="AD51" s="295">
        <v>0</v>
      </c>
      <c r="AE51" s="295">
        <v>0</v>
      </c>
      <c r="AF51" s="295">
        <v>0</v>
      </c>
      <c r="AG51" s="295">
        <v>0</v>
      </c>
      <c r="AH51" s="295">
        <v>1</v>
      </c>
      <c r="AI51" s="295">
        <v>70095</v>
      </c>
      <c r="AJ51" s="295">
        <v>2195</v>
      </c>
      <c r="AK51" s="295">
        <v>0</v>
      </c>
      <c r="AL51" s="295">
        <v>0</v>
      </c>
      <c r="AO51" s="335"/>
      <c r="AP51" s="335"/>
      <c r="AQ51" s="295" t="str">
        <f t="shared" si="0"/>
        <v/>
      </c>
    </row>
    <row r="52" spans="2:43">
      <c r="B52" s="295" t="s">
        <v>781</v>
      </c>
      <c r="C52" s="332">
        <v>42735</v>
      </c>
      <c r="D52" s="333">
        <v>10</v>
      </c>
      <c r="E52" s="333">
        <v>0</v>
      </c>
      <c r="F52" s="334" t="s">
        <v>782</v>
      </c>
      <c r="G52" s="295" t="s">
        <v>887</v>
      </c>
      <c r="H52" s="335" t="s">
        <v>784</v>
      </c>
      <c r="I52" s="295" t="s">
        <v>888</v>
      </c>
      <c r="J52" s="295" t="s">
        <v>803</v>
      </c>
      <c r="K52" s="295" t="s">
        <v>787</v>
      </c>
      <c r="L52" s="299"/>
      <c r="M52" s="299"/>
      <c r="N52" s="299" t="s">
        <v>834</v>
      </c>
      <c r="O52" s="320"/>
      <c r="P52" s="299"/>
      <c r="Q52" s="299"/>
      <c r="U52" s="295" t="s">
        <v>889</v>
      </c>
      <c r="V52" s="295" t="s">
        <v>889</v>
      </c>
      <c r="X52" s="332">
        <v>42740</v>
      </c>
      <c r="Y52" s="332">
        <v>42740</v>
      </c>
      <c r="AA52" s="332"/>
      <c r="AB52" s="295" t="s">
        <v>793</v>
      </c>
      <c r="AC52" s="295">
        <v>0</v>
      </c>
      <c r="AD52" s="295">
        <v>0</v>
      </c>
      <c r="AE52" s="295">
        <v>0</v>
      </c>
      <c r="AF52" s="295">
        <v>0</v>
      </c>
      <c r="AG52" s="295">
        <v>0</v>
      </c>
      <c r="AH52" s="295">
        <v>1</v>
      </c>
      <c r="AI52" s="295">
        <v>70095</v>
      </c>
      <c r="AJ52" s="295">
        <v>2195</v>
      </c>
      <c r="AK52" s="295">
        <v>0</v>
      </c>
      <c r="AL52" s="295">
        <v>0</v>
      </c>
      <c r="AO52" s="335"/>
      <c r="AP52" s="335"/>
      <c r="AQ52" s="295" t="str">
        <f t="shared" si="0"/>
        <v/>
      </c>
    </row>
    <row r="53" spans="2:43">
      <c r="B53" s="295" t="s">
        <v>781</v>
      </c>
      <c r="C53" s="332">
        <v>42735</v>
      </c>
      <c r="D53" s="333">
        <v>230</v>
      </c>
      <c r="E53" s="333">
        <v>0</v>
      </c>
      <c r="F53" s="334" t="s">
        <v>782</v>
      </c>
      <c r="G53" s="295" t="s">
        <v>887</v>
      </c>
      <c r="H53" s="335" t="s">
        <v>784</v>
      </c>
      <c r="I53" s="295" t="s">
        <v>888</v>
      </c>
      <c r="J53" s="295" t="s">
        <v>803</v>
      </c>
      <c r="K53" s="295" t="s">
        <v>787</v>
      </c>
      <c r="L53" s="299"/>
      <c r="M53" s="299"/>
      <c r="N53" s="299" t="s">
        <v>890</v>
      </c>
      <c r="O53" s="320"/>
      <c r="P53" s="299"/>
      <c r="Q53" s="299"/>
      <c r="U53" s="295" t="s">
        <v>889</v>
      </c>
      <c r="V53" s="295" t="s">
        <v>889</v>
      </c>
      <c r="X53" s="332">
        <v>42740</v>
      </c>
      <c r="Y53" s="332">
        <v>42740</v>
      </c>
      <c r="AA53" s="332"/>
      <c r="AB53" s="295" t="s">
        <v>793</v>
      </c>
      <c r="AC53" s="295">
        <v>0</v>
      </c>
      <c r="AD53" s="295">
        <v>0</v>
      </c>
      <c r="AE53" s="295">
        <v>0</v>
      </c>
      <c r="AF53" s="295">
        <v>0</v>
      </c>
      <c r="AG53" s="295">
        <v>0</v>
      </c>
      <c r="AH53" s="295">
        <v>1</v>
      </c>
      <c r="AI53" s="295">
        <v>70095</v>
      </c>
      <c r="AJ53" s="295">
        <v>2195</v>
      </c>
      <c r="AK53" s="295">
        <v>0</v>
      </c>
      <c r="AL53" s="295">
        <v>0</v>
      </c>
      <c r="AO53" s="335"/>
      <c r="AP53" s="335"/>
      <c r="AQ53" s="295" t="str">
        <f t="shared" si="0"/>
        <v/>
      </c>
    </row>
    <row r="54" spans="2:43">
      <c r="B54" s="295" t="s">
        <v>781</v>
      </c>
      <c r="C54" s="332">
        <v>42735</v>
      </c>
      <c r="D54" s="333">
        <v>55.02</v>
      </c>
      <c r="E54" s="333">
        <v>0</v>
      </c>
      <c r="F54" s="334" t="s">
        <v>782</v>
      </c>
      <c r="G54" s="295" t="s">
        <v>891</v>
      </c>
      <c r="H54" s="335" t="s">
        <v>784</v>
      </c>
      <c r="I54" s="295" t="s">
        <v>867</v>
      </c>
      <c r="J54" s="295" t="s">
        <v>796</v>
      </c>
      <c r="K54" s="295" t="s">
        <v>787</v>
      </c>
      <c r="L54" s="299"/>
      <c r="M54" s="299"/>
      <c r="N54" s="299" t="s">
        <v>892</v>
      </c>
      <c r="O54" s="320"/>
      <c r="P54" s="299"/>
      <c r="Q54" s="299"/>
      <c r="U54" s="295" t="s">
        <v>893</v>
      </c>
      <c r="V54" s="295" t="s">
        <v>893</v>
      </c>
      <c r="X54" s="332">
        <v>42741</v>
      </c>
      <c r="Y54" s="332">
        <v>42741</v>
      </c>
      <c r="AA54" s="332"/>
      <c r="AB54" s="295" t="s">
        <v>793</v>
      </c>
      <c r="AC54" s="295">
        <v>0</v>
      </c>
      <c r="AD54" s="295">
        <v>0</v>
      </c>
      <c r="AE54" s="295">
        <v>0</v>
      </c>
      <c r="AF54" s="295">
        <v>0</v>
      </c>
      <c r="AG54" s="295">
        <v>0</v>
      </c>
      <c r="AH54" s="295">
        <v>1</v>
      </c>
      <c r="AI54" s="295">
        <v>70095</v>
      </c>
      <c r="AJ54" s="295">
        <v>2195</v>
      </c>
      <c r="AK54" s="295">
        <v>0</v>
      </c>
      <c r="AL54" s="295">
        <v>0</v>
      </c>
      <c r="AO54" s="335"/>
      <c r="AP54" s="335"/>
      <c r="AQ54" s="295" t="str">
        <f t="shared" si="0"/>
        <v/>
      </c>
    </row>
    <row r="55" spans="2:43">
      <c r="B55" s="295" t="s">
        <v>781</v>
      </c>
      <c r="C55" s="332">
        <v>42735</v>
      </c>
      <c r="D55" s="333">
        <v>431.25</v>
      </c>
      <c r="E55" s="333">
        <v>0</v>
      </c>
      <c r="F55" s="334" t="s">
        <v>782</v>
      </c>
      <c r="G55" s="295" t="s">
        <v>891</v>
      </c>
      <c r="H55" s="335" t="s">
        <v>784</v>
      </c>
      <c r="I55" s="295" t="s">
        <v>867</v>
      </c>
      <c r="J55" s="295" t="s">
        <v>796</v>
      </c>
      <c r="K55" s="295" t="s">
        <v>787</v>
      </c>
      <c r="L55" s="299"/>
      <c r="M55" s="299"/>
      <c r="N55" s="299" t="s">
        <v>894</v>
      </c>
      <c r="O55" s="320"/>
      <c r="P55" s="299"/>
      <c r="Q55" s="299"/>
      <c r="U55" s="295" t="s">
        <v>893</v>
      </c>
      <c r="V55" s="295" t="s">
        <v>893</v>
      </c>
      <c r="X55" s="332">
        <v>42741</v>
      </c>
      <c r="Y55" s="332">
        <v>42741</v>
      </c>
      <c r="AA55" s="332"/>
      <c r="AB55" s="295" t="s">
        <v>793</v>
      </c>
      <c r="AC55" s="295">
        <v>0</v>
      </c>
      <c r="AD55" s="295">
        <v>0</v>
      </c>
      <c r="AE55" s="295">
        <v>0</v>
      </c>
      <c r="AF55" s="295">
        <v>0</v>
      </c>
      <c r="AG55" s="295">
        <v>0</v>
      </c>
      <c r="AH55" s="295">
        <v>1</v>
      </c>
      <c r="AI55" s="295">
        <v>70095</v>
      </c>
      <c r="AJ55" s="295">
        <v>2195</v>
      </c>
      <c r="AK55" s="295">
        <v>0</v>
      </c>
      <c r="AL55" s="295">
        <v>0</v>
      </c>
      <c r="AO55" s="335"/>
      <c r="AP55" s="335"/>
      <c r="AQ55" s="295" t="str">
        <f t="shared" si="0"/>
        <v/>
      </c>
    </row>
    <row r="56" spans="2:43">
      <c r="B56" s="295" t="s">
        <v>781</v>
      </c>
      <c r="C56" s="332">
        <v>42747</v>
      </c>
      <c r="D56" s="333">
        <v>15.14</v>
      </c>
      <c r="E56" s="333">
        <v>0</v>
      </c>
      <c r="F56" s="334" t="s">
        <v>782</v>
      </c>
      <c r="G56" s="295" t="s">
        <v>895</v>
      </c>
      <c r="H56" s="335" t="s">
        <v>784</v>
      </c>
      <c r="I56" s="295" t="s">
        <v>785</v>
      </c>
      <c r="J56" s="295" t="s">
        <v>810</v>
      </c>
      <c r="K56" s="295" t="s">
        <v>787</v>
      </c>
      <c r="L56" s="299" t="s">
        <v>896</v>
      </c>
      <c r="M56" s="299"/>
      <c r="N56" s="299" t="s">
        <v>897</v>
      </c>
      <c r="O56" s="320">
        <v>42735</v>
      </c>
      <c r="P56" s="299"/>
      <c r="Q56" s="299" t="s">
        <v>898</v>
      </c>
      <c r="U56" s="295" t="s">
        <v>899</v>
      </c>
      <c r="V56" s="295" t="s">
        <v>900</v>
      </c>
      <c r="W56" s="295">
        <v>2195</v>
      </c>
      <c r="X56" s="332">
        <v>42747</v>
      </c>
      <c r="Y56" s="332">
        <v>42748</v>
      </c>
      <c r="Z56" s="295">
        <v>65.14</v>
      </c>
      <c r="AA56" s="332">
        <v>42736</v>
      </c>
      <c r="AB56" s="295" t="s">
        <v>793</v>
      </c>
      <c r="AC56" s="295">
        <v>0</v>
      </c>
      <c r="AD56" s="295">
        <v>0</v>
      </c>
      <c r="AE56" s="295">
        <v>0</v>
      </c>
      <c r="AF56" s="295">
        <v>0</v>
      </c>
      <c r="AG56" s="295">
        <v>0</v>
      </c>
      <c r="AH56" s="295">
        <v>1</v>
      </c>
      <c r="AI56" s="295">
        <v>70095</v>
      </c>
      <c r="AJ56" s="295">
        <v>2195</v>
      </c>
      <c r="AK56" s="295">
        <v>0</v>
      </c>
      <c r="AL56" s="295">
        <v>0</v>
      </c>
      <c r="AO56" s="335"/>
      <c r="AP56" s="335"/>
      <c r="AQ56" s="295" t="str">
        <f t="shared" si="0"/>
        <v>VO04170273</v>
      </c>
    </row>
    <row r="57" spans="2:43">
      <c r="B57" s="295" t="s">
        <v>781</v>
      </c>
      <c r="C57" s="332">
        <v>42766</v>
      </c>
      <c r="D57" s="333">
        <v>-55.02</v>
      </c>
      <c r="E57" s="333">
        <v>0</v>
      </c>
      <c r="F57" s="334" t="s">
        <v>782</v>
      </c>
      <c r="G57" s="295" t="s">
        <v>901</v>
      </c>
      <c r="H57" s="335" t="s">
        <v>784</v>
      </c>
      <c r="I57" s="295" t="s">
        <v>867</v>
      </c>
      <c r="J57" s="295" t="s">
        <v>803</v>
      </c>
      <c r="K57" s="295" t="s">
        <v>787</v>
      </c>
      <c r="L57" s="299"/>
      <c r="M57" s="299"/>
      <c r="N57" s="299" t="s">
        <v>892</v>
      </c>
      <c r="O57" s="320"/>
      <c r="P57" s="299"/>
      <c r="Q57" s="299"/>
      <c r="U57" s="295" t="s">
        <v>893</v>
      </c>
      <c r="V57" s="295" t="s">
        <v>902</v>
      </c>
      <c r="X57" s="332">
        <v>42741</v>
      </c>
      <c r="Y57" s="332">
        <v>42741</v>
      </c>
      <c r="AA57" s="332"/>
      <c r="AB57" s="295" t="s">
        <v>793</v>
      </c>
      <c r="AC57" s="295">
        <v>0</v>
      </c>
      <c r="AD57" s="295">
        <v>0</v>
      </c>
      <c r="AE57" s="295">
        <v>0</v>
      </c>
      <c r="AF57" s="295">
        <v>0</v>
      </c>
      <c r="AG57" s="295">
        <v>5</v>
      </c>
      <c r="AH57" s="295">
        <v>1</v>
      </c>
      <c r="AI57" s="295">
        <v>70095</v>
      </c>
      <c r="AJ57" s="295">
        <v>2195</v>
      </c>
      <c r="AK57" s="295">
        <v>0</v>
      </c>
      <c r="AL57" s="295">
        <v>0</v>
      </c>
      <c r="AO57" s="335"/>
      <c r="AP57" s="335"/>
      <c r="AQ57" s="295" t="str">
        <f t="shared" si="0"/>
        <v/>
      </c>
    </row>
    <row r="58" spans="2:43">
      <c r="B58" s="295" t="s">
        <v>781</v>
      </c>
      <c r="C58" s="332">
        <v>42766</v>
      </c>
      <c r="D58" s="333">
        <v>-431.25</v>
      </c>
      <c r="E58" s="333">
        <v>0</v>
      </c>
      <c r="F58" s="334" t="s">
        <v>782</v>
      </c>
      <c r="G58" s="295" t="s">
        <v>901</v>
      </c>
      <c r="H58" s="335" t="s">
        <v>784</v>
      </c>
      <c r="I58" s="295" t="s">
        <v>867</v>
      </c>
      <c r="J58" s="295" t="s">
        <v>803</v>
      </c>
      <c r="K58" s="295" t="s">
        <v>787</v>
      </c>
      <c r="L58" s="299"/>
      <c r="M58" s="299"/>
      <c r="N58" s="299" t="s">
        <v>894</v>
      </c>
      <c r="O58" s="320"/>
      <c r="P58" s="299"/>
      <c r="Q58" s="299"/>
      <c r="U58" s="295" t="s">
        <v>893</v>
      </c>
      <c r="V58" s="295" t="s">
        <v>902</v>
      </c>
      <c r="X58" s="332">
        <v>42741</v>
      </c>
      <c r="Y58" s="332">
        <v>42741</v>
      </c>
      <c r="AA58" s="332"/>
      <c r="AB58" s="295" t="s">
        <v>793</v>
      </c>
      <c r="AC58" s="295">
        <v>0</v>
      </c>
      <c r="AD58" s="295">
        <v>0</v>
      </c>
      <c r="AE58" s="295">
        <v>0</v>
      </c>
      <c r="AF58" s="295">
        <v>0</v>
      </c>
      <c r="AG58" s="295">
        <v>5</v>
      </c>
      <c r="AH58" s="295">
        <v>1</v>
      </c>
      <c r="AI58" s="295">
        <v>70095</v>
      </c>
      <c r="AJ58" s="295">
        <v>2195</v>
      </c>
      <c r="AK58" s="295">
        <v>0</v>
      </c>
      <c r="AL58" s="295">
        <v>0</v>
      </c>
      <c r="AO58" s="335"/>
      <c r="AP58" s="335"/>
      <c r="AQ58" s="295" t="str">
        <f t="shared" si="0"/>
        <v/>
      </c>
    </row>
    <row r="59" spans="2:43">
      <c r="B59" s="295" t="s">
        <v>781</v>
      </c>
      <c r="C59" s="332">
        <v>42766</v>
      </c>
      <c r="D59" s="333">
        <v>55.02</v>
      </c>
      <c r="E59" s="333">
        <v>0</v>
      </c>
      <c r="F59" s="334" t="s">
        <v>782</v>
      </c>
      <c r="G59" s="295" t="s">
        <v>903</v>
      </c>
      <c r="H59" s="335" t="s">
        <v>784</v>
      </c>
      <c r="I59" s="295" t="s">
        <v>904</v>
      </c>
      <c r="J59" s="295" t="s">
        <v>803</v>
      </c>
      <c r="K59" s="295" t="s">
        <v>787</v>
      </c>
      <c r="L59" s="299"/>
      <c r="M59" s="299"/>
      <c r="N59" s="299" t="s">
        <v>892</v>
      </c>
      <c r="O59" s="320"/>
      <c r="P59" s="299"/>
      <c r="Q59" s="299"/>
      <c r="U59" s="295" t="s">
        <v>905</v>
      </c>
      <c r="V59" s="295" t="s">
        <v>905</v>
      </c>
      <c r="X59" s="332">
        <v>42769</v>
      </c>
      <c r="Y59" s="332">
        <v>42769</v>
      </c>
      <c r="AA59" s="332"/>
      <c r="AB59" s="295" t="s">
        <v>793</v>
      </c>
      <c r="AC59" s="295">
        <v>0</v>
      </c>
      <c r="AD59" s="295">
        <v>0</v>
      </c>
      <c r="AE59" s="295">
        <v>0</v>
      </c>
      <c r="AF59" s="295">
        <v>0</v>
      </c>
      <c r="AG59" s="295">
        <v>0</v>
      </c>
      <c r="AH59" s="295">
        <v>1</v>
      </c>
      <c r="AI59" s="295">
        <v>70095</v>
      </c>
      <c r="AJ59" s="295">
        <v>2195</v>
      </c>
      <c r="AK59" s="295">
        <v>0</v>
      </c>
      <c r="AL59" s="295">
        <v>0</v>
      </c>
      <c r="AO59" s="335"/>
      <c r="AP59" s="335"/>
      <c r="AQ59" s="295" t="str">
        <f t="shared" si="0"/>
        <v/>
      </c>
    </row>
    <row r="60" spans="2:43">
      <c r="B60" s="295" t="s">
        <v>781</v>
      </c>
      <c r="C60" s="332">
        <v>42766</v>
      </c>
      <c r="D60" s="333">
        <v>431.25</v>
      </c>
      <c r="E60" s="333">
        <v>0</v>
      </c>
      <c r="F60" s="334" t="s">
        <v>782</v>
      </c>
      <c r="G60" s="295" t="s">
        <v>903</v>
      </c>
      <c r="H60" s="335" t="s">
        <v>784</v>
      </c>
      <c r="I60" s="295" t="s">
        <v>904</v>
      </c>
      <c r="J60" s="295" t="s">
        <v>803</v>
      </c>
      <c r="K60" s="295" t="s">
        <v>787</v>
      </c>
      <c r="L60" s="299"/>
      <c r="M60" s="299"/>
      <c r="N60" s="299" t="s">
        <v>894</v>
      </c>
      <c r="O60" s="320"/>
      <c r="P60" s="299"/>
      <c r="Q60" s="299"/>
      <c r="U60" s="295" t="s">
        <v>905</v>
      </c>
      <c r="V60" s="295" t="s">
        <v>905</v>
      </c>
      <c r="X60" s="332">
        <v>42769</v>
      </c>
      <c r="Y60" s="332">
        <v>42769</v>
      </c>
      <c r="AA60" s="332"/>
      <c r="AB60" s="295" t="s">
        <v>793</v>
      </c>
      <c r="AC60" s="295">
        <v>0</v>
      </c>
      <c r="AD60" s="295">
        <v>0</v>
      </c>
      <c r="AE60" s="295">
        <v>0</v>
      </c>
      <c r="AF60" s="295">
        <v>0</v>
      </c>
      <c r="AG60" s="295">
        <v>0</v>
      </c>
      <c r="AH60" s="295">
        <v>1</v>
      </c>
      <c r="AI60" s="295">
        <v>70095</v>
      </c>
      <c r="AJ60" s="295">
        <v>2195</v>
      </c>
      <c r="AK60" s="295">
        <v>0</v>
      </c>
      <c r="AL60" s="295">
        <v>0</v>
      </c>
      <c r="AO60" s="335"/>
      <c r="AP60" s="335"/>
      <c r="AQ60" s="295" t="str">
        <f t="shared" si="0"/>
        <v/>
      </c>
    </row>
    <row r="61" spans="2:43">
      <c r="B61" s="295" t="s">
        <v>781</v>
      </c>
      <c r="C61" s="332">
        <v>42766</v>
      </c>
      <c r="D61" s="333">
        <v>44</v>
      </c>
      <c r="E61" s="333">
        <v>0</v>
      </c>
      <c r="F61" s="334" t="s">
        <v>782</v>
      </c>
      <c r="G61" s="295" t="s">
        <v>903</v>
      </c>
      <c r="H61" s="335" t="s">
        <v>784</v>
      </c>
      <c r="I61" s="295" t="s">
        <v>904</v>
      </c>
      <c r="J61" s="295" t="s">
        <v>803</v>
      </c>
      <c r="K61" s="295" t="s">
        <v>787</v>
      </c>
      <c r="L61" s="299"/>
      <c r="M61" s="299"/>
      <c r="N61" s="299" t="s">
        <v>834</v>
      </c>
      <c r="O61" s="320"/>
      <c r="P61" s="299"/>
      <c r="Q61" s="299"/>
      <c r="U61" s="295" t="s">
        <v>905</v>
      </c>
      <c r="V61" s="295" t="s">
        <v>905</v>
      </c>
      <c r="X61" s="332">
        <v>42769</v>
      </c>
      <c r="Y61" s="332">
        <v>42769</v>
      </c>
      <c r="AA61" s="332"/>
      <c r="AB61" s="295" t="s">
        <v>793</v>
      </c>
      <c r="AC61" s="295">
        <v>0</v>
      </c>
      <c r="AD61" s="295">
        <v>0</v>
      </c>
      <c r="AE61" s="295">
        <v>0</v>
      </c>
      <c r="AF61" s="295">
        <v>0</v>
      </c>
      <c r="AG61" s="295">
        <v>0</v>
      </c>
      <c r="AH61" s="295">
        <v>1</v>
      </c>
      <c r="AI61" s="295">
        <v>70095</v>
      </c>
      <c r="AJ61" s="295">
        <v>2195</v>
      </c>
      <c r="AK61" s="295">
        <v>0</v>
      </c>
      <c r="AL61" s="295">
        <v>0</v>
      </c>
      <c r="AO61" s="335"/>
      <c r="AP61" s="335"/>
      <c r="AQ61" s="295" t="str">
        <f t="shared" si="0"/>
        <v/>
      </c>
    </row>
    <row r="62" spans="2:43">
      <c r="B62" s="295" t="s">
        <v>781</v>
      </c>
      <c r="C62" s="332">
        <v>42766</v>
      </c>
      <c r="D62" s="333">
        <v>431.25</v>
      </c>
      <c r="E62" s="333">
        <v>0</v>
      </c>
      <c r="F62" s="334" t="s">
        <v>782</v>
      </c>
      <c r="G62" s="295" t="s">
        <v>906</v>
      </c>
      <c r="H62" s="335" t="s">
        <v>784</v>
      </c>
      <c r="I62" s="295" t="s">
        <v>867</v>
      </c>
      <c r="J62" s="295" t="s">
        <v>803</v>
      </c>
      <c r="K62" s="295" t="s">
        <v>787</v>
      </c>
      <c r="L62" s="299"/>
      <c r="M62" s="299"/>
      <c r="N62" s="299" t="s">
        <v>894</v>
      </c>
      <c r="O62" s="320"/>
      <c r="P62" s="299"/>
      <c r="Q62" s="299"/>
      <c r="U62" s="295" t="s">
        <v>907</v>
      </c>
      <c r="V62" s="295" t="s">
        <v>907</v>
      </c>
      <c r="X62" s="332">
        <v>42772</v>
      </c>
      <c r="Y62" s="332">
        <v>42772</v>
      </c>
      <c r="AA62" s="332"/>
      <c r="AB62" s="295" t="s">
        <v>793</v>
      </c>
      <c r="AC62" s="295">
        <v>0</v>
      </c>
      <c r="AD62" s="295">
        <v>0</v>
      </c>
      <c r="AE62" s="295">
        <v>0</v>
      </c>
      <c r="AF62" s="295">
        <v>0</v>
      </c>
      <c r="AG62" s="295">
        <v>0</v>
      </c>
      <c r="AH62" s="295">
        <v>1</v>
      </c>
      <c r="AI62" s="295">
        <v>70095</v>
      </c>
      <c r="AJ62" s="295">
        <v>2195</v>
      </c>
      <c r="AK62" s="295">
        <v>0</v>
      </c>
      <c r="AL62" s="295">
        <v>0</v>
      </c>
      <c r="AO62" s="335"/>
      <c r="AP62" s="335"/>
      <c r="AQ62" s="295" t="str">
        <f t="shared" si="0"/>
        <v/>
      </c>
    </row>
    <row r="63" spans="2:43">
      <c r="B63" s="295" t="s">
        <v>781</v>
      </c>
      <c r="C63" s="332">
        <v>42766</v>
      </c>
      <c r="D63" s="333">
        <v>391.3</v>
      </c>
      <c r="E63" s="333">
        <v>0</v>
      </c>
      <c r="F63" s="334" t="s">
        <v>782</v>
      </c>
      <c r="G63" s="295" t="s">
        <v>906</v>
      </c>
      <c r="H63" s="335" t="s">
        <v>784</v>
      </c>
      <c r="I63" s="295" t="s">
        <v>867</v>
      </c>
      <c r="J63" s="295" t="s">
        <v>803</v>
      </c>
      <c r="K63" s="295" t="s">
        <v>787</v>
      </c>
      <c r="L63" s="299"/>
      <c r="M63" s="299"/>
      <c r="N63" s="299" t="s">
        <v>908</v>
      </c>
      <c r="O63" s="320"/>
      <c r="P63" s="299"/>
      <c r="Q63" s="299"/>
      <c r="U63" s="295" t="s">
        <v>907</v>
      </c>
      <c r="V63" s="295" t="s">
        <v>907</v>
      </c>
      <c r="X63" s="332">
        <v>42772</v>
      </c>
      <c r="Y63" s="332">
        <v>42772</v>
      </c>
      <c r="AA63" s="332"/>
      <c r="AB63" s="295" t="s">
        <v>793</v>
      </c>
      <c r="AC63" s="295">
        <v>0</v>
      </c>
      <c r="AD63" s="295">
        <v>0</v>
      </c>
      <c r="AE63" s="295">
        <v>0</v>
      </c>
      <c r="AF63" s="295">
        <v>0</v>
      </c>
      <c r="AG63" s="295">
        <v>0</v>
      </c>
      <c r="AH63" s="295">
        <v>1</v>
      </c>
      <c r="AI63" s="295">
        <v>70095</v>
      </c>
      <c r="AJ63" s="295">
        <v>2195</v>
      </c>
      <c r="AK63" s="295">
        <v>0</v>
      </c>
      <c r="AL63" s="295">
        <v>0</v>
      </c>
      <c r="AO63" s="335"/>
      <c r="AP63" s="335"/>
      <c r="AQ63" s="295" t="str">
        <f t="shared" si="0"/>
        <v/>
      </c>
    </row>
    <row r="64" spans="2:43">
      <c r="B64" s="295" t="s">
        <v>781</v>
      </c>
      <c r="C64" s="332">
        <v>42766</v>
      </c>
      <c r="D64" s="333">
        <v>405.17</v>
      </c>
      <c r="E64" s="333">
        <v>0</v>
      </c>
      <c r="F64" s="334" t="s">
        <v>782</v>
      </c>
      <c r="G64" s="295" t="s">
        <v>909</v>
      </c>
      <c r="H64" s="335" t="s">
        <v>784</v>
      </c>
      <c r="I64" s="295" t="s">
        <v>910</v>
      </c>
      <c r="J64" s="295" t="s">
        <v>796</v>
      </c>
      <c r="K64" s="295" t="s">
        <v>787</v>
      </c>
      <c r="L64" s="299"/>
      <c r="M64" s="299"/>
      <c r="N64" s="299" t="s">
        <v>911</v>
      </c>
      <c r="O64" s="320"/>
      <c r="P64" s="299"/>
      <c r="Q64" s="299"/>
      <c r="U64" s="295" t="s">
        <v>912</v>
      </c>
      <c r="V64" s="295" t="s">
        <v>912</v>
      </c>
      <c r="X64" s="332">
        <v>42772</v>
      </c>
      <c r="Y64" s="332">
        <v>42773</v>
      </c>
      <c r="AA64" s="332"/>
      <c r="AB64" s="295" t="s">
        <v>793</v>
      </c>
      <c r="AC64" s="295">
        <v>0</v>
      </c>
      <c r="AD64" s="295">
        <v>0</v>
      </c>
      <c r="AE64" s="295">
        <v>0</v>
      </c>
      <c r="AF64" s="295">
        <v>0</v>
      </c>
      <c r="AG64" s="295">
        <v>0</v>
      </c>
      <c r="AH64" s="295">
        <v>1</v>
      </c>
      <c r="AI64" s="295">
        <v>70095</v>
      </c>
      <c r="AJ64" s="295">
        <v>2195</v>
      </c>
      <c r="AK64" s="295">
        <v>0</v>
      </c>
      <c r="AL64" s="295">
        <v>0</v>
      </c>
      <c r="AO64" s="335"/>
      <c r="AP64" s="335"/>
      <c r="AQ64" s="295" t="str">
        <f t="shared" si="0"/>
        <v/>
      </c>
    </row>
    <row r="65" spans="2:43">
      <c r="B65" s="295" t="s">
        <v>781</v>
      </c>
      <c r="C65" s="332">
        <v>42781</v>
      </c>
      <c r="D65" s="333">
        <v>10</v>
      </c>
      <c r="E65" s="333">
        <v>0</v>
      </c>
      <c r="F65" s="334" t="s">
        <v>782</v>
      </c>
      <c r="G65" s="295" t="s">
        <v>913</v>
      </c>
      <c r="H65" s="335" t="s">
        <v>784</v>
      </c>
      <c r="I65" s="295" t="s">
        <v>785</v>
      </c>
      <c r="J65" s="295" t="s">
        <v>810</v>
      </c>
      <c r="K65" s="295" t="s">
        <v>787</v>
      </c>
      <c r="L65" s="299" t="s">
        <v>811</v>
      </c>
      <c r="M65" s="299"/>
      <c r="N65" s="299" t="s">
        <v>812</v>
      </c>
      <c r="O65" s="320">
        <v>42735</v>
      </c>
      <c r="P65" s="299" t="s">
        <v>914</v>
      </c>
      <c r="Q65" s="299" t="s">
        <v>915</v>
      </c>
      <c r="R65" s="295" t="s">
        <v>916</v>
      </c>
      <c r="U65" s="295" t="s">
        <v>917</v>
      </c>
      <c r="V65" s="295" t="s">
        <v>918</v>
      </c>
      <c r="W65" s="295">
        <v>2195</v>
      </c>
      <c r="X65" s="332">
        <v>42781</v>
      </c>
      <c r="Y65" s="332">
        <v>42787</v>
      </c>
      <c r="Z65" s="295">
        <v>377.04</v>
      </c>
      <c r="AA65" s="332">
        <v>42736</v>
      </c>
      <c r="AB65" s="295" t="s">
        <v>793</v>
      </c>
      <c r="AC65" s="295">
        <v>0</v>
      </c>
      <c r="AD65" s="295">
        <v>0</v>
      </c>
      <c r="AE65" s="295">
        <v>0</v>
      </c>
      <c r="AF65" s="295">
        <v>0</v>
      </c>
      <c r="AG65" s="295">
        <v>0</v>
      </c>
      <c r="AH65" s="295">
        <v>1</v>
      </c>
      <c r="AI65" s="295">
        <v>70095</v>
      </c>
      <c r="AJ65" s="295">
        <v>2195</v>
      </c>
      <c r="AK65" s="295">
        <v>0</v>
      </c>
      <c r="AL65" s="295">
        <v>0</v>
      </c>
      <c r="AO65" s="335"/>
      <c r="AP65" s="335"/>
      <c r="AQ65" s="295" t="str">
        <f t="shared" si="0"/>
        <v>VO04201656</v>
      </c>
    </row>
    <row r="66" spans="2:43">
      <c r="B66" s="295" t="s">
        <v>781</v>
      </c>
      <c r="C66" s="332">
        <v>42781</v>
      </c>
      <c r="D66" s="333">
        <v>37.21</v>
      </c>
      <c r="E66" s="333">
        <v>0</v>
      </c>
      <c r="F66" s="334" t="s">
        <v>782</v>
      </c>
      <c r="G66" s="295" t="s">
        <v>913</v>
      </c>
      <c r="H66" s="335" t="s">
        <v>784</v>
      </c>
      <c r="I66" s="295" t="s">
        <v>785</v>
      </c>
      <c r="J66" s="295" t="s">
        <v>810</v>
      </c>
      <c r="K66" s="295" t="s">
        <v>787</v>
      </c>
      <c r="L66" s="299" t="s">
        <v>811</v>
      </c>
      <c r="M66" s="299"/>
      <c r="N66" s="299" t="s">
        <v>812</v>
      </c>
      <c r="O66" s="320">
        <v>42735</v>
      </c>
      <c r="P66" s="299" t="s">
        <v>914</v>
      </c>
      <c r="Q66" s="299" t="s">
        <v>915</v>
      </c>
      <c r="R66" s="295" t="s">
        <v>916</v>
      </c>
      <c r="U66" s="295" t="s">
        <v>917</v>
      </c>
      <c r="V66" s="295" t="s">
        <v>918</v>
      </c>
      <c r="W66" s="295">
        <v>2195</v>
      </c>
      <c r="X66" s="332">
        <v>42781</v>
      </c>
      <c r="Y66" s="332">
        <v>42787</v>
      </c>
      <c r="Z66" s="295">
        <v>377.04</v>
      </c>
      <c r="AA66" s="332">
        <v>42736</v>
      </c>
      <c r="AB66" s="295" t="s">
        <v>793</v>
      </c>
      <c r="AC66" s="295">
        <v>0</v>
      </c>
      <c r="AD66" s="295">
        <v>0</v>
      </c>
      <c r="AE66" s="295">
        <v>0</v>
      </c>
      <c r="AF66" s="295">
        <v>0</v>
      </c>
      <c r="AG66" s="295">
        <v>0</v>
      </c>
      <c r="AH66" s="295">
        <v>1</v>
      </c>
      <c r="AI66" s="295">
        <v>70095</v>
      </c>
      <c r="AJ66" s="295">
        <v>2195</v>
      </c>
      <c r="AK66" s="295">
        <v>0</v>
      </c>
      <c r="AL66" s="295">
        <v>0</v>
      </c>
      <c r="AO66" s="335"/>
      <c r="AP66" s="335"/>
      <c r="AQ66" s="295" t="str">
        <f t="shared" si="0"/>
        <v>VO04201656</v>
      </c>
    </row>
    <row r="67" spans="2:43">
      <c r="B67" s="295" t="s">
        <v>781</v>
      </c>
      <c r="C67" s="332">
        <v>42781</v>
      </c>
      <c r="D67" s="333">
        <v>95.76</v>
      </c>
      <c r="E67" s="333">
        <v>0</v>
      </c>
      <c r="F67" s="334" t="s">
        <v>782</v>
      </c>
      <c r="G67" s="295" t="s">
        <v>913</v>
      </c>
      <c r="H67" s="335" t="s">
        <v>784</v>
      </c>
      <c r="I67" s="295" t="s">
        <v>785</v>
      </c>
      <c r="J67" s="295" t="s">
        <v>810</v>
      </c>
      <c r="K67" s="295" t="s">
        <v>787</v>
      </c>
      <c r="L67" s="299" t="s">
        <v>811</v>
      </c>
      <c r="M67" s="299"/>
      <c r="N67" s="299" t="s">
        <v>812</v>
      </c>
      <c r="O67" s="320">
        <v>42735</v>
      </c>
      <c r="P67" s="299" t="s">
        <v>914</v>
      </c>
      <c r="Q67" s="299" t="s">
        <v>915</v>
      </c>
      <c r="R67" s="295" t="s">
        <v>916</v>
      </c>
      <c r="U67" s="295" t="s">
        <v>917</v>
      </c>
      <c r="V67" s="295" t="s">
        <v>918</v>
      </c>
      <c r="W67" s="295">
        <v>2195</v>
      </c>
      <c r="X67" s="332">
        <v>42781</v>
      </c>
      <c r="Y67" s="332">
        <v>42787</v>
      </c>
      <c r="Z67" s="295">
        <v>377.04</v>
      </c>
      <c r="AA67" s="332">
        <v>42736</v>
      </c>
      <c r="AB67" s="295" t="s">
        <v>793</v>
      </c>
      <c r="AC67" s="295">
        <v>0</v>
      </c>
      <c r="AD67" s="295">
        <v>0</v>
      </c>
      <c r="AE67" s="295">
        <v>0</v>
      </c>
      <c r="AF67" s="295">
        <v>0</v>
      </c>
      <c r="AG67" s="295">
        <v>0</v>
      </c>
      <c r="AH67" s="295">
        <v>1</v>
      </c>
      <c r="AI67" s="295">
        <v>70095</v>
      </c>
      <c r="AJ67" s="295">
        <v>2195</v>
      </c>
      <c r="AK67" s="295">
        <v>0</v>
      </c>
      <c r="AL67" s="295">
        <v>0</v>
      </c>
      <c r="AO67" s="335"/>
      <c r="AP67" s="335"/>
      <c r="AQ67" s="295" t="str">
        <f t="shared" si="0"/>
        <v>VO04201656</v>
      </c>
    </row>
    <row r="68" spans="2:43">
      <c r="B68" s="295" t="s">
        <v>781</v>
      </c>
      <c r="C68" s="332">
        <v>42794</v>
      </c>
      <c r="D68" s="333">
        <v>-431.25</v>
      </c>
      <c r="E68" s="333">
        <v>0</v>
      </c>
      <c r="F68" s="334" t="s">
        <v>782</v>
      </c>
      <c r="G68" s="295" t="s">
        <v>919</v>
      </c>
      <c r="H68" s="335" t="s">
        <v>784</v>
      </c>
      <c r="I68" s="295" t="s">
        <v>867</v>
      </c>
      <c r="J68" s="295" t="s">
        <v>796</v>
      </c>
      <c r="K68" s="295" t="s">
        <v>787</v>
      </c>
      <c r="L68" s="299"/>
      <c r="M68" s="299"/>
      <c r="N68" s="299" t="s">
        <v>894</v>
      </c>
      <c r="O68" s="320"/>
      <c r="P68" s="299"/>
      <c r="Q68" s="299"/>
      <c r="U68" s="295" t="s">
        <v>907</v>
      </c>
      <c r="V68" s="295" t="s">
        <v>920</v>
      </c>
      <c r="X68" s="332">
        <v>42772</v>
      </c>
      <c r="Y68" s="332">
        <v>42772</v>
      </c>
      <c r="AA68" s="332"/>
      <c r="AB68" s="295" t="s">
        <v>793</v>
      </c>
      <c r="AC68" s="295">
        <v>0</v>
      </c>
      <c r="AD68" s="295">
        <v>0</v>
      </c>
      <c r="AE68" s="295">
        <v>0</v>
      </c>
      <c r="AF68" s="295">
        <v>0</v>
      </c>
      <c r="AG68" s="295">
        <v>5</v>
      </c>
      <c r="AH68" s="295">
        <v>1</v>
      </c>
      <c r="AI68" s="295">
        <v>70095</v>
      </c>
      <c r="AJ68" s="295">
        <v>2195</v>
      </c>
      <c r="AK68" s="295">
        <v>0</v>
      </c>
      <c r="AL68" s="295">
        <v>0</v>
      </c>
      <c r="AO68" s="335"/>
      <c r="AP68" s="335"/>
      <c r="AQ68" s="295" t="str">
        <f t="shared" si="0"/>
        <v/>
      </c>
    </row>
    <row r="69" spans="2:43">
      <c r="B69" s="295" t="s">
        <v>781</v>
      </c>
      <c r="C69" s="332">
        <v>42794</v>
      </c>
      <c r="D69" s="333">
        <v>-391.3</v>
      </c>
      <c r="E69" s="333">
        <v>0</v>
      </c>
      <c r="F69" s="334" t="s">
        <v>782</v>
      </c>
      <c r="G69" s="295" t="s">
        <v>919</v>
      </c>
      <c r="H69" s="335" t="s">
        <v>784</v>
      </c>
      <c r="I69" s="295" t="s">
        <v>867</v>
      </c>
      <c r="J69" s="295" t="s">
        <v>796</v>
      </c>
      <c r="K69" s="295" t="s">
        <v>787</v>
      </c>
      <c r="L69" s="299"/>
      <c r="M69" s="299"/>
      <c r="N69" s="299" t="s">
        <v>908</v>
      </c>
      <c r="O69" s="320"/>
      <c r="P69" s="299"/>
      <c r="Q69" s="299"/>
      <c r="U69" s="295" t="s">
        <v>907</v>
      </c>
      <c r="V69" s="295" t="s">
        <v>920</v>
      </c>
      <c r="X69" s="332">
        <v>42772</v>
      </c>
      <c r="Y69" s="332">
        <v>42772</v>
      </c>
      <c r="AA69" s="332"/>
      <c r="AB69" s="295" t="s">
        <v>793</v>
      </c>
      <c r="AC69" s="295">
        <v>0</v>
      </c>
      <c r="AD69" s="295">
        <v>0</v>
      </c>
      <c r="AE69" s="295">
        <v>0</v>
      </c>
      <c r="AF69" s="295">
        <v>0</v>
      </c>
      <c r="AG69" s="295">
        <v>5</v>
      </c>
      <c r="AH69" s="295">
        <v>1</v>
      </c>
      <c r="AI69" s="295">
        <v>70095</v>
      </c>
      <c r="AJ69" s="295">
        <v>2195</v>
      </c>
      <c r="AK69" s="295">
        <v>0</v>
      </c>
      <c r="AL69" s="295">
        <v>0</v>
      </c>
      <c r="AO69" s="335"/>
      <c r="AP69" s="335"/>
      <c r="AQ69" s="295" t="str">
        <f t="shared" si="0"/>
        <v/>
      </c>
    </row>
    <row r="70" spans="2:43">
      <c r="B70" s="295" t="s">
        <v>781</v>
      </c>
      <c r="C70" s="332">
        <v>42794</v>
      </c>
      <c r="D70" s="333">
        <v>-405.17</v>
      </c>
      <c r="E70" s="333">
        <v>0</v>
      </c>
      <c r="F70" s="334" t="s">
        <v>782</v>
      </c>
      <c r="G70" s="295" t="s">
        <v>921</v>
      </c>
      <c r="H70" s="335" t="s">
        <v>784</v>
      </c>
      <c r="I70" s="295" t="s">
        <v>910</v>
      </c>
      <c r="J70" s="295" t="s">
        <v>796</v>
      </c>
      <c r="K70" s="295" t="s">
        <v>787</v>
      </c>
      <c r="L70" s="299"/>
      <c r="M70" s="299"/>
      <c r="N70" s="299" t="s">
        <v>911</v>
      </c>
      <c r="O70" s="320"/>
      <c r="P70" s="299"/>
      <c r="Q70" s="299"/>
      <c r="U70" s="295" t="s">
        <v>912</v>
      </c>
      <c r="V70" s="295" t="s">
        <v>922</v>
      </c>
      <c r="X70" s="332">
        <v>42773</v>
      </c>
      <c r="Y70" s="332">
        <v>42773</v>
      </c>
      <c r="AA70" s="332"/>
      <c r="AB70" s="295" t="s">
        <v>793</v>
      </c>
      <c r="AC70" s="295">
        <v>0</v>
      </c>
      <c r="AD70" s="295">
        <v>0</v>
      </c>
      <c r="AE70" s="295">
        <v>0</v>
      </c>
      <c r="AF70" s="295">
        <v>0</v>
      </c>
      <c r="AG70" s="295">
        <v>5</v>
      </c>
      <c r="AH70" s="295">
        <v>1</v>
      </c>
      <c r="AI70" s="295">
        <v>70095</v>
      </c>
      <c r="AJ70" s="295">
        <v>2195</v>
      </c>
      <c r="AK70" s="295">
        <v>0</v>
      </c>
      <c r="AL70" s="295">
        <v>0</v>
      </c>
      <c r="AO70" s="335"/>
      <c r="AP70" s="335"/>
      <c r="AQ70" s="295" t="str">
        <f t="shared" si="0"/>
        <v/>
      </c>
    </row>
    <row r="71" spans="2:43">
      <c r="B71" s="295" t="s">
        <v>781</v>
      </c>
      <c r="C71" s="332">
        <v>42794</v>
      </c>
      <c r="D71" s="333">
        <v>431.25</v>
      </c>
      <c r="E71" s="333">
        <v>0</v>
      </c>
      <c r="F71" s="334" t="s">
        <v>782</v>
      </c>
      <c r="G71" s="295" t="s">
        <v>923</v>
      </c>
      <c r="H71" s="335" t="s">
        <v>784</v>
      </c>
      <c r="I71" s="295" t="s">
        <v>924</v>
      </c>
      <c r="J71" s="295" t="s">
        <v>803</v>
      </c>
      <c r="K71" s="295" t="s">
        <v>787</v>
      </c>
      <c r="L71" s="299"/>
      <c r="M71" s="299"/>
      <c r="N71" s="299" t="s">
        <v>894</v>
      </c>
      <c r="O71" s="320"/>
      <c r="P71" s="299"/>
      <c r="Q71" s="299"/>
      <c r="U71" s="295" t="s">
        <v>925</v>
      </c>
      <c r="V71" s="295" t="s">
        <v>925</v>
      </c>
      <c r="X71" s="332">
        <v>42796</v>
      </c>
      <c r="Y71" s="332">
        <v>42797</v>
      </c>
      <c r="AA71" s="332"/>
      <c r="AB71" s="295" t="s">
        <v>793</v>
      </c>
      <c r="AC71" s="295">
        <v>0</v>
      </c>
      <c r="AD71" s="295">
        <v>0</v>
      </c>
      <c r="AE71" s="295">
        <v>0</v>
      </c>
      <c r="AF71" s="295">
        <v>0</v>
      </c>
      <c r="AG71" s="295">
        <v>0</v>
      </c>
      <c r="AH71" s="295">
        <v>1</v>
      </c>
      <c r="AI71" s="295">
        <v>70095</v>
      </c>
      <c r="AJ71" s="295">
        <v>2195</v>
      </c>
      <c r="AK71" s="295">
        <v>0</v>
      </c>
      <c r="AL71" s="295">
        <v>0</v>
      </c>
      <c r="AO71" s="335"/>
      <c r="AP71" s="335"/>
      <c r="AQ71" s="295" t="str">
        <f t="shared" si="0"/>
        <v/>
      </c>
    </row>
    <row r="72" spans="2:43">
      <c r="B72" s="295" t="s">
        <v>781</v>
      </c>
      <c r="C72" s="332">
        <v>42794</v>
      </c>
      <c r="D72" s="333">
        <v>391.3</v>
      </c>
      <c r="E72" s="333">
        <v>0</v>
      </c>
      <c r="F72" s="334" t="s">
        <v>782</v>
      </c>
      <c r="G72" s="295" t="s">
        <v>923</v>
      </c>
      <c r="H72" s="335" t="s">
        <v>784</v>
      </c>
      <c r="I72" s="295" t="s">
        <v>924</v>
      </c>
      <c r="J72" s="295" t="s">
        <v>803</v>
      </c>
      <c r="K72" s="295" t="s">
        <v>787</v>
      </c>
      <c r="L72" s="299"/>
      <c r="M72" s="299"/>
      <c r="N72" s="299" t="s">
        <v>908</v>
      </c>
      <c r="O72" s="320"/>
      <c r="P72" s="299"/>
      <c r="Q72" s="299"/>
      <c r="U72" s="295" t="s">
        <v>925</v>
      </c>
      <c r="V72" s="295" t="s">
        <v>925</v>
      </c>
      <c r="X72" s="332">
        <v>42796</v>
      </c>
      <c r="Y72" s="332">
        <v>42797</v>
      </c>
      <c r="AA72" s="332"/>
      <c r="AB72" s="295" t="s">
        <v>793</v>
      </c>
      <c r="AC72" s="295">
        <v>0</v>
      </c>
      <c r="AD72" s="295">
        <v>0</v>
      </c>
      <c r="AE72" s="295">
        <v>0</v>
      </c>
      <c r="AF72" s="295">
        <v>0</v>
      </c>
      <c r="AG72" s="295">
        <v>0</v>
      </c>
      <c r="AH72" s="295">
        <v>1</v>
      </c>
      <c r="AI72" s="295">
        <v>70095</v>
      </c>
      <c r="AJ72" s="295">
        <v>2195</v>
      </c>
      <c r="AK72" s="295">
        <v>0</v>
      </c>
      <c r="AL72" s="295">
        <v>0</v>
      </c>
      <c r="AO72" s="335"/>
      <c r="AP72" s="335"/>
      <c r="AQ72" s="295" t="str">
        <f t="shared" si="0"/>
        <v/>
      </c>
    </row>
    <row r="73" spans="2:43">
      <c r="B73" s="295" t="s">
        <v>781</v>
      </c>
      <c r="C73" s="332">
        <v>42794</v>
      </c>
      <c r="D73" s="333">
        <v>626.46</v>
      </c>
      <c r="E73" s="333">
        <v>0</v>
      </c>
      <c r="F73" s="334" t="s">
        <v>782</v>
      </c>
      <c r="G73" s="295" t="s">
        <v>923</v>
      </c>
      <c r="H73" s="335" t="s">
        <v>784</v>
      </c>
      <c r="I73" s="295" t="s">
        <v>924</v>
      </c>
      <c r="J73" s="295" t="s">
        <v>803</v>
      </c>
      <c r="K73" s="295" t="s">
        <v>787</v>
      </c>
      <c r="L73" s="299"/>
      <c r="M73" s="299"/>
      <c r="N73" s="299" t="s">
        <v>926</v>
      </c>
      <c r="O73" s="320"/>
      <c r="P73" s="299"/>
      <c r="Q73" s="299"/>
      <c r="U73" s="295" t="s">
        <v>925</v>
      </c>
      <c r="V73" s="295" t="s">
        <v>925</v>
      </c>
      <c r="X73" s="332">
        <v>42796</v>
      </c>
      <c r="Y73" s="332">
        <v>42797</v>
      </c>
      <c r="AA73" s="332"/>
      <c r="AB73" s="295" t="s">
        <v>793</v>
      </c>
      <c r="AC73" s="295">
        <v>0</v>
      </c>
      <c r="AD73" s="295">
        <v>0</v>
      </c>
      <c r="AE73" s="295">
        <v>0</v>
      </c>
      <c r="AF73" s="295">
        <v>0</v>
      </c>
      <c r="AG73" s="295">
        <v>0</v>
      </c>
      <c r="AH73" s="295">
        <v>1</v>
      </c>
      <c r="AI73" s="295">
        <v>70095</v>
      </c>
      <c r="AJ73" s="295">
        <v>2195</v>
      </c>
      <c r="AK73" s="295">
        <v>0</v>
      </c>
      <c r="AL73" s="295">
        <v>0</v>
      </c>
      <c r="AO73" s="335"/>
      <c r="AP73" s="335"/>
      <c r="AQ73" s="295" t="str">
        <f t="shared" si="0"/>
        <v/>
      </c>
    </row>
    <row r="74" spans="2:43">
      <c r="B74" s="295" t="s">
        <v>781</v>
      </c>
      <c r="C74" s="332">
        <v>42794</v>
      </c>
      <c r="D74" s="333">
        <v>188</v>
      </c>
      <c r="E74" s="333">
        <v>0</v>
      </c>
      <c r="F74" s="334" t="s">
        <v>782</v>
      </c>
      <c r="G74" s="295" t="s">
        <v>923</v>
      </c>
      <c r="H74" s="335" t="s">
        <v>784</v>
      </c>
      <c r="I74" s="295" t="s">
        <v>924</v>
      </c>
      <c r="J74" s="295" t="s">
        <v>803</v>
      </c>
      <c r="K74" s="295" t="s">
        <v>787</v>
      </c>
      <c r="L74" s="299"/>
      <c r="M74" s="299"/>
      <c r="N74" s="299" t="s">
        <v>927</v>
      </c>
      <c r="O74" s="320"/>
      <c r="P74" s="299"/>
      <c r="Q74" s="299"/>
      <c r="U74" s="295" t="s">
        <v>925</v>
      </c>
      <c r="V74" s="295" t="s">
        <v>925</v>
      </c>
      <c r="X74" s="332">
        <v>42796</v>
      </c>
      <c r="Y74" s="332">
        <v>42797</v>
      </c>
      <c r="AA74" s="332"/>
      <c r="AB74" s="295" t="s">
        <v>793</v>
      </c>
      <c r="AC74" s="295">
        <v>0</v>
      </c>
      <c r="AD74" s="295">
        <v>0</v>
      </c>
      <c r="AE74" s="295">
        <v>0</v>
      </c>
      <c r="AF74" s="295">
        <v>0</v>
      </c>
      <c r="AG74" s="295">
        <v>0</v>
      </c>
      <c r="AH74" s="295">
        <v>1</v>
      </c>
      <c r="AI74" s="295">
        <v>70095</v>
      </c>
      <c r="AJ74" s="295">
        <v>2195</v>
      </c>
      <c r="AK74" s="295">
        <v>0</v>
      </c>
      <c r="AL74" s="295">
        <v>0</v>
      </c>
      <c r="AO74" s="335"/>
      <c r="AP74" s="335"/>
      <c r="AQ74" s="295" t="str">
        <f t="shared" si="0"/>
        <v/>
      </c>
    </row>
    <row r="75" spans="2:43">
      <c r="B75" s="295" t="s">
        <v>781</v>
      </c>
      <c r="C75" s="332">
        <v>42794</v>
      </c>
      <c r="D75" s="333">
        <v>203.25</v>
      </c>
      <c r="E75" s="333">
        <v>0</v>
      </c>
      <c r="F75" s="334" t="s">
        <v>782</v>
      </c>
      <c r="G75" s="295" t="s">
        <v>923</v>
      </c>
      <c r="H75" s="335" t="s">
        <v>784</v>
      </c>
      <c r="I75" s="295" t="s">
        <v>924</v>
      </c>
      <c r="J75" s="295" t="s">
        <v>803</v>
      </c>
      <c r="K75" s="295" t="s">
        <v>787</v>
      </c>
      <c r="L75" s="299"/>
      <c r="M75" s="299"/>
      <c r="N75" s="299" t="s">
        <v>928</v>
      </c>
      <c r="O75" s="320"/>
      <c r="P75" s="299"/>
      <c r="Q75" s="299"/>
      <c r="U75" s="295" t="s">
        <v>925</v>
      </c>
      <c r="V75" s="295" t="s">
        <v>925</v>
      </c>
      <c r="X75" s="332">
        <v>42796</v>
      </c>
      <c r="Y75" s="332">
        <v>42797</v>
      </c>
      <c r="AA75" s="332"/>
      <c r="AB75" s="295" t="s">
        <v>793</v>
      </c>
      <c r="AC75" s="295">
        <v>0</v>
      </c>
      <c r="AD75" s="295">
        <v>0</v>
      </c>
      <c r="AE75" s="295">
        <v>0</v>
      </c>
      <c r="AF75" s="295">
        <v>0</v>
      </c>
      <c r="AG75" s="295">
        <v>0</v>
      </c>
      <c r="AH75" s="295">
        <v>1</v>
      </c>
      <c r="AI75" s="295">
        <v>70095</v>
      </c>
      <c r="AJ75" s="295">
        <v>2195</v>
      </c>
      <c r="AK75" s="295">
        <v>0</v>
      </c>
      <c r="AL75" s="295">
        <v>0</v>
      </c>
      <c r="AO75" s="335"/>
      <c r="AP75" s="335"/>
      <c r="AQ75" s="295" t="str">
        <f t="shared" si="0"/>
        <v/>
      </c>
    </row>
    <row r="76" spans="2:43">
      <c r="B76" s="295" t="s">
        <v>781</v>
      </c>
      <c r="C76" s="332">
        <v>42794</v>
      </c>
      <c r="D76" s="333">
        <v>71.38</v>
      </c>
      <c r="E76" s="333">
        <v>0</v>
      </c>
      <c r="F76" s="334" t="s">
        <v>782</v>
      </c>
      <c r="G76" s="295" t="s">
        <v>923</v>
      </c>
      <c r="H76" s="335" t="s">
        <v>784</v>
      </c>
      <c r="I76" s="295" t="s">
        <v>924</v>
      </c>
      <c r="J76" s="295" t="s">
        <v>803</v>
      </c>
      <c r="K76" s="295" t="s">
        <v>787</v>
      </c>
      <c r="L76" s="299"/>
      <c r="M76" s="299"/>
      <c r="N76" s="299" t="s">
        <v>929</v>
      </c>
      <c r="O76" s="320"/>
      <c r="P76" s="299"/>
      <c r="Q76" s="299"/>
      <c r="U76" s="295" t="s">
        <v>925</v>
      </c>
      <c r="V76" s="295" t="s">
        <v>925</v>
      </c>
      <c r="X76" s="332">
        <v>42796</v>
      </c>
      <c r="Y76" s="332">
        <v>42797</v>
      </c>
      <c r="AA76" s="332"/>
      <c r="AB76" s="295" t="s">
        <v>793</v>
      </c>
      <c r="AC76" s="295">
        <v>0</v>
      </c>
      <c r="AD76" s="295">
        <v>0</v>
      </c>
      <c r="AE76" s="295">
        <v>0</v>
      </c>
      <c r="AF76" s="295">
        <v>0</v>
      </c>
      <c r="AG76" s="295">
        <v>0</v>
      </c>
      <c r="AH76" s="295">
        <v>1</v>
      </c>
      <c r="AI76" s="295">
        <v>70095</v>
      </c>
      <c r="AJ76" s="295">
        <v>2195</v>
      </c>
      <c r="AK76" s="295">
        <v>0</v>
      </c>
      <c r="AL76" s="295">
        <v>0</v>
      </c>
      <c r="AO76" s="335"/>
      <c r="AP76" s="335"/>
      <c r="AQ76" s="295" t="str">
        <f t="shared" si="0"/>
        <v/>
      </c>
    </row>
    <row r="77" spans="2:43">
      <c r="B77" s="295" t="s">
        <v>781</v>
      </c>
      <c r="C77" s="332">
        <v>42794</v>
      </c>
      <c r="D77" s="333">
        <v>44.05</v>
      </c>
      <c r="E77" s="333">
        <v>0</v>
      </c>
      <c r="F77" s="334" t="s">
        <v>782</v>
      </c>
      <c r="G77" s="295" t="s">
        <v>923</v>
      </c>
      <c r="H77" s="335" t="s">
        <v>784</v>
      </c>
      <c r="I77" s="295" t="s">
        <v>924</v>
      </c>
      <c r="J77" s="295" t="s">
        <v>803</v>
      </c>
      <c r="K77" s="295" t="s">
        <v>787</v>
      </c>
      <c r="L77" s="299"/>
      <c r="M77" s="299"/>
      <c r="N77" s="299" t="s">
        <v>930</v>
      </c>
      <c r="O77" s="320"/>
      <c r="P77" s="299"/>
      <c r="Q77" s="299"/>
      <c r="U77" s="295" t="s">
        <v>925</v>
      </c>
      <c r="V77" s="295" t="s">
        <v>925</v>
      </c>
      <c r="X77" s="332">
        <v>42796</v>
      </c>
      <c r="Y77" s="332">
        <v>42797</v>
      </c>
      <c r="AA77" s="332"/>
      <c r="AB77" s="295" t="s">
        <v>793</v>
      </c>
      <c r="AC77" s="295">
        <v>0</v>
      </c>
      <c r="AD77" s="295">
        <v>0</v>
      </c>
      <c r="AE77" s="295">
        <v>0</v>
      </c>
      <c r="AF77" s="295">
        <v>0</v>
      </c>
      <c r="AG77" s="295">
        <v>0</v>
      </c>
      <c r="AH77" s="295">
        <v>1</v>
      </c>
      <c r="AI77" s="295">
        <v>70095</v>
      </c>
      <c r="AJ77" s="295">
        <v>2195</v>
      </c>
      <c r="AK77" s="295">
        <v>0</v>
      </c>
      <c r="AL77" s="295">
        <v>0</v>
      </c>
      <c r="AO77" s="335"/>
      <c r="AP77" s="335"/>
      <c r="AQ77" s="295" t="str">
        <f t="shared" si="0"/>
        <v/>
      </c>
    </row>
    <row r="78" spans="2:43">
      <c r="B78" s="295" t="s">
        <v>781</v>
      </c>
      <c r="C78" s="332">
        <v>42794</v>
      </c>
      <c r="D78" s="333">
        <v>64.22</v>
      </c>
      <c r="E78" s="333">
        <v>0</v>
      </c>
      <c r="F78" s="334" t="s">
        <v>782</v>
      </c>
      <c r="G78" s="295" t="s">
        <v>923</v>
      </c>
      <c r="H78" s="335" t="s">
        <v>784</v>
      </c>
      <c r="I78" s="295" t="s">
        <v>924</v>
      </c>
      <c r="J78" s="295" t="s">
        <v>803</v>
      </c>
      <c r="K78" s="295" t="s">
        <v>787</v>
      </c>
      <c r="L78" s="299"/>
      <c r="M78" s="299"/>
      <c r="N78" s="299" t="s">
        <v>931</v>
      </c>
      <c r="O78" s="320"/>
      <c r="P78" s="299"/>
      <c r="Q78" s="299"/>
      <c r="U78" s="295" t="s">
        <v>925</v>
      </c>
      <c r="V78" s="295" t="s">
        <v>925</v>
      </c>
      <c r="X78" s="332">
        <v>42796</v>
      </c>
      <c r="Y78" s="332">
        <v>42797</v>
      </c>
      <c r="AA78" s="332"/>
      <c r="AB78" s="295" t="s">
        <v>793</v>
      </c>
      <c r="AC78" s="295">
        <v>0</v>
      </c>
      <c r="AD78" s="295">
        <v>0</v>
      </c>
      <c r="AE78" s="295">
        <v>0</v>
      </c>
      <c r="AF78" s="295">
        <v>0</v>
      </c>
      <c r="AG78" s="295">
        <v>0</v>
      </c>
      <c r="AH78" s="295">
        <v>1</v>
      </c>
      <c r="AI78" s="295">
        <v>70095</v>
      </c>
      <c r="AJ78" s="295">
        <v>2195</v>
      </c>
      <c r="AK78" s="295">
        <v>0</v>
      </c>
      <c r="AL78" s="295">
        <v>0</v>
      </c>
      <c r="AO78" s="335"/>
      <c r="AP78" s="335"/>
      <c r="AQ78" s="295" t="str">
        <f t="shared" si="0"/>
        <v/>
      </c>
    </row>
    <row r="79" spans="2:43">
      <c r="B79" s="295" t="s">
        <v>781</v>
      </c>
      <c r="C79" s="332">
        <v>42794</v>
      </c>
      <c r="D79" s="333">
        <v>132.46</v>
      </c>
      <c r="E79" s="333">
        <v>0</v>
      </c>
      <c r="F79" s="334" t="s">
        <v>782</v>
      </c>
      <c r="G79" s="295" t="s">
        <v>923</v>
      </c>
      <c r="H79" s="335" t="s">
        <v>784</v>
      </c>
      <c r="I79" s="295" t="s">
        <v>924</v>
      </c>
      <c r="J79" s="295" t="s">
        <v>803</v>
      </c>
      <c r="K79" s="295" t="s">
        <v>787</v>
      </c>
      <c r="L79" s="299"/>
      <c r="M79" s="299"/>
      <c r="N79" s="299" t="s">
        <v>932</v>
      </c>
      <c r="O79" s="320"/>
      <c r="P79" s="299"/>
      <c r="Q79" s="299"/>
      <c r="U79" s="295" t="s">
        <v>925</v>
      </c>
      <c r="V79" s="295" t="s">
        <v>925</v>
      </c>
      <c r="X79" s="332">
        <v>42796</v>
      </c>
      <c r="Y79" s="332">
        <v>42797</v>
      </c>
      <c r="AA79" s="332"/>
      <c r="AB79" s="295" t="s">
        <v>793</v>
      </c>
      <c r="AC79" s="295">
        <v>0</v>
      </c>
      <c r="AD79" s="295">
        <v>0</v>
      </c>
      <c r="AE79" s="295">
        <v>0</v>
      </c>
      <c r="AF79" s="295">
        <v>0</v>
      </c>
      <c r="AG79" s="295">
        <v>0</v>
      </c>
      <c r="AH79" s="295">
        <v>1</v>
      </c>
      <c r="AI79" s="295">
        <v>70095</v>
      </c>
      <c r="AJ79" s="295">
        <v>2195</v>
      </c>
      <c r="AK79" s="295">
        <v>0</v>
      </c>
      <c r="AL79" s="295">
        <v>0</v>
      </c>
      <c r="AO79" s="335"/>
      <c r="AP79" s="335"/>
      <c r="AQ79" s="295" t="str">
        <f t="shared" si="0"/>
        <v/>
      </c>
    </row>
    <row r="80" spans="2:43">
      <c r="B80" s="295" t="s">
        <v>781</v>
      </c>
      <c r="C80" s="332">
        <v>42794</v>
      </c>
      <c r="D80" s="333">
        <v>216.39</v>
      </c>
      <c r="E80" s="333">
        <v>0</v>
      </c>
      <c r="F80" s="334" t="s">
        <v>782</v>
      </c>
      <c r="G80" s="295" t="s">
        <v>923</v>
      </c>
      <c r="H80" s="335" t="s">
        <v>784</v>
      </c>
      <c r="I80" s="295" t="s">
        <v>924</v>
      </c>
      <c r="J80" s="295" t="s">
        <v>803</v>
      </c>
      <c r="K80" s="295" t="s">
        <v>787</v>
      </c>
      <c r="L80" s="299"/>
      <c r="M80" s="299"/>
      <c r="N80" s="299" t="s">
        <v>933</v>
      </c>
      <c r="O80" s="320"/>
      <c r="P80" s="299"/>
      <c r="Q80" s="299"/>
      <c r="U80" s="295" t="s">
        <v>925</v>
      </c>
      <c r="V80" s="295" t="s">
        <v>925</v>
      </c>
      <c r="X80" s="332">
        <v>42796</v>
      </c>
      <c r="Y80" s="332">
        <v>42797</v>
      </c>
      <c r="AA80" s="332"/>
      <c r="AB80" s="295" t="s">
        <v>793</v>
      </c>
      <c r="AC80" s="295">
        <v>0</v>
      </c>
      <c r="AD80" s="295">
        <v>0</v>
      </c>
      <c r="AE80" s="295">
        <v>0</v>
      </c>
      <c r="AF80" s="295">
        <v>0</v>
      </c>
      <c r="AG80" s="295">
        <v>0</v>
      </c>
      <c r="AH80" s="295">
        <v>1</v>
      </c>
      <c r="AI80" s="295">
        <v>70095</v>
      </c>
      <c r="AJ80" s="295">
        <v>2195</v>
      </c>
      <c r="AK80" s="295">
        <v>0</v>
      </c>
      <c r="AL80" s="295">
        <v>0</v>
      </c>
      <c r="AO80" s="335"/>
      <c r="AP80" s="335"/>
      <c r="AQ80" s="295" t="str">
        <f t="shared" si="0"/>
        <v/>
      </c>
    </row>
    <row r="81" spans="2:43">
      <c r="B81" s="295" t="s">
        <v>781</v>
      </c>
      <c r="C81" s="332">
        <v>42794</v>
      </c>
      <c r="D81" s="333">
        <v>200</v>
      </c>
      <c r="E81" s="333">
        <v>0</v>
      </c>
      <c r="F81" s="334" t="s">
        <v>782</v>
      </c>
      <c r="G81" s="295" t="s">
        <v>923</v>
      </c>
      <c r="H81" s="335" t="s">
        <v>784</v>
      </c>
      <c r="I81" s="295" t="s">
        <v>924</v>
      </c>
      <c r="J81" s="295" t="s">
        <v>803</v>
      </c>
      <c r="K81" s="295" t="s">
        <v>787</v>
      </c>
      <c r="L81" s="299"/>
      <c r="M81" s="299"/>
      <c r="N81" s="299" t="s">
        <v>934</v>
      </c>
      <c r="O81" s="320"/>
      <c r="P81" s="299"/>
      <c r="Q81" s="299"/>
      <c r="U81" s="295" t="s">
        <v>925</v>
      </c>
      <c r="V81" s="295" t="s">
        <v>925</v>
      </c>
      <c r="X81" s="332">
        <v>42796</v>
      </c>
      <c r="Y81" s="332">
        <v>42797</v>
      </c>
      <c r="AA81" s="332"/>
      <c r="AB81" s="295" t="s">
        <v>793</v>
      </c>
      <c r="AC81" s="295">
        <v>0</v>
      </c>
      <c r="AD81" s="295">
        <v>0</v>
      </c>
      <c r="AE81" s="295">
        <v>0</v>
      </c>
      <c r="AF81" s="295">
        <v>0</v>
      </c>
      <c r="AG81" s="295">
        <v>0</v>
      </c>
      <c r="AH81" s="295">
        <v>1</v>
      </c>
      <c r="AI81" s="295">
        <v>70095</v>
      </c>
      <c r="AJ81" s="295">
        <v>2195</v>
      </c>
      <c r="AK81" s="295">
        <v>0</v>
      </c>
      <c r="AL81" s="295">
        <v>0</v>
      </c>
      <c r="AO81" s="335"/>
      <c r="AP81" s="335"/>
      <c r="AQ81" s="295" t="str">
        <f t="shared" si="0"/>
        <v/>
      </c>
    </row>
    <row r="82" spans="2:43">
      <c r="B82" s="295" t="s">
        <v>781</v>
      </c>
      <c r="C82" s="332">
        <v>42794</v>
      </c>
      <c r="D82" s="333">
        <v>200</v>
      </c>
      <c r="E82" s="333">
        <v>0</v>
      </c>
      <c r="F82" s="334" t="s">
        <v>782</v>
      </c>
      <c r="G82" s="295" t="s">
        <v>923</v>
      </c>
      <c r="H82" s="335" t="s">
        <v>784</v>
      </c>
      <c r="I82" s="295" t="s">
        <v>924</v>
      </c>
      <c r="J82" s="295" t="s">
        <v>803</v>
      </c>
      <c r="K82" s="295" t="s">
        <v>787</v>
      </c>
      <c r="L82" s="299"/>
      <c r="M82" s="299"/>
      <c r="N82" s="299" t="s">
        <v>935</v>
      </c>
      <c r="O82" s="320"/>
      <c r="P82" s="299"/>
      <c r="Q82" s="299"/>
      <c r="U82" s="295" t="s">
        <v>925</v>
      </c>
      <c r="V82" s="295" t="s">
        <v>925</v>
      </c>
      <c r="X82" s="332">
        <v>42796</v>
      </c>
      <c r="Y82" s="332">
        <v>42797</v>
      </c>
      <c r="AA82" s="332"/>
      <c r="AB82" s="295" t="s">
        <v>793</v>
      </c>
      <c r="AC82" s="295">
        <v>0</v>
      </c>
      <c r="AD82" s="295">
        <v>0</v>
      </c>
      <c r="AE82" s="295">
        <v>0</v>
      </c>
      <c r="AF82" s="295">
        <v>0</v>
      </c>
      <c r="AG82" s="295">
        <v>0</v>
      </c>
      <c r="AH82" s="295">
        <v>1</v>
      </c>
      <c r="AI82" s="295">
        <v>70095</v>
      </c>
      <c r="AJ82" s="295">
        <v>2195</v>
      </c>
      <c r="AK82" s="295">
        <v>0</v>
      </c>
      <c r="AL82" s="295">
        <v>0</v>
      </c>
      <c r="AO82" s="335"/>
      <c r="AP82" s="335"/>
      <c r="AQ82" s="295" t="str">
        <f t="shared" si="0"/>
        <v/>
      </c>
    </row>
    <row r="83" spans="2:43">
      <c r="B83" s="295" t="s">
        <v>781</v>
      </c>
      <c r="C83" s="332">
        <v>42794</v>
      </c>
      <c r="D83" s="333">
        <v>150</v>
      </c>
      <c r="E83" s="333">
        <v>0</v>
      </c>
      <c r="F83" s="334" t="s">
        <v>782</v>
      </c>
      <c r="G83" s="295" t="s">
        <v>923</v>
      </c>
      <c r="H83" s="335" t="s">
        <v>784</v>
      </c>
      <c r="I83" s="295" t="s">
        <v>924</v>
      </c>
      <c r="J83" s="295" t="s">
        <v>803</v>
      </c>
      <c r="K83" s="295" t="s">
        <v>787</v>
      </c>
      <c r="L83" s="299"/>
      <c r="M83" s="299"/>
      <c r="N83" s="299" t="s">
        <v>933</v>
      </c>
      <c r="O83" s="320"/>
      <c r="P83" s="299"/>
      <c r="Q83" s="299"/>
      <c r="U83" s="295" t="s">
        <v>925</v>
      </c>
      <c r="V83" s="295" t="s">
        <v>925</v>
      </c>
      <c r="X83" s="332">
        <v>42796</v>
      </c>
      <c r="Y83" s="332">
        <v>42797</v>
      </c>
      <c r="AA83" s="332"/>
      <c r="AB83" s="295" t="s">
        <v>793</v>
      </c>
      <c r="AC83" s="295">
        <v>0</v>
      </c>
      <c r="AD83" s="295">
        <v>0</v>
      </c>
      <c r="AE83" s="295">
        <v>0</v>
      </c>
      <c r="AF83" s="295">
        <v>0</v>
      </c>
      <c r="AG83" s="295">
        <v>0</v>
      </c>
      <c r="AH83" s="295">
        <v>1</v>
      </c>
      <c r="AI83" s="295">
        <v>70095</v>
      </c>
      <c r="AJ83" s="295">
        <v>2195</v>
      </c>
      <c r="AK83" s="295">
        <v>0</v>
      </c>
      <c r="AL83" s="295">
        <v>0</v>
      </c>
      <c r="AO83" s="335"/>
      <c r="AP83" s="335"/>
      <c r="AQ83" s="295" t="str">
        <f t="shared" si="0"/>
        <v/>
      </c>
    </row>
    <row r="84" spans="2:43">
      <c r="B84" s="295" t="s">
        <v>781</v>
      </c>
      <c r="C84" s="332">
        <v>42794</v>
      </c>
      <c r="D84" s="333">
        <v>36.71</v>
      </c>
      <c r="E84" s="333">
        <v>0</v>
      </c>
      <c r="F84" s="334" t="s">
        <v>782</v>
      </c>
      <c r="G84" s="295" t="s">
        <v>923</v>
      </c>
      <c r="H84" s="335" t="s">
        <v>784</v>
      </c>
      <c r="I84" s="295" t="s">
        <v>924</v>
      </c>
      <c r="J84" s="295" t="s">
        <v>803</v>
      </c>
      <c r="K84" s="295" t="s">
        <v>787</v>
      </c>
      <c r="L84" s="299"/>
      <c r="M84" s="299"/>
      <c r="N84" s="299" t="s">
        <v>936</v>
      </c>
      <c r="O84" s="320"/>
      <c r="P84" s="299"/>
      <c r="Q84" s="299"/>
      <c r="U84" s="295" t="s">
        <v>925</v>
      </c>
      <c r="V84" s="295" t="s">
        <v>925</v>
      </c>
      <c r="X84" s="332">
        <v>42796</v>
      </c>
      <c r="Y84" s="332">
        <v>42797</v>
      </c>
      <c r="AA84" s="332"/>
      <c r="AB84" s="295" t="s">
        <v>793</v>
      </c>
      <c r="AC84" s="295">
        <v>0</v>
      </c>
      <c r="AD84" s="295">
        <v>0</v>
      </c>
      <c r="AE84" s="295">
        <v>0</v>
      </c>
      <c r="AF84" s="295">
        <v>0</v>
      </c>
      <c r="AG84" s="295">
        <v>0</v>
      </c>
      <c r="AH84" s="295">
        <v>1</v>
      </c>
      <c r="AI84" s="295">
        <v>70095</v>
      </c>
      <c r="AJ84" s="295">
        <v>2195</v>
      </c>
      <c r="AK84" s="295">
        <v>0</v>
      </c>
      <c r="AL84" s="295">
        <v>0</v>
      </c>
      <c r="AO84" s="335"/>
      <c r="AP84" s="335"/>
      <c r="AQ84" s="295" t="str">
        <f t="shared" si="0"/>
        <v/>
      </c>
    </row>
    <row r="85" spans="2:43">
      <c r="B85" s="295" t="s">
        <v>781</v>
      </c>
      <c r="C85" s="332">
        <v>42794</v>
      </c>
      <c r="D85" s="333">
        <v>397.3</v>
      </c>
      <c r="E85" s="333">
        <v>0</v>
      </c>
      <c r="F85" s="334" t="s">
        <v>782</v>
      </c>
      <c r="G85" s="295" t="s">
        <v>937</v>
      </c>
      <c r="H85" s="335" t="s">
        <v>784</v>
      </c>
      <c r="I85" s="295" t="s">
        <v>938</v>
      </c>
      <c r="J85" s="295" t="s">
        <v>803</v>
      </c>
      <c r="K85" s="295" t="s">
        <v>787</v>
      </c>
      <c r="L85" s="299"/>
      <c r="M85" s="299"/>
      <c r="N85" s="299" t="s">
        <v>911</v>
      </c>
      <c r="O85" s="320"/>
      <c r="P85" s="299"/>
      <c r="Q85" s="299"/>
      <c r="U85" s="295" t="s">
        <v>939</v>
      </c>
      <c r="V85" s="295" t="s">
        <v>939</v>
      </c>
      <c r="X85" s="332">
        <v>42799</v>
      </c>
      <c r="Y85" s="332">
        <v>42800</v>
      </c>
      <c r="AA85" s="332"/>
      <c r="AB85" s="295" t="s">
        <v>793</v>
      </c>
      <c r="AC85" s="295">
        <v>0</v>
      </c>
      <c r="AD85" s="295">
        <v>0</v>
      </c>
      <c r="AE85" s="295">
        <v>0</v>
      </c>
      <c r="AF85" s="295">
        <v>0</v>
      </c>
      <c r="AG85" s="295">
        <v>0</v>
      </c>
      <c r="AH85" s="295">
        <v>1</v>
      </c>
      <c r="AI85" s="295">
        <v>70095</v>
      </c>
      <c r="AJ85" s="295">
        <v>2195</v>
      </c>
      <c r="AK85" s="295">
        <v>0</v>
      </c>
      <c r="AL85" s="295">
        <v>0</v>
      </c>
      <c r="AO85" s="335"/>
      <c r="AP85" s="335"/>
      <c r="AQ85" s="295" t="str">
        <f t="shared" ref="AQ85:AQ120" si="1">IF(LEFT(U85,2)="VO",U85,"")</f>
        <v/>
      </c>
    </row>
    <row r="86" spans="2:43">
      <c r="B86" s="295" t="s">
        <v>781</v>
      </c>
      <c r="C86" s="332">
        <v>42794</v>
      </c>
      <c r="D86" s="333">
        <v>431.25</v>
      </c>
      <c r="E86" s="333">
        <v>0</v>
      </c>
      <c r="F86" s="334" t="s">
        <v>782</v>
      </c>
      <c r="G86" s="295" t="s">
        <v>940</v>
      </c>
      <c r="H86" s="335" t="s">
        <v>784</v>
      </c>
      <c r="I86" s="295" t="s">
        <v>867</v>
      </c>
      <c r="J86" s="295" t="s">
        <v>803</v>
      </c>
      <c r="K86" s="295" t="s">
        <v>787</v>
      </c>
      <c r="L86" s="299"/>
      <c r="M86" s="299"/>
      <c r="N86" s="299" t="s">
        <v>894</v>
      </c>
      <c r="O86" s="320"/>
      <c r="P86" s="299"/>
      <c r="Q86" s="299"/>
      <c r="U86" s="295" t="s">
        <v>941</v>
      </c>
      <c r="V86" s="295" t="s">
        <v>941</v>
      </c>
      <c r="X86" s="332">
        <v>42800</v>
      </c>
      <c r="Y86" s="332">
        <v>42800</v>
      </c>
      <c r="AA86" s="332"/>
      <c r="AB86" s="295" t="s">
        <v>793</v>
      </c>
      <c r="AC86" s="295">
        <v>0</v>
      </c>
      <c r="AD86" s="295">
        <v>0</v>
      </c>
      <c r="AE86" s="295">
        <v>0</v>
      </c>
      <c r="AF86" s="295">
        <v>0</v>
      </c>
      <c r="AG86" s="295">
        <v>0</v>
      </c>
      <c r="AH86" s="295">
        <v>1</v>
      </c>
      <c r="AI86" s="295">
        <v>70095</v>
      </c>
      <c r="AJ86" s="295">
        <v>2195</v>
      </c>
      <c r="AK86" s="295">
        <v>0</v>
      </c>
      <c r="AL86" s="295">
        <v>0</v>
      </c>
      <c r="AO86" s="335"/>
      <c r="AP86" s="335"/>
      <c r="AQ86" s="295" t="str">
        <f t="shared" si="1"/>
        <v/>
      </c>
    </row>
    <row r="87" spans="2:43">
      <c r="B87" s="295" t="s">
        <v>781</v>
      </c>
      <c r="C87" s="332">
        <v>42794</v>
      </c>
      <c r="D87" s="333">
        <v>1500</v>
      </c>
      <c r="E87" s="333">
        <v>0</v>
      </c>
      <c r="F87" s="334" t="s">
        <v>782</v>
      </c>
      <c r="G87" s="295" t="s">
        <v>940</v>
      </c>
      <c r="H87" s="335" t="s">
        <v>784</v>
      </c>
      <c r="I87" s="295" t="s">
        <v>867</v>
      </c>
      <c r="J87" s="295" t="s">
        <v>803</v>
      </c>
      <c r="K87" s="295" t="s">
        <v>787</v>
      </c>
      <c r="L87" s="299"/>
      <c r="M87" s="299"/>
      <c r="N87" s="299" t="s">
        <v>942</v>
      </c>
      <c r="O87" s="320"/>
      <c r="P87" s="299"/>
      <c r="Q87" s="299"/>
      <c r="U87" s="295" t="s">
        <v>941</v>
      </c>
      <c r="V87" s="295" t="s">
        <v>941</v>
      </c>
      <c r="X87" s="332">
        <v>42800</v>
      </c>
      <c r="Y87" s="332">
        <v>42800</v>
      </c>
      <c r="AA87" s="332"/>
      <c r="AB87" s="295" t="s">
        <v>793</v>
      </c>
      <c r="AC87" s="295">
        <v>0</v>
      </c>
      <c r="AD87" s="295">
        <v>0</v>
      </c>
      <c r="AE87" s="295">
        <v>0</v>
      </c>
      <c r="AF87" s="295">
        <v>0</v>
      </c>
      <c r="AG87" s="295">
        <v>0</v>
      </c>
      <c r="AH87" s="295">
        <v>1</v>
      </c>
      <c r="AI87" s="295">
        <v>70095</v>
      </c>
      <c r="AJ87" s="295">
        <v>2195</v>
      </c>
      <c r="AK87" s="295">
        <v>0</v>
      </c>
      <c r="AL87" s="295">
        <v>0</v>
      </c>
      <c r="AO87" s="335"/>
      <c r="AP87" s="335"/>
      <c r="AQ87" s="295" t="str">
        <f t="shared" si="1"/>
        <v/>
      </c>
    </row>
    <row r="88" spans="2:43">
      <c r="B88" s="295" t="s">
        <v>781</v>
      </c>
      <c r="C88" s="332">
        <v>42794</v>
      </c>
      <c r="D88" s="333">
        <v>175.6</v>
      </c>
      <c r="E88" s="333">
        <v>0</v>
      </c>
      <c r="F88" s="334" t="s">
        <v>782</v>
      </c>
      <c r="G88" s="295" t="s">
        <v>940</v>
      </c>
      <c r="H88" s="335" t="s">
        <v>784</v>
      </c>
      <c r="I88" s="295" t="s">
        <v>867</v>
      </c>
      <c r="J88" s="295" t="s">
        <v>803</v>
      </c>
      <c r="K88" s="295" t="s">
        <v>787</v>
      </c>
      <c r="L88" s="299"/>
      <c r="M88" s="299"/>
      <c r="N88" s="299" t="s">
        <v>943</v>
      </c>
      <c r="O88" s="320"/>
      <c r="P88" s="299"/>
      <c r="Q88" s="299"/>
      <c r="U88" s="295" t="s">
        <v>941</v>
      </c>
      <c r="V88" s="295" t="s">
        <v>941</v>
      </c>
      <c r="X88" s="332">
        <v>42800</v>
      </c>
      <c r="Y88" s="332">
        <v>42800</v>
      </c>
      <c r="AA88" s="332"/>
      <c r="AB88" s="295" t="s">
        <v>793</v>
      </c>
      <c r="AC88" s="295">
        <v>0</v>
      </c>
      <c r="AD88" s="295">
        <v>0</v>
      </c>
      <c r="AE88" s="295">
        <v>0</v>
      </c>
      <c r="AF88" s="295">
        <v>0</v>
      </c>
      <c r="AG88" s="295">
        <v>0</v>
      </c>
      <c r="AH88" s="295">
        <v>1</v>
      </c>
      <c r="AI88" s="295">
        <v>70095</v>
      </c>
      <c r="AJ88" s="295">
        <v>2195</v>
      </c>
      <c r="AK88" s="295">
        <v>0</v>
      </c>
      <c r="AL88" s="295">
        <v>0</v>
      </c>
      <c r="AO88" s="335"/>
      <c r="AP88" s="335"/>
      <c r="AQ88" s="295" t="str">
        <f t="shared" si="1"/>
        <v/>
      </c>
    </row>
    <row r="89" spans="2:43">
      <c r="B89" s="295" t="s">
        <v>781</v>
      </c>
      <c r="C89" s="332">
        <v>42794</v>
      </c>
      <c r="D89" s="333">
        <v>1320.01</v>
      </c>
      <c r="E89" s="333">
        <v>0</v>
      </c>
      <c r="F89" s="334" t="s">
        <v>782</v>
      </c>
      <c r="G89" s="295" t="s">
        <v>944</v>
      </c>
      <c r="H89" s="335" t="s">
        <v>784</v>
      </c>
      <c r="I89" s="295" t="s">
        <v>802</v>
      </c>
      <c r="J89" s="295" t="s">
        <v>796</v>
      </c>
      <c r="K89" s="295" t="s">
        <v>787</v>
      </c>
      <c r="L89" s="299"/>
      <c r="M89" s="299"/>
      <c r="N89" s="299" t="s">
        <v>945</v>
      </c>
      <c r="O89" s="320"/>
      <c r="P89" s="299"/>
      <c r="Q89" s="299"/>
      <c r="U89" s="295" t="s">
        <v>946</v>
      </c>
      <c r="V89" s="295" t="s">
        <v>946</v>
      </c>
      <c r="X89" s="332">
        <v>42800</v>
      </c>
      <c r="Y89" s="332">
        <v>42801</v>
      </c>
      <c r="AA89" s="332"/>
      <c r="AB89" s="295" t="s">
        <v>793</v>
      </c>
      <c r="AC89" s="295">
        <v>0</v>
      </c>
      <c r="AD89" s="295">
        <v>0</v>
      </c>
      <c r="AE89" s="295">
        <v>0</v>
      </c>
      <c r="AF89" s="295">
        <v>0</v>
      </c>
      <c r="AG89" s="295">
        <v>0</v>
      </c>
      <c r="AH89" s="295">
        <v>1</v>
      </c>
      <c r="AI89" s="295">
        <v>70095</v>
      </c>
      <c r="AJ89" s="295">
        <v>2195</v>
      </c>
      <c r="AK89" s="295">
        <v>0</v>
      </c>
      <c r="AL89" s="295">
        <v>0</v>
      </c>
      <c r="AO89" s="335"/>
      <c r="AP89" s="335"/>
      <c r="AQ89" s="295" t="str">
        <f t="shared" si="1"/>
        <v/>
      </c>
    </row>
    <row r="90" spans="2:43">
      <c r="B90" s="295" t="s">
        <v>781</v>
      </c>
      <c r="C90" s="332">
        <v>42794</v>
      </c>
      <c r="D90" s="333">
        <v>47</v>
      </c>
      <c r="E90" s="333">
        <v>0</v>
      </c>
      <c r="F90" s="334" t="s">
        <v>782</v>
      </c>
      <c r="G90" s="295" t="s">
        <v>944</v>
      </c>
      <c r="H90" s="335" t="s">
        <v>784</v>
      </c>
      <c r="I90" s="295" t="s">
        <v>802</v>
      </c>
      <c r="J90" s="295" t="s">
        <v>796</v>
      </c>
      <c r="K90" s="295" t="s">
        <v>787</v>
      </c>
      <c r="L90" s="299"/>
      <c r="M90" s="299"/>
      <c r="N90" s="299" t="s">
        <v>947</v>
      </c>
      <c r="O90" s="320"/>
      <c r="P90" s="299"/>
      <c r="Q90" s="299"/>
      <c r="U90" s="295" t="s">
        <v>946</v>
      </c>
      <c r="V90" s="295" t="s">
        <v>946</v>
      </c>
      <c r="X90" s="332">
        <v>42800</v>
      </c>
      <c r="Y90" s="332">
        <v>42801</v>
      </c>
      <c r="AA90" s="332"/>
      <c r="AB90" s="295" t="s">
        <v>793</v>
      </c>
      <c r="AC90" s="295">
        <v>0</v>
      </c>
      <c r="AD90" s="295">
        <v>0</v>
      </c>
      <c r="AE90" s="295">
        <v>0</v>
      </c>
      <c r="AF90" s="295">
        <v>0</v>
      </c>
      <c r="AG90" s="295">
        <v>0</v>
      </c>
      <c r="AH90" s="295">
        <v>1</v>
      </c>
      <c r="AI90" s="295">
        <v>70095</v>
      </c>
      <c r="AJ90" s="295">
        <v>2195</v>
      </c>
      <c r="AK90" s="295">
        <v>0</v>
      </c>
      <c r="AL90" s="295">
        <v>0</v>
      </c>
      <c r="AO90" s="335"/>
      <c r="AP90" s="335"/>
      <c r="AQ90" s="295" t="str">
        <f t="shared" si="1"/>
        <v/>
      </c>
    </row>
    <row r="91" spans="2:43">
      <c r="B91" s="295" t="s">
        <v>781</v>
      </c>
      <c r="C91" s="332">
        <v>42802</v>
      </c>
      <c r="D91" s="333">
        <v>1320.01</v>
      </c>
      <c r="E91" s="333">
        <v>0</v>
      </c>
      <c r="F91" s="334" t="s">
        <v>782</v>
      </c>
      <c r="G91" s="295" t="s">
        <v>948</v>
      </c>
      <c r="H91" s="335" t="s">
        <v>784</v>
      </c>
      <c r="I91" s="295" t="s">
        <v>785</v>
      </c>
      <c r="J91" s="295" t="s">
        <v>810</v>
      </c>
      <c r="K91" s="295" t="s">
        <v>787</v>
      </c>
      <c r="L91" s="299" t="s">
        <v>949</v>
      </c>
      <c r="M91" s="299"/>
      <c r="N91" s="299" t="s">
        <v>950</v>
      </c>
      <c r="O91" s="320">
        <v>42794</v>
      </c>
      <c r="P91" s="299"/>
      <c r="Q91" s="299" t="s">
        <v>951</v>
      </c>
      <c r="U91" s="295" t="s">
        <v>952</v>
      </c>
      <c r="V91" s="295" t="s">
        <v>953</v>
      </c>
      <c r="W91" s="295">
        <v>2195</v>
      </c>
      <c r="X91" s="332">
        <v>42802</v>
      </c>
      <c r="Y91" s="332">
        <v>42802</v>
      </c>
      <c r="Z91" s="295">
        <v>1434.21</v>
      </c>
      <c r="AA91" s="332">
        <v>42795</v>
      </c>
      <c r="AB91" s="295" t="s">
        <v>793</v>
      </c>
      <c r="AC91" s="295">
        <v>0</v>
      </c>
      <c r="AD91" s="295">
        <v>0</v>
      </c>
      <c r="AE91" s="295">
        <v>0</v>
      </c>
      <c r="AF91" s="295">
        <v>0</v>
      </c>
      <c r="AG91" s="295">
        <v>0</v>
      </c>
      <c r="AH91" s="295">
        <v>1</v>
      </c>
      <c r="AI91" s="295">
        <v>70095</v>
      </c>
      <c r="AJ91" s="295">
        <v>2195</v>
      </c>
      <c r="AK91" s="295">
        <v>0</v>
      </c>
      <c r="AL91" s="295">
        <v>0</v>
      </c>
      <c r="AO91" s="335"/>
      <c r="AP91" s="335"/>
      <c r="AQ91" s="295" t="str">
        <f t="shared" si="1"/>
        <v>VO04223446</v>
      </c>
    </row>
    <row r="92" spans="2:43">
      <c r="B92" s="295" t="s">
        <v>781</v>
      </c>
      <c r="C92" s="332">
        <v>42825</v>
      </c>
      <c r="D92" s="333">
        <v>-431.25</v>
      </c>
      <c r="E92" s="333">
        <v>0</v>
      </c>
      <c r="F92" s="334" t="s">
        <v>782</v>
      </c>
      <c r="G92" s="295" t="s">
        <v>954</v>
      </c>
      <c r="H92" s="335" t="s">
        <v>784</v>
      </c>
      <c r="I92" s="295" t="s">
        <v>867</v>
      </c>
      <c r="J92" s="295" t="s">
        <v>803</v>
      </c>
      <c r="K92" s="295" t="s">
        <v>787</v>
      </c>
      <c r="L92" s="299"/>
      <c r="M92" s="299"/>
      <c r="N92" s="299" t="s">
        <v>894</v>
      </c>
      <c r="O92" s="320"/>
      <c r="P92" s="299"/>
      <c r="Q92" s="299"/>
      <c r="U92" s="295" t="s">
        <v>941</v>
      </c>
      <c r="V92" s="295" t="s">
        <v>955</v>
      </c>
      <c r="X92" s="332">
        <v>42800</v>
      </c>
      <c r="Y92" s="332">
        <v>42800</v>
      </c>
      <c r="AA92" s="332"/>
      <c r="AB92" s="295" t="s">
        <v>793</v>
      </c>
      <c r="AC92" s="295">
        <v>0</v>
      </c>
      <c r="AD92" s="295">
        <v>0</v>
      </c>
      <c r="AE92" s="295">
        <v>0</v>
      </c>
      <c r="AF92" s="295">
        <v>0</v>
      </c>
      <c r="AG92" s="295">
        <v>5</v>
      </c>
      <c r="AH92" s="295">
        <v>1</v>
      </c>
      <c r="AI92" s="295">
        <v>70095</v>
      </c>
      <c r="AJ92" s="295">
        <v>2195</v>
      </c>
      <c r="AK92" s="295">
        <v>0</v>
      </c>
      <c r="AL92" s="295">
        <v>0</v>
      </c>
      <c r="AO92" s="335"/>
      <c r="AP92" s="335"/>
      <c r="AQ92" s="295" t="str">
        <f t="shared" si="1"/>
        <v/>
      </c>
    </row>
    <row r="93" spans="2:43">
      <c r="B93" s="295" t="s">
        <v>781</v>
      </c>
      <c r="C93" s="332">
        <v>42825</v>
      </c>
      <c r="D93" s="333">
        <v>-1500</v>
      </c>
      <c r="E93" s="333">
        <v>0</v>
      </c>
      <c r="F93" s="334" t="s">
        <v>782</v>
      </c>
      <c r="G93" s="295" t="s">
        <v>954</v>
      </c>
      <c r="H93" s="335" t="s">
        <v>784</v>
      </c>
      <c r="I93" s="295" t="s">
        <v>867</v>
      </c>
      <c r="J93" s="295" t="s">
        <v>803</v>
      </c>
      <c r="K93" s="295" t="s">
        <v>787</v>
      </c>
      <c r="L93" s="299"/>
      <c r="M93" s="299"/>
      <c r="N93" s="299" t="s">
        <v>942</v>
      </c>
      <c r="O93" s="320"/>
      <c r="P93" s="299"/>
      <c r="Q93" s="299"/>
      <c r="U93" s="295" t="s">
        <v>941</v>
      </c>
      <c r="V93" s="295" t="s">
        <v>955</v>
      </c>
      <c r="X93" s="332">
        <v>42800</v>
      </c>
      <c r="Y93" s="332">
        <v>42800</v>
      </c>
      <c r="AA93" s="332"/>
      <c r="AB93" s="295" t="s">
        <v>793</v>
      </c>
      <c r="AC93" s="295">
        <v>0</v>
      </c>
      <c r="AD93" s="295">
        <v>0</v>
      </c>
      <c r="AE93" s="295">
        <v>0</v>
      </c>
      <c r="AF93" s="295">
        <v>0</v>
      </c>
      <c r="AG93" s="295">
        <v>5</v>
      </c>
      <c r="AH93" s="295">
        <v>1</v>
      </c>
      <c r="AI93" s="295">
        <v>70095</v>
      </c>
      <c r="AJ93" s="295">
        <v>2195</v>
      </c>
      <c r="AK93" s="295">
        <v>0</v>
      </c>
      <c r="AL93" s="295">
        <v>0</v>
      </c>
      <c r="AO93" s="335"/>
      <c r="AP93" s="335"/>
      <c r="AQ93" s="295" t="str">
        <f t="shared" si="1"/>
        <v/>
      </c>
    </row>
    <row r="94" spans="2:43">
      <c r="B94" s="295" t="s">
        <v>781</v>
      </c>
      <c r="C94" s="332">
        <v>42825</v>
      </c>
      <c r="D94" s="333">
        <v>-175.6</v>
      </c>
      <c r="E94" s="333">
        <v>0</v>
      </c>
      <c r="F94" s="334" t="s">
        <v>782</v>
      </c>
      <c r="G94" s="295" t="s">
        <v>954</v>
      </c>
      <c r="H94" s="335" t="s">
        <v>784</v>
      </c>
      <c r="I94" s="295" t="s">
        <v>867</v>
      </c>
      <c r="J94" s="295" t="s">
        <v>803</v>
      </c>
      <c r="K94" s="295" t="s">
        <v>787</v>
      </c>
      <c r="L94" s="299"/>
      <c r="M94" s="299"/>
      <c r="N94" s="299" t="s">
        <v>943</v>
      </c>
      <c r="O94" s="320"/>
      <c r="P94" s="299"/>
      <c r="Q94" s="299"/>
      <c r="U94" s="295" t="s">
        <v>941</v>
      </c>
      <c r="V94" s="295" t="s">
        <v>955</v>
      </c>
      <c r="X94" s="332">
        <v>42800</v>
      </c>
      <c r="Y94" s="332">
        <v>42800</v>
      </c>
      <c r="AA94" s="332"/>
      <c r="AB94" s="295" t="s">
        <v>793</v>
      </c>
      <c r="AC94" s="295">
        <v>0</v>
      </c>
      <c r="AD94" s="295">
        <v>0</v>
      </c>
      <c r="AE94" s="295">
        <v>0</v>
      </c>
      <c r="AF94" s="295">
        <v>0</v>
      </c>
      <c r="AG94" s="295">
        <v>5</v>
      </c>
      <c r="AH94" s="295">
        <v>1</v>
      </c>
      <c r="AI94" s="295">
        <v>70095</v>
      </c>
      <c r="AJ94" s="295">
        <v>2195</v>
      </c>
      <c r="AK94" s="295">
        <v>0</v>
      </c>
      <c r="AL94" s="295">
        <v>0</v>
      </c>
      <c r="AO94" s="335"/>
      <c r="AP94" s="335"/>
      <c r="AQ94" s="295" t="str">
        <f t="shared" si="1"/>
        <v/>
      </c>
    </row>
    <row r="95" spans="2:43">
      <c r="B95" s="295" t="s">
        <v>781</v>
      </c>
      <c r="C95" s="332">
        <v>42825</v>
      </c>
      <c r="D95" s="333">
        <v>-1320.01</v>
      </c>
      <c r="E95" s="333">
        <v>0</v>
      </c>
      <c r="F95" s="334" t="s">
        <v>782</v>
      </c>
      <c r="G95" s="295" t="s">
        <v>956</v>
      </c>
      <c r="H95" s="335" t="s">
        <v>784</v>
      </c>
      <c r="I95" s="295" t="s">
        <v>802</v>
      </c>
      <c r="J95" s="295" t="s">
        <v>803</v>
      </c>
      <c r="K95" s="295" t="s">
        <v>787</v>
      </c>
      <c r="L95" s="299"/>
      <c r="M95" s="299"/>
      <c r="N95" s="299" t="s">
        <v>945</v>
      </c>
      <c r="O95" s="320"/>
      <c r="P95" s="299"/>
      <c r="Q95" s="299"/>
      <c r="U95" s="295" t="s">
        <v>946</v>
      </c>
      <c r="V95" s="295" t="s">
        <v>957</v>
      </c>
      <c r="X95" s="332">
        <v>42801</v>
      </c>
      <c r="Y95" s="332">
        <v>42801</v>
      </c>
      <c r="AA95" s="332"/>
      <c r="AB95" s="295" t="s">
        <v>793</v>
      </c>
      <c r="AC95" s="295">
        <v>0</v>
      </c>
      <c r="AD95" s="295">
        <v>0</v>
      </c>
      <c r="AE95" s="295">
        <v>0</v>
      </c>
      <c r="AF95" s="295">
        <v>0</v>
      </c>
      <c r="AG95" s="295">
        <v>5</v>
      </c>
      <c r="AH95" s="295">
        <v>1</v>
      </c>
      <c r="AI95" s="295">
        <v>70095</v>
      </c>
      <c r="AJ95" s="295">
        <v>2195</v>
      </c>
      <c r="AK95" s="295">
        <v>0</v>
      </c>
      <c r="AL95" s="295">
        <v>0</v>
      </c>
      <c r="AO95" s="335"/>
      <c r="AP95" s="335"/>
      <c r="AQ95" s="295" t="str">
        <f t="shared" si="1"/>
        <v/>
      </c>
    </row>
    <row r="96" spans="2:43">
      <c r="B96" s="295" t="s">
        <v>781</v>
      </c>
      <c r="C96" s="332">
        <v>42825</v>
      </c>
      <c r="D96" s="333">
        <v>-47</v>
      </c>
      <c r="E96" s="333">
        <v>0</v>
      </c>
      <c r="F96" s="334" t="s">
        <v>782</v>
      </c>
      <c r="G96" s="295" t="s">
        <v>956</v>
      </c>
      <c r="H96" s="335" t="s">
        <v>784</v>
      </c>
      <c r="I96" s="295" t="s">
        <v>802</v>
      </c>
      <c r="J96" s="295" t="s">
        <v>803</v>
      </c>
      <c r="K96" s="295" t="s">
        <v>787</v>
      </c>
      <c r="L96" s="299"/>
      <c r="M96" s="299"/>
      <c r="N96" s="299" t="s">
        <v>947</v>
      </c>
      <c r="O96" s="320"/>
      <c r="P96" s="299"/>
      <c r="Q96" s="299"/>
      <c r="U96" s="295" t="s">
        <v>946</v>
      </c>
      <c r="V96" s="295" t="s">
        <v>957</v>
      </c>
      <c r="X96" s="332">
        <v>42801</v>
      </c>
      <c r="Y96" s="332">
        <v>42801</v>
      </c>
      <c r="AA96" s="332"/>
      <c r="AB96" s="295" t="s">
        <v>793</v>
      </c>
      <c r="AC96" s="295">
        <v>0</v>
      </c>
      <c r="AD96" s="295">
        <v>0</v>
      </c>
      <c r="AE96" s="295">
        <v>0</v>
      </c>
      <c r="AF96" s="295">
        <v>0</v>
      </c>
      <c r="AG96" s="295">
        <v>5</v>
      </c>
      <c r="AH96" s="295">
        <v>1</v>
      </c>
      <c r="AI96" s="295">
        <v>70095</v>
      </c>
      <c r="AJ96" s="295">
        <v>2195</v>
      </c>
      <c r="AK96" s="295">
        <v>0</v>
      </c>
      <c r="AL96" s="295">
        <v>0</v>
      </c>
      <c r="AO96" s="335"/>
      <c r="AP96" s="335"/>
      <c r="AQ96" s="295" t="str">
        <f t="shared" si="1"/>
        <v/>
      </c>
    </row>
    <row r="97" spans="2:43">
      <c r="B97" s="295" t="s">
        <v>781</v>
      </c>
      <c r="C97" s="332">
        <v>42825</v>
      </c>
      <c r="D97" s="333">
        <v>431.25</v>
      </c>
      <c r="E97" s="333">
        <v>0</v>
      </c>
      <c r="F97" s="334" t="s">
        <v>782</v>
      </c>
      <c r="G97" s="295" t="s">
        <v>958</v>
      </c>
      <c r="H97" s="335" t="s">
        <v>784</v>
      </c>
      <c r="I97" s="295" t="s">
        <v>959</v>
      </c>
      <c r="J97" s="295" t="s">
        <v>796</v>
      </c>
      <c r="K97" s="295" t="s">
        <v>787</v>
      </c>
      <c r="L97" s="299"/>
      <c r="M97" s="299"/>
      <c r="N97" s="299" t="s">
        <v>894</v>
      </c>
      <c r="O97" s="320"/>
      <c r="P97" s="299"/>
      <c r="Q97" s="299"/>
      <c r="U97" s="295" t="s">
        <v>960</v>
      </c>
      <c r="V97" s="295" t="s">
        <v>960</v>
      </c>
      <c r="X97" s="332">
        <v>42828</v>
      </c>
      <c r="Y97" s="332">
        <v>42829</v>
      </c>
      <c r="AA97" s="332"/>
      <c r="AB97" s="295" t="s">
        <v>793</v>
      </c>
      <c r="AC97" s="295">
        <v>0</v>
      </c>
      <c r="AD97" s="295">
        <v>0</v>
      </c>
      <c r="AE97" s="295">
        <v>0</v>
      </c>
      <c r="AF97" s="295">
        <v>0</v>
      </c>
      <c r="AG97" s="295">
        <v>0</v>
      </c>
      <c r="AH97" s="295">
        <v>1</v>
      </c>
      <c r="AI97" s="295">
        <v>70095</v>
      </c>
      <c r="AJ97" s="295">
        <v>2195</v>
      </c>
      <c r="AK97" s="295">
        <v>0</v>
      </c>
      <c r="AL97" s="295">
        <v>0</v>
      </c>
      <c r="AO97" s="335"/>
      <c r="AP97" s="335"/>
      <c r="AQ97" s="295" t="str">
        <f t="shared" si="1"/>
        <v/>
      </c>
    </row>
    <row r="98" spans="2:43">
      <c r="B98" s="295" t="s">
        <v>781</v>
      </c>
      <c r="C98" s="332">
        <v>42825</v>
      </c>
      <c r="D98" s="333">
        <v>58.8</v>
      </c>
      <c r="E98" s="333">
        <v>0</v>
      </c>
      <c r="F98" s="334" t="s">
        <v>782</v>
      </c>
      <c r="G98" s="295" t="s">
        <v>958</v>
      </c>
      <c r="H98" s="335" t="s">
        <v>784</v>
      </c>
      <c r="I98" s="295" t="s">
        <v>959</v>
      </c>
      <c r="J98" s="295" t="s">
        <v>796</v>
      </c>
      <c r="K98" s="295" t="s">
        <v>787</v>
      </c>
      <c r="L98" s="299"/>
      <c r="M98" s="299"/>
      <c r="N98" s="299" t="s">
        <v>908</v>
      </c>
      <c r="O98" s="320"/>
      <c r="P98" s="299"/>
      <c r="Q98" s="299"/>
      <c r="U98" s="295" t="s">
        <v>960</v>
      </c>
      <c r="V98" s="295" t="s">
        <v>960</v>
      </c>
      <c r="X98" s="332">
        <v>42828</v>
      </c>
      <c r="Y98" s="332">
        <v>42829</v>
      </c>
      <c r="AA98" s="332"/>
      <c r="AB98" s="295" t="s">
        <v>793</v>
      </c>
      <c r="AC98" s="295">
        <v>0</v>
      </c>
      <c r="AD98" s="295">
        <v>0</v>
      </c>
      <c r="AE98" s="295">
        <v>0</v>
      </c>
      <c r="AF98" s="295">
        <v>0</v>
      </c>
      <c r="AG98" s="295">
        <v>0</v>
      </c>
      <c r="AH98" s="295">
        <v>1</v>
      </c>
      <c r="AI98" s="295">
        <v>70095</v>
      </c>
      <c r="AJ98" s="295">
        <v>2195</v>
      </c>
      <c r="AK98" s="295">
        <v>0</v>
      </c>
      <c r="AL98" s="295">
        <v>0</v>
      </c>
      <c r="AO98" s="335"/>
      <c r="AP98" s="335"/>
      <c r="AQ98" s="295" t="str">
        <f t="shared" si="1"/>
        <v/>
      </c>
    </row>
    <row r="99" spans="2:43">
      <c r="B99" s="295" t="s">
        <v>781</v>
      </c>
      <c r="C99" s="332">
        <v>42825</v>
      </c>
      <c r="D99" s="333">
        <v>1500</v>
      </c>
      <c r="E99" s="333">
        <v>0</v>
      </c>
      <c r="F99" s="334" t="s">
        <v>782</v>
      </c>
      <c r="G99" s="295" t="s">
        <v>958</v>
      </c>
      <c r="H99" s="335" t="s">
        <v>784</v>
      </c>
      <c r="I99" s="295" t="s">
        <v>959</v>
      </c>
      <c r="J99" s="295" t="s">
        <v>796</v>
      </c>
      <c r="K99" s="295" t="s">
        <v>787</v>
      </c>
      <c r="L99" s="299"/>
      <c r="M99" s="299"/>
      <c r="N99" s="299" t="s">
        <v>942</v>
      </c>
      <c r="O99" s="320"/>
      <c r="P99" s="299"/>
      <c r="Q99" s="299"/>
      <c r="U99" s="295" t="s">
        <v>960</v>
      </c>
      <c r="V99" s="295" t="s">
        <v>960</v>
      </c>
      <c r="X99" s="332">
        <v>42828</v>
      </c>
      <c r="Y99" s="332">
        <v>42829</v>
      </c>
      <c r="AA99" s="332"/>
      <c r="AB99" s="295" t="s">
        <v>793</v>
      </c>
      <c r="AC99" s="295">
        <v>0</v>
      </c>
      <c r="AD99" s="295">
        <v>0</v>
      </c>
      <c r="AE99" s="295">
        <v>0</v>
      </c>
      <c r="AF99" s="295">
        <v>0</v>
      </c>
      <c r="AG99" s="295">
        <v>0</v>
      </c>
      <c r="AH99" s="295">
        <v>1</v>
      </c>
      <c r="AI99" s="295">
        <v>70095</v>
      </c>
      <c r="AJ99" s="295">
        <v>2195</v>
      </c>
      <c r="AK99" s="295">
        <v>0</v>
      </c>
      <c r="AL99" s="295">
        <v>0</v>
      </c>
      <c r="AO99" s="335"/>
      <c r="AP99" s="335"/>
      <c r="AQ99" s="295" t="str">
        <f t="shared" si="1"/>
        <v/>
      </c>
    </row>
    <row r="100" spans="2:43">
      <c r="B100" s="295" t="s">
        <v>781</v>
      </c>
      <c r="C100" s="332">
        <v>42825</v>
      </c>
      <c r="D100" s="333">
        <v>175.6</v>
      </c>
      <c r="E100" s="333">
        <v>0</v>
      </c>
      <c r="F100" s="334" t="s">
        <v>782</v>
      </c>
      <c r="G100" s="295" t="s">
        <v>958</v>
      </c>
      <c r="H100" s="335" t="s">
        <v>784</v>
      </c>
      <c r="I100" s="295" t="s">
        <v>959</v>
      </c>
      <c r="J100" s="295" t="s">
        <v>796</v>
      </c>
      <c r="K100" s="295" t="s">
        <v>787</v>
      </c>
      <c r="L100" s="299"/>
      <c r="M100" s="299"/>
      <c r="N100" s="299" t="s">
        <v>943</v>
      </c>
      <c r="O100" s="320"/>
      <c r="P100" s="299"/>
      <c r="Q100" s="299"/>
      <c r="U100" s="295" t="s">
        <v>960</v>
      </c>
      <c r="V100" s="295" t="s">
        <v>960</v>
      </c>
      <c r="X100" s="332">
        <v>42828</v>
      </c>
      <c r="Y100" s="332">
        <v>42829</v>
      </c>
      <c r="AA100" s="332"/>
      <c r="AB100" s="295" t="s">
        <v>793</v>
      </c>
      <c r="AC100" s="295">
        <v>0</v>
      </c>
      <c r="AD100" s="295">
        <v>0</v>
      </c>
      <c r="AE100" s="295">
        <v>0</v>
      </c>
      <c r="AF100" s="295">
        <v>0</v>
      </c>
      <c r="AG100" s="295">
        <v>0</v>
      </c>
      <c r="AH100" s="295">
        <v>1</v>
      </c>
      <c r="AI100" s="295">
        <v>70095</v>
      </c>
      <c r="AJ100" s="295">
        <v>2195</v>
      </c>
      <c r="AK100" s="295">
        <v>0</v>
      </c>
      <c r="AL100" s="295">
        <v>0</v>
      </c>
      <c r="AO100" s="335"/>
      <c r="AP100" s="335"/>
      <c r="AQ100" s="295" t="str">
        <f t="shared" si="1"/>
        <v/>
      </c>
    </row>
    <row r="101" spans="2:43">
      <c r="B101" s="295" t="s">
        <v>781</v>
      </c>
      <c r="C101" s="332">
        <v>42825</v>
      </c>
      <c r="D101" s="333">
        <v>431.25</v>
      </c>
      <c r="E101" s="333">
        <v>0</v>
      </c>
      <c r="F101" s="334" t="s">
        <v>782</v>
      </c>
      <c r="G101" s="295" t="s">
        <v>961</v>
      </c>
      <c r="H101" s="335" t="s">
        <v>784</v>
      </c>
      <c r="I101" s="295" t="s">
        <v>867</v>
      </c>
      <c r="J101" s="295" t="s">
        <v>803</v>
      </c>
      <c r="K101" s="295" t="s">
        <v>787</v>
      </c>
      <c r="L101" s="299"/>
      <c r="M101" s="299"/>
      <c r="N101" s="299" t="s">
        <v>894</v>
      </c>
      <c r="O101" s="320"/>
      <c r="P101" s="299"/>
      <c r="Q101" s="299"/>
      <c r="U101" s="295" t="s">
        <v>962</v>
      </c>
      <c r="V101" s="295" t="s">
        <v>962</v>
      </c>
      <c r="X101" s="332">
        <v>42831</v>
      </c>
      <c r="Y101" s="332">
        <v>42831</v>
      </c>
      <c r="AA101" s="332"/>
      <c r="AB101" s="295" t="s">
        <v>793</v>
      </c>
      <c r="AC101" s="295">
        <v>0</v>
      </c>
      <c r="AD101" s="295">
        <v>0</v>
      </c>
      <c r="AE101" s="295">
        <v>0</v>
      </c>
      <c r="AF101" s="295">
        <v>0</v>
      </c>
      <c r="AG101" s="295">
        <v>0</v>
      </c>
      <c r="AH101" s="295">
        <v>1</v>
      </c>
      <c r="AI101" s="295">
        <v>70095</v>
      </c>
      <c r="AJ101" s="295">
        <v>2195</v>
      </c>
      <c r="AK101" s="295">
        <v>0</v>
      </c>
      <c r="AL101" s="295">
        <v>0</v>
      </c>
      <c r="AO101" s="335"/>
      <c r="AP101" s="335"/>
      <c r="AQ101" s="295" t="str">
        <f t="shared" si="1"/>
        <v/>
      </c>
    </row>
    <row r="102" spans="2:43">
      <c r="B102" s="295" t="s">
        <v>781</v>
      </c>
      <c r="C102" s="332">
        <v>42825</v>
      </c>
      <c r="D102" s="333">
        <v>216.4</v>
      </c>
      <c r="E102" s="333">
        <v>0</v>
      </c>
      <c r="F102" s="334" t="s">
        <v>782</v>
      </c>
      <c r="G102" s="295" t="s">
        <v>961</v>
      </c>
      <c r="H102" s="335" t="s">
        <v>784</v>
      </c>
      <c r="I102" s="295" t="s">
        <v>867</v>
      </c>
      <c r="J102" s="295" t="s">
        <v>803</v>
      </c>
      <c r="K102" s="295" t="s">
        <v>787</v>
      </c>
      <c r="L102" s="299"/>
      <c r="M102" s="299"/>
      <c r="N102" s="299" t="s">
        <v>963</v>
      </c>
      <c r="O102" s="320"/>
      <c r="P102" s="299"/>
      <c r="Q102" s="299"/>
      <c r="U102" s="295" t="s">
        <v>962</v>
      </c>
      <c r="V102" s="295" t="s">
        <v>962</v>
      </c>
      <c r="X102" s="332">
        <v>42831</v>
      </c>
      <c r="Y102" s="332">
        <v>42831</v>
      </c>
      <c r="AA102" s="332"/>
      <c r="AB102" s="295" t="s">
        <v>793</v>
      </c>
      <c r="AC102" s="295">
        <v>0</v>
      </c>
      <c r="AD102" s="295">
        <v>0</v>
      </c>
      <c r="AE102" s="295">
        <v>0</v>
      </c>
      <c r="AF102" s="295">
        <v>0</v>
      </c>
      <c r="AG102" s="295">
        <v>0</v>
      </c>
      <c r="AH102" s="295">
        <v>1</v>
      </c>
      <c r="AI102" s="295">
        <v>70095</v>
      </c>
      <c r="AJ102" s="295">
        <v>2195</v>
      </c>
      <c r="AK102" s="295">
        <v>0</v>
      </c>
      <c r="AL102" s="295">
        <v>0</v>
      </c>
      <c r="AO102" s="335"/>
      <c r="AP102" s="335"/>
      <c r="AQ102" s="295" t="str">
        <f t="shared" si="1"/>
        <v/>
      </c>
    </row>
    <row r="103" spans="2:43">
      <c r="B103" s="295" t="s">
        <v>781</v>
      </c>
      <c r="C103" s="332">
        <v>42825</v>
      </c>
      <c r="D103" s="333">
        <v>38.909999999999997</v>
      </c>
      <c r="E103" s="333">
        <v>0</v>
      </c>
      <c r="F103" s="334" t="s">
        <v>782</v>
      </c>
      <c r="G103" s="295" t="s">
        <v>961</v>
      </c>
      <c r="H103" s="335" t="s">
        <v>784</v>
      </c>
      <c r="I103" s="295" t="s">
        <v>867</v>
      </c>
      <c r="J103" s="295" t="s">
        <v>803</v>
      </c>
      <c r="K103" s="295" t="s">
        <v>787</v>
      </c>
      <c r="L103" s="299"/>
      <c r="M103" s="299"/>
      <c r="N103" s="299" t="s">
        <v>964</v>
      </c>
      <c r="O103" s="320"/>
      <c r="P103" s="299"/>
      <c r="Q103" s="299"/>
      <c r="U103" s="295" t="s">
        <v>962</v>
      </c>
      <c r="V103" s="295" t="s">
        <v>962</v>
      </c>
      <c r="X103" s="332">
        <v>42831</v>
      </c>
      <c r="Y103" s="332">
        <v>42831</v>
      </c>
      <c r="AA103" s="332"/>
      <c r="AB103" s="295" t="s">
        <v>793</v>
      </c>
      <c r="AC103" s="295">
        <v>0</v>
      </c>
      <c r="AD103" s="295">
        <v>0</v>
      </c>
      <c r="AE103" s="295">
        <v>0</v>
      </c>
      <c r="AF103" s="295">
        <v>0</v>
      </c>
      <c r="AG103" s="295">
        <v>0</v>
      </c>
      <c r="AH103" s="295">
        <v>1</v>
      </c>
      <c r="AI103" s="295">
        <v>70095</v>
      </c>
      <c r="AJ103" s="295">
        <v>2195</v>
      </c>
      <c r="AK103" s="295">
        <v>0</v>
      </c>
      <c r="AL103" s="295">
        <v>0</v>
      </c>
      <c r="AO103" s="335"/>
      <c r="AP103" s="335"/>
      <c r="AQ103" s="295" t="str">
        <f t="shared" si="1"/>
        <v/>
      </c>
    </row>
    <row r="104" spans="2:43">
      <c r="B104" s="295" t="s">
        <v>781</v>
      </c>
      <c r="C104" s="332">
        <v>42825</v>
      </c>
      <c r="D104" s="333">
        <v>396.07</v>
      </c>
      <c r="E104" s="333">
        <v>0</v>
      </c>
      <c r="F104" s="334" t="s">
        <v>782</v>
      </c>
      <c r="G104" s="295" t="s">
        <v>961</v>
      </c>
      <c r="H104" s="335" t="s">
        <v>784</v>
      </c>
      <c r="I104" s="295" t="s">
        <v>867</v>
      </c>
      <c r="J104" s="295" t="s">
        <v>803</v>
      </c>
      <c r="K104" s="295" t="s">
        <v>787</v>
      </c>
      <c r="L104" s="299"/>
      <c r="M104" s="299"/>
      <c r="N104" s="299" t="s">
        <v>964</v>
      </c>
      <c r="O104" s="320"/>
      <c r="P104" s="299"/>
      <c r="Q104" s="299"/>
      <c r="U104" s="295" t="s">
        <v>962</v>
      </c>
      <c r="V104" s="295" t="s">
        <v>962</v>
      </c>
      <c r="X104" s="332">
        <v>42831</v>
      </c>
      <c r="Y104" s="332">
        <v>42831</v>
      </c>
      <c r="AA104" s="332"/>
      <c r="AB104" s="295" t="s">
        <v>793</v>
      </c>
      <c r="AC104" s="295">
        <v>0</v>
      </c>
      <c r="AD104" s="295">
        <v>0</v>
      </c>
      <c r="AE104" s="295">
        <v>0</v>
      </c>
      <c r="AF104" s="295">
        <v>0</v>
      </c>
      <c r="AG104" s="295">
        <v>0</v>
      </c>
      <c r="AH104" s="295">
        <v>1</v>
      </c>
      <c r="AI104" s="295">
        <v>70095</v>
      </c>
      <c r="AJ104" s="295">
        <v>2195</v>
      </c>
      <c r="AK104" s="295">
        <v>0</v>
      </c>
      <c r="AL104" s="295">
        <v>0</v>
      </c>
      <c r="AO104" s="335"/>
      <c r="AP104" s="335"/>
      <c r="AQ104" s="295" t="str">
        <f t="shared" si="1"/>
        <v/>
      </c>
    </row>
    <row r="105" spans="2:43">
      <c r="B105" s="295" t="s">
        <v>781</v>
      </c>
      <c r="C105" s="332">
        <v>42855</v>
      </c>
      <c r="D105" s="333">
        <v>-431.25</v>
      </c>
      <c r="E105" s="333">
        <v>0</v>
      </c>
      <c r="F105" s="334" t="s">
        <v>782</v>
      </c>
      <c r="G105" s="295" t="s">
        <v>965</v>
      </c>
      <c r="H105" s="335" t="s">
        <v>784</v>
      </c>
      <c r="I105" s="295" t="s">
        <v>867</v>
      </c>
      <c r="J105" s="295" t="s">
        <v>803</v>
      </c>
      <c r="K105" s="295" t="s">
        <v>787</v>
      </c>
      <c r="L105" s="299"/>
      <c r="M105" s="299"/>
      <c r="N105" s="299" t="s">
        <v>894</v>
      </c>
      <c r="O105" s="320"/>
      <c r="P105" s="299"/>
      <c r="Q105" s="299"/>
      <c r="U105" s="295" t="s">
        <v>962</v>
      </c>
      <c r="V105" s="295" t="s">
        <v>966</v>
      </c>
      <c r="X105" s="332">
        <v>42831</v>
      </c>
      <c r="Y105" s="332">
        <v>42831</v>
      </c>
      <c r="AA105" s="332"/>
      <c r="AB105" s="295" t="s">
        <v>793</v>
      </c>
      <c r="AC105" s="295">
        <v>0</v>
      </c>
      <c r="AD105" s="295">
        <v>0</v>
      </c>
      <c r="AE105" s="295">
        <v>0</v>
      </c>
      <c r="AF105" s="295">
        <v>0</v>
      </c>
      <c r="AG105" s="295">
        <v>5</v>
      </c>
      <c r="AH105" s="295">
        <v>1</v>
      </c>
      <c r="AI105" s="295">
        <v>70095</v>
      </c>
      <c r="AJ105" s="295">
        <v>2195</v>
      </c>
      <c r="AK105" s="295">
        <v>0</v>
      </c>
      <c r="AL105" s="295">
        <v>0</v>
      </c>
      <c r="AO105" s="335"/>
      <c r="AP105" s="335"/>
      <c r="AQ105" s="295" t="str">
        <f t="shared" si="1"/>
        <v/>
      </c>
    </row>
    <row r="106" spans="2:43">
      <c r="B106" s="295" t="s">
        <v>781</v>
      </c>
      <c r="C106" s="332">
        <v>42855</v>
      </c>
      <c r="D106" s="333">
        <v>-216.4</v>
      </c>
      <c r="E106" s="333">
        <v>0</v>
      </c>
      <c r="F106" s="334" t="s">
        <v>782</v>
      </c>
      <c r="G106" s="295" t="s">
        <v>965</v>
      </c>
      <c r="H106" s="335" t="s">
        <v>784</v>
      </c>
      <c r="I106" s="295" t="s">
        <v>867</v>
      </c>
      <c r="J106" s="295" t="s">
        <v>803</v>
      </c>
      <c r="K106" s="295" t="s">
        <v>787</v>
      </c>
      <c r="L106" s="299"/>
      <c r="M106" s="299"/>
      <c r="N106" s="299" t="s">
        <v>963</v>
      </c>
      <c r="O106" s="320"/>
      <c r="P106" s="299"/>
      <c r="Q106" s="299"/>
      <c r="U106" s="295" t="s">
        <v>962</v>
      </c>
      <c r="V106" s="295" t="s">
        <v>966</v>
      </c>
      <c r="X106" s="332">
        <v>42831</v>
      </c>
      <c r="Y106" s="332">
        <v>42831</v>
      </c>
      <c r="AA106" s="332"/>
      <c r="AB106" s="295" t="s">
        <v>793</v>
      </c>
      <c r="AC106" s="295">
        <v>0</v>
      </c>
      <c r="AD106" s="295">
        <v>0</v>
      </c>
      <c r="AE106" s="295">
        <v>0</v>
      </c>
      <c r="AF106" s="295">
        <v>0</v>
      </c>
      <c r="AG106" s="295">
        <v>5</v>
      </c>
      <c r="AH106" s="295">
        <v>1</v>
      </c>
      <c r="AI106" s="295">
        <v>70095</v>
      </c>
      <c r="AJ106" s="295">
        <v>2195</v>
      </c>
      <c r="AK106" s="295">
        <v>0</v>
      </c>
      <c r="AL106" s="295">
        <v>0</v>
      </c>
      <c r="AO106" s="335"/>
      <c r="AP106" s="335"/>
      <c r="AQ106" s="295" t="str">
        <f t="shared" si="1"/>
        <v/>
      </c>
    </row>
    <row r="107" spans="2:43">
      <c r="B107" s="295" t="s">
        <v>781</v>
      </c>
      <c r="C107" s="332">
        <v>42855</v>
      </c>
      <c r="D107" s="333">
        <v>-38.909999999999997</v>
      </c>
      <c r="E107" s="333">
        <v>0</v>
      </c>
      <c r="F107" s="334" t="s">
        <v>782</v>
      </c>
      <c r="G107" s="295" t="s">
        <v>965</v>
      </c>
      <c r="H107" s="335" t="s">
        <v>784</v>
      </c>
      <c r="I107" s="295" t="s">
        <v>867</v>
      </c>
      <c r="J107" s="295" t="s">
        <v>803</v>
      </c>
      <c r="K107" s="295" t="s">
        <v>787</v>
      </c>
      <c r="L107" s="299"/>
      <c r="M107" s="299"/>
      <c r="N107" s="299" t="s">
        <v>964</v>
      </c>
      <c r="O107" s="320"/>
      <c r="P107" s="299"/>
      <c r="Q107" s="299"/>
      <c r="U107" s="295" t="s">
        <v>962</v>
      </c>
      <c r="V107" s="295" t="s">
        <v>966</v>
      </c>
      <c r="X107" s="332">
        <v>42831</v>
      </c>
      <c r="Y107" s="332">
        <v>42831</v>
      </c>
      <c r="AA107" s="332"/>
      <c r="AB107" s="295" t="s">
        <v>793</v>
      </c>
      <c r="AC107" s="295">
        <v>0</v>
      </c>
      <c r="AD107" s="295">
        <v>0</v>
      </c>
      <c r="AE107" s="295">
        <v>0</v>
      </c>
      <c r="AF107" s="295">
        <v>0</v>
      </c>
      <c r="AG107" s="295">
        <v>5</v>
      </c>
      <c r="AH107" s="295">
        <v>1</v>
      </c>
      <c r="AI107" s="295">
        <v>70095</v>
      </c>
      <c r="AJ107" s="295">
        <v>2195</v>
      </c>
      <c r="AK107" s="295">
        <v>0</v>
      </c>
      <c r="AL107" s="295">
        <v>0</v>
      </c>
      <c r="AO107" s="335"/>
      <c r="AP107" s="335"/>
      <c r="AQ107" s="295" t="str">
        <f t="shared" si="1"/>
        <v/>
      </c>
    </row>
    <row r="108" spans="2:43">
      <c r="B108" s="295" t="s">
        <v>781</v>
      </c>
      <c r="C108" s="332">
        <v>42855</v>
      </c>
      <c r="D108" s="333">
        <v>-396.07</v>
      </c>
      <c r="E108" s="333">
        <v>0</v>
      </c>
      <c r="F108" s="334" t="s">
        <v>782</v>
      </c>
      <c r="G108" s="295" t="s">
        <v>965</v>
      </c>
      <c r="H108" s="335" t="s">
        <v>784</v>
      </c>
      <c r="I108" s="295" t="s">
        <v>867</v>
      </c>
      <c r="J108" s="295" t="s">
        <v>803</v>
      </c>
      <c r="K108" s="295" t="s">
        <v>787</v>
      </c>
      <c r="L108" s="299"/>
      <c r="M108" s="299"/>
      <c r="N108" s="299" t="s">
        <v>964</v>
      </c>
      <c r="O108" s="320"/>
      <c r="P108" s="299"/>
      <c r="Q108" s="299"/>
      <c r="U108" s="295" t="s">
        <v>962</v>
      </c>
      <c r="V108" s="295" t="s">
        <v>966</v>
      </c>
      <c r="X108" s="332">
        <v>42831</v>
      </c>
      <c r="Y108" s="332">
        <v>42831</v>
      </c>
      <c r="AA108" s="332"/>
      <c r="AB108" s="295" t="s">
        <v>793</v>
      </c>
      <c r="AC108" s="295">
        <v>0</v>
      </c>
      <c r="AD108" s="295">
        <v>0</v>
      </c>
      <c r="AE108" s="295">
        <v>0</v>
      </c>
      <c r="AF108" s="295">
        <v>0</v>
      </c>
      <c r="AG108" s="295">
        <v>5</v>
      </c>
      <c r="AH108" s="295">
        <v>1</v>
      </c>
      <c r="AI108" s="295">
        <v>70095</v>
      </c>
      <c r="AJ108" s="295">
        <v>2195</v>
      </c>
      <c r="AK108" s="295">
        <v>0</v>
      </c>
      <c r="AL108" s="295">
        <v>0</v>
      </c>
      <c r="AO108" s="335"/>
      <c r="AP108" s="335"/>
      <c r="AQ108" s="295" t="str">
        <f t="shared" si="1"/>
        <v/>
      </c>
    </row>
    <row r="109" spans="2:43">
      <c r="B109" s="295" t="s">
        <v>781</v>
      </c>
      <c r="C109" s="332">
        <v>42855</v>
      </c>
      <c r="D109" s="333">
        <v>431.25</v>
      </c>
      <c r="E109" s="333">
        <v>0</v>
      </c>
      <c r="F109" s="334" t="s">
        <v>782</v>
      </c>
      <c r="G109" s="295" t="s">
        <v>967</v>
      </c>
      <c r="H109" s="335" t="s">
        <v>784</v>
      </c>
      <c r="I109" s="295" t="s">
        <v>968</v>
      </c>
      <c r="J109" s="295" t="s">
        <v>796</v>
      </c>
      <c r="K109" s="295" t="s">
        <v>787</v>
      </c>
      <c r="L109" s="299"/>
      <c r="M109" s="299"/>
      <c r="N109" s="299" t="s">
        <v>894</v>
      </c>
      <c r="O109" s="320"/>
      <c r="P109" s="299"/>
      <c r="Q109" s="299"/>
      <c r="U109" s="295" t="s">
        <v>969</v>
      </c>
      <c r="V109" s="295" t="s">
        <v>969</v>
      </c>
      <c r="X109" s="332">
        <v>42857</v>
      </c>
      <c r="Y109" s="332">
        <v>42858</v>
      </c>
      <c r="AA109" s="332"/>
      <c r="AB109" s="295" t="s">
        <v>793</v>
      </c>
      <c r="AC109" s="295">
        <v>0</v>
      </c>
      <c r="AD109" s="295">
        <v>0</v>
      </c>
      <c r="AE109" s="295">
        <v>0</v>
      </c>
      <c r="AF109" s="295">
        <v>0</v>
      </c>
      <c r="AG109" s="295">
        <v>0</v>
      </c>
      <c r="AH109" s="295">
        <v>1</v>
      </c>
      <c r="AI109" s="295">
        <v>70095</v>
      </c>
      <c r="AJ109" s="295">
        <v>2195</v>
      </c>
      <c r="AK109" s="295">
        <v>0</v>
      </c>
      <c r="AL109" s="295">
        <v>0</v>
      </c>
      <c r="AO109" s="335"/>
      <c r="AP109" s="335"/>
      <c r="AQ109" s="295" t="str">
        <f t="shared" si="1"/>
        <v/>
      </c>
    </row>
    <row r="110" spans="2:43">
      <c r="B110" s="295" t="s">
        <v>781</v>
      </c>
      <c r="C110" s="332">
        <v>42855</v>
      </c>
      <c r="D110" s="333">
        <v>216.4</v>
      </c>
      <c r="E110" s="333">
        <v>0</v>
      </c>
      <c r="F110" s="334" t="s">
        <v>782</v>
      </c>
      <c r="G110" s="295" t="s">
        <v>967</v>
      </c>
      <c r="H110" s="335" t="s">
        <v>784</v>
      </c>
      <c r="I110" s="295" t="s">
        <v>968</v>
      </c>
      <c r="J110" s="295" t="s">
        <v>796</v>
      </c>
      <c r="K110" s="295" t="s">
        <v>787</v>
      </c>
      <c r="L110" s="299"/>
      <c r="M110" s="299"/>
      <c r="N110" s="299" t="s">
        <v>963</v>
      </c>
      <c r="O110" s="320"/>
      <c r="P110" s="299"/>
      <c r="Q110" s="299"/>
      <c r="U110" s="295" t="s">
        <v>969</v>
      </c>
      <c r="V110" s="295" t="s">
        <v>969</v>
      </c>
      <c r="X110" s="332">
        <v>42857</v>
      </c>
      <c r="Y110" s="332">
        <v>42858</v>
      </c>
      <c r="AA110" s="332"/>
      <c r="AB110" s="295" t="s">
        <v>793</v>
      </c>
      <c r="AC110" s="295">
        <v>0</v>
      </c>
      <c r="AD110" s="295">
        <v>0</v>
      </c>
      <c r="AE110" s="295">
        <v>0</v>
      </c>
      <c r="AF110" s="295">
        <v>0</v>
      </c>
      <c r="AG110" s="295">
        <v>0</v>
      </c>
      <c r="AH110" s="295">
        <v>1</v>
      </c>
      <c r="AI110" s="295">
        <v>70095</v>
      </c>
      <c r="AJ110" s="295">
        <v>2195</v>
      </c>
      <c r="AK110" s="295">
        <v>0</v>
      </c>
      <c r="AL110" s="295">
        <v>0</v>
      </c>
      <c r="AO110" s="335"/>
      <c r="AP110" s="335"/>
      <c r="AQ110" s="295" t="str">
        <f t="shared" si="1"/>
        <v/>
      </c>
    </row>
    <row r="111" spans="2:43">
      <c r="B111" s="295" t="s">
        <v>781</v>
      </c>
      <c r="C111" s="332">
        <v>42855</v>
      </c>
      <c r="D111" s="333">
        <v>38.909999999999997</v>
      </c>
      <c r="E111" s="333">
        <v>0</v>
      </c>
      <c r="F111" s="334" t="s">
        <v>782</v>
      </c>
      <c r="G111" s="295" t="s">
        <v>967</v>
      </c>
      <c r="H111" s="335" t="s">
        <v>784</v>
      </c>
      <c r="I111" s="295" t="s">
        <v>968</v>
      </c>
      <c r="J111" s="295" t="s">
        <v>796</v>
      </c>
      <c r="K111" s="295" t="s">
        <v>787</v>
      </c>
      <c r="L111" s="299"/>
      <c r="M111" s="299"/>
      <c r="N111" s="299" t="s">
        <v>964</v>
      </c>
      <c r="O111" s="320"/>
      <c r="P111" s="299"/>
      <c r="Q111" s="299"/>
      <c r="U111" s="295" t="s">
        <v>969</v>
      </c>
      <c r="V111" s="295" t="s">
        <v>969</v>
      </c>
      <c r="X111" s="332">
        <v>42857</v>
      </c>
      <c r="Y111" s="332">
        <v>42858</v>
      </c>
      <c r="AA111" s="332"/>
      <c r="AB111" s="295" t="s">
        <v>793</v>
      </c>
      <c r="AC111" s="295">
        <v>0</v>
      </c>
      <c r="AD111" s="295">
        <v>0</v>
      </c>
      <c r="AE111" s="295">
        <v>0</v>
      </c>
      <c r="AF111" s="295">
        <v>0</v>
      </c>
      <c r="AG111" s="295">
        <v>0</v>
      </c>
      <c r="AH111" s="295">
        <v>1</v>
      </c>
      <c r="AI111" s="295">
        <v>70095</v>
      </c>
      <c r="AJ111" s="295">
        <v>2195</v>
      </c>
      <c r="AK111" s="295">
        <v>0</v>
      </c>
      <c r="AL111" s="295">
        <v>0</v>
      </c>
      <c r="AO111" s="335"/>
      <c r="AP111" s="335"/>
      <c r="AQ111" s="295" t="str">
        <f t="shared" si="1"/>
        <v/>
      </c>
    </row>
    <row r="112" spans="2:43">
      <c r="B112" s="295" t="s">
        <v>781</v>
      </c>
      <c r="C112" s="332">
        <v>42855</v>
      </c>
      <c r="D112" s="333">
        <v>396.07</v>
      </c>
      <c r="E112" s="333">
        <v>0</v>
      </c>
      <c r="F112" s="334" t="s">
        <v>782</v>
      </c>
      <c r="G112" s="295" t="s">
        <v>967</v>
      </c>
      <c r="H112" s="335" t="s">
        <v>784</v>
      </c>
      <c r="I112" s="295" t="s">
        <v>968</v>
      </c>
      <c r="J112" s="295" t="s">
        <v>796</v>
      </c>
      <c r="K112" s="295" t="s">
        <v>787</v>
      </c>
      <c r="L112" s="299"/>
      <c r="M112" s="299"/>
      <c r="N112" s="299" t="s">
        <v>964</v>
      </c>
      <c r="O112" s="320"/>
      <c r="P112" s="299"/>
      <c r="Q112" s="299"/>
      <c r="U112" s="295" t="s">
        <v>969</v>
      </c>
      <c r="V112" s="295" t="s">
        <v>969</v>
      </c>
      <c r="X112" s="332">
        <v>42857</v>
      </c>
      <c r="Y112" s="332">
        <v>42858</v>
      </c>
      <c r="AA112" s="332"/>
      <c r="AB112" s="295" t="s">
        <v>793</v>
      </c>
      <c r="AC112" s="295">
        <v>0</v>
      </c>
      <c r="AD112" s="295">
        <v>0</v>
      </c>
      <c r="AE112" s="295">
        <v>0</v>
      </c>
      <c r="AF112" s="295">
        <v>0</v>
      </c>
      <c r="AG112" s="295">
        <v>0</v>
      </c>
      <c r="AH112" s="295">
        <v>1</v>
      </c>
      <c r="AI112" s="295">
        <v>70095</v>
      </c>
      <c r="AJ112" s="295">
        <v>2195</v>
      </c>
      <c r="AK112" s="295">
        <v>0</v>
      </c>
      <c r="AL112" s="295">
        <v>0</v>
      </c>
      <c r="AO112" s="335"/>
      <c r="AP112" s="335"/>
      <c r="AQ112" s="295" t="str">
        <f t="shared" si="1"/>
        <v/>
      </c>
    </row>
    <row r="113" spans="2:43">
      <c r="B113" s="295" t="s">
        <v>781</v>
      </c>
      <c r="C113" s="332">
        <v>42886</v>
      </c>
      <c r="D113" s="333">
        <v>35</v>
      </c>
      <c r="E113" s="333">
        <v>0</v>
      </c>
      <c r="F113" s="334" t="s">
        <v>782</v>
      </c>
      <c r="G113" s="295" t="s">
        <v>970</v>
      </c>
      <c r="H113" s="335" t="s">
        <v>784</v>
      </c>
      <c r="I113" s="295" t="s">
        <v>785</v>
      </c>
      <c r="J113" s="295" t="s">
        <v>810</v>
      </c>
      <c r="K113" s="295" t="s">
        <v>787</v>
      </c>
      <c r="L113" s="299" t="s">
        <v>811</v>
      </c>
      <c r="M113" s="299"/>
      <c r="N113" s="299" t="s">
        <v>812</v>
      </c>
      <c r="O113" s="320">
        <v>42855</v>
      </c>
      <c r="P113" s="299" t="s">
        <v>971</v>
      </c>
      <c r="Q113" s="336">
        <v>42826</v>
      </c>
      <c r="R113" s="295" t="s">
        <v>972</v>
      </c>
      <c r="U113" s="295" t="s">
        <v>973</v>
      </c>
      <c r="V113" s="295" t="s">
        <v>974</v>
      </c>
      <c r="W113" s="295">
        <v>2195</v>
      </c>
      <c r="X113" s="332">
        <v>42888</v>
      </c>
      <c r="Y113" s="332">
        <v>42888</v>
      </c>
      <c r="Z113" s="295">
        <v>86.27</v>
      </c>
      <c r="AA113" s="332">
        <v>42856</v>
      </c>
      <c r="AB113" s="295" t="s">
        <v>793</v>
      </c>
      <c r="AC113" s="295">
        <v>0</v>
      </c>
      <c r="AD113" s="295">
        <v>0</v>
      </c>
      <c r="AE113" s="295">
        <v>0</v>
      </c>
      <c r="AF113" s="295">
        <v>0</v>
      </c>
      <c r="AG113" s="295">
        <v>0</v>
      </c>
      <c r="AH113" s="295">
        <v>1</v>
      </c>
      <c r="AI113" s="295">
        <v>70095</v>
      </c>
      <c r="AJ113" s="295">
        <v>2195</v>
      </c>
      <c r="AK113" s="295">
        <v>0</v>
      </c>
      <c r="AL113" s="295">
        <v>0</v>
      </c>
      <c r="AO113" s="335"/>
      <c r="AP113" s="335"/>
      <c r="AQ113" s="295" t="str">
        <f t="shared" si="1"/>
        <v>VO04307918</v>
      </c>
    </row>
    <row r="114" spans="2:43">
      <c r="B114" s="295" t="s">
        <v>781</v>
      </c>
      <c r="C114" s="332">
        <v>42886</v>
      </c>
      <c r="D114" s="333">
        <v>49.1</v>
      </c>
      <c r="E114" s="333">
        <v>0</v>
      </c>
      <c r="F114" s="334" t="s">
        <v>782</v>
      </c>
      <c r="G114" s="295" t="s">
        <v>975</v>
      </c>
      <c r="H114" s="335" t="s">
        <v>784</v>
      </c>
      <c r="I114" s="295" t="s">
        <v>976</v>
      </c>
      <c r="J114" s="295" t="s">
        <v>856</v>
      </c>
      <c r="K114" s="295" t="s">
        <v>787</v>
      </c>
      <c r="L114" s="299"/>
      <c r="M114" s="299"/>
      <c r="N114" s="299" t="s">
        <v>977</v>
      </c>
      <c r="O114" s="320"/>
      <c r="P114" s="299"/>
      <c r="Q114" s="299"/>
      <c r="U114" s="295" t="s">
        <v>978</v>
      </c>
      <c r="V114" s="295" t="s">
        <v>978</v>
      </c>
      <c r="X114" s="332">
        <v>42891</v>
      </c>
      <c r="Y114" s="332">
        <v>42891</v>
      </c>
      <c r="AA114" s="332"/>
      <c r="AB114" s="295" t="s">
        <v>793</v>
      </c>
      <c r="AC114" s="295">
        <v>0</v>
      </c>
      <c r="AD114" s="295">
        <v>0</v>
      </c>
      <c r="AE114" s="295">
        <v>0</v>
      </c>
      <c r="AF114" s="295">
        <v>0</v>
      </c>
      <c r="AG114" s="295">
        <v>0</v>
      </c>
      <c r="AH114" s="295">
        <v>1</v>
      </c>
      <c r="AI114" s="295">
        <v>70095</v>
      </c>
      <c r="AJ114" s="295">
        <v>2195</v>
      </c>
      <c r="AK114" s="295">
        <v>0</v>
      </c>
      <c r="AL114" s="295">
        <v>0</v>
      </c>
      <c r="AO114" s="335"/>
      <c r="AP114" s="335"/>
      <c r="AQ114" s="295" t="str">
        <f t="shared" si="1"/>
        <v/>
      </c>
    </row>
    <row r="115" spans="2:43">
      <c r="B115" s="295" t="s">
        <v>781</v>
      </c>
      <c r="C115" s="332">
        <v>42886</v>
      </c>
      <c r="D115" s="333">
        <v>120.7</v>
      </c>
      <c r="E115" s="333">
        <v>0</v>
      </c>
      <c r="F115" s="334" t="s">
        <v>782</v>
      </c>
      <c r="G115" s="295" t="s">
        <v>975</v>
      </c>
      <c r="H115" s="335" t="s">
        <v>784</v>
      </c>
      <c r="I115" s="295" t="s">
        <v>976</v>
      </c>
      <c r="J115" s="295" t="s">
        <v>856</v>
      </c>
      <c r="K115" s="295" t="s">
        <v>787</v>
      </c>
      <c r="L115" s="299"/>
      <c r="M115" s="299"/>
      <c r="N115" s="299" t="s">
        <v>979</v>
      </c>
      <c r="O115" s="320"/>
      <c r="P115" s="299"/>
      <c r="Q115" s="299"/>
      <c r="U115" s="295" t="s">
        <v>978</v>
      </c>
      <c r="V115" s="295" t="s">
        <v>978</v>
      </c>
      <c r="X115" s="332">
        <v>42891</v>
      </c>
      <c r="Y115" s="332">
        <v>42891</v>
      </c>
      <c r="AA115" s="332"/>
      <c r="AB115" s="295" t="s">
        <v>793</v>
      </c>
      <c r="AC115" s="295">
        <v>0</v>
      </c>
      <c r="AD115" s="295">
        <v>0</v>
      </c>
      <c r="AE115" s="295">
        <v>0</v>
      </c>
      <c r="AF115" s="295">
        <v>0</v>
      </c>
      <c r="AG115" s="295">
        <v>0</v>
      </c>
      <c r="AH115" s="295">
        <v>1</v>
      </c>
      <c r="AI115" s="295">
        <v>70095</v>
      </c>
      <c r="AJ115" s="295">
        <v>2195</v>
      </c>
      <c r="AK115" s="295">
        <v>0</v>
      </c>
      <c r="AL115" s="295">
        <v>0</v>
      </c>
      <c r="AO115" s="335"/>
      <c r="AP115" s="335"/>
      <c r="AQ115" s="295" t="str">
        <f t="shared" si="1"/>
        <v/>
      </c>
    </row>
    <row r="116" spans="2:43">
      <c r="B116" s="295" t="s">
        <v>781</v>
      </c>
      <c r="C116" s="332">
        <v>42886</v>
      </c>
      <c r="D116" s="333">
        <v>216.13</v>
      </c>
      <c r="E116" s="333">
        <v>0</v>
      </c>
      <c r="F116" s="334" t="s">
        <v>782</v>
      </c>
      <c r="G116" s="295" t="s">
        <v>975</v>
      </c>
      <c r="H116" s="335" t="s">
        <v>784</v>
      </c>
      <c r="I116" s="295" t="s">
        <v>976</v>
      </c>
      <c r="J116" s="295" t="s">
        <v>856</v>
      </c>
      <c r="K116" s="295" t="s">
        <v>787</v>
      </c>
      <c r="L116" s="299"/>
      <c r="M116" s="299"/>
      <c r="N116" s="299" t="s">
        <v>980</v>
      </c>
      <c r="O116" s="320"/>
      <c r="P116" s="299"/>
      <c r="Q116" s="299"/>
      <c r="U116" s="295" t="s">
        <v>978</v>
      </c>
      <c r="V116" s="295" t="s">
        <v>978</v>
      </c>
      <c r="X116" s="332">
        <v>42891</v>
      </c>
      <c r="Y116" s="332">
        <v>42891</v>
      </c>
      <c r="AA116" s="332"/>
      <c r="AB116" s="295" t="s">
        <v>793</v>
      </c>
      <c r="AC116" s="295">
        <v>0</v>
      </c>
      <c r="AD116" s="295">
        <v>0</v>
      </c>
      <c r="AE116" s="295">
        <v>0</v>
      </c>
      <c r="AF116" s="295">
        <v>0</v>
      </c>
      <c r="AG116" s="295">
        <v>0</v>
      </c>
      <c r="AH116" s="295">
        <v>1</v>
      </c>
      <c r="AI116" s="295">
        <v>70095</v>
      </c>
      <c r="AJ116" s="295">
        <v>2195</v>
      </c>
      <c r="AK116" s="295">
        <v>0</v>
      </c>
      <c r="AL116" s="295">
        <v>0</v>
      </c>
      <c r="AO116" s="335"/>
      <c r="AP116" s="335"/>
      <c r="AQ116" s="295" t="str">
        <f t="shared" si="1"/>
        <v/>
      </c>
    </row>
    <row r="117" spans="2:43">
      <c r="B117" s="295" t="s">
        <v>781</v>
      </c>
      <c r="C117" s="332">
        <v>42886</v>
      </c>
      <c r="D117" s="333">
        <v>13.46</v>
      </c>
      <c r="E117" s="333">
        <v>0</v>
      </c>
      <c r="F117" s="334" t="s">
        <v>782</v>
      </c>
      <c r="G117" s="295" t="s">
        <v>975</v>
      </c>
      <c r="H117" s="335" t="s">
        <v>784</v>
      </c>
      <c r="I117" s="295" t="s">
        <v>976</v>
      </c>
      <c r="J117" s="295" t="s">
        <v>856</v>
      </c>
      <c r="K117" s="295" t="s">
        <v>787</v>
      </c>
      <c r="L117" s="299"/>
      <c r="M117" s="299"/>
      <c r="N117" s="299" t="s">
        <v>981</v>
      </c>
      <c r="O117" s="320"/>
      <c r="P117" s="299"/>
      <c r="Q117" s="299"/>
      <c r="U117" s="295" t="s">
        <v>978</v>
      </c>
      <c r="V117" s="295" t="s">
        <v>978</v>
      </c>
      <c r="X117" s="332">
        <v>42891</v>
      </c>
      <c r="Y117" s="332">
        <v>42891</v>
      </c>
      <c r="AA117" s="332"/>
      <c r="AB117" s="295" t="s">
        <v>793</v>
      </c>
      <c r="AC117" s="295">
        <v>0</v>
      </c>
      <c r="AD117" s="295">
        <v>0</v>
      </c>
      <c r="AE117" s="295">
        <v>0</v>
      </c>
      <c r="AF117" s="295">
        <v>0</v>
      </c>
      <c r="AG117" s="295">
        <v>0</v>
      </c>
      <c r="AH117" s="295">
        <v>1</v>
      </c>
      <c r="AI117" s="295">
        <v>70095</v>
      </c>
      <c r="AJ117" s="295">
        <v>2195</v>
      </c>
      <c r="AK117" s="295">
        <v>0</v>
      </c>
      <c r="AL117" s="295">
        <v>0</v>
      </c>
      <c r="AO117" s="335"/>
      <c r="AP117" s="335"/>
      <c r="AQ117" s="295" t="str">
        <f t="shared" si="1"/>
        <v/>
      </c>
    </row>
    <row r="118" spans="2:43">
      <c r="B118" s="295" t="s">
        <v>781</v>
      </c>
      <c r="C118" s="332">
        <v>42886</v>
      </c>
      <c r="D118" s="333">
        <v>40.29</v>
      </c>
      <c r="E118" s="333">
        <v>0</v>
      </c>
      <c r="F118" s="334" t="s">
        <v>782</v>
      </c>
      <c r="G118" s="295" t="s">
        <v>982</v>
      </c>
      <c r="H118" s="335" t="s">
        <v>784</v>
      </c>
      <c r="I118" s="295" t="s">
        <v>802</v>
      </c>
      <c r="J118" s="295" t="s">
        <v>796</v>
      </c>
      <c r="K118" s="295" t="s">
        <v>787</v>
      </c>
      <c r="L118" s="299"/>
      <c r="M118" s="299"/>
      <c r="N118" s="299" t="s">
        <v>983</v>
      </c>
      <c r="O118" s="320"/>
      <c r="P118" s="299"/>
      <c r="Q118" s="299"/>
      <c r="U118" s="295" t="s">
        <v>984</v>
      </c>
      <c r="V118" s="295" t="s">
        <v>984</v>
      </c>
      <c r="X118" s="332">
        <v>42892</v>
      </c>
      <c r="Y118" s="332">
        <v>42892</v>
      </c>
      <c r="AA118" s="332"/>
      <c r="AB118" s="295" t="s">
        <v>793</v>
      </c>
      <c r="AC118" s="295">
        <v>0</v>
      </c>
      <c r="AD118" s="295">
        <v>0</v>
      </c>
      <c r="AE118" s="295">
        <v>0</v>
      </c>
      <c r="AF118" s="295">
        <v>0</v>
      </c>
      <c r="AG118" s="295">
        <v>0</v>
      </c>
      <c r="AH118" s="295">
        <v>1</v>
      </c>
      <c r="AI118" s="295">
        <v>70095</v>
      </c>
      <c r="AJ118" s="295">
        <v>2195</v>
      </c>
      <c r="AK118" s="295">
        <v>0</v>
      </c>
      <c r="AL118" s="295">
        <v>0</v>
      </c>
      <c r="AO118" s="335"/>
      <c r="AP118" s="335"/>
      <c r="AQ118" s="295" t="str">
        <f t="shared" si="1"/>
        <v/>
      </c>
    </row>
    <row r="119" spans="2:43">
      <c r="B119" s="295" t="s">
        <v>781</v>
      </c>
      <c r="C119" s="332">
        <v>42892</v>
      </c>
      <c r="D119" s="333">
        <v>40.29</v>
      </c>
      <c r="E119" s="333">
        <v>0</v>
      </c>
      <c r="F119" s="334" t="s">
        <v>782</v>
      </c>
      <c r="G119" s="295" t="s">
        <v>985</v>
      </c>
      <c r="H119" s="335" t="s">
        <v>784</v>
      </c>
      <c r="I119" s="295" t="s">
        <v>785</v>
      </c>
      <c r="J119" s="295" t="s">
        <v>810</v>
      </c>
      <c r="K119" s="295" t="s">
        <v>787</v>
      </c>
      <c r="L119" s="299" t="s">
        <v>788</v>
      </c>
      <c r="M119" s="299"/>
      <c r="N119" s="299" t="s">
        <v>789</v>
      </c>
      <c r="O119" s="320">
        <v>42886</v>
      </c>
      <c r="P119" s="299"/>
      <c r="Q119" s="299" t="s">
        <v>986</v>
      </c>
      <c r="U119" s="295" t="s">
        <v>987</v>
      </c>
      <c r="V119" s="295" t="s">
        <v>988</v>
      </c>
      <c r="W119" s="295">
        <v>2195</v>
      </c>
      <c r="X119" s="332">
        <v>42892</v>
      </c>
      <c r="Y119" s="332">
        <v>42892</v>
      </c>
      <c r="Z119" s="295">
        <v>208.72</v>
      </c>
      <c r="AA119" s="332">
        <v>42887</v>
      </c>
      <c r="AB119" s="295" t="s">
        <v>793</v>
      </c>
      <c r="AC119" s="295">
        <v>0</v>
      </c>
      <c r="AD119" s="295">
        <v>0</v>
      </c>
      <c r="AE119" s="295">
        <v>0</v>
      </c>
      <c r="AF119" s="295">
        <v>0</v>
      </c>
      <c r="AG119" s="295">
        <v>0</v>
      </c>
      <c r="AH119" s="295">
        <v>1</v>
      </c>
      <c r="AI119" s="295">
        <v>70095</v>
      </c>
      <c r="AJ119" s="295">
        <v>2195</v>
      </c>
      <c r="AK119" s="295">
        <v>0</v>
      </c>
      <c r="AL119" s="295">
        <v>0</v>
      </c>
      <c r="AO119" s="335"/>
      <c r="AP119" s="335"/>
      <c r="AQ119" s="295" t="str">
        <f t="shared" si="1"/>
        <v>VO04309490</v>
      </c>
    </row>
    <row r="120" spans="2:43">
      <c r="B120" s="295" t="s">
        <v>781</v>
      </c>
      <c r="C120" s="332">
        <v>42916</v>
      </c>
      <c r="D120" s="333">
        <v>-40.29</v>
      </c>
      <c r="E120" s="333">
        <v>0</v>
      </c>
      <c r="F120" s="334" t="s">
        <v>782</v>
      </c>
      <c r="G120" s="295" t="s">
        <v>989</v>
      </c>
      <c r="H120" s="335" t="s">
        <v>784</v>
      </c>
      <c r="I120" s="295" t="s">
        <v>802</v>
      </c>
      <c r="J120" s="295" t="s">
        <v>796</v>
      </c>
      <c r="K120" s="295" t="s">
        <v>787</v>
      </c>
      <c r="L120" s="299"/>
      <c r="M120" s="299"/>
      <c r="N120" s="299" t="s">
        <v>983</v>
      </c>
      <c r="O120" s="320"/>
      <c r="P120" s="299"/>
      <c r="Q120" s="299"/>
      <c r="U120" s="295" t="s">
        <v>984</v>
      </c>
      <c r="V120" s="295" t="s">
        <v>990</v>
      </c>
      <c r="X120" s="332">
        <v>42892</v>
      </c>
      <c r="Y120" s="332">
        <v>42893</v>
      </c>
      <c r="AA120" s="332"/>
      <c r="AB120" s="295" t="s">
        <v>793</v>
      </c>
      <c r="AC120" s="295">
        <v>0</v>
      </c>
      <c r="AD120" s="295">
        <v>0</v>
      </c>
      <c r="AE120" s="295">
        <v>0</v>
      </c>
      <c r="AF120" s="295">
        <v>0</v>
      </c>
      <c r="AG120" s="295">
        <v>5</v>
      </c>
      <c r="AH120" s="295">
        <v>1</v>
      </c>
      <c r="AI120" s="295">
        <v>70095</v>
      </c>
      <c r="AJ120" s="295">
        <v>2195</v>
      </c>
      <c r="AK120" s="295">
        <v>0</v>
      </c>
      <c r="AL120" s="295">
        <v>0</v>
      </c>
      <c r="AO120" s="335"/>
      <c r="AP120" s="335"/>
      <c r="AQ120" s="295" t="str">
        <f t="shared" si="1"/>
        <v/>
      </c>
    </row>
    <row r="121" spans="2:43">
      <c r="C121" s="332"/>
      <c r="D121" s="338"/>
      <c r="E121" s="338"/>
      <c r="F121" s="338"/>
      <c r="H121" s="298"/>
    </row>
    <row r="122" spans="2:43">
      <c r="B122" s="339" t="s">
        <v>991</v>
      </c>
      <c r="C122" s="339"/>
      <c r="D122" s="340"/>
      <c r="E122" s="340"/>
      <c r="F122" s="340"/>
      <c r="G122" s="339"/>
      <c r="H122" s="341"/>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42"/>
    </row>
    <row r="123" spans="2:43">
      <c r="H123" s="298"/>
    </row>
    <row r="124" spans="2:43">
      <c r="B124" s="295" t="s">
        <v>992</v>
      </c>
      <c r="C124" s="295" t="s">
        <v>993</v>
      </c>
      <c r="D124" s="346" t="s">
        <v>993</v>
      </c>
      <c r="H124" s="298"/>
    </row>
    <row r="125" spans="2:43">
      <c r="B125" s="299" t="s">
        <v>857</v>
      </c>
      <c r="C125" s="343">
        <v>0</v>
      </c>
      <c r="D125" s="343">
        <v>0</v>
      </c>
      <c r="H125" s="298"/>
    </row>
    <row r="126" spans="2:43">
      <c r="B126" s="299" t="s">
        <v>804</v>
      </c>
      <c r="C126" s="343">
        <v>-127.94</v>
      </c>
      <c r="D126" s="343">
        <v>-127.94</v>
      </c>
      <c r="H126" s="298"/>
    </row>
    <row r="127" spans="2:43">
      <c r="B127" s="299" t="s">
        <v>983</v>
      </c>
      <c r="C127" s="343">
        <v>0</v>
      </c>
      <c r="D127" s="343">
        <v>0</v>
      </c>
      <c r="H127" s="298"/>
    </row>
    <row r="128" spans="2:43">
      <c r="B128" s="299" t="s">
        <v>808</v>
      </c>
      <c r="C128" s="343">
        <v>-15.11</v>
      </c>
      <c r="D128" s="343">
        <v>-15.11</v>
      </c>
      <c r="H128" s="298"/>
    </row>
    <row r="129" spans="2:8">
      <c r="B129" s="299" t="s">
        <v>807</v>
      </c>
      <c r="C129" s="343">
        <v>-64.03</v>
      </c>
      <c r="D129" s="343">
        <v>-64.03</v>
      </c>
      <c r="H129" s="298"/>
    </row>
    <row r="130" spans="2:8">
      <c r="B130" s="299" t="s">
        <v>945</v>
      </c>
      <c r="C130" s="343">
        <v>0</v>
      </c>
      <c r="D130" s="343">
        <v>0</v>
      </c>
      <c r="H130" s="298"/>
    </row>
    <row r="131" spans="2:8">
      <c r="B131" s="299" t="s">
        <v>837</v>
      </c>
      <c r="C131" s="343">
        <v>0</v>
      </c>
      <c r="D131" s="343">
        <v>0</v>
      </c>
      <c r="H131" s="298"/>
    </row>
    <row r="132" spans="2:8">
      <c r="B132" s="299" t="s">
        <v>823</v>
      </c>
      <c r="C132" s="343">
        <v>0</v>
      </c>
      <c r="D132" s="343">
        <v>0</v>
      </c>
      <c r="H132" s="298"/>
    </row>
    <row r="133" spans="2:8">
      <c r="B133" s="299" t="s">
        <v>911</v>
      </c>
      <c r="C133" s="343">
        <v>397.3</v>
      </c>
      <c r="D133" s="343">
        <v>397.3</v>
      </c>
      <c r="H133" s="298"/>
    </row>
    <row r="134" spans="2:8">
      <c r="B134" s="299" t="s">
        <v>926</v>
      </c>
      <c r="C134" s="343">
        <v>626.46</v>
      </c>
      <c r="D134" s="343">
        <v>626.46</v>
      </c>
      <c r="H134" s="298"/>
    </row>
    <row r="135" spans="2:8">
      <c r="B135" s="299" t="s">
        <v>977</v>
      </c>
      <c r="C135" s="343">
        <v>49.1</v>
      </c>
      <c r="D135" s="343">
        <v>49.1</v>
      </c>
      <c r="H135" s="298"/>
    </row>
    <row r="136" spans="2:8">
      <c r="B136" s="299" t="s">
        <v>927</v>
      </c>
      <c r="C136" s="343">
        <v>188</v>
      </c>
      <c r="D136" s="343">
        <v>188</v>
      </c>
      <c r="H136" s="298"/>
    </row>
    <row r="137" spans="2:8">
      <c r="B137" s="299" t="s">
        <v>789</v>
      </c>
      <c r="C137" s="343">
        <v>482.21</v>
      </c>
      <c r="D137" s="343">
        <v>482.21</v>
      </c>
      <c r="H137" s="298"/>
    </row>
    <row r="138" spans="2:8">
      <c r="B138" s="299" t="s">
        <v>870</v>
      </c>
      <c r="C138" s="343">
        <v>112</v>
      </c>
      <c r="D138" s="343">
        <v>112</v>
      </c>
      <c r="H138" s="298"/>
    </row>
    <row r="139" spans="2:8">
      <c r="B139" s="299" t="s">
        <v>950</v>
      </c>
      <c r="C139" s="343">
        <v>1320.01</v>
      </c>
      <c r="D139" s="343">
        <v>1320.01</v>
      </c>
      <c r="H139" s="298"/>
    </row>
    <row r="140" spans="2:8">
      <c r="B140" s="299" t="s">
        <v>908</v>
      </c>
      <c r="C140" s="343">
        <v>450.1</v>
      </c>
      <c r="D140" s="343">
        <v>450.1</v>
      </c>
      <c r="H140" s="298"/>
    </row>
    <row r="141" spans="2:8">
      <c r="B141" s="299" t="s">
        <v>797</v>
      </c>
      <c r="C141" s="343">
        <v>-21.59</v>
      </c>
      <c r="D141" s="343">
        <v>-21.59</v>
      </c>
    </row>
    <row r="142" spans="2:8">
      <c r="B142" s="299" t="s">
        <v>819</v>
      </c>
      <c r="C142" s="343">
        <v>21.59</v>
      </c>
      <c r="D142" s="343">
        <v>21.59</v>
      </c>
    </row>
    <row r="143" spans="2:8">
      <c r="B143" s="299" t="s">
        <v>963</v>
      </c>
      <c r="C143" s="343">
        <v>216.4</v>
      </c>
      <c r="D143" s="343">
        <v>216.4</v>
      </c>
    </row>
    <row r="144" spans="2:8">
      <c r="B144" s="299" t="s">
        <v>935</v>
      </c>
      <c r="C144" s="343">
        <v>200</v>
      </c>
      <c r="D144" s="343">
        <v>200</v>
      </c>
    </row>
    <row r="145" spans="1:5">
      <c r="B145" s="299" t="s">
        <v>980</v>
      </c>
      <c r="C145" s="343">
        <v>216.13</v>
      </c>
      <c r="D145" s="343">
        <v>216.13</v>
      </c>
    </row>
    <row r="146" spans="1:5">
      <c r="B146" s="299" t="s">
        <v>930</v>
      </c>
      <c r="C146" s="343">
        <v>44.05</v>
      </c>
      <c r="D146" s="343">
        <v>44.05</v>
      </c>
    </row>
    <row r="147" spans="1:5">
      <c r="A147" s="295">
        <v>70095</v>
      </c>
      <c r="B147" s="299" t="s">
        <v>834</v>
      </c>
      <c r="C147" s="343">
        <v>178</v>
      </c>
      <c r="D147" s="343">
        <v>178</v>
      </c>
      <c r="E147" s="295" t="s">
        <v>1114</v>
      </c>
    </row>
    <row r="148" spans="1:5">
      <c r="B148" s="299" t="s">
        <v>821</v>
      </c>
      <c r="C148" s="343">
        <v>40</v>
      </c>
      <c r="D148" s="343">
        <v>40</v>
      </c>
      <c r="E148" s="295" t="s">
        <v>1114</v>
      </c>
    </row>
    <row r="149" spans="1:5">
      <c r="B149" s="299" t="s">
        <v>943</v>
      </c>
      <c r="C149" s="343">
        <v>175.6</v>
      </c>
      <c r="D149" s="343">
        <v>175.6</v>
      </c>
    </row>
    <row r="150" spans="1:5">
      <c r="B150" s="299" t="s">
        <v>861</v>
      </c>
      <c r="C150" s="343">
        <v>26.47</v>
      </c>
      <c r="D150" s="343">
        <v>26.47</v>
      </c>
    </row>
    <row r="151" spans="1:5">
      <c r="B151" s="299" t="s">
        <v>934</v>
      </c>
      <c r="C151" s="343">
        <v>200</v>
      </c>
      <c r="D151" s="343">
        <v>200</v>
      </c>
    </row>
    <row r="152" spans="1:5">
      <c r="B152" s="299" t="s">
        <v>942</v>
      </c>
      <c r="C152" s="343">
        <v>1500</v>
      </c>
      <c r="D152" s="343">
        <v>1500</v>
      </c>
    </row>
    <row r="153" spans="1:5">
      <c r="B153" s="299" t="s">
        <v>964</v>
      </c>
      <c r="C153" s="343">
        <v>434.98</v>
      </c>
      <c r="D153" s="343">
        <v>434.98</v>
      </c>
    </row>
    <row r="154" spans="1:5">
      <c r="B154" s="299" t="s">
        <v>932</v>
      </c>
      <c r="C154" s="343">
        <v>132.46</v>
      </c>
      <c r="D154" s="343">
        <v>132.46</v>
      </c>
    </row>
    <row r="155" spans="1:5">
      <c r="B155" s="299" t="s">
        <v>800</v>
      </c>
      <c r="C155" s="343">
        <v>-75.989999999999995</v>
      </c>
      <c r="D155" s="343">
        <v>-75.989999999999995</v>
      </c>
    </row>
    <row r="156" spans="1:5">
      <c r="B156" s="299" t="s">
        <v>936</v>
      </c>
      <c r="C156" s="343">
        <v>36.71</v>
      </c>
      <c r="D156" s="343">
        <v>36.71</v>
      </c>
    </row>
    <row r="157" spans="1:5">
      <c r="B157" s="299" t="s">
        <v>947</v>
      </c>
      <c r="C157" s="343">
        <v>0</v>
      </c>
      <c r="D157" s="343">
        <v>0</v>
      </c>
    </row>
    <row r="158" spans="1:5">
      <c r="B158" s="299" t="s">
        <v>812</v>
      </c>
      <c r="C158" s="343">
        <v>393.99</v>
      </c>
      <c r="D158" s="343">
        <v>393.99</v>
      </c>
    </row>
    <row r="159" spans="1:5">
      <c r="B159" s="299" t="s">
        <v>979</v>
      </c>
      <c r="C159" s="343">
        <v>120.7</v>
      </c>
      <c r="D159" s="343">
        <v>120.7</v>
      </c>
    </row>
    <row r="160" spans="1:5">
      <c r="B160" s="299" t="s">
        <v>897</v>
      </c>
      <c r="C160" s="343">
        <v>15.14</v>
      </c>
      <c r="D160" s="343">
        <v>15.14</v>
      </c>
    </row>
    <row r="161" spans="2:5">
      <c r="B161" s="299" t="s">
        <v>933</v>
      </c>
      <c r="C161" s="343">
        <v>366.39</v>
      </c>
      <c r="D161" s="343">
        <v>366.39</v>
      </c>
    </row>
    <row r="162" spans="2:5">
      <c r="B162" s="299" t="s">
        <v>929</v>
      </c>
      <c r="C162" s="343">
        <v>71.38</v>
      </c>
      <c r="D162" s="343">
        <v>71.38</v>
      </c>
    </row>
    <row r="163" spans="2:5">
      <c r="B163" s="299" t="s">
        <v>928</v>
      </c>
      <c r="C163" s="343">
        <v>203.25</v>
      </c>
      <c r="D163" s="343">
        <v>203.25</v>
      </c>
    </row>
    <row r="164" spans="2:5">
      <c r="B164" s="299" t="s">
        <v>878</v>
      </c>
      <c r="C164" s="343">
        <v>92.33</v>
      </c>
      <c r="D164" s="343">
        <v>92.33</v>
      </c>
    </row>
    <row r="165" spans="2:5">
      <c r="B165" s="299" t="s">
        <v>892</v>
      </c>
      <c r="C165" s="343">
        <v>55.02</v>
      </c>
      <c r="D165" s="343">
        <v>55.02</v>
      </c>
    </row>
    <row r="166" spans="2:5">
      <c r="B166" s="299" t="s">
        <v>868</v>
      </c>
      <c r="C166" s="343">
        <v>195.33</v>
      </c>
      <c r="D166" s="343">
        <v>195.33</v>
      </c>
    </row>
    <row r="167" spans="2:5">
      <c r="B167" s="299" t="s">
        <v>981</v>
      </c>
      <c r="C167" s="343">
        <v>13.46</v>
      </c>
      <c r="D167" s="343">
        <v>13.46</v>
      </c>
    </row>
    <row r="168" spans="2:5">
      <c r="B168" s="299" t="s">
        <v>931</v>
      </c>
      <c r="C168" s="343">
        <v>64.22</v>
      </c>
      <c r="D168" s="343">
        <v>64.22</v>
      </c>
    </row>
    <row r="169" spans="2:5">
      <c r="B169" s="299" t="s">
        <v>1316</v>
      </c>
      <c r="C169" s="343">
        <v>230</v>
      </c>
      <c r="D169" s="343">
        <v>230</v>
      </c>
    </row>
    <row r="170" spans="2:5">
      <c r="B170" s="299" t="s">
        <v>894</v>
      </c>
      <c r="C170" s="343">
        <v>1725</v>
      </c>
      <c r="D170" s="343">
        <v>1725</v>
      </c>
    </row>
    <row r="171" spans="2:5">
      <c r="B171" s="299" t="s">
        <v>994</v>
      </c>
      <c r="C171" s="343">
        <v>10289.120000000001</v>
      </c>
      <c r="D171" s="351">
        <v>10289.120000000001</v>
      </c>
    </row>
    <row r="173" spans="2:5">
      <c r="D173" s="307" t="s">
        <v>1115</v>
      </c>
      <c r="E173" s="353">
        <f>D147+D148</f>
        <v>218</v>
      </c>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3" fitToHeight="2" pageOrder="overThenDown"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rowBreaks count="1" manualBreakCount="1">
    <brk id="88" min="1" max="13" man="1"/>
  </rowBreaks>
  <colBreaks count="3" manualBreakCount="3">
    <brk id="7" min="8" max="173" man="1"/>
    <brk id="13" min="8" max="173" man="1"/>
    <brk id="27" max="173" man="1"/>
  </colBreaks>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77"/>
  <sheetViews>
    <sheetView showGridLines="0" view="pageBreakPreview" topLeftCell="A9" zoomScale="60" zoomScaleNormal="80" workbookViewId="0">
      <selection activeCell="G20" sqref="G20"/>
    </sheetView>
  </sheetViews>
  <sheetFormatPr defaultRowHeight="12.75" outlineLevelRow="1"/>
  <cols>
    <col min="1" max="1" width="2.7109375" style="295" customWidth="1"/>
    <col min="2" max="2" width="44.42578125" style="295" customWidth="1"/>
    <col min="3" max="3" width="21.28515625" style="295" customWidth="1"/>
    <col min="4" max="5" width="18.7109375" style="295" customWidth="1"/>
    <col min="6" max="6" width="12.28515625" style="295" customWidth="1"/>
    <col min="7" max="7" width="19" style="295" customWidth="1"/>
    <col min="8" max="8" width="7.85546875" style="295" customWidth="1"/>
    <col min="9" max="9" width="30.28515625" style="295" customWidth="1"/>
    <col min="10" max="10" width="10.28515625" style="295" customWidth="1"/>
    <col min="11" max="11" width="13.5703125" style="295" customWidth="1"/>
    <col min="12" max="12" width="15.140625" style="295" customWidth="1"/>
    <col min="13" max="13" width="29.85546875" style="295" customWidth="1"/>
    <col min="14" max="14" width="38.5703125" style="295" customWidth="1"/>
    <col min="15" max="15" width="11.42578125" style="295" customWidth="1"/>
    <col min="16" max="16" width="35.140625" style="295" customWidth="1"/>
    <col min="17" max="17" width="18" style="295" customWidth="1"/>
    <col min="18" max="18" width="14.140625" style="295" customWidth="1"/>
    <col min="19" max="19" width="17.7109375" style="295" customWidth="1"/>
    <col min="20" max="20" width="12.7109375" style="295" customWidth="1"/>
    <col min="21" max="21" width="15.85546875" style="295" customWidth="1"/>
    <col min="22" max="22" width="13.7109375" style="295" bestFit="1" customWidth="1"/>
    <col min="23" max="23" width="13.28515625" style="295" customWidth="1"/>
    <col min="24" max="24" width="12.28515625" style="295" customWidth="1"/>
    <col min="25" max="25" width="11.5703125" style="295" customWidth="1"/>
    <col min="26" max="26" width="9.85546875" style="295" customWidth="1"/>
    <col min="27" max="27" width="11.42578125" style="295" customWidth="1"/>
    <col min="28" max="28" width="11" style="295" customWidth="1"/>
    <col min="29" max="29" width="11.5703125" style="295" customWidth="1"/>
    <col min="30" max="30" width="7" style="295" customWidth="1"/>
    <col min="31" max="31" width="11.140625" style="295" customWidth="1"/>
    <col min="32" max="32" width="11" style="295" customWidth="1"/>
    <col min="33" max="33" width="8.5703125" style="295" customWidth="1"/>
    <col min="34" max="34" width="8.42578125" style="295" customWidth="1"/>
    <col min="35" max="36" width="10.28515625" style="295" customWidth="1"/>
    <col min="37" max="37" width="10.140625" style="295" customWidth="1"/>
    <col min="38" max="38" width="10.42578125" style="295" customWidth="1"/>
    <col min="39" max="39" width="21.140625" style="295" customWidth="1"/>
    <col min="40" max="42" width="18.85546875" style="295" customWidth="1"/>
    <col min="43" max="43" width="20.42578125" style="295" customWidth="1"/>
    <col min="44" max="46" width="9.140625" style="295" customWidth="1"/>
    <col min="47" max="16384" width="9.140625" style="295"/>
  </cols>
  <sheetData>
    <row r="1" spans="1:43" hidden="1" outlineLevel="1">
      <c r="A1" s="294" t="b">
        <v>1</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row>
    <row r="2" spans="1:43" hidden="1" outlineLevel="1">
      <c r="B2" s="295" t="s">
        <v>673</v>
      </c>
      <c r="C2" s="295" t="s">
        <v>674</v>
      </c>
      <c r="D2" s="296" t="s">
        <v>675</v>
      </c>
      <c r="E2" s="296" t="s">
        <v>676</v>
      </c>
      <c r="F2" s="296" t="s">
        <v>677</v>
      </c>
      <c r="G2" s="295" t="s">
        <v>678</v>
      </c>
      <c r="H2" s="295" t="s">
        <v>679</v>
      </c>
      <c r="I2" s="295" t="s">
        <v>680</v>
      </c>
      <c r="J2" s="295" t="s">
        <v>681</v>
      </c>
      <c r="K2" s="295" t="s">
        <v>682</v>
      </c>
      <c r="L2" s="295" t="s">
        <v>683</v>
      </c>
      <c r="M2" s="295" t="s">
        <v>684</v>
      </c>
      <c r="N2" s="295" t="s">
        <v>685</v>
      </c>
      <c r="O2" s="295" t="s">
        <v>686</v>
      </c>
      <c r="P2" s="295" t="s">
        <v>687</v>
      </c>
      <c r="Q2" s="295" t="s">
        <v>688</v>
      </c>
      <c r="R2" s="295" t="s">
        <v>689</v>
      </c>
      <c r="S2" s="295" t="s">
        <v>690</v>
      </c>
      <c r="T2" s="295" t="s">
        <v>691</v>
      </c>
      <c r="U2" s="295" t="s">
        <v>692</v>
      </c>
      <c r="V2" s="295" t="s">
        <v>693</v>
      </c>
      <c r="W2" s="295" t="s">
        <v>694</v>
      </c>
      <c r="X2" s="295" t="s">
        <v>695</v>
      </c>
      <c r="Y2" s="295" t="s">
        <v>696</v>
      </c>
      <c r="Z2" s="295" t="s">
        <v>697</v>
      </c>
      <c r="AA2" s="295" t="s">
        <v>698</v>
      </c>
      <c r="AB2" s="295" t="s">
        <v>699</v>
      </c>
      <c r="AC2" s="295" t="s">
        <v>700</v>
      </c>
      <c r="AD2" s="295" t="s">
        <v>701</v>
      </c>
      <c r="AE2" s="295" t="s">
        <v>702</v>
      </c>
      <c r="AF2" s="295" t="s">
        <v>703</v>
      </c>
      <c r="AG2" s="295" t="s">
        <v>704</v>
      </c>
      <c r="AH2" s="295" t="s">
        <v>705</v>
      </c>
      <c r="AI2" s="295" t="s">
        <v>706</v>
      </c>
      <c r="AJ2" s="295" t="s">
        <v>707</v>
      </c>
      <c r="AK2" s="295" t="s">
        <v>708</v>
      </c>
      <c r="AL2" s="295" t="s">
        <v>709</v>
      </c>
      <c r="AM2" s="295" t="s">
        <v>710</v>
      </c>
      <c r="AN2" s="295" t="s">
        <v>711</v>
      </c>
      <c r="AO2" s="295" t="s">
        <v>712</v>
      </c>
      <c r="AP2" s="295" t="s">
        <v>713</v>
      </c>
      <c r="AQ2" s="296"/>
    </row>
    <row r="3" spans="1:43" hidden="1" outlineLevel="1">
      <c r="A3" s="294" t="s">
        <v>714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row>
    <row r="4" spans="1:43" hidden="1" outlineLevel="1">
      <c r="Q4" s="295" t="s">
        <v>2550</v>
      </c>
      <c r="U4" s="295" t="str">
        <f ca="1">_xll.ReportDrill(,"APDrill",_xll.PairGroup(_xll.PairExt(AQ20:AQ47,"H8")),"AP Detail")</f>
        <v>OK!: ReportDrill 'AP Detail' Formula OK [jAction{}]</v>
      </c>
      <c r="Y4" s="295" t="str">
        <f ca="1">_xll.ReportDrill(,"JEStaged_DrillToDetail",_xll.PairGroup(_xll.PairExt(Q19:Q47,"dControlNum",TRUE),_xll.PairExt(AP19:AP47,"dDistrict",TRUE),_xll.PairExt(AO19:AO47,"dApplyMonth",TRUE)),"JE Staged Details")</f>
        <v>OK!: ReportDrill 'JE Staged Details' Formula OK [jAction{}]</v>
      </c>
    </row>
    <row r="5" spans="1:43" hidden="1" outlineLevel="1">
      <c r="B5" s="295" t="str">
        <f ca="1">_xll.ReportRange("JEQuery_WithStaged",B20:AR46,B2:AR2,,_xll.Param(I12,DateTo,IF(M12="","all",M12),M13,M14,M15,P12,P13,P14,P15,EntrieShownLimit,DateFrom,DateTo),TRUE)</f>
        <v>OK!: ReportRange Formula OK [jAction{}]</v>
      </c>
    </row>
    <row r="6" spans="1:43" hidden="1" outlineLevel="1">
      <c r="B6" s="297" t="s">
        <v>715</v>
      </c>
      <c r="D6" s="295">
        <v>10000</v>
      </c>
    </row>
    <row r="7" spans="1:43" hidden="1" outlineLevel="1">
      <c r="A7" s="294" t="s">
        <v>716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row>
    <row r="8" spans="1:43" hidden="1" outlineLevel="1">
      <c r="B8" s="298" t="s">
        <v>717</v>
      </c>
      <c r="C8" s="295" t="str">
        <f>IF(DateFrom="",CurrentMonth,DateFrom)</f>
        <v>2016-07</v>
      </c>
      <c r="E8" s="298" t="s">
        <v>718</v>
      </c>
      <c r="G8" s="295" t="str">
        <f>IF(DateTo="",CurrentMonth,DateTo)</f>
        <v>2017-06</v>
      </c>
      <c r="I8" s="298" t="s">
        <v>719</v>
      </c>
      <c r="J8" s="299" t="str">
        <f ca="1">TEXT(NOW() - 15,"yyyy-mm")</f>
        <v>2017-07</v>
      </c>
    </row>
    <row r="9" spans="1:43" ht="18" collapsed="1">
      <c r="B9" s="300" t="s">
        <v>720</v>
      </c>
      <c r="G9" s="301" t="s">
        <v>721</v>
      </c>
      <c r="P9" s="302"/>
      <c r="U9" s="297"/>
    </row>
    <row r="10" spans="1:43" ht="14.25">
      <c r="B10" s="296" t="s">
        <v>722</v>
      </c>
      <c r="G10" s="303"/>
      <c r="P10" s="302"/>
      <c r="U10" s="297"/>
    </row>
    <row r="11" spans="1:43">
      <c r="G11" s="304" t="s">
        <v>723</v>
      </c>
      <c r="H11" s="305"/>
      <c r="I11" s="306"/>
      <c r="L11" s="305" t="s">
        <v>724</v>
      </c>
      <c r="M11" s="305"/>
      <c r="N11" s="305"/>
      <c r="O11" s="305"/>
      <c r="P11" s="305"/>
      <c r="U11" s="296"/>
    </row>
    <row r="12" spans="1:43" s="297" customFormat="1">
      <c r="H12" s="307" t="s">
        <v>725</v>
      </c>
      <c r="I12" s="308" t="s">
        <v>726</v>
      </c>
      <c r="K12" s="309"/>
      <c r="L12" s="297" t="s">
        <v>727</v>
      </c>
      <c r="M12" s="308" t="s">
        <v>219</v>
      </c>
      <c r="O12" s="307" t="s">
        <v>728</v>
      </c>
      <c r="P12" s="310"/>
      <c r="Z12" s="295"/>
      <c r="AA12" s="295"/>
      <c r="AB12" s="295"/>
      <c r="AH12" s="295"/>
      <c r="AI12" s="295"/>
      <c r="AJ12" s="295"/>
      <c r="AK12" s="295"/>
      <c r="AL12" s="295"/>
    </row>
    <row r="13" spans="1:43" s="297" customFormat="1">
      <c r="H13" s="307" t="s">
        <v>729</v>
      </c>
      <c r="I13" s="308" t="s">
        <v>222</v>
      </c>
      <c r="K13" s="309"/>
      <c r="L13" s="297" t="s">
        <v>730</v>
      </c>
      <c r="M13" s="308" t="s">
        <v>995</v>
      </c>
      <c r="N13" s="295"/>
      <c r="O13" s="307" t="s">
        <v>732</v>
      </c>
      <c r="P13" s="311"/>
      <c r="Q13" s="312"/>
      <c r="Z13" s="295"/>
      <c r="AA13" s="295"/>
      <c r="AB13" s="295"/>
      <c r="AH13" s="295"/>
      <c r="AI13" s="295"/>
      <c r="AJ13" s="295"/>
      <c r="AK13" s="295"/>
      <c r="AL13" s="295"/>
    </row>
    <row r="14" spans="1:43">
      <c r="L14" s="297" t="s">
        <v>221</v>
      </c>
      <c r="M14" s="308" t="s">
        <v>220</v>
      </c>
      <c r="O14" s="307" t="s">
        <v>733</v>
      </c>
      <c r="P14" s="311"/>
      <c r="Q14" s="312"/>
    </row>
    <row r="15" spans="1:43">
      <c r="L15" s="297" t="s">
        <v>551</v>
      </c>
      <c r="M15" s="308" t="s">
        <v>220</v>
      </c>
      <c r="O15" s="307" t="s">
        <v>734</v>
      </c>
      <c r="P15" s="313" t="s">
        <v>735</v>
      </c>
    </row>
    <row r="16" spans="1:43">
      <c r="B16" s="314" t="s">
        <v>736</v>
      </c>
      <c r="C16" s="315"/>
      <c r="D16" s="316">
        <f>SUM(D19:D47)</f>
        <v>7213.17</v>
      </c>
      <c r="E16" s="316">
        <f>SUM(E19:E47)</f>
        <v>0</v>
      </c>
      <c r="F16" s="295" t="s">
        <v>737</v>
      </c>
      <c r="N16" s="317"/>
      <c r="O16" s="317"/>
      <c r="P16" s="317"/>
      <c r="Q16" s="317"/>
    </row>
    <row r="17" spans="2:43">
      <c r="B17" s="314" t="s">
        <v>738</v>
      </c>
      <c r="C17" s="315"/>
      <c r="D17" s="318">
        <f>COUNT(D20:D48)</f>
        <v>26</v>
      </c>
      <c r="E17" s="318">
        <f>COUNT(E20:E48)</f>
        <v>26</v>
      </c>
      <c r="F17" s="296" t="s">
        <v>739</v>
      </c>
      <c r="G17" s="319" t="str">
        <f>""&amp;EntrieShownLimit</f>
        <v>10000</v>
      </c>
    </row>
    <row r="18" spans="2:43">
      <c r="O18" s="320"/>
      <c r="R18" s="321" t="s">
        <v>740</v>
      </c>
      <c r="S18" s="322"/>
      <c r="T18" s="322"/>
      <c r="U18" s="322"/>
      <c r="V18" s="322"/>
      <c r="W18" s="322"/>
      <c r="X18" s="322"/>
      <c r="Y18" s="322"/>
      <c r="Z18" s="323"/>
      <c r="AA18" s="323"/>
      <c r="AB18" s="323"/>
      <c r="AC18" s="323"/>
      <c r="AD18" s="323"/>
      <c r="AE18" s="323"/>
      <c r="AF18" s="323"/>
      <c r="AG18" s="323"/>
      <c r="AH18" s="323"/>
      <c r="AI18" s="323"/>
      <c r="AJ18" s="323"/>
      <c r="AK18" s="323"/>
      <c r="AL18" s="323"/>
      <c r="AM18" s="323"/>
      <c r="AN18" s="323"/>
      <c r="AO18" s="323"/>
      <c r="AP18" s="323"/>
      <c r="AQ18" s="323"/>
    </row>
    <row r="19" spans="2:43" s="324" customFormat="1" ht="29.25" customHeight="1" thickBot="1">
      <c r="B19" s="325" t="s">
        <v>741</v>
      </c>
      <c r="C19" s="326" t="s">
        <v>742</v>
      </c>
      <c r="D19" s="327" t="s">
        <v>743</v>
      </c>
      <c r="E19" s="327" t="s">
        <v>744</v>
      </c>
      <c r="F19" s="327" t="s">
        <v>745</v>
      </c>
      <c r="G19" s="328" t="s">
        <v>746</v>
      </c>
      <c r="H19" s="325" t="s">
        <v>747</v>
      </c>
      <c r="I19" s="325" t="s">
        <v>748</v>
      </c>
      <c r="J19" s="325" t="s">
        <v>681</v>
      </c>
      <c r="K19" s="325" t="s">
        <v>749</v>
      </c>
      <c r="L19" s="325" t="s">
        <v>750</v>
      </c>
      <c r="M19" s="325" t="s">
        <v>751</v>
      </c>
      <c r="N19" s="325" t="s">
        <v>752</v>
      </c>
      <c r="O19" s="329" t="s">
        <v>753</v>
      </c>
      <c r="P19" s="325" t="s">
        <v>754</v>
      </c>
      <c r="Q19" s="325" t="s">
        <v>755</v>
      </c>
      <c r="R19" s="325" t="s">
        <v>756</v>
      </c>
      <c r="S19" s="325" t="s">
        <v>757</v>
      </c>
      <c r="T19" s="325" t="s">
        <v>758</v>
      </c>
      <c r="U19" s="325" t="s">
        <v>759</v>
      </c>
      <c r="V19" s="325" t="s">
        <v>760</v>
      </c>
      <c r="W19" s="325" t="s">
        <v>761</v>
      </c>
      <c r="X19" s="325" t="s">
        <v>762</v>
      </c>
      <c r="Y19" s="325" t="s">
        <v>763</v>
      </c>
      <c r="Z19" s="325" t="s">
        <v>764</v>
      </c>
      <c r="AA19" s="325" t="s">
        <v>765</v>
      </c>
      <c r="AB19" s="325" t="s">
        <v>766</v>
      </c>
      <c r="AC19" s="330" t="s">
        <v>767</v>
      </c>
      <c r="AD19" s="330" t="s">
        <v>768</v>
      </c>
      <c r="AE19" s="330" t="s">
        <v>769</v>
      </c>
      <c r="AF19" s="330" t="s">
        <v>770</v>
      </c>
      <c r="AG19" s="330" t="s">
        <v>771</v>
      </c>
      <c r="AH19" s="330" t="s">
        <v>772</v>
      </c>
      <c r="AI19" s="326" t="s">
        <v>773</v>
      </c>
      <c r="AJ19" s="326" t="s">
        <v>774</v>
      </c>
      <c r="AK19" s="326" t="s">
        <v>775</v>
      </c>
      <c r="AL19" s="326" t="s">
        <v>776</v>
      </c>
      <c r="AM19" s="326" t="s">
        <v>777</v>
      </c>
      <c r="AN19" s="326" t="s">
        <v>711</v>
      </c>
      <c r="AO19" s="331" t="s">
        <v>778</v>
      </c>
      <c r="AP19" s="331" t="s">
        <v>779</v>
      </c>
      <c r="AQ19" s="331" t="s">
        <v>780</v>
      </c>
    </row>
    <row r="20" spans="2:43">
      <c r="B20" s="295" t="s">
        <v>996</v>
      </c>
      <c r="C20" s="332">
        <v>42565</v>
      </c>
      <c r="D20" s="333">
        <v>448.07</v>
      </c>
      <c r="E20" s="333">
        <v>0</v>
      </c>
      <c r="F20" s="334" t="s">
        <v>782</v>
      </c>
      <c r="G20" s="295" t="s">
        <v>997</v>
      </c>
      <c r="H20" s="335" t="s">
        <v>784</v>
      </c>
      <c r="I20" s="295" t="s">
        <v>785</v>
      </c>
      <c r="J20" s="295" t="s">
        <v>810</v>
      </c>
      <c r="K20" s="295" t="s">
        <v>787</v>
      </c>
      <c r="L20" s="299" t="s">
        <v>998</v>
      </c>
      <c r="M20" s="299"/>
      <c r="N20" s="299" t="s">
        <v>878</v>
      </c>
      <c r="O20" s="320">
        <v>42552</v>
      </c>
      <c r="P20" s="299" t="s">
        <v>999</v>
      </c>
      <c r="Q20" s="299">
        <v>12938</v>
      </c>
      <c r="R20" s="295" t="s">
        <v>1000</v>
      </c>
      <c r="U20" s="295" t="s">
        <v>1001</v>
      </c>
      <c r="V20" s="295" t="s">
        <v>1002</v>
      </c>
      <c r="W20" s="295">
        <v>2000</v>
      </c>
      <c r="X20" s="332">
        <v>42565</v>
      </c>
      <c r="Y20" s="332">
        <v>42566</v>
      </c>
      <c r="Z20" s="295">
        <v>8400</v>
      </c>
      <c r="AA20" s="332">
        <v>42617</v>
      </c>
      <c r="AB20" s="295" t="s">
        <v>793</v>
      </c>
      <c r="AC20" s="295">
        <v>0</v>
      </c>
      <c r="AD20" s="295">
        <v>0</v>
      </c>
      <c r="AE20" s="295">
        <v>0</v>
      </c>
      <c r="AF20" s="295">
        <v>0</v>
      </c>
      <c r="AG20" s="295">
        <v>0</v>
      </c>
      <c r="AH20" s="295">
        <v>1</v>
      </c>
      <c r="AI20" s="295">
        <v>70195</v>
      </c>
      <c r="AJ20" s="295">
        <v>2195</v>
      </c>
      <c r="AK20" s="295">
        <v>0</v>
      </c>
      <c r="AL20" s="295">
        <v>0</v>
      </c>
      <c r="AO20" s="335"/>
      <c r="AP20" s="335"/>
      <c r="AQ20" s="295" t="str">
        <f>IF(LEFT(U20,2)="VO",U20,"")</f>
        <v>VO03988345</v>
      </c>
    </row>
    <row r="21" spans="2:43">
      <c r="B21" s="295" t="s">
        <v>996</v>
      </c>
      <c r="C21" s="332">
        <v>42578</v>
      </c>
      <c r="D21" s="333">
        <v>448.07</v>
      </c>
      <c r="E21" s="333">
        <v>0</v>
      </c>
      <c r="F21" s="334" t="s">
        <v>782</v>
      </c>
      <c r="G21" s="295" t="s">
        <v>1003</v>
      </c>
      <c r="H21" s="335" t="s">
        <v>784</v>
      </c>
      <c r="I21" s="295" t="s">
        <v>785</v>
      </c>
      <c r="J21" s="295" t="s">
        <v>810</v>
      </c>
      <c r="K21" s="295" t="s">
        <v>787</v>
      </c>
      <c r="L21" s="299" t="s">
        <v>998</v>
      </c>
      <c r="M21" s="299"/>
      <c r="N21" s="299" t="s">
        <v>878</v>
      </c>
      <c r="O21" s="320">
        <v>42576</v>
      </c>
      <c r="P21" s="299" t="s">
        <v>1004</v>
      </c>
      <c r="Q21" s="299">
        <v>12980</v>
      </c>
      <c r="R21" s="295" t="s">
        <v>1005</v>
      </c>
      <c r="U21" s="295" t="s">
        <v>1006</v>
      </c>
      <c r="V21" s="295" t="s">
        <v>1007</v>
      </c>
      <c r="W21" s="295">
        <v>2000</v>
      </c>
      <c r="X21" s="332">
        <v>42578</v>
      </c>
      <c r="Y21" s="332">
        <v>42580</v>
      </c>
      <c r="Z21" s="295">
        <v>8400</v>
      </c>
      <c r="AA21" s="332">
        <v>42641</v>
      </c>
      <c r="AB21" s="295" t="s">
        <v>793</v>
      </c>
      <c r="AC21" s="295">
        <v>0</v>
      </c>
      <c r="AD21" s="295">
        <v>0</v>
      </c>
      <c r="AE21" s="295">
        <v>0</v>
      </c>
      <c r="AF21" s="295">
        <v>0</v>
      </c>
      <c r="AG21" s="295">
        <v>0</v>
      </c>
      <c r="AH21" s="295">
        <v>1</v>
      </c>
      <c r="AI21" s="295">
        <v>70195</v>
      </c>
      <c r="AJ21" s="295">
        <v>2195</v>
      </c>
      <c r="AK21" s="295">
        <v>0</v>
      </c>
      <c r="AL21" s="295">
        <v>0</v>
      </c>
      <c r="AO21" s="335"/>
      <c r="AP21" s="335"/>
      <c r="AQ21" s="295" t="str">
        <f t="shared" ref="AQ21:AQ45" si="0">IF(LEFT(U21,2)="VO",U21,"")</f>
        <v>VO04001758</v>
      </c>
    </row>
    <row r="22" spans="2:43">
      <c r="B22" s="295" t="s">
        <v>996</v>
      </c>
      <c r="C22" s="332">
        <v>42582</v>
      </c>
      <c r="D22" s="333">
        <v>125</v>
      </c>
      <c r="E22" s="333">
        <v>0</v>
      </c>
      <c r="F22" s="334" t="s">
        <v>782</v>
      </c>
      <c r="G22" s="295" t="s">
        <v>1008</v>
      </c>
      <c r="H22" s="335" t="s">
        <v>784</v>
      </c>
      <c r="I22" s="295" t="s">
        <v>785</v>
      </c>
      <c r="J22" s="295" t="s">
        <v>810</v>
      </c>
      <c r="K22" s="295" t="s">
        <v>787</v>
      </c>
      <c r="L22" s="299" t="s">
        <v>1009</v>
      </c>
      <c r="M22" s="299"/>
      <c r="N22" s="299" t="s">
        <v>1010</v>
      </c>
      <c r="O22" s="320">
        <v>42552</v>
      </c>
      <c r="P22" s="299" t="s">
        <v>1011</v>
      </c>
      <c r="Q22" s="299" t="s">
        <v>1012</v>
      </c>
      <c r="R22" s="295" t="s">
        <v>1013</v>
      </c>
      <c r="U22" s="295" t="s">
        <v>1014</v>
      </c>
      <c r="V22" s="295" t="s">
        <v>1015</v>
      </c>
      <c r="W22" s="295">
        <v>2195</v>
      </c>
      <c r="X22" s="332">
        <v>42584</v>
      </c>
      <c r="Y22" s="332">
        <v>42584</v>
      </c>
      <c r="Z22" s="295">
        <v>125</v>
      </c>
      <c r="AA22" s="332">
        <v>42617</v>
      </c>
      <c r="AB22" s="295" t="s">
        <v>793</v>
      </c>
      <c r="AC22" s="295">
        <v>0</v>
      </c>
      <c r="AD22" s="295">
        <v>0</v>
      </c>
      <c r="AE22" s="295">
        <v>0</v>
      </c>
      <c r="AF22" s="295">
        <v>0</v>
      </c>
      <c r="AG22" s="295">
        <v>0</v>
      </c>
      <c r="AH22" s="295">
        <v>1</v>
      </c>
      <c r="AI22" s="295">
        <v>70195</v>
      </c>
      <c r="AJ22" s="295">
        <v>2195</v>
      </c>
      <c r="AK22" s="295">
        <v>0</v>
      </c>
      <c r="AL22" s="295">
        <v>0</v>
      </c>
      <c r="AO22" s="335"/>
      <c r="AP22" s="335"/>
      <c r="AQ22" s="295" t="str">
        <f t="shared" si="0"/>
        <v>VO04006776</v>
      </c>
    </row>
    <row r="23" spans="2:43">
      <c r="B23" s="295" t="s">
        <v>996</v>
      </c>
      <c r="C23" s="332">
        <v>42613</v>
      </c>
      <c r="D23" s="333">
        <v>448.07</v>
      </c>
      <c r="E23" s="333">
        <v>0</v>
      </c>
      <c r="F23" s="334" t="s">
        <v>782</v>
      </c>
      <c r="G23" s="295" t="s">
        <v>1016</v>
      </c>
      <c r="H23" s="335" t="s">
        <v>784</v>
      </c>
      <c r="I23" s="295" t="s">
        <v>1017</v>
      </c>
      <c r="J23" s="295" t="s">
        <v>803</v>
      </c>
      <c r="K23" s="295" t="s">
        <v>787</v>
      </c>
      <c r="L23" s="299"/>
      <c r="M23" s="299"/>
      <c r="N23" s="299" t="s">
        <v>1018</v>
      </c>
      <c r="O23" s="320"/>
      <c r="P23" s="299"/>
      <c r="Q23" s="299"/>
      <c r="U23" s="295" t="s">
        <v>1019</v>
      </c>
      <c r="V23" s="295" t="s">
        <v>1019</v>
      </c>
      <c r="X23" s="332">
        <v>42620</v>
      </c>
      <c r="Y23" s="332">
        <v>42620</v>
      </c>
      <c r="AA23" s="332"/>
      <c r="AB23" s="295" t="s">
        <v>793</v>
      </c>
      <c r="AC23" s="295">
        <v>0</v>
      </c>
      <c r="AD23" s="295">
        <v>0</v>
      </c>
      <c r="AE23" s="295">
        <v>0</v>
      </c>
      <c r="AF23" s="295">
        <v>0</v>
      </c>
      <c r="AG23" s="295">
        <v>0</v>
      </c>
      <c r="AH23" s="295">
        <v>1</v>
      </c>
      <c r="AI23" s="295">
        <v>70195</v>
      </c>
      <c r="AJ23" s="295">
        <v>2195</v>
      </c>
      <c r="AK23" s="295">
        <v>0</v>
      </c>
      <c r="AL23" s="295">
        <v>0</v>
      </c>
      <c r="AO23" s="335"/>
      <c r="AP23" s="335"/>
      <c r="AQ23" s="295" t="str">
        <f t="shared" si="0"/>
        <v/>
      </c>
    </row>
    <row r="24" spans="2:43">
      <c r="B24" s="295" t="s">
        <v>996</v>
      </c>
      <c r="C24" s="332">
        <v>42619</v>
      </c>
      <c r="D24" s="333">
        <v>448.07</v>
      </c>
      <c r="E24" s="333">
        <v>0</v>
      </c>
      <c r="F24" s="334" t="s">
        <v>782</v>
      </c>
      <c r="G24" s="295" t="s">
        <v>1020</v>
      </c>
      <c r="H24" s="335" t="s">
        <v>784</v>
      </c>
      <c r="I24" s="295" t="s">
        <v>785</v>
      </c>
      <c r="J24" s="295" t="s">
        <v>810</v>
      </c>
      <c r="K24" s="295" t="s">
        <v>787</v>
      </c>
      <c r="L24" s="299" t="s">
        <v>998</v>
      </c>
      <c r="M24" s="299"/>
      <c r="N24" s="299" t="s">
        <v>878</v>
      </c>
      <c r="O24" s="320">
        <v>42614</v>
      </c>
      <c r="P24" s="299" t="s">
        <v>1021</v>
      </c>
      <c r="Q24" s="299">
        <v>13020</v>
      </c>
      <c r="R24" s="295" t="s">
        <v>1022</v>
      </c>
      <c r="U24" s="295" t="s">
        <v>1023</v>
      </c>
      <c r="V24" s="295" t="s">
        <v>1024</v>
      </c>
      <c r="W24" s="295">
        <v>2000</v>
      </c>
      <c r="X24" s="332">
        <v>42619</v>
      </c>
      <c r="Y24" s="332">
        <v>42619</v>
      </c>
      <c r="Z24" s="295">
        <v>8400</v>
      </c>
      <c r="AA24" s="332">
        <v>42679</v>
      </c>
      <c r="AB24" s="295" t="s">
        <v>793</v>
      </c>
      <c r="AC24" s="295">
        <v>0</v>
      </c>
      <c r="AD24" s="295">
        <v>0</v>
      </c>
      <c r="AE24" s="295">
        <v>0</v>
      </c>
      <c r="AF24" s="295">
        <v>0</v>
      </c>
      <c r="AG24" s="295">
        <v>0</v>
      </c>
      <c r="AH24" s="295">
        <v>1</v>
      </c>
      <c r="AI24" s="295">
        <v>70195</v>
      </c>
      <c r="AJ24" s="295">
        <v>2195</v>
      </c>
      <c r="AK24" s="295">
        <v>0</v>
      </c>
      <c r="AL24" s="295">
        <v>0</v>
      </c>
      <c r="AO24" s="335"/>
      <c r="AP24" s="335"/>
      <c r="AQ24" s="295" t="str">
        <f t="shared" si="0"/>
        <v>VO04041525</v>
      </c>
    </row>
    <row r="25" spans="2:43">
      <c r="B25" s="295" t="s">
        <v>996</v>
      </c>
      <c r="C25" s="332">
        <v>42633</v>
      </c>
      <c r="D25" s="333">
        <v>500</v>
      </c>
      <c r="E25" s="333">
        <v>0</v>
      </c>
      <c r="F25" s="334" t="s">
        <v>782</v>
      </c>
      <c r="G25" s="295" t="s">
        <v>839</v>
      </c>
      <c r="H25" s="335" t="s">
        <v>784</v>
      </c>
      <c r="I25" s="295" t="s">
        <v>785</v>
      </c>
      <c r="J25" s="295" t="s">
        <v>810</v>
      </c>
      <c r="K25" s="295" t="s">
        <v>787</v>
      </c>
      <c r="L25" s="299" t="s">
        <v>1025</v>
      </c>
      <c r="M25" s="299"/>
      <c r="N25" s="299" t="s">
        <v>1026</v>
      </c>
      <c r="O25" s="320">
        <v>42614</v>
      </c>
      <c r="P25" s="299" t="s">
        <v>1011</v>
      </c>
      <c r="Q25" s="299">
        <v>2538955</v>
      </c>
      <c r="R25" s="295" t="s">
        <v>1027</v>
      </c>
      <c r="U25" s="295" t="s">
        <v>1028</v>
      </c>
      <c r="V25" s="295" t="s">
        <v>843</v>
      </c>
      <c r="W25" s="295">
        <v>2195</v>
      </c>
      <c r="X25" s="332">
        <v>42633</v>
      </c>
      <c r="Y25" s="332">
        <v>42635</v>
      </c>
      <c r="Z25" s="295">
        <v>500</v>
      </c>
      <c r="AA25" s="332">
        <v>42679</v>
      </c>
      <c r="AB25" s="295" t="s">
        <v>793</v>
      </c>
      <c r="AC25" s="295">
        <v>0</v>
      </c>
      <c r="AD25" s="295">
        <v>0</v>
      </c>
      <c r="AE25" s="295">
        <v>0</v>
      </c>
      <c r="AF25" s="295">
        <v>0</v>
      </c>
      <c r="AG25" s="295">
        <v>0</v>
      </c>
      <c r="AH25" s="295">
        <v>1</v>
      </c>
      <c r="AI25" s="295">
        <v>70195</v>
      </c>
      <c r="AJ25" s="295">
        <v>2195</v>
      </c>
      <c r="AK25" s="295">
        <v>0</v>
      </c>
      <c r="AL25" s="295">
        <v>0</v>
      </c>
      <c r="AO25" s="335"/>
      <c r="AP25" s="335"/>
      <c r="AQ25" s="295" t="str">
        <f t="shared" si="0"/>
        <v>VO04054975</v>
      </c>
    </row>
    <row r="26" spans="2:43">
      <c r="B26" s="295" t="s">
        <v>996</v>
      </c>
      <c r="C26" s="332">
        <v>42643</v>
      </c>
      <c r="D26" s="333">
        <v>-448.07</v>
      </c>
      <c r="E26" s="333">
        <v>0</v>
      </c>
      <c r="F26" s="334" t="s">
        <v>782</v>
      </c>
      <c r="G26" s="295" t="s">
        <v>1029</v>
      </c>
      <c r="H26" s="335" t="s">
        <v>784</v>
      </c>
      <c r="I26" s="295" t="s">
        <v>1017</v>
      </c>
      <c r="J26" s="295" t="s">
        <v>856</v>
      </c>
      <c r="K26" s="295" t="s">
        <v>787</v>
      </c>
      <c r="L26" s="299"/>
      <c r="M26" s="299"/>
      <c r="N26" s="299" t="s">
        <v>1018</v>
      </c>
      <c r="O26" s="320"/>
      <c r="P26" s="299"/>
      <c r="Q26" s="299"/>
      <c r="U26" s="295" t="s">
        <v>1019</v>
      </c>
      <c r="V26" s="295" t="s">
        <v>1030</v>
      </c>
      <c r="X26" s="332">
        <v>42620</v>
      </c>
      <c r="Y26" s="332">
        <v>42620</v>
      </c>
      <c r="AA26" s="332"/>
      <c r="AB26" s="295" t="s">
        <v>793</v>
      </c>
      <c r="AC26" s="295">
        <v>0</v>
      </c>
      <c r="AD26" s="295">
        <v>0</v>
      </c>
      <c r="AE26" s="295">
        <v>0</v>
      </c>
      <c r="AF26" s="295">
        <v>0</v>
      </c>
      <c r="AG26" s="295">
        <v>5</v>
      </c>
      <c r="AH26" s="295">
        <v>1</v>
      </c>
      <c r="AI26" s="295">
        <v>70195</v>
      </c>
      <c r="AJ26" s="295">
        <v>2195</v>
      </c>
      <c r="AK26" s="295">
        <v>0</v>
      </c>
      <c r="AL26" s="295">
        <v>0</v>
      </c>
      <c r="AO26" s="335"/>
      <c r="AP26" s="335"/>
      <c r="AQ26" s="295" t="str">
        <f t="shared" si="0"/>
        <v/>
      </c>
    </row>
    <row r="27" spans="2:43">
      <c r="B27" s="295" t="s">
        <v>996</v>
      </c>
      <c r="C27" s="332">
        <v>42648</v>
      </c>
      <c r="D27" s="333">
        <v>-125</v>
      </c>
      <c r="E27" s="333">
        <v>0</v>
      </c>
      <c r="F27" s="334" t="s">
        <v>782</v>
      </c>
      <c r="G27" s="295" t="s">
        <v>1031</v>
      </c>
      <c r="H27" s="335" t="s">
        <v>784</v>
      </c>
      <c r="I27" s="295" t="s">
        <v>1032</v>
      </c>
      <c r="J27" s="295" t="s">
        <v>810</v>
      </c>
      <c r="K27" s="295" t="s">
        <v>787</v>
      </c>
      <c r="L27" s="299"/>
      <c r="M27" s="299"/>
      <c r="N27" s="299" t="s">
        <v>1010</v>
      </c>
      <c r="O27" s="320"/>
      <c r="P27" s="299"/>
      <c r="Q27" s="299"/>
      <c r="U27" s="295" t="s">
        <v>1033</v>
      </c>
      <c r="V27" s="295" t="s">
        <v>1034</v>
      </c>
      <c r="X27" s="332">
        <v>42649</v>
      </c>
      <c r="Y27" s="332">
        <v>42649</v>
      </c>
      <c r="AA27" s="332"/>
      <c r="AB27" s="295" t="s">
        <v>793</v>
      </c>
      <c r="AC27" s="295">
        <v>0</v>
      </c>
      <c r="AD27" s="295">
        <v>0</v>
      </c>
      <c r="AE27" s="295">
        <v>0</v>
      </c>
      <c r="AF27" s="295">
        <v>0</v>
      </c>
      <c r="AG27" s="295">
        <v>0</v>
      </c>
      <c r="AH27" s="295">
        <v>1</v>
      </c>
      <c r="AI27" s="295">
        <v>70195</v>
      </c>
      <c r="AJ27" s="295">
        <v>2195</v>
      </c>
      <c r="AK27" s="295">
        <v>0</v>
      </c>
      <c r="AL27" s="295">
        <v>0</v>
      </c>
      <c r="AO27" s="335"/>
      <c r="AP27" s="335"/>
      <c r="AQ27" s="295" t="str">
        <f t="shared" si="0"/>
        <v/>
      </c>
    </row>
    <row r="28" spans="2:43">
      <c r="B28" s="295" t="s">
        <v>996</v>
      </c>
      <c r="C28" s="332">
        <v>42649</v>
      </c>
      <c r="D28" s="333">
        <v>448.07</v>
      </c>
      <c r="E28" s="333">
        <v>0</v>
      </c>
      <c r="F28" s="334" t="s">
        <v>782</v>
      </c>
      <c r="G28" s="295" t="s">
        <v>1035</v>
      </c>
      <c r="H28" s="335" t="s">
        <v>784</v>
      </c>
      <c r="I28" s="295" t="s">
        <v>785</v>
      </c>
      <c r="J28" s="295" t="s">
        <v>810</v>
      </c>
      <c r="K28" s="295" t="s">
        <v>787</v>
      </c>
      <c r="L28" s="299" t="s">
        <v>998</v>
      </c>
      <c r="M28" s="299"/>
      <c r="N28" s="299" t="s">
        <v>878</v>
      </c>
      <c r="O28" s="320">
        <v>42644</v>
      </c>
      <c r="P28" s="299" t="s">
        <v>1036</v>
      </c>
      <c r="Q28" s="299">
        <v>13061</v>
      </c>
      <c r="R28" s="295" t="s">
        <v>1037</v>
      </c>
      <c r="U28" s="295" t="s">
        <v>1038</v>
      </c>
      <c r="V28" s="295" t="s">
        <v>1039</v>
      </c>
      <c r="W28" s="295">
        <v>2000</v>
      </c>
      <c r="X28" s="332">
        <v>42649</v>
      </c>
      <c r="Y28" s="332">
        <v>42649</v>
      </c>
      <c r="Z28" s="295">
        <v>8400</v>
      </c>
      <c r="AA28" s="332">
        <v>42709</v>
      </c>
      <c r="AB28" s="295" t="s">
        <v>793</v>
      </c>
      <c r="AC28" s="295">
        <v>0</v>
      </c>
      <c r="AD28" s="295">
        <v>0</v>
      </c>
      <c r="AE28" s="295">
        <v>0</v>
      </c>
      <c r="AF28" s="295">
        <v>0</v>
      </c>
      <c r="AG28" s="295">
        <v>0</v>
      </c>
      <c r="AH28" s="295">
        <v>1</v>
      </c>
      <c r="AI28" s="295">
        <v>70195</v>
      </c>
      <c r="AJ28" s="295">
        <v>2195</v>
      </c>
      <c r="AK28" s="295">
        <v>0</v>
      </c>
      <c r="AL28" s="295">
        <v>0</v>
      </c>
      <c r="AO28" s="335"/>
      <c r="AP28" s="335"/>
      <c r="AQ28" s="295" t="str">
        <f t="shared" si="0"/>
        <v>VO04072005</v>
      </c>
    </row>
    <row r="29" spans="2:43">
      <c r="B29" s="295" t="s">
        <v>996</v>
      </c>
      <c r="C29" s="332">
        <v>42684</v>
      </c>
      <c r="D29" s="333">
        <v>448.07</v>
      </c>
      <c r="E29" s="333">
        <v>0</v>
      </c>
      <c r="F29" s="334" t="s">
        <v>782</v>
      </c>
      <c r="G29" s="295" t="s">
        <v>1040</v>
      </c>
      <c r="H29" s="335" t="s">
        <v>784</v>
      </c>
      <c r="I29" s="295" t="s">
        <v>785</v>
      </c>
      <c r="J29" s="295" t="s">
        <v>810</v>
      </c>
      <c r="K29" s="295" t="s">
        <v>787</v>
      </c>
      <c r="L29" s="299" t="s">
        <v>998</v>
      </c>
      <c r="M29" s="299"/>
      <c r="N29" s="299" t="s">
        <v>878</v>
      </c>
      <c r="O29" s="320">
        <v>42675</v>
      </c>
      <c r="P29" s="299" t="s">
        <v>1036</v>
      </c>
      <c r="Q29" s="299">
        <v>12924</v>
      </c>
      <c r="R29" s="295" t="s">
        <v>1041</v>
      </c>
      <c r="U29" s="295" t="s">
        <v>1042</v>
      </c>
      <c r="V29" s="295" t="s">
        <v>1043</v>
      </c>
      <c r="W29" s="295">
        <v>2000</v>
      </c>
      <c r="X29" s="332">
        <v>42684</v>
      </c>
      <c r="Y29" s="332">
        <v>42684</v>
      </c>
      <c r="Z29" s="295">
        <v>8400</v>
      </c>
      <c r="AA29" s="332">
        <v>42740</v>
      </c>
      <c r="AB29" s="295" t="s">
        <v>793</v>
      </c>
      <c r="AC29" s="295">
        <v>0</v>
      </c>
      <c r="AD29" s="295">
        <v>0</v>
      </c>
      <c r="AE29" s="295">
        <v>0</v>
      </c>
      <c r="AF29" s="295">
        <v>0</v>
      </c>
      <c r="AG29" s="295">
        <v>0</v>
      </c>
      <c r="AH29" s="295">
        <v>1</v>
      </c>
      <c r="AI29" s="295">
        <v>70195</v>
      </c>
      <c r="AJ29" s="295">
        <v>2195</v>
      </c>
      <c r="AK29" s="295">
        <v>0</v>
      </c>
      <c r="AL29" s="295">
        <v>0</v>
      </c>
      <c r="AO29" s="335"/>
      <c r="AP29" s="335"/>
      <c r="AQ29" s="295" t="str">
        <f t="shared" si="0"/>
        <v>VO04105459</v>
      </c>
    </row>
    <row r="30" spans="2:43">
      <c r="B30" s="295" t="s">
        <v>996</v>
      </c>
      <c r="C30" s="332">
        <v>42718</v>
      </c>
      <c r="D30" s="333">
        <v>448.07</v>
      </c>
      <c r="E30" s="333">
        <v>0</v>
      </c>
      <c r="F30" s="334" t="s">
        <v>782</v>
      </c>
      <c r="G30" s="295" t="s">
        <v>1044</v>
      </c>
      <c r="H30" s="335" t="s">
        <v>784</v>
      </c>
      <c r="I30" s="295" t="s">
        <v>785</v>
      </c>
      <c r="J30" s="295" t="s">
        <v>786</v>
      </c>
      <c r="K30" s="295" t="s">
        <v>787</v>
      </c>
      <c r="L30" s="299" t="s">
        <v>998</v>
      </c>
      <c r="M30" s="299"/>
      <c r="N30" s="299" t="s">
        <v>878</v>
      </c>
      <c r="O30" s="320">
        <v>42705</v>
      </c>
      <c r="P30" s="299" t="s">
        <v>1045</v>
      </c>
      <c r="Q30" s="299">
        <v>13134</v>
      </c>
      <c r="R30" s="295" t="s">
        <v>1046</v>
      </c>
      <c r="U30" s="295" t="s">
        <v>1047</v>
      </c>
      <c r="V30" s="295" t="s">
        <v>1048</v>
      </c>
      <c r="W30" s="295">
        <v>2000</v>
      </c>
      <c r="X30" s="332">
        <v>42718</v>
      </c>
      <c r="Y30" s="332">
        <v>42719</v>
      </c>
      <c r="Z30" s="295">
        <v>8400</v>
      </c>
      <c r="AA30" s="332">
        <v>42770</v>
      </c>
      <c r="AB30" s="295" t="s">
        <v>793</v>
      </c>
      <c r="AC30" s="295">
        <v>0</v>
      </c>
      <c r="AD30" s="295">
        <v>0</v>
      </c>
      <c r="AE30" s="295">
        <v>0</v>
      </c>
      <c r="AF30" s="295">
        <v>0</v>
      </c>
      <c r="AG30" s="295">
        <v>0</v>
      </c>
      <c r="AH30" s="295">
        <v>1</v>
      </c>
      <c r="AI30" s="295">
        <v>70195</v>
      </c>
      <c r="AJ30" s="295">
        <v>2195</v>
      </c>
      <c r="AK30" s="295">
        <v>0</v>
      </c>
      <c r="AL30" s="295">
        <v>0</v>
      </c>
      <c r="AO30" s="335"/>
      <c r="AP30" s="335"/>
      <c r="AQ30" s="295" t="str">
        <f t="shared" si="0"/>
        <v>VO04136728</v>
      </c>
    </row>
    <row r="31" spans="2:43">
      <c r="B31" s="295" t="s">
        <v>996</v>
      </c>
      <c r="C31" s="332">
        <v>42727</v>
      </c>
      <c r="D31" s="333">
        <v>40.85</v>
      </c>
      <c r="E31" s="333">
        <v>0</v>
      </c>
      <c r="F31" s="334" t="s">
        <v>782</v>
      </c>
      <c r="G31" s="295" t="s">
        <v>1049</v>
      </c>
      <c r="H31" s="335" t="s">
        <v>784</v>
      </c>
      <c r="I31" s="295" t="s">
        <v>785</v>
      </c>
      <c r="J31" s="295" t="s">
        <v>810</v>
      </c>
      <c r="K31" s="295" t="s">
        <v>787</v>
      </c>
      <c r="L31" s="299" t="s">
        <v>1050</v>
      </c>
      <c r="M31" s="299"/>
      <c r="N31" s="299" t="s">
        <v>1051</v>
      </c>
      <c r="O31" s="320">
        <v>42725</v>
      </c>
      <c r="P31" s="299" t="s">
        <v>1052</v>
      </c>
      <c r="Q31" s="299">
        <v>177019</v>
      </c>
      <c r="R31" s="295" t="s">
        <v>1053</v>
      </c>
      <c r="U31" s="295" t="s">
        <v>1054</v>
      </c>
      <c r="V31" s="295" t="s">
        <v>1055</v>
      </c>
      <c r="W31" s="295">
        <v>2000</v>
      </c>
      <c r="X31" s="332">
        <v>42727</v>
      </c>
      <c r="Y31" s="332">
        <v>42727</v>
      </c>
      <c r="Z31" s="295">
        <v>500</v>
      </c>
      <c r="AA31" s="332">
        <v>42735</v>
      </c>
      <c r="AB31" s="295" t="s">
        <v>793</v>
      </c>
      <c r="AC31" s="295">
        <v>0</v>
      </c>
      <c r="AD31" s="295">
        <v>0</v>
      </c>
      <c r="AE31" s="295">
        <v>0</v>
      </c>
      <c r="AF31" s="295">
        <v>0</v>
      </c>
      <c r="AG31" s="295">
        <v>0</v>
      </c>
      <c r="AH31" s="295">
        <v>1</v>
      </c>
      <c r="AI31" s="295">
        <v>70195</v>
      </c>
      <c r="AJ31" s="295">
        <v>2195</v>
      </c>
      <c r="AK31" s="295">
        <v>0</v>
      </c>
      <c r="AL31" s="295">
        <v>0</v>
      </c>
      <c r="AO31" s="335"/>
      <c r="AP31" s="335"/>
      <c r="AQ31" s="295" t="str">
        <f t="shared" si="0"/>
        <v>VO04147787</v>
      </c>
    </row>
    <row r="32" spans="2:43">
      <c r="B32" s="295" t="s">
        <v>996</v>
      </c>
      <c r="C32" s="332">
        <v>42735</v>
      </c>
      <c r="D32" s="333">
        <v>296</v>
      </c>
      <c r="E32" s="333">
        <v>0</v>
      </c>
      <c r="F32" s="334" t="s">
        <v>782</v>
      </c>
      <c r="G32" s="295" t="s">
        <v>887</v>
      </c>
      <c r="H32" s="335" t="s">
        <v>784</v>
      </c>
      <c r="I32" s="295" t="s">
        <v>888</v>
      </c>
      <c r="J32" s="295" t="s">
        <v>803</v>
      </c>
      <c r="K32" s="295" t="s">
        <v>787</v>
      </c>
      <c r="L32" s="299"/>
      <c r="M32" s="299"/>
      <c r="N32" s="299" t="s">
        <v>1056</v>
      </c>
      <c r="O32" s="320"/>
      <c r="P32" s="299"/>
      <c r="Q32" s="299"/>
      <c r="U32" s="295" t="s">
        <v>889</v>
      </c>
      <c r="V32" s="295" t="s">
        <v>889</v>
      </c>
      <c r="X32" s="332">
        <v>42740</v>
      </c>
      <c r="Y32" s="332">
        <v>42740</v>
      </c>
      <c r="AA32" s="332"/>
      <c r="AB32" s="295" t="s">
        <v>793</v>
      </c>
      <c r="AC32" s="295">
        <v>0</v>
      </c>
      <c r="AD32" s="295">
        <v>0</v>
      </c>
      <c r="AE32" s="295">
        <v>0</v>
      </c>
      <c r="AF32" s="295">
        <v>0</v>
      </c>
      <c r="AG32" s="295">
        <v>0</v>
      </c>
      <c r="AH32" s="295">
        <v>1</v>
      </c>
      <c r="AI32" s="295">
        <v>70195</v>
      </c>
      <c r="AJ32" s="295">
        <v>2195</v>
      </c>
      <c r="AK32" s="295">
        <v>0</v>
      </c>
      <c r="AL32" s="295">
        <v>0</v>
      </c>
      <c r="AO32" s="335"/>
      <c r="AP32" s="335"/>
      <c r="AQ32" s="295" t="str">
        <f t="shared" si="0"/>
        <v/>
      </c>
    </row>
    <row r="33" spans="2:43">
      <c r="B33" s="295" t="s">
        <v>996</v>
      </c>
      <c r="C33" s="332">
        <v>42744</v>
      </c>
      <c r="D33" s="333">
        <v>448.07</v>
      </c>
      <c r="E33" s="333">
        <v>0</v>
      </c>
      <c r="F33" s="334" t="s">
        <v>782</v>
      </c>
      <c r="G33" s="295" t="s">
        <v>1057</v>
      </c>
      <c r="H33" s="335" t="s">
        <v>784</v>
      </c>
      <c r="I33" s="295" t="s">
        <v>785</v>
      </c>
      <c r="J33" s="295" t="s">
        <v>810</v>
      </c>
      <c r="K33" s="295" t="s">
        <v>787</v>
      </c>
      <c r="L33" s="299" t="s">
        <v>998</v>
      </c>
      <c r="M33" s="299"/>
      <c r="N33" s="299" t="s">
        <v>878</v>
      </c>
      <c r="O33" s="320">
        <v>42736</v>
      </c>
      <c r="P33" s="299" t="s">
        <v>1058</v>
      </c>
      <c r="Q33" s="299">
        <v>13253</v>
      </c>
      <c r="R33" s="295" t="s">
        <v>1059</v>
      </c>
      <c r="U33" s="295" t="s">
        <v>1060</v>
      </c>
      <c r="V33" s="295" t="s">
        <v>1061</v>
      </c>
      <c r="W33" s="295">
        <v>2000</v>
      </c>
      <c r="X33" s="332">
        <v>42744</v>
      </c>
      <c r="Y33" s="332">
        <v>42744</v>
      </c>
      <c r="Z33" s="295">
        <v>8400</v>
      </c>
      <c r="AA33" s="332">
        <v>42801</v>
      </c>
      <c r="AB33" s="295" t="s">
        <v>793</v>
      </c>
      <c r="AC33" s="295">
        <v>0</v>
      </c>
      <c r="AD33" s="295">
        <v>0</v>
      </c>
      <c r="AE33" s="295">
        <v>0</v>
      </c>
      <c r="AF33" s="295">
        <v>0</v>
      </c>
      <c r="AG33" s="295">
        <v>0</v>
      </c>
      <c r="AH33" s="295">
        <v>1</v>
      </c>
      <c r="AI33" s="295">
        <v>70195</v>
      </c>
      <c r="AJ33" s="295">
        <v>2195</v>
      </c>
      <c r="AK33" s="295">
        <v>0</v>
      </c>
      <c r="AL33" s="295">
        <v>0</v>
      </c>
      <c r="AO33" s="335"/>
      <c r="AP33" s="335"/>
      <c r="AQ33" s="295" t="str">
        <f t="shared" si="0"/>
        <v>VO04166261</v>
      </c>
    </row>
    <row r="34" spans="2:43">
      <c r="B34" s="295" t="s">
        <v>996</v>
      </c>
      <c r="C34" s="332">
        <v>42761</v>
      </c>
      <c r="D34" s="333">
        <v>300</v>
      </c>
      <c r="E34" s="333">
        <v>0</v>
      </c>
      <c r="F34" s="334" t="s">
        <v>782</v>
      </c>
      <c r="G34" s="295" t="s">
        <v>1062</v>
      </c>
      <c r="H34" s="335" t="s">
        <v>784</v>
      </c>
      <c r="I34" s="295" t="s">
        <v>785</v>
      </c>
      <c r="J34" s="295" t="s">
        <v>810</v>
      </c>
      <c r="K34" s="295" t="s">
        <v>787</v>
      </c>
      <c r="L34" s="299" t="s">
        <v>1063</v>
      </c>
      <c r="M34" s="299"/>
      <c r="N34" s="299" t="s">
        <v>1064</v>
      </c>
      <c r="O34" s="320">
        <v>42736</v>
      </c>
      <c r="P34" s="299" t="s">
        <v>1065</v>
      </c>
      <c r="Q34" s="299" t="s">
        <v>1066</v>
      </c>
      <c r="R34" s="295" t="s">
        <v>1067</v>
      </c>
      <c r="U34" s="295" t="s">
        <v>1068</v>
      </c>
      <c r="V34" s="295" t="s">
        <v>1069</v>
      </c>
      <c r="W34" s="295">
        <v>2195</v>
      </c>
      <c r="X34" s="332">
        <v>42761</v>
      </c>
      <c r="Y34" s="332">
        <v>42762</v>
      </c>
      <c r="Z34" s="295">
        <v>300</v>
      </c>
      <c r="AA34" s="332">
        <v>42746</v>
      </c>
      <c r="AB34" s="295" t="s">
        <v>793</v>
      </c>
      <c r="AC34" s="295">
        <v>0</v>
      </c>
      <c r="AD34" s="295">
        <v>0</v>
      </c>
      <c r="AE34" s="295">
        <v>0</v>
      </c>
      <c r="AF34" s="295">
        <v>0</v>
      </c>
      <c r="AG34" s="295">
        <v>0</v>
      </c>
      <c r="AH34" s="295">
        <v>1</v>
      </c>
      <c r="AI34" s="295">
        <v>70195</v>
      </c>
      <c r="AJ34" s="295">
        <v>2195</v>
      </c>
      <c r="AK34" s="295">
        <v>0</v>
      </c>
      <c r="AL34" s="295">
        <v>0</v>
      </c>
      <c r="AO34" s="335"/>
      <c r="AP34" s="335"/>
      <c r="AQ34" s="295" t="str">
        <f t="shared" si="0"/>
        <v>VO04185180</v>
      </c>
    </row>
    <row r="35" spans="2:43">
      <c r="B35" s="295" t="s">
        <v>996</v>
      </c>
      <c r="C35" s="332">
        <v>42766</v>
      </c>
      <c r="D35" s="333">
        <v>175</v>
      </c>
      <c r="E35" s="333">
        <v>0</v>
      </c>
      <c r="F35" s="334" t="s">
        <v>782</v>
      </c>
      <c r="G35" s="295" t="s">
        <v>1070</v>
      </c>
      <c r="H35" s="335" t="s">
        <v>784</v>
      </c>
      <c r="I35" s="295" t="s">
        <v>785</v>
      </c>
      <c r="J35" s="295" t="s">
        <v>810</v>
      </c>
      <c r="K35" s="295" t="s">
        <v>787</v>
      </c>
      <c r="L35" s="299" t="s">
        <v>1071</v>
      </c>
      <c r="M35" s="299"/>
      <c r="N35" s="299" t="s">
        <v>1072</v>
      </c>
      <c r="O35" s="320">
        <v>42736</v>
      </c>
      <c r="P35" s="299" t="s">
        <v>1073</v>
      </c>
      <c r="Q35" s="299">
        <v>2017</v>
      </c>
      <c r="R35" s="295" t="s">
        <v>1074</v>
      </c>
      <c r="U35" s="295" t="s">
        <v>1075</v>
      </c>
      <c r="V35" s="295" t="s">
        <v>1076</v>
      </c>
      <c r="W35" s="295">
        <v>2195</v>
      </c>
      <c r="X35" s="332">
        <v>42768</v>
      </c>
      <c r="Y35" s="332">
        <v>42769</v>
      </c>
      <c r="Z35" s="295">
        <v>175</v>
      </c>
      <c r="AA35" s="332">
        <v>42801</v>
      </c>
      <c r="AB35" s="295" t="s">
        <v>793</v>
      </c>
      <c r="AC35" s="295">
        <v>0</v>
      </c>
      <c r="AD35" s="295">
        <v>0</v>
      </c>
      <c r="AE35" s="295">
        <v>0</v>
      </c>
      <c r="AF35" s="295">
        <v>0</v>
      </c>
      <c r="AG35" s="295">
        <v>0</v>
      </c>
      <c r="AH35" s="295">
        <v>1</v>
      </c>
      <c r="AI35" s="295">
        <v>70195</v>
      </c>
      <c r="AJ35" s="295">
        <v>2195</v>
      </c>
      <c r="AK35" s="295">
        <v>0</v>
      </c>
      <c r="AL35" s="295">
        <v>0</v>
      </c>
      <c r="AO35" s="335"/>
      <c r="AP35" s="335"/>
      <c r="AQ35" s="295" t="str">
        <f t="shared" si="0"/>
        <v>VO04191166</v>
      </c>
    </row>
    <row r="36" spans="2:43">
      <c r="B36" s="295" t="s">
        <v>996</v>
      </c>
      <c r="C36" s="332">
        <v>42766</v>
      </c>
      <c r="D36" s="333">
        <v>203.4</v>
      </c>
      <c r="E36" s="333">
        <v>0</v>
      </c>
      <c r="F36" s="334" t="s">
        <v>782</v>
      </c>
      <c r="G36" s="295" t="s">
        <v>903</v>
      </c>
      <c r="H36" s="335" t="s">
        <v>784</v>
      </c>
      <c r="I36" s="295" t="s">
        <v>904</v>
      </c>
      <c r="J36" s="295" t="s">
        <v>803</v>
      </c>
      <c r="K36" s="295" t="s">
        <v>787</v>
      </c>
      <c r="L36" s="299"/>
      <c r="M36" s="299"/>
      <c r="N36" s="299" t="s">
        <v>1077</v>
      </c>
      <c r="O36" s="320"/>
      <c r="P36" s="299"/>
      <c r="Q36" s="299"/>
      <c r="U36" s="295" t="s">
        <v>905</v>
      </c>
      <c r="V36" s="295" t="s">
        <v>905</v>
      </c>
      <c r="X36" s="332">
        <v>42769</v>
      </c>
      <c r="Y36" s="332">
        <v>42769</v>
      </c>
      <c r="AA36" s="332"/>
      <c r="AB36" s="295" t="s">
        <v>793</v>
      </c>
      <c r="AC36" s="295">
        <v>0</v>
      </c>
      <c r="AD36" s="295">
        <v>0</v>
      </c>
      <c r="AE36" s="295">
        <v>0</v>
      </c>
      <c r="AF36" s="295">
        <v>0</v>
      </c>
      <c r="AG36" s="295">
        <v>0</v>
      </c>
      <c r="AH36" s="295">
        <v>1</v>
      </c>
      <c r="AI36" s="295">
        <v>70195</v>
      </c>
      <c r="AJ36" s="295">
        <v>2195</v>
      </c>
      <c r="AK36" s="295">
        <v>0</v>
      </c>
      <c r="AL36" s="295">
        <v>0</v>
      </c>
      <c r="AO36" s="335"/>
      <c r="AP36" s="335"/>
      <c r="AQ36" s="295" t="str">
        <f t="shared" si="0"/>
        <v/>
      </c>
    </row>
    <row r="37" spans="2:43">
      <c r="B37" s="295" t="s">
        <v>996</v>
      </c>
      <c r="C37" s="332">
        <v>42766</v>
      </c>
      <c r="D37" s="333">
        <v>122</v>
      </c>
      <c r="E37" s="333">
        <v>0</v>
      </c>
      <c r="F37" s="334" t="s">
        <v>782</v>
      </c>
      <c r="G37" s="295" t="s">
        <v>1078</v>
      </c>
      <c r="H37" s="335" t="s">
        <v>784</v>
      </c>
      <c r="I37" s="295" t="s">
        <v>1079</v>
      </c>
      <c r="J37" s="295" t="s">
        <v>796</v>
      </c>
      <c r="K37" s="295" t="s">
        <v>787</v>
      </c>
      <c r="L37" s="299"/>
      <c r="M37" s="299"/>
      <c r="N37" s="299" t="s">
        <v>1080</v>
      </c>
      <c r="O37" s="320"/>
      <c r="P37" s="299"/>
      <c r="Q37" s="299"/>
      <c r="U37" s="295" t="s">
        <v>1081</v>
      </c>
      <c r="V37" s="295" t="s">
        <v>1081</v>
      </c>
      <c r="X37" s="332">
        <v>42772</v>
      </c>
      <c r="Y37" s="332">
        <v>42773</v>
      </c>
      <c r="AA37" s="332"/>
      <c r="AB37" s="295" t="s">
        <v>793</v>
      </c>
      <c r="AC37" s="295">
        <v>0</v>
      </c>
      <c r="AD37" s="295">
        <v>0</v>
      </c>
      <c r="AE37" s="295">
        <v>0</v>
      </c>
      <c r="AF37" s="295">
        <v>0</v>
      </c>
      <c r="AG37" s="295">
        <v>0</v>
      </c>
      <c r="AH37" s="295">
        <v>1</v>
      </c>
      <c r="AI37" s="295">
        <v>70195</v>
      </c>
      <c r="AJ37" s="295">
        <v>2195</v>
      </c>
      <c r="AK37" s="295">
        <v>0</v>
      </c>
      <c r="AL37" s="295">
        <v>0</v>
      </c>
      <c r="AO37" s="335"/>
      <c r="AP37" s="335"/>
      <c r="AQ37" s="295" t="str">
        <f t="shared" si="0"/>
        <v/>
      </c>
    </row>
    <row r="38" spans="2:43">
      <c r="B38" s="295" t="s">
        <v>996</v>
      </c>
      <c r="C38" s="332">
        <v>42769</v>
      </c>
      <c r="D38" s="333">
        <v>445.84</v>
      </c>
      <c r="E38" s="333">
        <v>0</v>
      </c>
      <c r="F38" s="334" t="s">
        <v>782</v>
      </c>
      <c r="G38" s="295" t="s">
        <v>1082</v>
      </c>
      <c r="H38" s="335" t="s">
        <v>784</v>
      </c>
      <c r="I38" s="295" t="s">
        <v>785</v>
      </c>
      <c r="J38" s="295" t="s">
        <v>810</v>
      </c>
      <c r="K38" s="295" t="s">
        <v>787</v>
      </c>
      <c r="L38" s="299" t="s">
        <v>998</v>
      </c>
      <c r="M38" s="299"/>
      <c r="N38" s="299" t="s">
        <v>878</v>
      </c>
      <c r="O38" s="320">
        <v>42767</v>
      </c>
      <c r="P38" s="299" t="s">
        <v>1083</v>
      </c>
      <c r="Q38" s="299">
        <v>13305</v>
      </c>
      <c r="R38" s="295" t="s">
        <v>1084</v>
      </c>
      <c r="U38" s="295" t="s">
        <v>1085</v>
      </c>
      <c r="V38" s="295" t="s">
        <v>1086</v>
      </c>
      <c r="W38" s="295">
        <v>2000</v>
      </c>
      <c r="X38" s="332">
        <v>42769</v>
      </c>
      <c r="Y38" s="332">
        <v>42769</v>
      </c>
      <c r="Z38" s="295">
        <v>8399.98</v>
      </c>
      <c r="AA38" s="332">
        <v>42832</v>
      </c>
      <c r="AB38" s="295" t="s">
        <v>793</v>
      </c>
      <c r="AC38" s="295">
        <v>0</v>
      </c>
      <c r="AD38" s="295">
        <v>0</v>
      </c>
      <c r="AE38" s="295">
        <v>0</v>
      </c>
      <c r="AF38" s="295">
        <v>0</v>
      </c>
      <c r="AG38" s="295">
        <v>0</v>
      </c>
      <c r="AH38" s="295">
        <v>1</v>
      </c>
      <c r="AI38" s="295">
        <v>70195</v>
      </c>
      <c r="AJ38" s="295">
        <v>2195</v>
      </c>
      <c r="AK38" s="295">
        <v>0</v>
      </c>
      <c r="AL38" s="295">
        <v>0</v>
      </c>
      <c r="AO38" s="335"/>
      <c r="AP38" s="335"/>
      <c r="AQ38" s="295" t="str">
        <f t="shared" si="0"/>
        <v>VO04192647</v>
      </c>
    </row>
    <row r="39" spans="2:43">
      <c r="B39" s="295" t="s">
        <v>996</v>
      </c>
      <c r="C39" s="332">
        <v>42794</v>
      </c>
      <c r="D39" s="333">
        <v>-122</v>
      </c>
      <c r="E39" s="333">
        <v>0</v>
      </c>
      <c r="F39" s="334" t="s">
        <v>782</v>
      </c>
      <c r="G39" s="295" t="s">
        <v>1087</v>
      </c>
      <c r="H39" s="335" t="s">
        <v>784</v>
      </c>
      <c r="I39" s="295" t="s">
        <v>1079</v>
      </c>
      <c r="J39" s="295" t="s">
        <v>796</v>
      </c>
      <c r="K39" s="295" t="s">
        <v>787</v>
      </c>
      <c r="L39" s="299"/>
      <c r="M39" s="299"/>
      <c r="N39" s="299" t="s">
        <v>1080</v>
      </c>
      <c r="O39" s="320"/>
      <c r="P39" s="299"/>
      <c r="Q39" s="299"/>
      <c r="U39" s="295" t="s">
        <v>1081</v>
      </c>
      <c r="V39" s="295" t="s">
        <v>1088</v>
      </c>
      <c r="X39" s="332">
        <v>42773</v>
      </c>
      <c r="Y39" s="332">
        <v>42773</v>
      </c>
      <c r="AA39" s="332"/>
      <c r="AB39" s="295" t="s">
        <v>793</v>
      </c>
      <c r="AC39" s="295">
        <v>0</v>
      </c>
      <c r="AD39" s="295">
        <v>0</v>
      </c>
      <c r="AE39" s="295">
        <v>0</v>
      </c>
      <c r="AF39" s="295">
        <v>0</v>
      </c>
      <c r="AG39" s="295">
        <v>5</v>
      </c>
      <c r="AH39" s="295">
        <v>1</v>
      </c>
      <c r="AI39" s="295">
        <v>70195</v>
      </c>
      <c r="AJ39" s="295">
        <v>2195</v>
      </c>
      <c r="AK39" s="295">
        <v>0</v>
      </c>
      <c r="AL39" s="295">
        <v>0</v>
      </c>
      <c r="AO39" s="335"/>
      <c r="AP39" s="335"/>
      <c r="AQ39" s="295" t="str">
        <f t="shared" si="0"/>
        <v/>
      </c>
    </row>
    <row r="40" spans="2:43">
      <c r="B40" s="295" t="s">
        <v>996</v>
      </c>
      <c r="C40" s="332">
        <v>42794</v>
      </c>
      <c r="D40" s="333">
        <v>122</v>
      </c>
      <c r="E40" s="333">
        <v>0</v>
      </c>
      <c r="F40" s="334" t="s">
        <v>782</v>
      </c>
      <c r="G40" s="295" t="s">
        <v>923</v>
      </c>
      <c r="H40" s="335" t="s">
        <v>784</v>
      </c>
      <c r="I40" s="295" t="s">
        <v>924</v>
      </c>
      <c r="J40" s="295" t="s">
        <v>803</v>
      </c>
      <c r="K40" s="295" t="s">
        <v>787</v>
      </c>
      <c r="L40" s="299"/>
      <c r="M40" s="299"/>
      <c r="N40" s="299" t="s">
        <v>1089</v>
      </c>
      <c r="O40" s="320"/>
      <c r="P40" s="299"/>
      <c r="Q40" s="299"/>
      <c r="U40" s="295" t="s">
        <v>925</v>
      </c>
      <c r="V40" s="295" t="s">
        <v>925</v>
      </c>
      <c r="X40" s="332">
        <v>42796</v>
      </c>
      <c r="Y40" s="332">
        <v>42797</v>
      </c>
      <c r="AA40" s="332"/>
      <c r="AB40" s="295" t="s">
        <v>793</v>
      </c>
      <c r="AC40" s="295">
        <v>0</v>
      </c>
      <c r="AD40" s="295">
        <v>0</v>
      </c>
      <c r="AE40" s="295">
        <v>0</v>
      </c>
      <c r="AF40" s="295">
        <v>0</v>
      </c>
      <c r="AG40" s="295">
        <v>0</v>
      </c>
      <c r="AH40" s="295">
        <v>1</v>
      </c>
      <c r="AI40" s="295">
        <v>70195</v>
      </c>
      <c r="AJ40" s="295">
        <v>2195</v>
      </c>
      <c r="AK40" s="295">
        <v>0</v>
      </c>
      <c r="AL40" s="295">
        <v>0</v>
      </c>
      <c r="AO40" s="335"/>
      <c r="AP40" s="335"/>
      <c r="AQ40" s="295" t="str">
        <f t="shared" si="0"/>
        <v/>
      </c>
    </row>
    <row r="41" spans="2:43">
      <c r="B41" s="295" t="s">
        <v>996</v>
      </c>
      <c r="C41" s="332">
        <v>42797</v>
      </c>
      <c r="D41" s="333">
        <v>208</v>
      </c>
      <c r="E41" s="333">
        <v>0</v>
      </c>
      <c r="F41" s="334" t="s">
        <v>782</v>
      </c>
      <c r="G41" s="295" t="s">
        <v>1090</v>
      </c>
      <c r="H41" s="335" t="s">
        <v>784</v>
      </c>
      <c r="I41" s="295" t="s">
        <v>785</v>
      </c>
      <c r="J41" s="295" t="s">
        <v>810</v>
      </c>
      <c r="K41" s="295" t="s">
        <v>787</v>
      </c>
      <c r="L41" s="299" t="s">
        <v>1050</v>
      </c>
      <c r="M41" s="299"/>
      <c r="N41" s="299" t="s">
        <v>1051</v>
      </c>
      <c r="O41" s="320">
        <v>42795</v>
      </c>
      <c r="P41" s="299" t="s">
        <v>1091</v>
      </c>
      <c r="Q41" s="299">
        <v>176910</v>
      </c>
      <c r="R41" s="295" t="s">
        <v>1092</v>
      </c>
      <c r="U41" s="295" t="s">
        <v>1093</v>
      </c>
      <c r="V41" s="295" t="s">
        <v>1094</v>
      </c>
      <c r="W41" s="295">
        <v>2000</v>
      </c>
      <c r="X41" s="332">
        <v>42797</v>
      </c>
      <c r="Y41" s="332">
        <v>42797</v>
      </c>
      <c r="Z41" s="295">
        <v>2600</v>
      </c>
      <c r="AA41" s="332">
        <v>42805</v>
      </c>
      <c r="AB41" s="295" t="s">
        <v>793</v>
      </c>
      <c r="AC41" s="295">
        <v>0</v>
      </c>
      <c r="AD41" s="295">
        <v>0</v>
      </c>
      <c r="AE41" s="295">
        <v>0</v>
      </c>
      <c r="AF41" s="295">
        <v>0</v>
      </c>
      <c r="AG41" s="295">
        <v>0</v>
      </c>
      <c r="AH41" s="295">
        <v>1</v>
      </c>
      <c r="AI41" s="295">
        <v>70195</v>
      </c>
      <c r="AJ41" s="295">
        <v>2195</v>
      </c>
      <c r="AK41" s="295">
        <v>0</v>
      </c>
      <c r="AL41" s="295">
        <v>0</v>
      </c>
      <c r="AO41" s="335"/>
      <c r="AP41" s="335"/>
      <c r="AQ41" s="295" t="str">
        <f t="shared" si="0"/>
        <v>VO04220208</v>
      </c>
    </row>
    <row r="42" spans="2:43">
      <c r="B42" s="295" t="s">
        <v>996</v>
      </c>
      <c r="C42" s="332">
        <v>42803</v>
      </c>
      <c r="D42" s="333">
        <v>448.07</v>
      </c>
      <c r="E42" s="333">
        <v>0</v>
      </c>
      <c r="F42" s="334" t="s">
        <v>782</v>
      </c>
      <c r="G42" s="295" t="s">
        <v>1095</v>
      </c>
      <c r="H42" s="335" t="s">
        <v>784</v>
      </c>
      <c r="I42" s="295" t="s">
        <v>785</v>
      </c>
      <c r="J42" s="295" t="s">
        <v>810</v>
      </c>
      <c r="K42" s="295" t="s">
        <v>787</v>
      </c>
      <c r="L42" s="299" t="s">
        <v>998</v>
      </c>
      <c r="M42" s="299"/>
      <c r="N42" s="299" t="s">
        <v>878</v>
      </c>
      <c r="O42" s="320">
        <v>42795</v>
      </c>
      <c r="P42" s="299" t="s">
        <v>1096</v>
      </c>
      <c r="Q42" s="299">
        <v>13332</v>
      </c>
      <c r="R42" s="295" t="s">
        <v>1097</v>
      </c>
      <c r="U42" s="295" t="s">
        <v>1098</v>
      </c>
      <c r="V42" s="295" t="s">
        <v>1099</v>
      </c>
      <c r="W42" s="295">
        <v>2000</v>
      </c>
      <c r="X42" s="332">
        <v>42804</v>
      </c>
      <c r="Y42" s="332">
        <v>42808</v>
      </c>
      <c r="Z42" s="295">
        <v>8400</v>
      </c>
      <c r="AA42" s="332">
        <v>42860</v>
      </c>
      <c r="AB42" s="295" t="s">
        <v>793</v>
      </c>
      <c r="AC42" s="295">
        <v>0</v>
      </c>
      <c r="AD42" s="295">
        <v>0</v>
      </c>
      <c r="AE42" s="295">
        <v>0</v>
      </c>
      <c r="AF42" s="295">
        <v>0</v>
      </c>
      <c r="AG42" s="295">
        <v>0</v>
      </c>
      <c r="AH42" s="295">
        <v>1</v>
      </c>
      <c r="AI42" s="295">
        <v>70195</v>
      </c>
      <c r="AJ42" s="295">
        <v>2195</v>
      </c>
      <c r="AK42" s="295">
        <v>0</v>
      </c>
      <c r="AL42" s="295">
        <v>0</v>
      </c>
      <c r="AO42" s="335"/>
      <c r="AP42" s="335"/>
      <c r="AQ42" s="295" t="str">
        <f t="shared" si="0"/>
        <v>VO04226137</v>
      </c>
    </row>
    <row r="43" spans="2:43">
      <c r="B43" s="295" t="s">
        <v>996</v>
      </c>
      <c r="C43" s="332">
        <v>42837</v>
      </c>
      <c r="D43" s="333">
        <v>445.84</v>
      </c>
      <c r="E43" s="333">
        <v>0</v>
      </c>
      <c r="F43" s="334" t="s">
        <v>782</v>
      </c>
      <c r="G43" s="295" t="s">
        <v>1100</v>
      </c>
      <c r="H43" s="335" t="s">
        <v>784</v>
      </c>
      <c r="I43" s="295" t="s">
        <v>785</v>
      </c>
      <c r="J43" s="295" t="s">
        <v>786</v>
      </c>
      <c r="K43" s="295" t="s">
        <v>787</v>
      </c>
      <c r="L43" s="299" t="s">
        <v>998</v>
      </c>
      <c r="M43" s="299"/>
      <c r="N43" s="299" t="s">
        <v>878</v>
      </c>
      <c r="O43" s="320">
        <v>42826</v>
      </c>
      <c r="P43" s="299" t="s">
        <v>1101</v>
      </c>
      <c r="Q43" s="299">
        <v>13359</v>
      </c>
      <c r="R43" s="295" t="s">
        <v>1102</v>
      </c>
      <c r="U43" s="295" t="s">
        <v>1103</v>
      </c>
      <c r="V43" s="295" t="s">
        <v>1104</v>
      </c>
      <c r="W43" s="295">
        <v>2000</v>
      </c>
      <c r="X43" s="332">
        <v>42837</v>
      </c>
      <c r="Y43" s="332">
        <v>42843</v>
      </c>
      <c r="Z43" s="295">
        <v>8400</v>
      </c>
      <c r="AA43" s="332">
        <v>42891</v>
      </c>
      <c r="AB43" s="295" t="s">
        <v>793</v>
      </c>
      <c r="AC43" s="295">
        <v>0</v>
      </c>
      <c r="AD43" s="295">
        <v>0</v>
      </c>
      <c r="AE43" s="295">
        <v>0</v>
      </c>
      <c r="AF43" s="295">
        <v>0</v>
      </c>
      <c r="AG43" s="295">
        <v>0</v>
      </c>
      <c r="AH43" s="295">
        <v>1</v>
      </c>
      <c r="AI43" s="295">
        <v>70195</v>
      </c>
      <c r="AJ43" s="295">
        <v>2195</v>
      </c>
      <c r="AK43" s="295">
        <v>0</v>
      </c>
      <c r="AL43" s="295">
        <v>0</v>
      </c>
      <c r="AO43" s="335"/>
      <c r="AP43" s="335"/>
      <c r="AQ43" s="295" t="str">
        <f t="shared" si="0"/>
        <v>VO04255529</v>
      </c>
    </row>
    <row r="44" spans="2:43">
      <c r="B44" s="295" t="s">
        <v>996</v>
      </c>
      <c r="C44" s="332">
        <v>42872</v>
      </c>
      <c r="D44" s="333">
        <v>445.84</v>
      </c>
      <c r="E44" s="333">
        <v>0</v>
      </c>
      <c r="F44" s="334" t="s">
        <v>782</v>
      </c>
      <c r="G44" s="295" t="s">
        <v>1105</v>
      </c>
      <c r="H44" s="335" t="s">
        <v>784</v>
      </c>
      <c r="I44" s="295" t="s">
        <v>785</v>
      </c>
      <c r="J44" s="295" t="s">
        <v>810</v>
      </c>
      <c r="K44" s="295" t="s">
        <v>787</v>
      </c>
      <c r="L44" s="299" t="s">
        <v>998</v>
      </c>
      <c r="M44" s="299"/>
      <c r="N44" s="299" t="s">
        <v>878</v>
      </c>
      <c r="O44" s="320">
        <v>42856</v>
      </c>
      <c r="P44" s="299" t="s">
        <v>1106</v>
      </c>
      <c r="Q44" s="299">
        <v>13423</v>
      </c>
      <c r="R44" s="295" t="s">
        <v>1107</v>
      </c>
      <c r="U44" s="295" t="s">
        <v>1108</v>
      </c>
      <c r="V44" s="295" t="s">
        <v>1109</v>
      </c>
      <c r="W44" s="295">
        <v>2000</v>
      </c>
      <c r="X44" s="332">
        <v>42872</v>
      </c>
      <c r="Y44" s="332">
        <v>42872</v>
      </c>
      <c r="Z44" s="295">
        <v>8400</v>
      </c>
      <c r="AA44" s="332">
        <v>42921</v>
      </c>
      <c r="AB44" s="295" t="s">
        <v>793</v>
      </c>
      <c r="AC44" s="295">
        <v>0</v>
      </c>
      <c r="AD44" s="295">
        <v>0</v>
      </c>
      <c r="AE44" s="295">
        <v>0</v>
      </c>
      <c r="AF44" s="295">
        <v>0</v>
      </c>
      <c r="AG44" s="295">
        <v>0</v>
      </c>
      <c r="AH44" s="295">
        <v>1</v>
      </c>
      <c r="AI44" s="295">
        <v>70195</v>
      </c>
      <c r="AJ44" s="295">
        <v>2195</v>
      </c>
      <c r="AK44" s="295">
        <v>0</v>
      </c>
      <c r="AL44" s="295">
        <v>0</v>
      </c>
      <c r="AO44" s="335"/>
      <c r="AP44" s="335"/>
      <c r="AQ44" s="295" t="str">
        <f t="shared" si="0"/>
        <v>VO04292441</v>
      </c>
    </row>
    <row r="45" spans="2:43">
      <c r="B45" s="295" t="s">
        <v>996</v>
      </c>
      <c r="C45" s="332">
        <v>42916</v>
      </c>
      <c r="D45" s="333">
        <v>445.84</v>
      </c>
      <c r="E45" s="333">
        <v>0</v>
      </c>
      <c r="F45" s="334" t="s">
        <v>782</v>
      </c>
      <c r="G45" s="295" t="s">
        <v>1110</v>
      </c>
      <c r="H45" s="335" t="s">
        <v>784</v>
      </c>
      <c r="I45" s="295" t="s">
        <v>1017</v>
      </c>
      <c r="J45" s="295" t="s">
        <v>796</v>
      </c>
      <c r="K45" s="295" t="s">
        <v>787</v>
      </c>
      <c r="L45" s="299"/>
      <c r="M45" s="299"/>
      <c r="N45" s="299" t="s">
        <v>1111</v>
      </c>
      <c r="O45" s="320"/>
      <c r="P45" s="299"/>
      <c r="Q45" s="299"/>
      <c r="U45" s="295" t="s">
        <v>1112</v>
      </c>
      <c r="V45" s="295" t="s">
        <v>1112</v>
      </c>
      <c r="X45" s="332">
        <v>42926</v>
      </c>
      <c r="Y45" s="332">
        <v>42926</v>
      </c>
      <c r="AA45" s="332"/>
      <c r="AB45" s="295" t="s">
        <v>793</v>
      </c>
      <c r="AC45" s="295">
        <v>0</v>
      </c>
      <c r="AD45" s="295">
        <v>0</v>
      </c>
      <c r="AE45" s="295">
        <v>0</v>
      </c>
      <c r="AF45" s="295">
        <v>0</v>
      </c>
      <c r="AG45" s="295">
        <v>0</v>
      </c>
      <c r="AH45" s="295">
        <v>1</v>
      </c>
      <c r="AI45" s="295">
        <v>70195</v>
      </c>
      <c r="AJ45" s="295">
        <v>2195</v>
      </c>
      <c r="AK45" s="295">
        <v>0</v>
      </c>
      <c r="AL45" s="295">
        <v>0</v>
      </c>
      <c r="AO45" s="335"/>
      <c r="AP45" s="335"/>
      <c r="AQ45" s="295" t="str">
        <f t="shared" si="0"/>
        <v/>
      </c>
    </row>
    <row r="46" spans="2:43">
      <c r="C46" s="332"/>
      <c r="D46" s="338"/>
      <c r="E46" s="338"/>
      <c r="F46" s="338"/>
      <c r="H46" s="298"/>
    </row>
    <row r="47" spans="2:43">
      <c r="B47" s="339" t="s">
        <v>991</v>
      </c>
      <c r="C47" s="339"/>
      <c r="D47" s="340"/>
      <c r="E47" s="340"/>
      <c r="F47" s="340"/>
      <c r="G47" s="339"/>
      <c r="H47" s="341"/>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42"/>
    </row>
    <row r="48" spans="2:43">
      <c r="H48" s="298"/>
    </row>
    <row r="49" spans="2:8">
      <c r="B49" s="295" t="s">
        <v>992</v>
      </c>
      <c r="C49" s="295" t="s">
        <v>993</v>
      </c>
      <c r="D49" s="347" t="s">
        <v>993</v>
      </c>
      <c r="E49" s="348" t="s">
        <v>1113</v>
      </c>
      <c r="H49" s="298"/>
    </row>
    <row r="50" spans="2:8">
      <c r="B50" s="299" t="s">
        <v>878</v>
      </c>
      <c r="C50" s="343">
        <v>4922.0800000000008</v>
      </c>
      <c r="D50" s="343">
        <v>4922.0800000000008</v>
      </c>
      <c r="H50" s="298"/>
    </row>
    <row r="51" spans="2:8">
      <c r="B51" s="299" t="s">
        <v>1010</v>
      </c>
      <c r="C51" s="343">
        <v>0</v>
      </c>
      <c r="D51" s="343">
        <v>0</v>
      </c>
      <c r="H51" s="298"/>
    </row>
    <row r="52" spans="2:8">
      <c r="B52" s="299" t="s">
        <v>1018</v>
      </c>
      <c r="C52" s="343">
        <v>0</v>
      </c>
      <c r="D52" s="343">
        <v>0</v>
      </c>
      <c r="H52" s="298"/>
    </row>
    <row r="53" spans="2:8">
      <c r="B53" s="299" t="s">
        <v>1026</v>
      </c>
      <c r="C53" s="343">
        <v>500</v>
      </c>
      <c r="D53" s="343">
        <v>500</v>
      </c>
      <c r="E53" s="296" t="s">
        <v>1114</v>
      </c>
      <c r="H53" s="298"/>
    </row>
    <row r="54" spans="2:8">
      <c r="B54" s="299" t="s">
        <v>1051</v>
      </c>
      <c r="C54" s="343">
        <v>248.85</v>
      </c>
      <c r="D54" s="343">
        <v>248.85</v>
      </c>
      <c r="E54" s="296"/>
      <c r="H54" s="298"/>
    </row>
    <row r="55" spans="2:8">
      <c r="B55" s="299" t="s">
        <v>1056</v>
      </c>
      <c r="C55" s="343">
        <v>296</v>
      </c>
      <c r="D55" s="343">
        <v>296</v>
      </c>
      <c r="E55" s="296" t="s">
        <v>1114</v>
      </c>
      <c r="H55" s="298"/>
    </row>
    <row r="56" spans="2:8">
      <c r="B56" s="299" t="s">
        <v>1064</v>
      </c>
      <c r="C56" s="343">
        <v>300</v>
      </c>
      <c r="D56" s="343">
        <v>300</v>
      </c>
      <c r="E56" s="296" t="s">
        <v>1114</v>
      </c>
      <c r="H56" s="298"/>
    </row>
    <row r="57" spans="2:8">
      <c r="B57" s="299" t="s">
        <v>1072</v>
      </c>
      <c r="C57" s="343">
        <v>175</v>
      </c>
      <c r="D57" s="343">
        <v>175</v>
      </c>
      <c r="E57" s="296" t="s">
        <v>1114</v>
      </c>
      <c r="H57" s="298"/>
    </row>
    <row r="58" spans="2:8">
      <c r="B58" s="299" t="s">
        <v>1077</v>
      </c>
      <c r="C58" s="343">
        <v>203.4</v>
      </c>
      <c r="D58" s="343">
        <v>203.4</v>
      </c>
      <c r="H58" s="298"/>
    </row>
    <row r="59" spans="2:8">
      <c r="B59" s="299" t="s">
        <v>1080</v>
      </c>
      <c r="C59" s="343">
        <v>0</v>
      </c>
      <c r="D59" s="343">
        <v>0</v>
      </c>
      <c r="H59" s="298"/>
    </row>
    <row r="60" spans="2:8">
      <c r="B60" s="299" t="s">
        <v>1089</v>
      </c>
      <c r="C60" s="343">
        <v>122</v>
      </c>
      <c r="D60" s="343">
        <v>122</v>
      </c>
      <c r="H60" s="298"/>
    </row>
    <row r="61" spans="2:8">
      <c r="B61" s="299" t="s">
        <v>1111</v>
      </c>
      <c r="C61" s="343">
        <v>445.84</v>
      </c>
      <c r="D61" s="343">
        <v>445.84</v>
      </c>
      <c r="H61" s="298"/>
    </row>
    <row r="62" spans="2:8">
      <c r="B62" s="299" t="s">
        <v>994</v>
      </c>
      <c r="C62" s="343">
        <v>7213.170000000001</v>
      </c>
      <c r="D62" s="349">
        <v>7213.170000000001</v>
      </c>
      <c r="H62" s="298"/>
    </row>
    <row r="63" spans="2:8">
      <c r="H63" s="298"/>
    </row>
    <row r="64" spans="2:8">
      <c r="C64" s="296" t="s">
        <v>1115</v>
      </c>
      <c r="D64" s="350">
        <f>SUM(D53,D55:D57)</f>
        <v>1271</v>
      </c>
      <c r="H64" s="298"/>
    </row>
    <row r="65" spans="4:8">
      <c r="H65" s="298"/>
    </row>
    <row r="72" spans="4:8">
      <c r="D72" s="344"/>
    </row>
    <row r="73" spans="4:8">
      <c r="D73" s="344"/>
    </row>
    <row r="74" spans="4:8">
      <c r="D74" s="344"/>
    </row>
    <row r="77" spans="4:8">
      <c r="D77" s="345"/>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1"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60" zoomScaleNormal="100" workbookViewId="0">
      <selection activeCell="G20" sqref="G20"/>
    </sheetView>
  </sheetViews>
  <sheetFormatPr defaultRowHeight="15"/>
  <cols>
    <col min="1" max="1" width="36.28515625" style="786" bestFit="1" customWidth="1"/>
    <col min="2" max="2" width="19" style="786" bestFit="1" customWidth="1"/>
    <col min="3" max="3" width="16" style="786" bestFit="1" customWidth="1"/>
    <col min="4" max="4" width="13.140625" style="786" customWidth="1"/>
    <col min="5" max="5" width="8.28515625" style="786" bestFit="1" customWidth="1"/>
    <col min="6" max="6" width="11.42578125" style="786" bestFit="1" customWidth="1"/>
    <col min="7" max="7" width="10" style="786" bestFit="1" customWidth="1"/>
    <col min="8" max="8" width="8" style="786" bestFit="1" customWidth="1"/>
    <col min="9" max="9" width="6.7109375" style="786" customWidth="1"/>
    <col min="10" max="10" width="12" style="786" bestFit="1" customWidth="1"/>
    <col min="11" max="16384" width="9.140625" style="786"/>
  </cols>
  <sheetData>
    <row r="1" spans="1:8">
      <c r="A1" s="739" t="s">
        <v>1733</v>
      </c>
    </row>
    <row r="2" spans="1:8">
      <c r="A2" s="745" t="s">
        <v>1563</v>
      </c>
    </row>
    <row r="3" spans="1:8">
      <c r="A3" s="754" t="s">
        <v>2099</v>
      </c>
    </row>
    <row r="4" spans="1:8">
      <c r="A4" s="787"/>
    </row>
    <row r="5" spans="1:8">
      <c r="A5" s="1417" t="s">
        <v>2098</v>
      </c>
      <c r="B5" s="1417"/>
      <c r="C5" s="1417"/>
      <c r="D5" s="1417"/>
      <c r="E5" s="1417"/>
      <c r="F5" s="1417"/>
      <c r="G5" s="1417"/>
      <c r="H5" s="1417"/>
    </row>
    <row r="6" spans="1:8">
      <c r="A6" s="786" t="s">
        <v>1689</v>
      </c>
      <c r="B6" s="788" t="s">
        <v>2097</v>
      </c>
      <c r="C6" s="788" t="s">
        <v>2096</v>
      </c>
      <c r="D6" s="788" t="s">
        <v>2095</v>
      </c>
      <c r="E6" s="788" t="s">
        <v>2094</v>
      </c>
      <c r="F6" s="788" t="s">
        <v>2093</v>
      </c>
      <c r="G6" s="788" t="s">
        <v>2092</v>
      </c>
      <c r="H6" s="788" t="s">
        <v>2091</v>
      </c>
    </row>
    <row r="7" spans="1:8">
      <c r="A7" s="786" t="s">
        <v>2090</v>
      </c>
      <c r="B7" s="789">
        <f>B11*5</f>
        <v>21.65</v>
      </c>
      <c r="C7" s="790">
        <f>$B$7*2</f>
        <v>43.3</v>
      </c>
      <c r="D7" s="790">
        <f>$B$7*3</f>
        <v>64.949999999999989</v>
      </c>
      <c r="E7" s="790">
        <f>$B$7*4</f>
        <v>86.6</v>
      </c>
      <c r="F7" s="790">
        <f>$B$7*5</f>
        <v>108.25</v>
      </c>
      <c r="G7" s="790">
        <f>$B$7*6</f>
        <v>129.89999999999998</v>
      </c>
      <c r="H7" s="790">
        <f>$B$7*7</f>
        <v>151.54999999999998</v>
      </c>
    </row>
    <row r="8" spans="1:8">
      <c r="A8" s="786" t="s">
        <v>2089</v>
      </c>
      <c r="B8" s="789">
        <f>B11*4</f>
        <v>17.32</v>
      </c>
      <c r="C8" s="790">
        <f>$B$8*2</f>
        <v>34.64</v>
      </c>
      <c r="D8" s="790">
        <f>$B$8*3</f>
        <v>51.96</v>
      </c>
      <c r="E8" s="790">
        <f>$B$8*4</f>
        <v>69.28</v>
      </c>
      <c r="F8" s="790">
        <f>$B$8*5</f>
        <v>86.6</v>
      </c>
      <c r="G8" s="790">
        <f>$B$8*6</f>
        <v>103.92</v>
      </c>
      <c r="H8" s="790">
        <f>$B$8*7</f>
        <v>121.24000000000001</v>
      </c>
    </row>
    <row r="9" spans="1:8">
      <c r="A9" s="786" t="s">
        <v>2088</v>
      </c>
      <c r="B9" s="789">
        <f>B11*3</f>
        <v>12.99</v>
      </c>
      <c r="C9" s="790">
        <f>$B$9*2</f>
        <v>25.98</v>
      </c>
      <c r="D9" s="790">
        <f>$B$9*3</f>
        <v>38.97</v>
      </c>
      <c r="E9" s="790">
        <f>$B$9*4</f>
        <v>51.96</v>
      </c>
      <c r="F9" s="790">
        <f>$B$9*5</f>
        <v>64.95</v>
      </c>
      <c r="G9" s="790">
        <f>$B$9*6</f>
        <v>77.94</v>
      </c>
      <c r="H9" s="790">
        <f>$B$9*7</f>
        <v>90.93</v>
      </c>
    </row>
    <row r="10" spans="1:8">
      <c r="A10" s="786" t="s">
        <v>2087</v>
      </c>
      <c r="B10" s="789">
        <f>B11*2</f>
        <v>8.66</v>
      </c>
      <c r="C10" s="758">
        <f>$B$10*2</f>
        <v>17.32</v>
      </c>
      <c r="D10" s="758">
        <f>$B$10*3</f>
        <v>25.98</v>
      </c>
      <c r="E10" s="758">
        <f>$B$10*4</f>
        <v>34.64</v>
      </c>
      <c r="F10" s="758">
        <f>$B$10*5</f>
        <v>43.3</v>
      </c>
      <c r="G10" s="758">
        <f>$B$10*6</f>
        <v>51.96</v>
      </c>
      <c r="H10" s="758">
        <f>$B$10*7</f>
        <v>60.620000000000005</v>
      </c>
    </row>
    <row r="11" spans="1:8">
      <c r="A11" s="786" t="s">
        <v>2086</v>
      </c>
      <c r="B11" s="789">
        <f>ROUND(52/12,2)</f>
        <v>4.33</v>
      </c>
      <c r="C11" s="758">
        <f>$B$11*2</f>
        <v>8.66</v>
      </c>
      <c r="D11" s="758">
        <f>$B$11*3</f>
        <v>12.99</v>
      </c>
      <c r="E11" s="758">
        <f>$B$11*4</f>
        <v>17.32</v>
      </c>
      <c r="F11" s="758">
        <f>$B$11*5</f>
        <v>21.65</v>
      </c>
      <c r="G11" s="758">
        <f>$B$11*6</f>
        <v>25.98</v>
      </c>
      <c r="H11" s="758">
        <f>$B$11*7</f>
        <v>30.310000000000002</v>
      </c>
    </row>
    <row r="12" spans="1:8">
      <c r="A12" s="786" t="s">
        <v>2085</v>
      </c>
      <c r="B12" s="789">
        <f>ROUND(26/12,2)</f>
        <v>2.17</v>
      </c>
      <c r="C12" s="758">
        <f>$B$12*2</f>
        <v>4.34</v>
      </c>
      <c r="D12" s="758">
        <f>$B$12*3</f>
        <v>6.51</v>
      </c>
      <c r="E12" s="758">
        <f>$B$12*4</f>
        <v>8.68</v>
      </c>
      <c r="F12" s="758">
        <f>$B$12*5</f>
        <v>10.85</v>
      </c>
      <c r="G12" s="758">
        <f>$B$12*6</f>
        <v>13.02</v>
      </c>
      <c r="H12" s="758">
        <f>$B$12*7</f>
        <v>15.19</v>
      </c>
    </row>
    <row r="13" spans="1:8">
      <c r="A13" s="786" t="s">
        <v>2084</v>
      </c>
      <c r="B13" s="789">
        <f>12/12</f>
        <v>1</v>
      </c>
      <c r="C13" s="758">
        <f>$B$13*2</f>
        <v>2</v>
      </c>
      <c r="D13" s="758">
        <f>$B$13*3</f>
        <v>3</v>
      </c>
      <c r="E13" s="758">
        <f>$B$13*4</f>
        <v>4</v>
      </c>
      <c r="F13" s="758">
        <f>$B$13*5</f>
        <v>5</v>
      </c>
      <c r="G13" s="758">
        <f>$B$13*6</f>
        <v>6</v>
      </c>
      <c r="H13" s="758">
        <f>$B$13*7</f>
        <v>7</v>
      </c>
    </row>
    <row r="14" spans="1:8">
      <c r="B14" s="789"/>
      <c r="C14" s="758"/>
      <c r="D14" s="758"/>
      <c r="E14" s="758"/>
      <c r="F14" s="758"/>
      <c r="G14" s="758"/>
      <c r="H14" s="758"/>
    </row>
    <row r="15" spans="1:8">
      <c r="A15" s="1417" t="s">
        <v>2083</v>
      </c>
      <c r="B15" s="1417"/>
      <c r="C15" s="758"/>
      <c r="D15" s="758"/>
      <c r="E15" s="758"/>
      <c r="F15" s="758"/>
      <c r="G15" s="758"/>
      <c r="H15" s="758"/>
    </row>
    <row r="16" spans="1:8">
      <c r="A16" s="754" t="s">
        <v>2082</v>
      </c>
      <c r="B16" s="791" t="s">
        <v>2081</v>
      </c>
      <c r="C16" s="758"/>
      <c r="D16" s="758"/>
      <c r="E16" s="758"/>
      <c r="F16" s="758"/>
      <c r="G16" s="758"/>
      <c r="H16" s="758"/>
    </row>
    <row r="17" spans="1:8">
      <c r="A17" s="792" t="s">
        <v>2080</v>
      </c>
      <c r="B17" s="793">
        <v>20</v>
      </c>
      <c r="C17" s="758"/>
      <c r="D17" s="758"/>
      <c r="E17" s="758"/>
      <c r="F17" s="758"/>
      <c r="G17" s="758"/>
      <c r="H17" s="758"/>
    </row>
    <row r="18" spans="1:8">
      <c r="A18" s="792" t="s">
        <v>1645</v>
      </c>
      <c r="B18" s="793">
        <v>34</v>
      </c>
      <c r="C18" s="758"/>
      <c r="D18" s="758"/>
      <c r="E18" s="758"/>
      <c r="F18" s="758"/>
      <c r="G18" s="758"/>
      <c r="H18" s="758"/>
    </row>
    <row r="19" spans="1:8">
      <c r="A19" s="792" t="s">
        <v>2079</v>
      </c>
      <c r="B19" s="793">
        <v>51</v>
      </c>
      <c r="C19" s="758"/>
      <c r="D19" s="758"/>
      <c r="E19" s="758"/>
      <c r="F19" s="758"/>
      <c r="G19" s="758"/>
      <c r="H19" s="758"/>
    </row>
    <row r="20" spans="1:8">
      <c r="A20" s="792" t="s">
        <v>2078</v>
      </c>
      <c r="B20" s="793">
        <v>77</v>
      </c>
      <c r="C20" s="758"/>
      <c r="D20" s="758"/>
      <c r="E20" s="758"/>
      <c r="F20" s="786" t="s">
        <v>2077</v>
      </c>
      <c r="G20" s="793">
        <v>2000</v>
      </c>
      <c r="H20" s="758"/>
    </row>
    <row r="21" spans="1:8">
      <c r="A21" s="792" t="s">
        <v>2076</v>
      </c>
      <c r="B21" s="793">
        <v>97</v>
      </c>
      <c r="C21" s="758"/>
      <c r="D21" s="758"/>
      <c r="E21" s="758"/>
      <c r="F21" s="786" t="s">
        <v>2075</v>
      </c>
      <c r="G21" s="794" t="s">
        <v>2074</v>
      </c>
      <c r="H21" s="758"/>
    </row>
    <row r="22" spans="1:8">
      <c r="A22" s="792" t="s">
        <v>2073</v>
      </c>
      <c r="B22" s="793">
        <v>117</v>
      </c>
      <c r="C22" s="758"/>
      <c r="D22" s="758"/>
      <c r="E22" s="758"/>
      <c r="H22" s="758"/>
    </row>
    <row r="23" spans="1:8">
      <c r="A23" s="792" t="s">
        <v>2072</v>
      </c>
      <c r="B23" s="793">
        <v>157</v>
      </c>
      <c r="C23" s="758"/>
      <c r="D23" s="758"/>
      <c r="E23" s="758"/>
      <c r="F23" s="795"/>
      <c r="G23" s="796"/>
      <c r="H23" s="758"/>
    </row>
    <row r="24" spans="1:8">
      <c r="A24" s="792" t="s">
        <v>2071</v>
      </c>
      <c r="B24" s="793">
        <v>47</v>
      </c>
      <c r="C24" s="758"/>
      <c r="D24" s="758"/>
      <c r="E24" s="758"/>
      <c r="F24" s="758"/>
      <c r="G24" s="758"/>
      <c r="H24" s="758"/>
    </row>
    <row r="25" spans="1:8">
      <c r="A25" s="792" t="s">
        <v>2070</v>
      </c>
      <c r="B25" s="793">
        <v>68</v>
      </c>
      <c r="C25" s="758"/>
      <c r="D25" s="758"/>
      <c r="E25" s="758"/>
      <c r="F25" s="758"/>
      <c r="G25" s="758"/>
      <c r="H25" s="758"/>
    </row>
    <row r="26" spans="1:8">
      <c r="A26" s="792" t="s">
        <v>2069</v>
      </c>
      <c r="B26" s="793">
        <v>34</v>
      </c>
      <c r="C26" s="758"/>
      <c r="D26" s="758"/>
      <c r="E26" s="758"/>
      <c r="F26" s="758"/>
      <c r="G26" s="758"/>
      <c r="H26" s="758"/>
    </row>
    <row r="27" spans="1:8">
      <c r="A27" s="792" t="s">
        <v>2068</v>
      </c>
      <c r="B27" s="793">
        <v>34</v>
      </c>
      <c r="C27" s="758"/>
      <c r="D27" s="758"/>
      <c r="E27" s="758"/>
      <c r="F27" s="758"/>
      <c r="G27" s="758"/>
      <c r="H27" s="758"/>
    </row>
    <row r="28" spans="1:8">
      <c r="A28" s="754" t="s">
        <v>2067</v>
      </c>
      <c r="B28" s="793"/>
      <c r="C28" s="758"/>
      <c r="D28" s="758"/>
      <c r="E28" s="758"/>
      <c r="F28" s="758"/>
      <c r="G28" s="758"/>
      <c r="H28" s="758"/>
    </row>
    <row r="29" spans="1:8">
      <c r="A29" s="792" t="s">
        <v>1597</v>
      </c>
      <c r="B29" s="793">
        <v>29</v>
      </c>
      <c r="C29" s="758"/>
      <c r="D29" s="758"/>
      <c r="E29" s="758"/>
      <c r="F29" s="758"/>
      <c r="G29" s="758"/>
      <c r="H29" s="758"/>
    </row>
    <row r="30" spans="1:8">
      <c r="A30" s="792" t="s">
        <v>2066</v>
      </c>
      <c r="B30" s="793">
        <v>175</v>
      </c>
      <c r="C30" s="758"/>
      <c r="D30" s="758"/>
      <c r="E30" s="758"/>
      <c r="F30" s="758"/>
      <c r="G30" s="758"/>
      <c r="H30" s="758"/>
    </row>
    <row r="31" spans="1:8">
      <c r="A31" s="792" t="s">
        <v>2065</v>
      </c>
      <c r="B31" s="793">
        <v>250</v>
      </c>
      <c r="C31" s="758"/>
      <c r="D31" s="758"/>
      <c r="E31" s="758"/>
      <c r="F31" s="758"/>
      <c r="G31" s="758"/>
      <c r="H31" s="758"/>
    </row>
    <row r="32" spans="1:8">
      <c r="A32" s="792" t="s">
        <v>2064</v>
      </c>
      <c r="B32" s="793">
        <v>324</v>
      </c>
      <c r="C32" s="758"/>
      <c r="D32" s="758"/>
      <c r="E32" s="758"/>
      <c r="F32" s="758"/>
      <c r="G32" s="758"/>
      <c r="H32" s="758"/>
    </row>
    <row r="33" spans="1:8">
      <c r="A33" s="792" t="s">
        <v>2063</v>
      </c>
      <c r="B33" s="793">
        <v>473</v>
      </c>
      <c r="C33" s="758"/>
      <c r="D33" s="758"/>
      <c r="E33" s="758"/>
      <c r="F33" s="758"/>
      <c r="G33" s="758"/>
      <c r="H33" s="758"/>
    </row>
    <row r="34" spans="1:8">
      <c r="A34" s="792" t="s">
        <v>2062</v>
      </c>
      <c r="B34" s="793">
        <v>613</v>
      </c>
      <c r="C34" s="758"/>
      <c r="D34" s="758"/>
      <c r="E34" s="758"/>
      <c r="F34" s="758"/>
      <c r="G34" s="758"/>
      <c r="H34" s="758"/>
    </row>
    <row r="35" spans="1:8">
      <c r="A35" s="792" t="s">
        <v>2061</v>
      </c>
      <c r="B35" s="793">
        <v>840</v>
      </c>
      <c r="C35" s="758"/>
      <c r="D35" s="758"/>
      <c r="E35" s="758"/>
      <c r="F35" s="758"/>
      <c r="G35" s="758"/>
      <c r="H35" s="758"/>
    </row>
    <row r="36" spans="1:8">
      <c r="A36" s="792" t="s">
        <v>2060</v>
      </c>
      <c r="B36" s="793">
        <v>980</v>
      </c>
      <c r="C36" s="758"/>
      <c r="D36" s="758"/>
      <c r="E36" s="758"/>
      <c r="F36" s="758"/>
      <c r="G36" s="758"/>
      <c r="H36" s="758"/>
    </row>
    <row r="37" spans="1:8">
      <c r="A37" s="792" t="s">
        <v>2059</v>
      </c>
      <c r="B37" s="793">
        <v>1301</v>
      </c>
      <c r="C37" s="758"/>
      <c r="D37" s="758"/>
      <c r="E37" s="758"/>
      <c r="F37" s="758"/>
      <c r="G37" s="758"/>
      <c r="H37" s="758"/>
    </row>
    <row r="38" spans="1:8">
      <c r="A38" s="792" t="s">
        <v>2058</v>
      </c>
      <c r="B38" s="793">
        <v>1686</v>
      </c>
      <c r="C38" s="758"/>
      <c r="D38" s="758"/>
      <c r="E38" s="758"/>
      <c r="F38" s="758"/>
      <c r="G38" s="758"/>
      <c r="H38" s="758"/>
    </row>
    <row r="39" spans="1:8">
      <c r="A39" s="792" t="s">
        <v>2057</v>
      </c>
      <c r="B39" s="793">
        <v>2046</v>
      </c>
      <c r="C39" s="758"/>
      <c r="D39" s="758"/>
      <c r="E39" s="758"/>
      <c r="F39" s="758"/>
      <c r="G39" s="758"/>
      <c r="H39" s="758"/>
    </row>
    <row r="40" spans="1:8">
      <c r="A40" s="792" t="s">
        <v>2056</v>
      </c>
      <c r="B40" s="793">
        <v>2310</v>
      </c>
      <c r="C40" s="758"/>
      <c r="D40" s="758"/>
      <c r="E40" s="758"/>
      <c r="F40" s="758"/>
      <c r="G40" s="758"/>
      <c r="H40" s="758"/>
    </row>
    <row r="41" spans="1:8">
      <c r="A41" s="792" t="s">
        <v>2055</v>
      </c>
      <c r="B41" s="793">
        <v>125</v>
      </c>
      <c r="C41" s="758"/>
      <c r="D41" s="758"/>
      <c r="E41" s="758"/>
      <c r="F41" s="758"/>
      <c r="G41" s="758"/>
      <c r="H41" s="758"/>
    </row>
    <row r="42" spans="1:8">
      <c r="A42" s="792"/>
      <c r="B42" s="793"/>
      <c r="C42" s="758"/>
      <c r="D42" s="758"/>
      <c r="E42" s="758"/>
      <c r="F42" s="758"/>
      <c r="G42" s="758"/>
      <c r="H42" s="758"/>
    </row>
    <row r="43" spans="1:8">
      <c r="B43" s="1418" t="s">
        <v>2054</v>
      </c>
      <c r="C43" s="1418"/>
    </row>
  </sheetData>
  <mergeCells count="3">
    <mergeCell ref="A5:H5"/>
    <mergeCell ref="A15:B15"/>
    <mergeCell ref="B43:C43"/>
  </mergeCells>
  <pageMargins left="0.28000000000000003" right="0.52" top="0.75" bottom="0.75" header="0.3" footer="0.3"/>
  <pageSetup scale="80" orientation="landscape" r:id="rId1"/>
  <headerFooter>
    <oddHeader>&amp;C&amp;"-,Bold"&amp;12Empire Disposal Inc&amp;"-,Regular"
Disposal Fee Reference</oddHeader>
    <oddFooter>&amp;L&amp;F - &amp;A&amp;C&amp;D&amp;R&amp;P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128"/>
  <sheetViews>
    <sheetView showGridLines="0" view="pageBreakPreview" topLeftCell="A21" zoomScale="60" zoomScaleNormal="80" workbookViewId="0">
      <selection activeCell="G20" sqref="G20"/>
    </sheetView>
  </sheetViews>
  <sheetFormatPr defaultRowHeight="12.75" outlineLevelRow="1"/>
  <cols>
    <col min="1" max="1" width="2.7109375" style="295" customWidth="1"/>
    <col min="2" max="2" width="42.42578125" style="295" customWidth="1"/>
    <col min="3" max="3" width="21.28515625" style="295" customWidth="1"/>
    <col min="4" max="5" width="18.7109375" style="295" customWidth="1"/>
    <col min="6" max="6" width="12.28515625" style="295" customWidth="1"/>
    <col min="7" max="7" width="19" style="295" customWidth="1"/>
    <col min="8" max="8" width="7.85546875" style="295" customWidth="1"/>
    <col min="9" max="9" width="30.28515625" style="295" customWidth="1"/>
    <col min="10" max="10" width="10.28515625" style="295" customWidth="1"/>
    <col min="11" max="11" width="13.5703125" style="295" customWidth="1"/>
    <col min="12" max="12" width="15.140625" style="295" customWidth="1"/>
    <col min="13" max="13" width="29.85546875" style="295" customWidth="1"/>
    <col min="14" max="14" width="55.42578125" style="295" customWidth="1"/>
    <col min="15" max="15" width="11.42578125" style="295" customWidth="1"/>
    <col min="16" max="16" width="35.140625" style="295" customWidth="1"/>
    <col min="17" max="17" width="18" style="295" customWidth="1"/>
    <col min="18" max="18" width="14.140625" style="295" customWidth="1"/>
    <col min="19" max="19" width="17.7109375" style="295" customWidth="1"/>
    <col min="20" max="20" width="12.7109375" style="295" customWidth="1"/>
    <col min="21" max="21" width="15.85546875" style="295" customWidth="1"/>
    <col min="22" max="22" width="13.7109375" style="295" bestFit="1" customWidth="1"/>
    <col min="23" max="23" width="13.28515625" style="295" customWidth="1"/>
    <col min="24" max="24" width="12.28515625" style="295" customWidth="1"/>
    <col min="25" max="25" width="11.5703125" style="295" customWidth="1"/>
    <col min="26" max="26" width="9.85546875" style="295" customWidth="1"/>
    <col min="27" max="27" width="11.42578125" style="295" customWidth="1"/>
    <col min="28" max="28" width="11" style="295" customWidth="1"/>
    <col min="29" max="29" width="11.5703125" style="295" customWidth="1"/>
    <col min="30" max="30" width="7" style="295" customWidth="1"/>
    <col min="31" max="31" width="11.140625" style="295" customWidth="1"/>
    <col min="32" max="32" width="11" style="295" customWidth="1"/>
    <col min="33" max="33" width="8.5703125" style="295" customWidth="1"/>
    <col min="34" max="34" width="8.42578125" style="295" customWidth="1"/>
    <col min="35" max="36" width="10.28515625" style="295" customWidth="1"/>
    <col min="37" max="37" width="10.140625" style="295" customWidth="1"/>
    <col min="38" max="38" width="10.42578125" style="295" customWidth="1"/>
    <col min="39" max="39" width="21.140625" style="295" customWidth="1"/>
    <col min="40" max="42" width="18.85546875" style="295" customWidth="1"/>
    <col min="43" max="43" width="20.42578125" style="295" customWidth="1"/>
    <col min="44" max="46" width="9.140625" style="295" customWidth="1"/>
    <col min="47" max="16384" width="9.140625" style="295"/>
  </cols>
  <sheetData>
    <row r="1" spans="1:43" hidden="1" outlineLevel="1">
      <c r="A1" s="294" t="b">
        <v>1</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row>
    <row r="2" spans="1:43" hidden="1" outlineLevel="1">
      <c r="B2" s="295" t="s">
        <v>673</v>
      </c>
      <c r="C2" s="295" t="s">
        <v>674</v>
      </c>
      <c r="D2" s="296" t="s">
        <v>675</v>
      </c>
      <c r="E2" s="296" t="s">
        <v>676</v>
      </c>
      <c r="F2" s="296" t="s">
        <v>677</v>
      </c>
      <c r="G2" s="295" t="s">
        <v>678</v>
      </c>
      <c r="H2" s="295" t="s">
        <v>679</v>
      </c>
      <c r="I2" s="295" t="s">
        <v>680</v>
      </c>
      <c r="J2" s="295" t="s">
        <v>681</v>
      </c>
      <c r="K2" s="295" t="s">
        <v>682</v>
      </c>
      <c r="L2" s="295" t="s">
        <v>683</v>
      </c>
      <c r="M2" s="295" t="s">
        <v>684</v>
      </c>
      <c r="N2" s="295" t="s">
        <v>685</v>
      </c>
      <c r="O2" s="295" t="s">
        <v>686</v>
      </c>
      <c r="P2" s="295" t="s">
        <v>687</v>
      </c>
      <c r="Q2" s="295" t="s">
        <v>688</v>
      </c>
      <c r="R2" s="295" t="s">
        <v>689</v>
      </c>
      <c r="S2" s="295" t="s">
        <v>690</v>
      </c>
      <c r="T2" s="295" t="s">
        <v>691</v>
      </c>
      <c r="U2" s="295" t="s">
        <v>692</v>
      </c>
      <c r="V2" s="295" t="s">
        <v>693</v>
      </c>
      <c r="W2" s="295" t="s">
        <v>694</v>
      </c>
      <c r="X2" s="295" t="s">
        <v>695</v>
      </c>
      <c r="Y2" s="295" t="s">
        <v>696</v>
      </c>
      <c r="Z2" s="295" t="s">
        <v>697</v>
      </c>
      <c r="AA2" s="295" t="s">
        <v>698</v>
      </c>
      <c r="AB2" s="295" t="s">
        <v>699</v>
      </c>
      <c r="AC2" s="295" t="s">
        <v>700</v>
      </c>
      <c r="AD2" s="295" t="s">
        <v>701</v>
      </c>
      <c r="AE2" s="295" t="s">
        <v>702</v>
      </c>
      <c r="AF2" s="295" t="s">
        <v>703</v>
      </c>
      <c r="AG2" s="295" t="s">
        <v>704</v>
      </c>
      <c r="AH2" s="295" t="s">
        <v>705</v>
      </c>
      <c r="AI2" s="295" t="s">
        <v>706</v>
      </c>
      <c r="AJ2" s="295" t="s">
        <v>707</v>
      </c>
      <c r="AK2" s="295" t="s">
        <v>708</v>
      </c>
      <c r="AL2" s="295" t="s">
        <v>709</v>
      </c>
      <c r="AM2" s="295" t="s">
        <v>710</v>
      </c>
      <c r="AN2" s="295" t="s">
        <v>711</v>
      </c>
      <c r="AO2" s="295" t="s">
        <v>712</v>
      </c>
      <c r="AP2" s="295" t="s">
        <v>713</v>
      </c>
      <c r="AQ2" s="296"/>
    </row>
    <row r="3" spans="1:43" hidden="1" outlineLevel="1">
      <c r="A3" s="294" t="s">
        <v>714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row>
    <row r="4" spans="1:43" hidden="1" outlineLevel="1">
      <c r="Q4" s="295" t="s">
        <v>2550</v>
      </c>
      <c r="U4" s="295" t="str">
        <f ca="1">_xll.ReportDrill(,"APDrill",_xll.PairGroup(_xll.PairExt(AQ20:AQ92,"H8")),"AP Detail")</f>
        <v>OK!: ReportDrill 'AP Detail' Formula OK [jAction{}]</v>
      </c>
      <c r="Y4" s="295" t="str">
        <f ca="1">_xll.ReportDrill(,"JEStaged_DrillToDetail",_xll.PairGroup(_xll.PairExt(Q19:Q92,"dControlNum",TRUE),_xll.PairExt(AP19:AP92,"dDistrict",TRUE),_xll.PairExt(AO19:AO92,"dApplyMonth",TRUE)),"JE Staged Details")</f>
        <v>OK!: ReportDrill 'JE Staged Details' Formula OK [jAction{}]</v>
      </c>
    </row>
    <row r="5" spans="1:43" hidden="1" outlineLevel="1">
      <c r="B5" s="295" t="str">
        <f ca="1">_xll.ReportRange("JEQuery_WithStaged",B20:AR91,B2:AR2,,_xll.Param(I12,DateTo,IF(M12="","all",M12),M13,M14,M15,P12,P13,P14,P15,EntrieShownLimit,DateFrom,DateTo),TRUE)</f>
        <v>OK!: ReportRange Formula OK [jAction{}]</v>
      </c>
    </row>
    <row r="6" spans="1:43" hidden="1" outlineLevel="1">
      <c r="B6" s="297" t="s">
        <v>715</v>
      </c>
      <c r="D6" s="295">
        <v>10000</v>
      </c>
    </row>
    <row r="7" spans="1:43" hidden="1" outlineLevel="1">
      <c r="A7" s="294" t="s">
        <v>716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row>
    <row r="8" spans="1:43" hidden="1" outlineLevel="1">
      <c r="B8" s="298" t="s">
        <v>717</v>
      </c>
      <c r="C8" s="295" t="str">
        <f>IF(DateFrom="",CurrentMonth,DateFrom)</f>
        <v>2016-07</v>
      </c>
      <c r="E8" s="298" t="s">
        <v>718</v>
      </c>
      <c r="G8" s="295" t="str">
        <f>IF(DateTo="",CurrentMonth,DateTo)</f>
        <v>2017-06</v>
      </c>
      <c r="I8" s="298" t="s">
        <v>719</v>
      </c>
      <c r="J8" s="299" t="str">
        <f ca="1">TEXT(NOW() - 15,"yyyy-mm")</f>
        <v>2017-07</v>
      </c>
    </row>
    <row r="9" spans="1:43" ht="18" collapsed="1">
      <c r="B9" s="300" t="s">
        <v>720</v>
      </c>
      <c r="G9" s="301" t="s">
        <v>721</v>
      </c>
      <c r="P9" s="302"/>
      <c r="U9" s="297"/>
    </row>
    <row r="10" spans="1:43" ht="14.25">
      <c r="B10" s="296" t="s">
        <v>722</v>
      </c>
      <c r="G10" s="303"/>
      <c r="P10" s="302"/>
      <c r="U10" s="297"/>
    </row>
    <row r="11" spans="1:43">
      <c r="G11" s="304" t="s">
        <v>723</v>
      </c>
      <c r="H11" s="305"/>
      <c r="I11" s="306"/>
      <c r="L11" s="305" t="s">
        <v>724</v>
      </c>
      <c r="M11" s="305"/>
      <c r="N11" s="305"/>
      <c r="O11" s="305"/>
      <c r="P11" s="305"/>
      <c r="U11" s="296"/>
    </row>
    <row r="12" spans="1:43" s="297" customFormat="1">
      <c r="H12" s="307" t="s">
        <v>725</v>
      </c>
      <c r="I12" s="308" t="s">
        <v>726</v>
      </c>
      <c r="K12" s="309"/>
      <c r="L12" s="297" t="s">
        <v>727</v>
      </c>
      <c r="M12" s="308" t="s">
        <v>219</v>
      </c>
      <c r="O12" s="307" t="s">
        <v>728</v>
      </c>
      <c r="P12" s="310"/>
      <c r="Z12" s="295"/>
      <c r="AA12" s="295"/>
      <c r="AB12" s="295"/>
      <c r="AH12" s="295"/>
      <c r="AI12" s="295"/>
      <c r="AJ12" s="295"/>
      <c r="AK12" s="295"/>
      <c r="AL12" s="295"/>
    </row>
    <row r="13" spans="1:43" s="297" customFormat="1">
      <c r="H13" s="307" t="s">
        <v>729</v>
      </c>
      <c r="I13" s="308" t="s">
        <v>222</v>
      </c>
      <c r="K13" s="309"/>
      <c r="L13" s="297" t="s">
        <v>730</v>
      </c>
      <c r="M13" s="308" t="s">
        <v>1116</v>
      </c>
      <c r="N13" s="295"/>
      <c r="O13" s="307" t="s">
        <v>732</v>
      </c>
      <c r="P13" s="311"/>
      <c r="Q13" s="312"/>
      <c r="Z13" s="295"/>
      <c r="AA13" s="295"/>
      <c r="AB13" s="295"/>
      <c r="AH13" s="295"/>
      <c r="AI13" s="295"/>
      <c r="AJ13" s="295"/>
      <c r="AK13" s="295"/>
      <c r="AL13" s="295"/>
    </row>
    <row r="14" spans="1:43">
      <c r="L14" s="297" t="s">
        <v>221</v>
      </c>
      <c r="M14" s="308" t="s">
        <v>220</v>
      </c>
      <c r="O14" s="307" t="s">
        <v>733</v>
      </c>
      <c r="P14" s="311"/>
      <c r="Q14" s="312"/>
    </row>
    <row r="15" spans="1:43">
      <c r="L15" s="297" t="s">
        <v>551</v>
      </c>
      <c r="M15" s="308" t="s">
        <v>220</v>
      </c>
      <c r="O15" s="307" t="s">
        <v>734</v>
      </c>
      <c r="P15" s="313" t="s">
        <v>735</v>
      </c>
    </row>
    <row r="16" spans="1:43">
      <c r="B16" s="314" t="s">
        <v>736</v>
      </c>
      <c r="C16" s="315"/>
      <c r="D16" s="316">
        <f>SUM(D19:D92)</f>
        <v>6976.73</v>
      </c>
      <c r="E16" s="316">
        <f>SUM(E19:E92)</f>
        <v>0</v>
      </c>
      <c r="F16" s="295" t="s">
        <v>737</v>
      </c>
      <c r="N16" s="317"/>
      <c r="O16" s="317"/>
      <c r="P16" s="317"/>
      <c r="Q16" s="317"/>
    </row>
    <row r="17" spans="2:43">
      <c r="B17" s="314" t="s">
        <v>738</v>
      </c>
      <c r="C17" s="315"/>
      <c r="D17" s="318">
        <f>COUNT(D20:D93)</f>
        <v>71</v>
      </c>
      <c r="E17" s="318">
        <f>COUNT(E20:E93)</f>
        <v>71</v>
      </c>
      <c r="F17" s="296" t="s">
        <v>739</v>
      </c>
      <c r="G17" s="319" t="str">
        <f>""&amp;EntrieShownLimit</f>
        <v>10000</v>
      </c>
    </row>
    <row r="18" spans="2:43">
      <c r="O18" s="320"/>
      <c r="R18" s="321" t="s">
        <v>740</v>
      </c>
      <c r="S18" s="322"/>
      <c r="T18" s="322"/>
      <c r="U18" s="322"/>
      <c r="V18" s="322"/>
      <c r="W18" s="322"/>
      <c r="X18" s="322"/>
      <c r="Y18" s="322"/>
      <c r="Z18" s="323"/>
      <c r="AA18" s="323"/>
      <c r="AB18" s="323"/>
      <c r="AC18" s="323"/>
      <c r="AD18" s="323"/>
      <c r="AE18" s="323"/>
      <c r="AF18" s="323"/>
      <c r="AG18" s="323"/>
      <c r="AH18" s="323"/>
      <c r="AI18" s="323"/>
      <c r="AJ18" s="323"/>
      <c r="AK18" s="323"/>
      <c r="AL18" s="323"/>
      <c r="AM18" s="323"/>
      <c r="AN18" s="323"/>
      <c r="AO18" s="323"/>
      <c r="AP18" s="323"/>
      <c r="AQ18" s="323"/>
    </row>
    <row r="19" spans="2:43" s="324" customFormat="1" ht="29.25" customHeight="1" thickBot="1">
      <c r="B19" s="325" t="s">
        <v>741</v>
      </c>
      <c r="C19" s="326" t="s">
        <v>742</v>
      </c>
      <c r="D19" s="327" t="s">
        <v>743</v>
      </c>
      <c r="E19" s="327" t="s">
        <v>744</v>
      </c>
      <c r="F19" s="327" t="s">
        <v>745</v>
      </c>
      <c r="G19" s="328" t="s">
        <v>746</v>
      </c>
      <c r="H19" s="325" t="s">
        <v>747</v>
      </c>
      <c r="I19" s="325" t="s">
        <v>748</v>
      </c>
      <c r="J19" s="325" t="s">
        <v>681</v>
      </c>
      <c r="K19" s="325" t="s">
        <v>749</v>
      </c>
      <c r="L19" s="325" t="s">
        <v>750</v>
      </c>
      <c r="M19" s="325" t="s">
        <v>751</v>
      </c>
      <c r="N19" s="325" t="s">
        <v>752</v>
      </c>
      <c r="O19" s="329" t="s">
        <v>753</v>
      </c>
      <c r="P19" s="325" t="s">
        <v>754</v>
      </c>
      <c r="Q19" s="325" t="s">
        <v>755</v>
      </c>
      <c r="R19" s="325" t="s">
        <v>756</v>
      </c>
      <c r="S19" s="325" t="s">
        <v>757</v>
      </c>
      <c r="T19" s="325" t="s">
        <v>758</v>
      </c>
      <c r="U19" s="325" t="s">
        <v>759</v>
      </c>
      <c r="V19" s="325" t="s">
        <v>760</v>
      </c>
      <c r="W19" s="325" t="s">
        <v>761</v>
      </c>
      <c r="X19" s="325" t="s">
        <v>762</v>
      </c>
      <c r="Y19" s="325" t="s">
        <v>763</v>
      </c>
      <c r="Z19" s="325" t="s">
        <v>764</v>
      </c>
      <c r="AA19" s="325" t="s">
        <v>765</v>
      </c>
      <c r="AB19" s="325" t="s">
        <v>766</v>
      </c>
      <c r="AC19" s="330" t="s">
        <v>767</v>
      </c>
      <c r="AD19" s="330" t="s">
        <v>768</v>
      </c>
      <c r="AE19" s="330" t="s">
        <v>769</v>
      </c>
      <c r="AF19" s="330" t="s">
        <v>770</v>
      </c>
      <c r="AG19" s="330" t="s">
        <v>771</v>
      </c>
      <c r="AH19" s="330" t="s">
        <v>772</v>
      </c>
      <c r="AI19" s="326" t="s">
        <v>773</v>
      </c>
      <c r="AJ19" s="326" t="s">
        <v>774</v>
      </c>
      <c r="AK19" s="326" t="s">
        <v>775</v>
      </c>
      <c r="AL19" s="326" t="s">
        <v>776</v>
      </c>
      <c r="AM19" s="326" t="s">
        <v>777</v>
      </c>
      <c r="AN19" s="326" t="s">
        <v>711</v>
      </c>
      <c r="AO19" s="331" t="s">
        <v>778</v>
      </c>
      <c r="AP19" s="331" t="s">
        <v>779</v>
      </c>
      <c r="AQ19" s="331" t="s">
        <v>780</v>
      </c>
    </row>
    <row r="20" spans="2:43">
      <c r="B20" s="295" t="s">
        <v>1117</v>
      </c>
      <c r="C20" s="332">
        <v>42572</v>
      </c>
      <c r="D20" s="333">
        <v>411.65</v>
      </c>
      <c r="E20" s="333">
        <v>0</v>
      </c>
      <c r="F20" s="334" t="s">
        <v>782</v>
      </c>
      <c r="G20" s="295" t="s">
        <v>1118</v>
      </c>
      <c r="H20" s="335" t="s">
        <v>784</v>
      </c>
      <c r="I20" s="295" t="s">
        <v>785</v>
      </c>
      <c r="J20" s="295" t="s">
        <v>810</v>
      </c>
      <c r="K20" s="295" t="s">
        <v>787</v>
      </c>
      <c r="L20" s="299" t="s">
        <v>1119</v>
      </c>
      <c r="M20" s="299"/>
      <c r="N20" s="299" t="s">
        <v>1120</v>
      </c>
      <c r="O20" s="320">
        <v>42551</v>
      </c>
      <c r="P20" s="299" t="s">
        <v>1121</v>
      </c>
      <c r="Q20" s="336">
        <v>42522</v>
      </c>
      <c r="R20" s="295" t="s">
        <v>1122</v>
      </c>
      <c r="U20" s="295" t="s">
        <v>1123</v>
      </c>
      <c r="V20" s="295" t="s">
        <v>1124</v>
      </c>
      <c r="W20" s="295">
        <v>2111</v>
      </c>
      <c r="X20" s="332">
        <v>42572</v>
      </c>
      <c r="Y20" s="332">
        <v>42576</v>
      </c>
      <c r="Z20" s="295">
        <v>5139.24</v>
      </c>
      <c r="AA20" s="332">
        <v>42552</v>
      </c>
      <c r="AB20" s="295" t="s">
        <v>793</v>
      </c>
      <c r="AC20" s="295">
        <v>0</v>
      </c>
      <c r="AD20" s="295">
        <v>0</v>
      </c>
      <c r="AE20" s="295">
        <v>0</v>
      </c>
      <c r="AF20" s="295">
        <v>0</v>
      </c>
      <c r="AG20" s="295">
        <v>0</v>
      </c>
      <c r="AH20" s="295">
        <v>1</v>
      </c>
      <c r="AI20" s="295">
        <v>70255</v>
      </c>
      <c r="AJ20" s="295">
        <v>2195</v>
      </c>
      <c r="AK20" s="295">
        <v>0</v>
      </c>
      <c r="AL20" s="295">
        <v>0</v>
      </c>
      <c r="AO20" s="335"/>
      <c r="AP20" s="335"/>
      <c r="AQ20" s="295" t="str">
        <f>IF(LEFT(U20,2)="VO",U20,"")</f>
        <v>VO03995234</v>
      </c>
    </row>
    <row r="21" spans="2:43">
      <c r="B21" s="295" t="s">
        <v>1117</v>
      </c>
      <c r="C21" s="332">
        <v>42582</v>
      </c>
      <c r="D21" s="333">
        <v>-34.35</v>
      </c>
      <c r="E21" s="333">
        <v>0</v>
      </c>
      <c r="F21" s="334" t="s">
        <v>782</v>
      </c>
      <c r="G21" s="295" t="s">
        <v>1125</v>
      </c>
      <c r="H21" s="335" t="s">
        <v>784</v>
      </c>
      <c r="I21" s="295" t="s">
        <v>1126</v>
      </c>
      <c r="J21" s="295" t="s">
        <v>803</v>
      </c>
      <c r="K21" s="295" t="s">
        <v>787</v>
      </c>
      <c r="L21" s="299"/>
      <c r="M21" s="299"/>
      <c r="N21" s="299" t="s">
        <v>1127</v>
      </c>
      <c r="O21" s="320"/>
      <c r="P21" s="299"/>
      <c r="Q21" s="299"/>
      <c r="U21" s="295" t="s">
        <v>1128</v>
      </c>
      <c r="V21" s="295" t="s">
        <v>1129</v>
      </c>
      <c r="X21" s="332">
        <v>42558</v>
      </c>
      <c r="Y21" s="332">
        <v>42558</v>
      </c>
      <c r="AA21" s="332"/>
      <c r="AB21" s="295" t="s">
        <v>793</v>
      </c>
      <c r="AC21" s="295">
        <v>0</v>
      </c>
      <c r="AD21" s="295">
        <v>0</v>
      </c>
      <c r="AE21" s="295">
        <v>0</v>
      </c>
      <c r="AF21" s="295">
        <v>0</v>
      </c>
      <c r="AG21" s="295">
        <v>5</v>
      </c>
      <c r="AH21" s="295">
        <v>1</v>
      </c>
      <c r="AI21" s="295">
        <v>70255</v>
      </c>
      <c r="AJ21" s="295">
        <v>2195</v>
      </c>
      <c r="AK21" s="295">
        <v>0</v>
      </c>
      <c r="AL21" s="295">
        <v>0</v>
      </c>
      <c r="AO21" s="335"/>
      <c r="AP21" s="335"/>
      <c r="AQ21" s="295" t="str">
        <f t="shared" ref="AQ21:AQ84" si="0">IF(LEFT(U21,2)="VO",U21,"")</f>
        <v/>
      </c>
    </row>
    <row r="22" spans="2:43">
      <c r="B22" s="295" t="s">
        <v>1117</v>
      </c>
      <c r="C22" s="332">
        <v>42582</v>
      </c>
      <c r="D22" s="333">
        <v>312</v>
      </c>
      <c r="E22" s="333">
        <v>0</v>
      </c>
      <c r="F22" s="334" t="s">
        <v>782</v>
      </c>
      <c r="G22" s="295" t="s">
        <v>1130</v>
      </c>
      <c r="H22" s="335" t="s">
        <v>784</v>
      </c>
      <c r="I22" s="295" t="s">
        <v>1131</v>
      </c>
      <c r="J22" s="295" t="s">
        <v>856</v>
      </c>
      <c r="K22" s="295" t="s">
        <v>787</v>
      </c>
      <c r="L22" s="299"/>
      <c r="M22" s="299"/>
      <c r="N22" s="299" t="s">
        <v>1132</v>
      </c>
      <c r="O22" s="320"/>
      <c r="P22" s="299"/>
      <c r="Q22" s="299"/>
      <c r="U22" s="295" t="s">
        <v>1133</v>
      </c>
      <c r="V22" s="295" t="s">
        <v>1133</v>
      </c>
      <c r="X22" s="332">
        <v>42585</v>
      </c>
      <c r="Y22" s="332">
        <v>42586</v>
      </c>
      <c r="AA22" s="332"/>
      <c r="AB22" s="295" t="s">
        <v>793</v>
      </c>
      <c r="AC22" s="295">
        <v>0</v>
      </c>
      <c r="AD22" s="295">
        <v>0</v>
      </c>
      <c r="AE22" s="295">
        <v>0</v>
      </c>
      <c r="AF22" s="295">
        <v>0</v>
      </c>
      <c r="AG22" s="295">
        <v>0</v>
      </c>
      <c r="AH22" s="295">
        <v>1</v>
      </c>
      <c r="AI22" s="295">
        <v>70255</v>
      </c>
      <c r="AJ22" s="295">
        <v>2195</v>
      </c>
      <c r="AK22" s="295">
        <v>0</v>
      </c>
      <c r="AL22" s="295">
        <v>0</v>
      </c>
      <c r="AO22" s="335"/>
      <c r="AP22" s="335"/>
      <c r="AQ22" s="295" t="str">
        <f t="shared" si="0"/>
        <v/>
      </c>
    </row>
    <row r="23" spans="2:43">
      <c r="B23" s="295" t="s">
        <v>1117</v>
      </c>
      <c r="C23" s="332">
        <v>42582</v>
      </c>
      <c r="D23" s="333">
        <v>34.35</v>
      </c>
      <c r="E23" s="333">
        <v>0</v>
      </c>
      <c r="F23" s="334" t="s">
        <v>782</v>
      </c>
      <c r="G23" s="295" t="s">
        <v>1134</v>
      </c>
      <c r="H23" s="335" t="s">
        <v>784</v>
      </c>
      <c r="I23" s="295" t="s">
        <v>1135</v>
      </c>
      <c r="J23" s="295" t="s">
        <v>796</v>
      </c>
      <c r="K23" s="295" t="s">
        <v>787</v>
      </c>
      <c r="L23" s="299"/>
      <c r="M23" s="299"/>
      <c r="N23" s="299" t="s">
        <v>1136</v>
      </c>
      <c r="O23" s="320"/>
      <c r="P23" s="299"/>
      <c r="Q23" s="299"/>
      <c r="U23" s="295" t="s">
        <v>1137</v>
      </c>
      <c r="V23" s="295" t="s">
        <v>1137</v>
      </c>
      <c r="X23" s="332">
        <v>42586</v>
      </c>
      <c r="Y23" s="332">
        <v>42587</v>
      </c>
      <c r="AA23" s="332"/>
      <c r="AB23" s="295" t="s">
        <v>793</v>
      </c>
      <c r="AC23" s="295">
        <v>0</v>
      </c>
      <c r="AD23" s="295">
        <v>0</v>
      </c>
      <c r="AE23" s="295">
        <v>0</v>
      </c>
      <c r="AF23" s="295">
        <v>0</v>
      </c>
      <c r="AG23" s="295">
        <v>0</v>
      </c>
      <c r="AH23" s="295">
        <v>1</v>
      </c>
      <c r="AI23" s="295">
        <v>70255</v>
      </c>
      <c r="AJ23" s="295">
        <v>2195</v>
      </c>
      <c r="AK23" s="295">
        <v>0</v>
      </c>
      <c r="AL23" s="295">
        <v>0</v>
      </c>
      <c r="AO23" s="335"/>
      <c r="AP23" s="335"/>
      <c r="AQ23" s="295" t="str">
        <f t="shared" si="0"/>
        <v/>
      </c>
    </row>
    <row r="24" spans="2:43">
      <c r="B24" s="295" t="s">
        <v>1117</v>
      </c>
      <c r="C24" s="332">
        <v>42582</v>
      </c>
      <c r="D24" s="333">
        <v>39.15</v>
      </c>
      <c r="E24" s="333">
        <v>0</v>
      </c>
      <c r="F24" s="334" t="s">
        <v>782</v>
      </c>
      <c r="G24" s="295" t="s">
        <v>1138</v>
      </c>
      <c r="H24" s="335" t="s">
        <v>784</v>
      </c>
      <c r="I24" s="295" t="s">
        <v>1139</v>
      </c>
      <c r="J24" s="295" t="s">
        <v>856</v>
      </c>
      <c r="K24" s="295" t="s">
        <v>787</v>
      </c>
      <c r="L24" s="299"/>
      <c r="M24" s="299"/>
      <c r="N24" s="299" t="s">
        <v>1140</v>
      </c>
      <c r="O24" s="320"/>
      <c r="P24" s="299"/>
      <c r="Q24" s="299"/>
      <c r="U24" s="295" t="s">
        <v>1141</v>
      </c>
      <c r="V24" s="295" t="s">
        <v>1141</v>
      </c>
      <c r="X24" s="332">
        <v>42587</v>
      </c>
      <c r="Y24" s="332">
        <v>42587</v>
      </c>
      <c r="AA24" s="332"/>
      <c r="AB24" s="295" t="s">
        <v>793</v>
      </c>
      <c r="AC24" s="295">
        <v>0</v>
      </c>
      <c r="AD24" s="295">
        <v>0</v>
      </c>
      <c r="AE24" s="295">
        <v>0</v>
      </c>
      <c r="AF24" s="295">
        <v>0</v>
      </c>
      <c r="AG24" s="295">
        <v>0</v>
      </c>
      <c r="AH24" s="295">
        <v>1</v>
      </c>
      <c r="AI24" s="295">
        <v>70255</v>
      </c>
      <c r="AJ24" s="295">
        <v>2195</v>
      </c>
      <c r="AK24" s="295">
        <v>0</v>
      </c>
      <c r="AL24" s="295">
        <v>0</v>
      </c>
      <c r="AO24" s="335"/>
      <c r="AP24" s="335"/>
      <c r="AQ24" s="295" t="str">
        <f t="shared" si="0"/>
        <v/>
      </c>
    </row>
    <row r="25" spans="2:43">
      <c r="B25" s="295" t="s">
        <v>1117</v>
      </c>
      <c r="C25" s="332">
        <v>42597</v>
      </c>
      <c r="D25" s="333">
        <v>10.5</v>
      </c>
      <c r="E25" s="333">
        <v>0</v>
      </c>
      <c r="F25" s="334" t="s">
        <v>782</v>
      </c>
      <c r="G25" s="295" t="s">
        <v>1142</v>
      </c>
      <c r="H25" s="335" t="s">
        <v>784</v>
      </c>
      <c r="I25" s="295" t="s">
        <v>785</v>
      </c>
      <c r="J25" s="295" t="s">
        <v>810</v>
      </c>
      <c r="K25" s="295" t="s">
        <v>787</v>
      </c>
      <c r="L25" s="299" t="s">
        <v>860</v>
      </c>
      <c r="M25" s="299"/>
      <c r="N25" s="299" t="s">
        <v>861</v>
      </c>
      <c r="O25" s="320">
        <v>42587</v>
      </c>
      <c r="P25" s="299"/>
      <c r="Q25" s="299" t="s">
        <v>1143</v>
      </c>
      <c r="U25" s="295" t="s">
        <v>1144</v>
      </c>
      <c r="V25" s="295" t="s">
        <v>1145</v>
      </c>
      <c r="W25" s="295">
        <v>2195</v>
      </c>
      <c r="X25" s="332">
        <v>42597</v>
      </c>
      <c r="Y25" s="332">
        <v>42605</v>
      </c>
      <c r="Z25" s="295">
        <v>412.64</v>
      </c>
      <c r="AA25" s="332">
        <v>42588</v>
      </c>
      <c r="AB25" s="295" t="s">
        <v>793</v>
      </c>
      <c r="AC25" s="295">
        <v>0</v>
      </c>
      <c r="AD25" s="295">
        <v>0</v>
      </c>
      <c r="AE25" s="295">
        <v>0</v>
      </c>
      <c r="AF25" s="295">
        <v>0</v>
      </c>
      <c r="AG25" s="295">
        <v>0</v>
      </c>
      <c r="AH25" s="295">
        <v>1</v>
      </c>
      <c r="AI25" s="295">
        <v>70255</v>
      </c>
      <c r="AJ25" s="295">
        <v>2195</v>
      </c>
      <c r="AK25" s="295">
        <v>0</v>
      </c>
      <c r="AL25" s="295">
        <v>0</v>
      </c>
      <c r="AO25" s="335"/>
      <c r="AP25" s="335"/>
      <c r="AQ25" s="295" t="str">
        <f t="shared" si="0"/>
        <v>VO04020633</v>
      </c>
    </row>
    <row r="26" spans="2:43">
      <c r="B26" s="295" t="s">
        <v>1117</v>
      </c>
      <c r="C26" s="332">
        <v>42607</v>
      </c>
      <c r="D26" s="333">
        <v>354.28</v>
      </c>
      <c r="E26" s="333">
        <v>0</v>
      </c>
      <c r="F26" s="334" t="s">
        <v>782</v>
      </c>
      <c r="G26" s="295" t="s">
        <v>1146</v>
      </c>
      <c r="H26" s="335" t="s">
        <v>784</v>
      </c>
      <c r="I26" s="295" t="s">
        <v>785</v>
      </c>
      <c r="J26" s="295" t="s">
        <v>810</v>
      </c>
      <c r="K26" s="295" t="s">
        <v>787</v>
      </c>
      <c r="L26" s="299" t="s">
        <v>1119</v>
      </c>
      <c r="M26" s="299"/>
      <c r="N26" s="299" t="s">
        <v>1120</v>
      </c>
      <c r="O26" s="320">
        <v>42582</v>
      </c>
      <c r="P26" s="299" t="s">
        <v>1147</v>
      </c>
      <c r="Q26" s="336">
        <v>42552</v>
      </c>
      <c r="R26" s="295" t="s">
        <v>1122</v>
      </c>
      <c r="U26" s="295" t="s">
        <v>1148</v>
      </c>
      <c r="V26" s="295" t="s">
        <v>1149</v>
      </c>
      <c r="W26" s="295">
        <v>2111</v>
      </c>
      <c r="X26" s="332">
        <v>42607</v>
      </c>
      <c r="Y26" s="332">
        <v>42607</v>
      </c>
      <c r="Z26" s="295">
        <v>4422.9399999999996</v>
      </c>
      <c r="AA26" s="332">
        <v>42583</v>
      </c>
      <c r="AB26" s="295" t="s">
        <v>793</v>
      </c>
      <c r="AC26" s="295">
        <v>0</v>
      </c>
      <c r="AD26" s="295">
        <v>0</v>
      </c>
      <c r="AE26" s="295">
        <v>0</v>
      </c>
      <c r="AF26" s="295">
        <v>0</v>
      </c>
      <c r="AG26" s="295">
        <v>0</v>
      </c>
      <c r="AH26" s="295">
        <v>1</v>
      </c>
      <c r="AI26" s="295">
        <v>70255</v>
      </c>
      <c r="AJ26" s="295">
        <v>2195</v>
      </c>
      <c r="AK26" s="295">
        <v>0</v>
      </c>
      <c r="AL26" s="295">
        <v>0</v>
      </c>
      <c r="AO26" s="335"/>
      <c r="AP26" s="335"/>
      <c r="AQ26" s="295" t="str">
        <f t="shared" si="0"/>
        <v>VO04032639</v>
      </c>
    </row>
    <row r="27" spans="2:43">
      <c r="B27" s="295" t="s">
        <v>1117</v>
      </c>
      <c r="C27" s="332">
        <v>42613</v>
      </c>
      <c r="D27" s="333">
        <v>-312</v>
      </c>
      <c r="E27" s="333">
        <v>0</v>
      </c>
      <c r="F27" s="334" t="s">
        <v>782</v>
      </c>
      <c r="G27" s="295" t="s">
        <v>1150</v>
      </c>
      <c r="H27" s="335" t="s">
        <v>784</v>
      </c>
      <c r="I27" s="295" t="s">
        <v>1131</v>
      </c>
      <c r="J27" s="295" t="s">
        <v>856</v>
      </c>
      <c r="K27" s="295" t="s">
        <v>787</v>
      </c>
      <c r="L27" s="299"/>
      <c r="M27" s="299"/>
      <c r="N27" s="299" t="s">
        <v>1132</v>
      </c>
      <c r="O27" s="320"/>
      <c r="P27" s="299"/>
      <c r="Q27" s="299"/>
      <c r="U27" s="295" t="s">
        <v>1133</v>
      </c>
      <c r="V27" s="295" t="s">
        <v>1151</v>
      </c>
      <c r="X27" s="332">
        <v>42586</v>
      </c>
      <c r="Y27" s="332">
        <v>42586</v>
      </c>
      <c r="AA27" s="332"/>
      <c r="AB27" s="295" t="s">
        <v>793</v>
      </c>
      <c r="AC27" s="295">
        <v>0</v>
      </c>
      <c r="AD27" s="295">
        <v>0</v>
      </c>
      <c r="AE27" s="295">
        <v>0</v>
      </c>
      <c r="AF27" s="295">
        <v>0</v>
      </c>
      <c r="AG27" s="295">
        <v>5</v>
      </c>
      <c r="AH27" s="295">
        <v>1</v>
      </c>
      <c r="AI27" s="295">
        <v>70255</v>
      </c>
      <c r="AJ27" s="295">
        <v>2195</v>
      </c>
      <c r="AK27" s="295">
        <v>0</v>
      </c>
      <c r="AL27" s="295">
        <v>0</v>
      </c>
      <c r="AO27" s="335"/>
      <c r="AP27" s="335"/>
      <c r="AQ27" s="295" t="str">
        <f t="shared" si="0"/>
        <v/>
      </c>
    </row>
    <row r="28" spans="2:43">
      <c r="B28" s="295" t="s">
        <v>1117</v>
      </c>
      <c r="C28" s="332">
        <v>42613</v>
      </c>
      <c r="D28" s="333">
        <v>-39.15</v>
      </c>
      <c r="E28" s="333">
        <v>0</v>
      </c>
      <c r="F28" s="334" t="s">
        <v>782</v>
      </c>
      <c r="G28" s="295" t="s">
        <v>1152</v>
      </c>
      <c r="H28" s="335" t="s">
        <v>784</v>
      </c>
      <c r="I28" s="295" t="s">
        <v>1139</v>
      </c>
      <c r="J28" s="295" t="s">
        <v>803</v>
      </c>
      <c r="K28" s="295" t="s">
        <v>787</v>
      </c>
      <c r="L28" s="299"/>
      <c r="M28" s="299"/>
      <c r="N28" s="299" t="s">
        <v>1140</v>
      </c>
      <c r="O28" s="320"/>
      <c r="P28" s="299"/>
      <c r="Q28" s="299"/>
      <c r="U28" s="295" t="s">
        <v>1141</v>
      </c>
      <c r="V28" s="295" t="s">
        <v>1153</v>
      </c>
      <c r="X28" s="332">
        <v>42587</v>
      </c>
      <c r="Y28" s="332">
        <v>42587</v>
      </c>
      <c r="AA28" s="332"/>
      <c r="AB28" s="295" t="s">
        <v>793</v>
      </c>
      <c r="AC28" s="295">
        <v>0</v>
      </c>
      <c r="AD28" s="295">
        <v>0</v>
      </c>
      <c r="AE28" s="295">
        <v>0</v>
      </c>
      <c r="AF28" s="295">
        <v>0</v>
      </c>
      <c r="AG28" s="295">
        <v>5</v>
      </c>
      <c r="AH28" s="295">
        <v>1</v>
      </c>
      <c r="AI28" s="295">
        <v>70255</v>
      </c>
      <c r="AJ28" s="295">
        <v>2195</v>
      </c>
      <c r="AK28" s="295">
        <v>0</v>
      </c>
      <c r="AL28" s="295">
        <v>0</v>
      </c>
      <c r="AO28" s="335"/>
      <c r="AP28" s="335"/>
      <c r="AQ28" s="295" t="str">
        <f t="shared" si="0"/>
        <v/>
      </c>
    </row>
    <row r="29" spans="2:43">
      <c r="B29" s="295" t="s">
        <v>1117</v>
      </c>
      <c r="C29" s="332">
        <v>42613</v>
      </c>
      <c r="D29" s="333">
        <v>312</v>
      </c>
      <c r="E29" s="333">
        <v>0</v>
      </c>
      <c r="F29" s="334" t="s">
        <v>782</v>
      </c>
      <c r="G29" s="295" t="s">
        <v>1154</v>
      </c>
      <c r="H29" s="335" t="s">
        <v>784</v>
      </c>
      <c r="I29" s="295" t="s">
        <v>1155</v>
      </c>
      <c r="J29" s="295" t="s">
        <v>803</v>
      </c>
      <c r="K29" s="295" t="s">
        <v>787</v>
      </c>
      <c r="L29" s="299"/>
      <c r="M29" s="299"/>
      <c r="N29" s="299" t="s">
        <v>1132</v>
      </c>
      <c r="O29" s="320"/>
      <c r="P29" s="299"/>
      <c r="Q29" s="299"/>
      <c r="U29" s="295" t="s">
        <v>1156</v>
      </c>
      <c r="V29" s="295" t="s">
        <v>1156</v>
      </c>
      <c r="X29" s="332">
        <v>42615</v>
      </c>
      <c r="Y29" s="332">
        <v>42615</v>
      </c>
      <c r="AA29" s="332"/>
      <c r="AB29" s="295" t="s">
        <v>793</v>
      </c>
      <c r="AC29" s="295">
        <v>0</v>
      </c>
      <c r="AD29" s="295">
        <v>0</v>
      </c>
      <c r="AE29" s="295">
        <v>0</v>
      </c>
      <c r="AF29" s="295">
        <v>0</v>
      </c>
      <c r="AG29" s="295">
        <v>0</v>
      </c>
      <c r="AH29" s="295">
        <v>1</v>
      </c>
      <c r="AI29" s="295">
        <v>70255</v>
      </c>
      <c r="AJ29" s="295">
        <v>2195</v>
      </c>
      <c r="AK29" s="295">
        <v>0</v>
      </c>
      <c r="AL29" s="295">
        <v>0</v>
      </c>
      <c r="AO29" s="335"/>
      <c r="AP29" s="335"/>
      <c r="AQ29" s="295" t="str">
        <f t="shared" si="0"/>
        <v/>
      </c>
    </row>
    <row r="30" spans="2:43">
      <c r="B30" s="295" t="s">
        <v>1117</v>
      </c>
      <c r="C30" s="332">
        <v>42613</v>
      </c>
      <c r="D30" s="333">
        <v>39.15</v>
      </c>
      <c r="E30" s="333">
        <v>0</v>
      </c>
      <c r="F30" s="334" t="s">
        <v>782</v>
      </c>
      <c r="G30" s="295" t="s">
        <v>1157</v>
      </c>
      <c r="H30" s="335" t="s">
        <v>784</v>
      </c>
      <c r="I30" s="295" t="s">
        <v>1158</v>
      </c>
      <c r="J30" s="295" t="s">
        <v>803</v>
      </c>
      <c r="K30" s="295" t="s">
        <v>787</v>
      </c>
      <c r="L30" s="299"/>
      <c r="M30" s="299"/>
      <c r="N30" s="299" t="s">
        <v>1159</v>
      </c>
      <c r="O30" s="320"/>
      <c r="P30" s="299"/>
      <c r="Q30" s="299"/>
      <c r="U30" s="295" t="s">
        <v>1160</v>
      </c>
      <c r="V30" s="295" t="s">
        <v>1160</v>
      </c>
      <c r="X30" s="332">
        <v>42620</v>
      </c>
      <c r="Y30" s="332">
        <v>42620</v>
      </c>
      <c r="AA30" s="332"/>
      <c r="AB30" s="295" t="s">
        <v>793</v>
      </c>
      <c r="AC30" s="295">
        <v>0</v>
      </c>
      <c r="AD30" s="295">
        <v>0</v>
      </c>
      <c r="AE30" s="295">
        <v>0</v>
      </c>
      <c r="AF30" s="295">
        <v>0</v>
      </c>
      <c r="AG30" s="295">
        <v>0</v>
      </c>
      <c r="AH30" s="295">
        <v>1</v>
      </c>
      <c r="AI30" s="295">
        <v>70255</v>
      </c>
      <c r="AJ30" s="295">
        <v>2195</v>
      </c>
      <c r="AK30" s="295">
        <v>0</v>
      </c>
      <c r="AL30" s="295">
        <v>0</v>
      </c>
      <c r="AO30" s="335"/>
      <c r="AP30" s="335"/>
      <c r="AQ30" s="295" t="str">
        <f t="shared" si="0"/>
        <v/>
      </c>
    </row>
    <row r="31" spans="2:43">
      <c r="B31" s="295" t="s">
        <v>1117</v>
      </c>
      <c r="C31" s="332">
        <v>42613</v>
      </c>
      <c r="D31" s="333">
        <v>16.260000000000002</v>
      </c>
      <c r="E31" s="333">
        <v>0</v>
      </c>
      <c r="F31" s="334" t="s">
        <v>782</v>
      </c>
      <c r="G31" s="295" t="s">
        <v>1161</v>
      </c>
      <c r="H31" s="335" t="s">
        <v>784</v>
      </c>
      <c r="I31" s="295" t="s">
        <v>1126</v>
      </c>
      <c r="J31" s="295" t="s">
        <v>803</v>
      </c>
      <c r="K31" s="295" t="s">
        <v>787</v>
      </c>
      <c r="L31" s="299"/>
      <c r="M31" s="299"/>
      <c r="N31" s="299" t="s">
        <v>1162</v>
      </c>
      <c r="O31" s="320"/>
      <c r="P31" s="299"/>
      <c r="Q31" s="299"/>
      <c r="U31" s="295" t="s">
        <v>1163</v>
      </c>
      <c r="V31" s="295" t="s">
        <v>1163</v>
      </c>
      <c r="X31" s="332">
        <v>42620</v>
      </c>
      <c r="Y31" s="332">
        <v>42620</v>
      </c>
      <c r="AA31" s="332"/>
      <c r="AB31" s="295" t="s">
        <v>793</v>
      </c>
      <c r="AC31" s="295">
        <v>0</v>
      </c>
      <c r="AD31" s="295">
        <v>0</v>
      </c>
      <c r="AE31" s="295">
        <v>0</v>
      </c>
      <c r="AF31" s="295">
        <v>0</v>
      </c>
      <c r="AG31" s="295">
        <v>0</v>
      </c>
      <c r="AH31" s="295">
        <v>1</v>
      </c>
      <c r="AI31" s="295">
        <v>70255</v>
      </c>
      <c r="AJ31" s="295">
        <v>2195</v>
      </c>
      <c r="AK31" s="295">
        <v>0</v>
      </c>
      <c r="AL31" s="295">
        <v>0</v>
      </c>
      <c r="AO31" s="335"/>
      <c r="AP31" s="335"/>
      <c r="AQ31" s="295" t="str">
        <f t="shared" si="0"/>
        <v/>
      </c>
    </row>
    <row r="32" spans="2:43">
      <c r="B32" s="295" t="s">
        <v>1117</v>
      </c>
      <c r="C32" s="332">
        <v>42632</v>
      </c>
      <c r="D32" s="333">
        <v>340.43</v>
      </c>
      <c r="E32" s="333">
        <v>0</v>
      </c>
      <c r="F32" s="334" t="s">
        <v>782</v>
      </c>
      <c r="G32" s="295" t="s">
        <v>1164</v>
      </c>
      <c r="H32" s="335" t="s">
        <v>784</v>
      </c>
      <c r="I32" s="295" t="s">
        <v>785</v>
      </c>
      <c r="J32" s="295" t="s">
        <v>810</v>
      </c>
      <c r="K32" s="295" t="s">
        <v>787</v>
      </c>
      <c r="L32" s="299" t="s">
        <v>1119</v>
      </c>
      <c r="M32" s="299"/>
      <c r="N32" s="299" t="s">
        <v>1120</v>
      </c>
      <c r="O32" s="320">
        <v>42613</v>
      </c>
      <c r="P32" s="299" t="s">
        <v>1147</v>
      </c>
      <c r="Q32" s="299" t="s">
        <v>1165</v>
      </c>
      <c r="R32" s="295" t="s">
        <v>1122</v>
      </c>
      <c r="U32" s="295" t="s">
        <v>1166</v>
      </c>
      <c r="V32" s="295" t="s">
        <v>1167</v>
      </c>
      <c r="W32" s="295">
        <v>2111</v>
      </c>
      <c r="X32" s="332">
        <v>42632</v>
      </c>
      <c r="Y32" s="332">
        <v>42635</v>
      </c>
      <c r="Z32" s="295">
        <v>4250</v>
      </c>
      <c r="AA32" s="332">
        <v>42614</v>
      </c>
      <c r="AB32" s="295" t="s">
        <v>793</v>
      </c>
      <c r="AC32" s="295">
        <v>0</v>
      </c>
      <c r="AD32" s="295">
        <v>0</v>
      </c>
      <c r="AE32" s="295">
        <v>0</v>
      </c>
      <c r="AF32" s="295">
        <v>0</v>
      </c>
      <c r="AG32" s="295">
        <v>0</v>
      </c>
      <c r="AH32" s="295">
        <v>1</v>
      </c>
      <c r="AI32" s="295">
        <v>70255</v>
      </c>
      <c r="AJ32" s="295">
        <v>2195</v>
      </c>
      <c r="AK32" s="295">
        <v>0</v>
      </c>
      <c r="AL32" s="295">
        <v>0</v>
      </c>
      <c r="AO32" s="335"/>
      <c r="AP32" s="335"/>
      <c r="AQ32" s="295" t="str">
        <f t="shared" si="0"/>
        <v>VO04053221</v>
      </c>
    </row>
    <row r="33" spans="2:43">
      <c r="B33" s="295" t="s">
        <v>1117</v>
      </c>
      <c r="C33" s="332">
        <v>42643</v>
      </c>
      <c r="D33" s="333">
        <v>-16.260000000000002</v>
      </c>
      <c r="E33" s="333">
        <v>0</v>
      </c>
      <c r="F33" s="334" t="s">
        <v>782</v>
      </c>
      <c r="G33" s="295" t="s">
        <v>1168</v>
      </c>
      <c r="H33" s="335" t="s">
        <v>784</v>
      </c>
      <c r="I33" s="295" t="s">
        <v>1126</v>
      </c>
      <c r="J33" s="295" t="s">
        <v>796</v>
      </c>
      <c r="K33" s="295" t="s">
        <v>787</v>
      </c>
      <c r="L33" s="299"/>
      <c r="M33" s="299"/>
      <c r="N33" s="299" t="s">
        <v>1162</v>
      </c>
      <c r="O33" s="320"/>
      <c r="P33" s="299"/>
      <c r="Q33" s="299"/>
      <c r="U33" s="295" t="s">
        <v>1163</v>
      </c>
      <c r="V33" s="295" t="s">
        <v>1169</v>
      </c>
      <c r="X33" s="332">
        <v>42620</v>
      </c>
      <c r="Y33" s="332">
        <v>42620</v>
      </c>
      <c r="AA33" s="332"/>
      <c r="AB33" s="295" t="s">
        <v>793</v>
      </c>
      <c r="AC33" s="295">
        <v>0</v>
      </c>
      <c r="AD33" s="295">
        <v>0</v>
      </c>
      <c r="AE33" s="295">
        <v>0</v>
      </c>
      <c r="AF33" s="295">
        <v>0</v>
      </c>
      <c r="AG33" s="295">
        <v>5</v>
      </c>
      <c r="AH33" s="295">
        <v>1</v>
      </c>
      <c r="AI33" s="295">
        <v>70255</v>
      </c>
      <c r="AJ33" s="295">
        <v>2195</v>
      </c>
      <c r="AK33" s="295">
        <v>0</v>
      </c>
      <c r="AL33" s="295">
        <v>0</v>
      </c>
      <c r="AO33" s="335"/>
      <c r="AP33" s="335"/>
      <c r="AQ33" s="295" t="str">
        <f t="shared" si="0"/>
        <v/>
      </c>
    </row>
    <row r="34" spans="2:43">
      <c r="B34" s="295" t="s">
        <v>1117</v>
      </c>
      <c r="C34" s="332">
        <v>42643</v>
      </c>
      <c r="D34" s="333">
        <v>154.35</v>
      </c>
      <c r="E34" s="333">
        <v>0</v>
      </c>
      <c r="F34" s="334" t="s">
        <v>782</v>
      </c>
      <c r="G34" s="295" t="s">
        <v>1170</v>
      </c>
      <c r="H34" s="335" t="s">
        <v>784</v>
      </c>
      <c r="I34" s="295" t="s">
        <v>1139</v>
      </c>
      <c r="J34" s="295" t="s">
        <v>856</v>
      </c>
      <c r="K34" s="295" t="s">
        <v>787</v>
      </c>
      <c r="L34" s="299"/>
      <c r="M34" s="299"/>
      <c r="N34" s="299" t="s">
        <v>1171</v>
      </c>
      <c r="O34" s="320"/>
      <c r="P34" s="299"/>
      <c r="Q34" s="299"/>
      <c r="U34" s="295" t="s">
        <v>1172</v>
      </c>
      <c r="V34" s="295" t="s">
        <v>1172</v>
      </c>
      <c r="X34" s="332">
        <v>42648</v>
      </c>
      <c r="Y34" s="332">
        <v>42649</v>
      </c>
      <c r="AA34" s="332"/>
      <c r="AB34" s="295" t="s">
        <v>793</v>
      </c>
      <c r="AC34" s="295">
        <v>0</v>
      </c>
      <c r="AD34" s="295">
        <v>0</v>
      </c>
      <c r="AE34" s="295">
        <v>0</v>
      </c>
      <c r="AF34" s="295">
        <v>0</v>
      </c>
      <c r="AG34" s="295">
        <v>0</v>
      </c>
      <c r="AH34" s="295">
        <v>1</v>
      </c>
      <c r="AI34" s="295">
        <v>70255</v>
      </c>
      <c r="AJ34" s="295">
        <v>2195</v>
      </c>
      <c r="AK34" s="295">
        <v>0</v>
      </c>
      <c r="AL34" s="295">
        <v>0</v>
      </c>
      <c r="AO34" s="335"/>
      <c r="AP34" s="335"/>
      <c r="AQ34" s="295" t="str">
        <f t="shared" si="0"/>
        <v/>
      </c>
    </row>
    <row r="35" spans="2:43">
      <c r="B35" s="295" t="s">
        <v>1117</v>
      </c>
      <c r="C35" s="332">
        <v>42643</v>
      </c>
      <c r="D35" s="333">
        <v>10.16</v>
      </c>
      <c r="E35" s="333">
        <v>0</v>
      </c>
      <c r="F35" s="334" t="s">
        <v>782</v>
      </c>
      <c r="G35" s="295" t="s">
        <v>1173</v>
      </c>
      <c r="H35" s="335" t="s">
        <v>784</v>
      </c>
      <c r="I35" s="295" t="s">
        <v>1126</v>
      </c>
      <c r="J35" s="295" t="s">
        <v>803</v>
      </c>
      <c r="K35" s="295" t="s">
        <v>787</v>
      </c>
      <c r="L35" s="299"/>
      <c r="M35" s="299"/>
      <c r="N35" s="299" t="s">
        <v>1174</v>
      </c>
      <c r="O35" s="320"/>
      <c r="P35" s="299"/>
      <c r="Q35" s="299"/>
      <c r="U35" s="295" t="s">
        <v>1175</v>
      </c>
      <c r="V35" s="295" t="s">
        <v>1175</v>
      </c>
      <c r="X35" s="332">
        <v>42649</v>
      </c>
      <c r="Y35" s="332">
        <v>42649</v>
      </c>
      <c r="AA35" s="332"/>
      <c r="AB35" s="295" t="s">
        <v>793</v>
      </c>
      <c r="AC35" s="295">
        <v>0</v>
      </c>
      <c r="AD35" s="295">
        <v>0</v>
      </c>
      <c r="AE35" s="295">
        <v>0</v>
      </c>
      <c r="AF35" s="295">
        <v>0</v>
      </c>
      <c r="AG35" s="295">
        <v>0</v>
      </c>
      <c r="AH35" s="295">
        <v>1</v>
      </c>
      <c r="AI35" s="295">
        <v>70255</v>
      </c>
      <c r="AJ35" s="295">
        <v>2195</v>
      </c>
      <c r="AK35" s="295">
        <v>0</v>
      </c>
      <c r="AL35" s="295">
        <v>0</v>
      </c>
      <c r="AO35" s="335"/>
      <c r="AP35" s="335"/>
      <c r="AQ35" s="295" t="str">
        <f t="shared" si="0"/>
        <v/>
      </c>
    </row>
    <row r="36" spans="2:43">
      <c r="B36" s="295" t="s">
        <v>1117</v>
      </c>
      <c r="C36" s="332">
        <v>42643</v>
      </c>
      <c r="D36" s="333">
        <v>35.72</v>
      </c>
      <c r="E36" s="333">
        <v>0</v>
      </c>
      <c r="F36" s="334" t="s">
        <v>782</v>
      </c>
      <c r="G36" s="295" t="s">
        <v>1176</v>
      </c>
      <c r="H36" s="335" t="s">
        <v>784</v>
      </c>
      <c r="I36" s="295" t="s">
        <v>1135</v>
      </c>
      <c r="J36" s="295" t="s">
        <v>803</v>
      </c>
      <c r="K36" s="295" t="s">
        <v>787</v>
      </c>
      <c r="L36" s="299"/>
      <c r="M36" s="299"/>
      <c r="N36" s="299" t="s">
        <v>1177</v>
      </c>
      <c r="O36" s="320"/>
      <c r="P36" s="299"/>
      <c r="Q36" s="299"/>
      <c r="U36" s="295" t="s">
        <v>1178</v>
      </c>
      <c r="V36" s="295" t="s">
        <v>1178</v>
      </c>
      <c r="X36" s="332">
        <v>42649</v>
      </c>
      <c r="Y36" s="332">
        <v>42649</v>
      </c>
      <c r="AA36" s="332"/>
      <c r="AB36" s="295" t="s">
        <v>793</v>
      </c>
      <c r="AC36" s="295">
        <v>0</v>
      </c>
      <c r="AD36" s="295">
        <v>0</v>
      </c>
      <c r="AE36" s="295">
        <v>0</v>
      </c>
      <c r="AF36" s="295">
        <v>0</v>
      </c>
      <c r="AG36" s="295">
        <v>0</v>
      </c>
      <c r="AH36" s="295">
        <v>1</v>
      </c>
      <c r="AI36" s="295">
        <v>70255</v>
      </c>
      <c r="AJ36" s="295">
        <v>2195</v>
      </c>
      <c r="AK36" s="295">
        <v>0</v>
      </c>
      <c r="AL36" s="295">
        <v>0</v>
      </c>
      <c r="AO36" s="335"/>
      <c r="AP36" s="335"/>
      <c r="AQ36" s="295" t="str">
        <f t="shared" si="0"/>
        <v/>
      </c>
    </row>
    <row r="37" spans="2:43">
      <c r="B37" s="295" t="s">
        <v>1117</v>
      </c>
      <c r="C37" s="332">
        <v>42643</v>
      </c>
      <c r="D37" s="333">
        <v>352.89</v>
      </c>
      <c r="E37" s="333">
        <v>0</v>
      </c>
      <c r="F37" s="334" t="s">
        <v>782</v>
      </c>
      <c r="G37" s="295" t="s">
        <v>1179</v>
      </c>
      <c r="H37" s="335" t="s">
        <v>784</v>
      </c>
      <c r="I37" s="295" t="s">
        <v>1180</v>
      </c>
      <c r="J37" s="295" t="s">
        <v>803</v>
      </c>
      <c r="K37" s="295" t="s">
        <v>787</v>
      </c>
      <c r="L37" s="299"/>
      <c r="M37" s="299"/>
      <c r="N37" s="299" t="s">
        <v>1181</v>
      </c>
      <c r="O37" s="320"/>
      <c r="P37" s="299"/>
      <c r="Q37" s="299"/>
      <c r="U37" s="295" t="s">
        <v>1182</v>
      </c>
      <c r="V37" s="295" t="s">
        <v>1182</v>
      </c>
      <c r="X37" s="332">
        <v>42649</v>
      </c>
      <c r="Y37" s="332">
        <v>42650</v>
      </c>
      <c r="AA37" s="332"/>
      <c r="AB37" s="295" t="s">
        <v>793</v>
      </c>
      <c r="AC37" s="295">
        <v>0</v>
      </c>
      <c r="AD37" s="295">
        <v>0</v>
      </c>
      <c r="AE37" s="295">
        <v>0</v>
      </c>
      <c r="AF37" s="295">
        <v>0</v>
      </c>
      <c r="AG37" s="295">
        <v>0</v>
      </c>
      <c r="AH37" s="295">
        <v>1</v>
      </c>
      <c r="AI37" s="295">
        <v>70255</v>
      </c>
      <c r="AJ37" s="295">
        <v>2195</v>
      </c>
      <c r="AK37" s="295">
        <v>0</v>
      </c>
      <c r="AL37" s="295">
        <v>0</v>
      </c>
      <c r="AO37" s="335"/>
      <c r="AP37" s="335"/>
      <c r="AQ37" s="295" t="str">
        <f t="shared" si="0"/>
        <v/>
      </c>
    </row>
    <row r="38" spans="2:43">
      <c r="B38" s="295" t="s">
        <v>1117</v>
      </c>
      <c r="C38" s="332">
        <v>42649</v>
      </c>
      <c r="D38" s="333">
        <v>352.89</v>
      </c>
      <c r="E38" s="333">
        <v>0</v>
      </c>
      <c r="F38" s="334" t="s">
        <v>782</v>
      </c>
      <c r="G38" s="295" t="s">
        <v>1183</v>
      </c>
      <c r="H38" s="335" t="s">
        <v>784</v>
      </c>
      <c r="I38" s="295" t="s">
        <v>785</v>
      </c>
      <c r="J38" s="295" t="s">
        <v>810</v>
      </c>
      <c r="K38" s="295" t="s">
        <v>787</v>
      </c>
      <c r="L38" s="299" t="s">
        <v>1119</v>
      </c>
      <c r="M38" s="299"/>
      <c r="N38" s="299" t="s">
        <v>1120</v>
      </c>
      <c r="O38" s="320">
        <v>42643</v>
      </c>
      <c r="P38" s="299" t="s">
        <v>1147</v>
      </c>
      <c r="Q38" s="336">
        <v>42614</v>
      </c>
      <c r="R38" s="295" t="s">
        <v>1122</v>
      </c>
      <c r="U38" s="295" t="s">
        <v>1184</v>
      </c>
      <c r="V38" s="295" t="s">
        <v>1185</v>
      </c>
      <c r="W38" s="295">
        <v>2111</v>
      </c>
      <c r="X38" s="332">
        <v>42649</v>
      </c>
      <c r="Y38" s="332">
        <v>42649</v>
      </c>
      <c r="Z38" s="295">
        <v>4405.6499999999996</v>
      </c>
      <c r="AA38" s="332">
        <v>42644</v>
      </c>
      <c r="AB38" s="295" t="s">
        <v>793</v>
      </c>
      <c r="AC38" s="295">
        <v>0</v>
      </c>
      <c r="AD38" s="295">
        <v>0</v>
      </c>
      <c r="AE38" s="295">
        <v>0</v>
      </c>
      <c r="AF38" s="295">
        <v>0</v>
      </c>
      <c r="AG38" s="295">
        <v>0</v>
      </c>
      <c r="AH38" s="295">
        <v>1</v>
      </c>
      <c r="AI38" s="295">
        <v>70255</v>
      </c>
      <c r="AJ38" s="295">
        <v>2195</v>
      </c>
      <c r="AK38" s="295">
        <v>0</v>
      </c>
      <c r="AL38" s="295">
        <v>0</v>
      </c>
      <c r="AO38" s="335"/>
      <c r="AP38" s="335"/>
      <c r="AQ38" s="295" t="str">
        <f t="shared" si="0"/>
        <v>VO04073489</v>
      </c>
    </row>
    <row r="39" spans="2:43">
      <c r="B39" s="295" t="s">
        <v>1117</v>
      </c>
      <c r="C39" s="332">
        <v>42674</v>
      </c>
      <c r="D39" s="333">
        <v>-154.35</v>
      </c>
      <c r="E39" s="333">
        <v>0</v>
      </c>
      <c r="F39" s="334" t="s">
        <v>782</v>
      </c>
      <c r="G39" s="295" t="s">
        <v>1186</v>
      </c>
      <c r="H39" s="335" t="s">
        <v>784</v>
      </c>
      <c r="I39" s="295" t="s">
        <v>1139</v>
      </c>
      <c r="J39" s="295" t="s">
        <v>803</v>
      </c>
      <c r="K39" s="295" t="s">
        <v>787</v>
      </c>
      <c r="L39" s="299"/>
      <c r="M39" s="299"/>
      <c r="N39" s="299" t="s">
        <v>1171</v>
      </c>
      <c r="O39" s="320"/>
      <c r="P39" s="299"/>
      <c r="Q39" s="299"/>
      <c r="U39" s="295" t="s">
        <v>1172</v>
      </c>
      <c r="V39" s="295" t="s">
        <v>1187</v>
      </c>
      <c r="X39" s="332">
        <v>42649</v>
      </c>
      <c r="Y39" s="332">
        <v>42649</v>
      </c>
      <c r="AA39" s="332"/>
      <c r="AB39" s="295" t="s">
        <v>793</v>
      </c>
      <c r="AC39" s="295">
        <v>0</v>
      </c>
      <c r="AD39" s="295">
        <v>0</v>
      </c>
      <c r="AE39" s="295">
        <v>0</v>
      </c>
      <c r="AF39" s="295">
        <v>0</v>
      </c>
      <c r="AG39" s="295">
        <v>5</v>
      </c>
      <c r="AH39" s="295">
        <v>1</v>
      </c>
      <c r="AI39" s="295">
        <v>70255</v>
      </c>
      <c r="AJ39" s="295">
        <v>2195</v>
      </c>
      <c r="AK39" s="295">
        <v>0</v>
      </c>
      <c r="AL39" s="295">
        <v>0</v>
      </c>
      <c r="AO39" s="335"/>
      <c r="AP39" s="335"/>
      <c r="AQ39" s="295" t="str">
        <f t="shared" si="0"/>
        <v/>
      </c>
    </row>
    <row r="40" spans="2:43">
      <c r="B40" s="295" t="s">
        <v>1117</v>
      </c>
      <c r="C40" s="332">
        <v>42674</v>
      </c>
      <c r="D40" s="333">
        <v>-10.16</v>
      </c>
      <c r="E40" s="333">
        <v>0</v>
      </c>
      <c r="F40" s="334" t="s">
        <v>782</v>
      </c>
      <c r="G40" s="295" t="s">
        <v>1188</v>
      </c>
      <c r="H40" s="335" t="s">
        <v>784</v>
      </c>
      <c r="I40" s="295" t="s">
        <v>1126</v>
      </c>
      <c r="J40" s="295" t="s">
        <v>803</v>
      </c>
      <c r="K40" s="295" t="s">
        <v>787</v>
      </c>
      <c r="L40" s="299"/>
      <c r="M40" s="299"/>
      <c r="N40" s="299" t="s">
        <v>1174</v>
      </c>
      <c r="O40" s="320"/>
      <c r="P40" s="299"/>
      <c r="Q40" s="299"/>
      <c r="U40" s="295" t="s">
        <v>1175</v>
      </c>
      <c r="V40" s="295" t="s">
        <v>1189</v>
      </c>
      <c r="X40" s="332">
        <v>42649</v>
      </c>
      <c r="Y40" s="332">
        <v>42649</v>
      </c>
      <c r="AA40" s="332"/>
      <c r="AB40" s="295" t="s">
        <v>793</v>
      </c>
      <c r="AC40" s="295">
        <v>0</v>
      </c>
      <c r="AD40" s="295">
        <v>0</v>
      </c>
      <c r="AE40" s="295">
        <v>0</v>
      </c>
      <c r="AF40" s="295">
        <v>0</v>
      </c>
      <c r="AG40" s="295">
        <v>5</v>
      </c>
      <c r="AH40" s="295">
        <v>1</v>
      </c>
      <c r="AI40" s="295">
        <v>70255</v>
      </c>
      <c r="AJ40" s="295">
        <v>2195</v>
      </c>
      <c r="AK40" s="295">
        <v>0</v>
      </c>
      <c r="AL40" s="295">
        <v>0</v>
      </c>
      <c r="AO40" s="335"/>
      <c r="AP40" s="335"/>
      <c r="AQ40" s="295" t="str">
        <f t="shared" si="0"/>
        <v/>
      </c>
    </row>
    <row r="41" spans="2:43">
      <c r="B41" s="295" t="s">
        <v>1117</v>
      </c>
      <c r="C41" s="332">
        <v>42674</v>
      </c>
      <c r="D41" s="333">
        <v>-352.89</v>
      </c>
      <c r="E41" s="333">
        <v>0</v>
      </c>
      <c r="F41" s="334" t="s">
        <v>782</v>
      </c>
      <c r="G41" s="295" t="s">
        <v>1190</v>
      </c>
      <c r="H41" s="335" t="s">
        <v>784</v>
      </c>
      <c r="I41" s="295" t="s">
        <v>1180</v>
      </c>
      <c r="J41" s="295" t="s">
        <v>856</v>
      </c>
      <c r="K41" s="295" t="s">
        <v>787</v>
      </c>
      <c r="L41" s="299"/>
      <c r="M41" s="299"/>
      <c r="N41" s="299" t="s">
        <v>1181</v>
      </c>
      <c r="O41" s="320"/>
      <c r="P41" s="299"/>
      <c r="Q41" s="299"/>
      <c r="U41" s="295" t="s">
        <v>1182</v>
      </c>
      <c r="V41" s="295" t="s">
        <v>1191</v>
      </c>
      <c r="X41" s="332">
        <v>42650</v>
      </c>
      <c r="Y41" s="332">
        <v>42650</v>
      </c>
      <c r="AA41" s="332"/>
      <c r="AB41" s="295" t="s">
        <v>793</v>
      </c>
      <c r="AC41" s="295">
        <v>0</v>
      </c>
      <c r="AD41" s="295">
        <v>0</v>
      </c>
      <c r="AE41" s="295">
        <v>0</v>
      </c>
      <c r="AF41" s="295">
        <v>0</v>
      </c>
      <c r="AG41" s="295">
        <v>5</v>
      </c>
      <c r="AH41" s="295">
        <v>1</v>
      </c>
      <c r="AI41" s="295">
        <v>70255</v>
      </c>
      <c r="AJ41" s="295">
        <v>2195</v>
      </c>
      <c r="AK41" s="295">
        <v>0</v>
      </c>
      <c r="AL41" s="295">
        <v>0</v>
      </c>
      <c r="AO41" s="335"/>
      <c r="AP41" s="335"/>
      <c r="AQ41" s="295" t="str">
        <f t="shared" si="0"/>
        <v/>
      </c>
    </row>
    <row r="42" spans="2:43">
      <c r="B42" s="295" t="s">
        <v>1117</v>
      </c>
      <c r="C42" s="332">
        <v>42674</v>
      </c>
      <c r="D42" s="333">
        <v>12.63</v>
      </c>
      <c r="E42" s="333">
        <v>0</v>
      </c>
      <c r="F42" s="334" t="s">
        <v>782</v>
      </c>
      <c r="G42" s="295" t="s">
        <v>1192</v>
      </c>
      <c r="H42" s="335" t="s">
        <v>784</v>
      </c>
      <c r="I42" s="295" t="s">
        <v>1126</v>
      </c>
      <c r="J42" s="295" t="s">
        <v>796</v>
      </c>
      <c r="K42" s="295" t="s">
        <v>787</v>
      </c>
      <c r="L42" s="299"/>
      <c r="M42" s="299"/>
      <c r="N42" s="299" t="s">
        <v>1193</v>
      </c>
      <c r="O42" s="320"/>
      <c r="P42" s="299"/>
      <c r="Q42" s="299"/>
      <c r="U42" s="295" t="s">
        <v>1194</v>
      </c>
      <c r="V42" s="295" t="s">
        <v>1194</v>
      </c>
      <c r="X42" s="332">
        <v>42681</v>
      </c>
      <c r="Y42" s="332">
        <v>42681</v>
      </c>
      <c r="AA42" s="332"/>
      <c r="AB42" s="295" t="s">
        <v>793</v>
      </c>
      <c r="AC42" s="295">
        <v>0</v>
      </c>
      <c r="AD42" s="295">
        <v>0</v>
      </c>
      <c r="AE42" s="295">
        <v>0</v>
      </c>
      <c r="AF42" s="295">
        <v>0</v>
      </c>
      <c r="AG42" s="295">
        <v>0</v>
      </c>
      <c r="AH42" s="295">
        <v>1</v>
      </c>
      <c r="AI42" s="295">
        <v>70255</v>
      </c>
      <c r="AJ42" s="295">
        <v>2195</v>
      </c>
      <c r="AK42" s="295">
        <v>0</v>
      </c>
      <c r="AL42" s="295">
        <v>0</v>
      </c>
      <c r="AO42" s="335"/>
      <c r="AP42" s="335"/>
      <c r="AQ42" s="295" t="str">
        <f t="shared" si="0"/>
        <v/>
      </c>
    </row>
    <row r="43" spans="2:43">
      <c r="B43" s="295" t="s">
        <v>1117</v>
      </c>
      <c r="C43" s="332">
        <v>42674</v>
      </c>
      <c r="D43" s="333">
        <v>239.08</v>
      </c>
      <c r="E43" s="333">
        <v>0</v>
      </c>
      <c r="F43" s="334" t="s">
        <v>782</v>
      </c>
      <c r="G43" s="295" t="s">
        <v>1195</v>
      </c>
      <c r="H43" s="335" t="s">
        <v>784</v>
      </c>
      <c r="I43" s="295" t="s">
        <v>1196</v>
      </c>
      <c r="J43" s="295" t="s">
        <v>796</v>
      </c>
      <c r="K43" s="295" t="s">
        <v>787</v>
      </c>
      <c r="L43" s="299"/>
      <c r="M43" s="299"/>
      <c r="N43" s="299" t="s">
        <v>1197</v>
      </c>
      <c r="O43" s="320"/>
      <c r="P43" s="299"/>
      <c r="Q43" s="299"/>
      <c r="U43" s="295" t="s">
        <v>1198</v>
      </c>
      <c r="V43" s="295" t="s">
        <v>1198</v>
      </c>
      <c r="X43" s="332">
        <v>42681</v>
      </c>
      <c r="Y43" s="332">
        <v>42681</v>
      </c>
      <c r="AA43" s="332"/>
      <c r="AB43" s="295" t="s">
        <v>793</v>
      </c>
      <c r="AC43" s="295">
        <v>0</v>
      </c>
      <c r="AD43" s="295">
        <v>0</v>
      </c>
      <c r="AE43" s="295">
        <v>0</v>
      </c>
      <c r="AF43" s="295">
        <v>0</v>
      </c>
      <c r="AG43" s="295">
        <v>0</v>
      </c>
      <c r="AH43" s="295">
        <v>1</v>
      </c>
      <c r="AI43" s="295">
        <v>70255</v>
      </c>
      <c r="AJ43" s="295">
        <v>2195</v>
      </c>
      <c r="AK43" s="295">
        <v>0</v>
      </c>
      <c r="AL43" s="295">
        <v>0</v>
      </c>
      <c r="AO43" s="335"/>
      <c r="AP43" s="335"/>
      <c r="AQ43" s="295" t="str">
        <f t="shared" si="0"/>
        <v/>
      </c>
    </row>
    <row r="44" spans="2:43">
      <c r="B44" s="295" t="s">
        <v>1117</v>
      </c>
      <c r="C44" s="332">
        <v>42674</v>
      </c>
      <c r="D44" s="333">
        <v>355</v>
      </c>
      <c r="E44" s="333">
        <v>0</v>
      </c>
      <c r="F44" s="334" t="s">
        <v>782</v>
      </c>
      <c r="G44" s="295" t="s">
        <v>1199</v>
      </c>
      <c r="H44" s="335" t="s">
        <v>784</v>
      </c>
      <c r="I44" s="295" t="s">
        <v>1180</v>
      </c>
      <c r="J44" s="295" t="s">
        <v>796</v>
      </c>
      <c r="K44" s="295" t="s">
        <v>787</v>
      </c>
      <c r="L44" s="299"/>
      <c r="M44" s="299"/>
      <c r="N44" s="299" t="s">
        <v>1200</v>
      </c>
      <c r="O44" s="320"/>
      <c r="P44" s="299"/>
      <c r="Q44" s="299"/>
      <c r="U44" s="295" t="s">
        <v>1201</v>
      </c>
      <c r="V44" s="295" t="s">
        <v>1201</v>
      </c>
      <c r="X44" s="332">
        <v>42681</v>
      </c>
      <c r="Y44" s="332">
        <v>42682</v>
      </c>
      <c r="AA44" s="332"/>
      <c r="AB44" s="295" t="s">
        <v>793</v>
      </c>
      <c r="AC44" s="295">
        <v>0</v>
      </c>
      <c r="AD44" s="295">
        <v>0</v>
      </c>
      <c r="AE44" s="295">
        <v>0</v>
      </c>
      <c r="AF44" s="295">
        <v>0</v>
      </c>
      <c r="AG44" s="295">
        <v>0</v>
      </c>
      <c r="AH44" s="295">
        <v>1</v>
      </c>
      <c r="AI44" s="295">
        <v>70255</v>
      </c>
      <c r="AJ44" s="295">
        <v>2195</v>
      </c>
      <c r="AK44" s="295">
        <v>0</v>
      </c>
      <c r="AL44" s="295">
        <v>0</v>
      </c>
      <c r="AO44" s="335"/>
      <c r="AP44" s="335"/>
      <c r="AQ44" s="295" t="str">
        <f t="shared" si="0"/>
        <v/>
      </c>
    </row>
    <row r="45" spans="2:43">
      <c r="B45" s="295" t="s">
        <v>1117</v>
      </c>
      <c r="C45" s="332">
        <v>42691</v>
      </c>
      <c r="D45" s="333">
        <v>346.22</v>
      </c>
      <c r="E45" s="333">
        <v>0</v>
      </c>
      <c r="F45" s="334" t="s">
        <v>782</v>
      </c>
      <c r="G45" s="295" t="s">
        <v>1202</v>
      </c>
      <c r="H45" s="335" t="s">
        <v>784</v>
      </c>
      <c r="I45" s="295" t="s">
        <v>785</v>
      </c>
      <c r="J45" s="295" t="s">
        <v>810</v>
      </c>
      <c r="K45" s="295" t="s">
        <v>787</v>
      </c>
      <c r="L45" s="299" t="s">
        <v>1119</v>
      </c>
      <c r="M45" s="299"/>
      <c r="N45" s="299" t="s">
        <v>1120</v>
      </c>
      <c r="O45" s="320">
        <v>42674</v>
      </c>
      <c r="P45" s="299" t="s">
        <v>1147</v>
      </c>
      <c r="Q45" s="336">
        <v>42644</v>
      </c>
      <c r="R45" s="295" t="s">
        <v>1122</v>
      </c>
      <c r="U45" s="295" t="s">
        <v>1203</v>
      </c>
      <c r="V45" s="295" t="s">
        <v>1204</v>
      </c>
      <c r="W45" s="295">
        <v>2111</v>
      </c>
      <c r="X45" s="332">
        <v>42691</v>
      </c>
      <c r="Y45" s="332">
        <v>42691</v>
      </c>
      <c r="Z45" s="295">
        <v>4322.3599999999997</v>
      </c>
      <c r="AA45" s="332">
        <v>42675</v>
      </c>
      <c r="AB45" s="295" t="s">
        <v>793</v>
      </c>
      <c r="AC45" s="295">
        <v>0</v>
      </c>
      <c r="AD45" s="295">
        <v>0</v>
      </c>
      <c r="AE45" s="295">
        <v>0</v>
      </c>
      <c r="AF45" s="295">
        <v>0</v>
      </c>
      <c r="AG45" s="295">
        <v>0</v>
      </c>
      <c r="AH45" s="295">
        <v>1</v>
      </c>
      <c r="AI45" s="295">
        <v>70255</v>
      </c>
      <c r="AJ45" s="295">
        <v>2195</v>
      </c>
      <c r="AK45" s="295">
        <v>0</v>
      </c>
      <c r="AL45" s="295">
        <v>0</v>
      </c>
      <c r="AO45" s="335"/>
      <c r="AP45" s="335"/>
      <c r="AQ45" s="295" t="str">
        <f t="shared" si="0"/>
        <v>VO04114016</v>
      </c>
    </row>
    <row r="46" spans="2:43">
      <c r="B46" s="295" t="s">
        <v>1117</v>
      </c>
      <c r="C46" s="332">
        <v>42704</v>
      </c>
      <c r="D46" s="333">
        <v>-12.63</v>
      </c>
      <c r="E46" s="333">
        <v>0</v>
      </c>
      <c r="F46" s="334" t="s">
        <v>782</v>
      </c>
      <c r="G46" s="295" t="s">
        <v>1205</v>
      </c>
      <c r="H46" s="335" t="s">
        <v>784</v>
      </c>
      <c r="I46" s="295" t="s">
        <v>1126</v>
      </c>
      <c r="J46" s="295" t="s">
        <v>803</v>
      </c>
      <c r="K46" s="295" t="s">
        <v>787</v>
      </c>
      <c r="L46" s="299"/>
      <c r="M46" s="299"/>
      <c r="N46" s="299" t="s">
        <v>1193</v>
      </c>
      <c r="O46" s="320"/>
      <c r="P46" s="299"/>
      <c r="Q46" s="299"/>
      <c r="U46" s="295" t="s">
        <v>1194</v>
      </c>
      <c r="V46" s="295" t="s">
        <v>1206</v>
      </c>
      <c r="X46" s="332">
        <v>42681</v>
      </c>
      <c r="Y46" s="332">
        <v>42681</v>
      </c>
      <c r="AA46" s="332"/>
      <c r="AB46" s="295" t="s">
        <v>793</v>
      </c>
      <c r="AC46" s="295">
        <v>0</v>
      </c>
      <c r="AD46" s="295">
        <v>0</v>
      </c>
      <c r="AE46" s="295">
        <v>0</v>
      </c>
      <c r="AF46" s="295">
        <v>0</v>
      </c>
      <c r="AG46" s="295">
        <v>5</v>
      </c>
      <c r="AH46" s="295">
        <v>1</v>
      </c>
      <c r="AI46" s="295">
        <v>70255</v>
      </c>
      <c r="AJ46" s="295">
        <v>2195</v>
      </c>
      <c r="AK46" s="295">
        <v>0</v>
      </c>
      <c r="AL46" s="295">
        <v>0</v>
      </c>
      <c r="AO46" s="335"/>
      <c r="AP46" s="335"/>
      <c r="AQ46" s="295" t="str">
        <f t="shared" si="0"/>
        <v/>
      </c>
    </row>
    <row r="47" spans="2:43">
      <c r="B47" s="295" t="s">
        <v>1117</v>
      </c>
      <c r="C47" s="332">
        <v>42704</v>
      </c>
      <c r="D47" s="333">
        <v>-355</v>
      </c>
      <c r="E47" s="333">
        <v>0</v>
      </c>
      <c r="F47" s="334" t="s">
        <v>782</v>
      </c>
      <c r="G47" s="295" t="s">
        <v>1207</v>
      </c>
      <c r="H47" s="335" t="s">
        <v>784</v>
      </c>
      <c r="I47" s="295" t="s">
        <v>1180</v>
      </c>
      <c r="J47" s="295" t="s">
        <v>803</v>
      </c>
      <c r="K47" s="295" t="s">
        <v>787</v>
      </c>
      <c r="L47" s="299"/>
      <c r="M47" s="299"/>
      <c r="N47" s="299" t="s">
        <v>1200</v>
      </c>
      <c r="O47" s="320"/>
      <c r="P47" s="299"/>
      <c r="Q47" s="299"/>
      <c r="U47" s="295" t="s">
        <v>1201</v>
      </c>
      <c r="V47" s="295" t="s">
        <v>1208</v>
      </c>
      <c r="X47" s="332">
        <v>42682</v>
      </c>
      <c r="Y47" s="332">
        <v>42682</v>
      </c>
      <c r="AA47" s="332"/>
      <c r="AB47" s="295" t="s">
        <v>793</v>
      </c>
      <c r="AC47" s="295">
        <v>0</v>
      </c>
      <c r="AD47" s="295">
        <v>0</v>
      </c>
      <c r="AE47" s="295">
        <v>0</v>
      </c>
      <c r="AF47" s="295">
        <v>0</v>
      </c>
      <c r="AG47" s="295">
        <v>5</v>
      </c>
      <c r="AH47" s="295">
        <v>1</v>
      </c>
      <c r="AI47" s="295">
        <v>70255</v>
      </c>
      <c r="AJ47" s="295">
        <v>2195</v>
      </c>
      <c r="AK47" s="295">
        <v>0</v>
      </c>
      <c r="AL47" s="295">
        <v>0</v>
      </c>
      <c r="AO47" s="335"/>
      <c r="AP47" s="335"/>
      <c r="AQ47" s="295" t="str">
        <f t="shared" si="0"/>
        <v/>
      </c>
    </row>
    <row r="48" spans="2:43">
      <c r="B48" s="295" t="s">
        <v>1117</v>
      </c>
      <c r="C48" s="332">
        <v>42704</v>
      </c>
      <c r="D48" s="333">
        <v>30.6</v>
      </c>
      <c r="E48" s="333">
        <v>0</v>
      </c>
      <c r="F48" s="334" t="s">
        <v>782</v>
      </c>
      <c r="G48" s="295" t="s">
        <v>1209</v>
      </c>
      <c r="H48" s="335" t="s">
        <v>784</v>
      </c>
      <c r="I48" s="295" t="s">
        <v>1210</v>
      </c>
      <c r="J48" s="295" t="s">
        <v>796</v>
      </c>
      <c r="K48" s="295" t="s">
        <v>787</v>
      </c>
      <c r="L48" s="299"/>
      <c r="M48" s="299"/>
      <c r="N48" s="299" t="s">
        <v>1211</v>
      </c>
      <c r="O48" s="320"/>
      <c r="P48" s="299"/>
      <c r="Q48" s="299"/>
      <c r="U48" s="295" t="s">
        <v>1212</v>
      </c>
      <c r="V48" s="295" t="s">
        <v>1212</v>
      </c>
      <c r="X48" s="332">
        <v>42710</v>
      </c>
      <c r="Y48" s="332">
        <v>42710</v>
      </c>
      <c r="AA48" s="332"/>
      <c r="AB48" s="295" t="s">
        <v>793</v>
      </c>
      <c r="AC48" s="295">
        <v>0</v>
      </c>
      <c r="AD48" s="295">
        <v>0</v>
      </c>
      <c r="AE48" s="295">
        <v>0</v>
      </c>
      <c r="AF48" s="295">
        <v>0</v>
      </c>
      <c r="AG48" s="295">
        <v>0</v>
      </c>
      <c r="AH48" s="295">
        <v>1</v>
      </c>
      <c r="AI48" s="295">
        <v>70255</v>
      </c>
      <c r="AJ48" s="295">
        <v>2195</v>
      </c>
      <c r="AK48" s="295">
        <v>0</v>
      </c>
      <c r="AL48" s="295">
        <v>0</v>
      </c>
      <c r="AO48" s="335"/>
      <c r="AP48" s="335"/>
      <c r="AQ48" s="295" t="str">
        <f t="shared" si="0"/>
        <v/>
      </c>
    </row>
    <row r="49" spans="2:43">
      <c r="B49" s="295" t="s">
        <v>1117</v>
      </c>
      <c r="C49" s="332">
        <v>42704</v>
      </c>
      <c r="D49" s="333">
        <v>340.43</v>
      </c>
      <c r="E49" s="333">
        <v>0</v>
      </c>
      <c r="F49" s="334" t="s">
        <v>782</v>
      </c>
      <c r="G49" s="295" t="s">
        <v>1213</v>
      </c>
      <c r="H49" s="335" t="s">
        <v>784</v>
      </c>
      <c r="I49" s="295" t="s">
        <v>1214</v>
      </c>
      <c r="J49" s="295" t="s">
        <v>796</v>
      </c>
      <c r="K49" s="295" t="s">
        <v>787</v>
      </c>
      <c r="L49" s="299"/>
      <c r="M49" s="299"/>
      <c r="N49" s="299" t="s">
        <v>1181</v>
      </c>
      <c r="O49" s="320"/>
      <c r="P49" s="299"/>
      <c r="Q49" s="299"/>
      <c r="U49" s="295" t="s">
        <v>1215</v>
      </c>
      <c r="V49" s="295" t="s">
        <v>1215</v>
      </c>
      <c r="X49" s="332">
        <v>42710</v>
      </c>
      <c r="Y49" s="332">
        <v>42711</v>
      </c>
      <c r="AA49" s="332"/>
      <c r="AB49" s="295" t="s">
        <v>793</v>
      </c>
      <c r="AC49" s="295">
        <v>0</v>
      </c>
      <c r="AD49" s="295">
        <v>0</v>
      </c>
      <c r="AE49" s="295">
        <v>0</v>
      </c>
      <c r="AF49" s="295">
        <v>0</v>
      </c>
      <c r="AG49" s="295">
        <v>0</v>
      </c>
      <c r="AH49" s="295">
        <v>1</v>
      </c>
      <c r="AI49" s="295">
        <v>70255</v>
      </c>
      <c r="AJ49" s="295">
        <v>2195</v>
      </c>
      <c r="AK49" s="295">
        <v>0</v>
      </c>
      <c r="AL49" s="295">
        <v>0</v>
      </c>
      <c r="AO49" s="335"/>
      <c r="AP49" s="335"/>
      <c r="AQ49" s="295" t="str">
        <f t="shared" si="0"/>
        <v/>
      </c>
    </row>
    <row r="50" spans="2:43">
      <c r="B50" s="295" t="s">
        <v>1117</v>
      </c>
      <c r="C50" s="332">
        <v>42712</v>
      </c>
      <c r="D50" s="333">
        <v>340.43</v>
      </c>
      <c r="E50" s="333">
        <v>0</v>
      </c>
      <c r="F50" s="334" t="s">
        <v>782</v>
      </c>
      <c r="G50" s="295" t="s">
        <v>1216</v>
      </c>
      <c r="H50" s="335" t="s">
        <v>784</v>
      </c>
      <c r="I50" s="295" t="s">
        <v>785</v>
      </c>
      <c r="J50" s="295" t="s">
        <v>810</v>
      </c>
      <c r="K50" s="295" t="s">
        <v>787</v>
      </c>
      <c r="L50" s="299" t="s">
        <v>1119</v>
      </c>
      <c r="M50" s="299"/>
      <c r="N50" s="299" t="s">
        <v>1120</v>
      </c>
      <c r="O50" s="320">
        <v>42704</v>
      </c>
      <c r="P50" s="299" t="s">
        <v>1147</v>
      </c>
      <c r="Q50" s="336">
        <v>42675</v>
      </c>
      <c r="R50" s="295" t="s">
        <v>1122</v>
      </c>
      <c r="U50" s="295" t="s">
        <v>1217</v>
      </c>
      <c r="V50" s="295" t="s">
        <v>1218</v>
      </c>
      <c r="W50" s="295">
        <v>2111</v>
      </c>
      <c r="X50" s="332">
        <v>42712</v>
      </c>
      <c r="Y50" s="332">
        <v>42716</v>
      </c>
      <c r="Z50" s="295">
        <v>4250</v>
      </c>
      <c r="AA50" s="332">
        <v>42705</v>
      </c>
      <c r="AB50" s="295" t="s">
        <v>793</v>
      </c>
      <c r="AC50" s="295">
        <v>0</v>
      </c>
      <c r="AD50" s="295">
        <v>0</v>
      </c>
      <c r="AE50" s="295">
        <v>0</v>
      </c>
      <c r="AF50" s="295">
        <v>0</v>
      </c>
      <c r="AG50" s="295">
        <v>0</v>
      </c>
      <c r="AH50" s="295">
        <v>1</v>
      </c>
      <c r="AI50" s="295">
        <v>70255</v>
      </c>
      <c r="AJ50" s="295">
        <v>2195</v>
      </c>
      <c r="AK50" s="295">
        <v>0</v>
      </c>
      <c r="AL50" s="295">
        <v>0</v>
      </c>
      <c r="AO50" s="335"/>
      <c r="AP50" s="335"/>
      <c r="AQ50" s="295" t="str">
        <f t="shared" si="0"/>
        <v>VO04131778</v>
      </c>
    </row>
    <row r="51" spans="2:43">
      <c r="B51" s="295" t="s">
        <v>1117</v>
      </c>
      <c r="C51" s="332">
        <v>42732</v>
      </c>
      <c r="D51" s="333">
        <v>346.67</v>
      </c>
      <c r="E51" s="333">
        <v>0</v>
      </c>
      <c r="F51" s="334" t="s">
        <v>782</v>
      </c>
      <c r="G51" s="295" t="s">
        <v>876</v>
      </c>
      <c r="H51" s="335" t="s">
        <v>784</v>
      </c>
      <c r="I51" s="295" t="s">
        <v>785</v>
      </c>
      <c r="J51" s="295" t="s">
        <v>810</v>
      </c>
      <c r="K51" s="295" t="s">
        <v>787</v>
      </c>
      <c r="L51" s="299" t="s">
        <v>1119</v>
      </c>
      <c r="M51" s="299"/>
      <c r="N51" s="299" t="s">
        <v>1120</v>
      </c>
      <c r="O51" s="320">
        <v>42726</v>
      </c>
      <c r="P51" s="299" t="s">
        <v>1147</v>
      </c>
      <c r="Q51" s="336">
        <v>42705</v>
      </c>
      <c r="R51" s="295" t="s">
        <v>1122</v>
      </c>
      <c r="U51" s="295" t="s">
        <v>1219</v>
      </c>
      <c r="V51" s="295" t="s">
        <v>882</v>
      </c>
      <c r="W51" s="295">
        <v>2111</v>
      </c>
      <c r="X51" s="332">
        <v>42732</v>
      </c>
      <c r="Y51" s="332">
        <v>42732</v>
      </c>
      <c r="Z51" s="295">
        <v>4327.9799999999996</v>
      </c>
      <c r="AA51" s="332">
        <v>42727</v>
      </c>
      <c r="AB51" s="295" t="s">
        <v>793</v>
      </c>
      <c r="AC51" s="295">
        <v>0</v>
      </c>
      <c r="AD51" s="295">
        <v>0</v>
      </c>
      <c r="AE51" s="295">
        <v>0</v>
      </c>
      <c r="AF51" s="295">
        <v>0</v>
      </c>
      <c r="AG51" s="295">
        <v>0</v>
      </c>
      <c r="AH51" s="295">
        <v>1</v>
      </c>
      <c r="AI51" s="295">
        <v>70255</v>
      </c>
      <c r="AJ51" s="295">
        <v>2195</v>
      </c>
      <c r="AK51" s="295">
        <v>0</v>
      </c>
      <c r="AL51" s="295">
        <v>0</v>
      </c>
      <c r="AO51" s="335"/>
      <c r="AP51" s="335"/>
      <c r="AQ51" s="295" t="str">
        <f t="shared" si="0"/>
        <v>VO04149153</v>
      </c>
    </row>
    <row r="52" spans="2:43">
      <c r="B52" s="295" t="s">
        <v>1117</v>
      </c>
      <c r="C52" s="332">
        <v>42735</v>
      </c>
      <c r="D52" s="333">
        <v>-30.6</v>
      </c>
      <c r="E52" s="333">
        <v>0</v>
      </c>
      <c r="F52" s="334" t="s">
        <v>782</v>
      </c>
      <c r="G52" s="295" t="s">
        <v>1220</v>
      </c>
      <c r="H52" s="335" t="s">
        <v>784</v>
      </c>
      <c r="I52" s="295" t="s">
        <v>1210</v>
      </c>
      <c r="J52" s="295" t="s">
        <v>796</v>
      </c>
      <c r="K52" s="295" t="s">
        <v>787</v>
      </c>
      <c r="L52" s="299"/>
      <c r="M52" s="299"/>
      <c r="N52" s="299" t="s">
        <v>1211</v>
      </c>
      <c r="O52" s="320"/>
      <c r="P52" s="299"/>
      <c r="Q52" s="299"/>
      <c r="U52" s="295" t="s">
        <v>1212</v>
      </c>
      <c r="V52" s="295" t="s">
        <v>1221</v>
      </c>
      <c r="X52" s="332">
        <v>42710</v>
      </c>
      <c r="Y52" s="332">
        <v>42710</v>
      </c>
      <c r="AA52" s="332"/>
      <c r="AB52" s="295" t="s">
        <v>793</v>
      </c>
      <c r="AC52" s="295">
        <v>0</v>
      </c>
      <c r="AD52" s="295">
        <v>0</v>
      </c>
      <c r="AE52" s="295">
        <v>0</v>
      </c>
      <c r="AF52" s="295">
        <v>0</v>
      </c>
      <c r="AG52" s="295">
        <v>5</v>
      </c>
      <c r="AH52" s="295">
        <v>1</v>
      </c>
      <c r="AI52" s="295">
        <v>70255</v>
      </c>
      <c r="AJ52" s="295">
        <v>2195</v>
      </c>
      <c r="AK52" s="295">
        <v>0</v>
      </c>
      <c r="AL52" s="295">
        <v>0</v>
      </c>
      <c r="AO52" s="335"/>
      <c r="AP52" s="335"/>
      <c r="AQ52" s="295" t="str">
        <f t="shared" si="0"/>
        <v/>
      </c>
    </row>
    <row r="53" spans="2:43">
      <c r="B53" s="295" t="s">
        <v>1117</v>
      </c>
      <c r="C53" s="332">
        <v>42735</v>
      </c>
      <c r="D53" s="333">
        <v>-340.43</v>
      </c>
      <c r="E53" s="333">
        <v>0</v>
      </c>
      <c r="F53" s="334" t="s">
        <v>782</v>
      </c>
      <c r="G53" s="295" t="s">
        <v>1222</v>
      </c>
      <c r="H53" s="335" t="s">
        <v>784</v>
      </c>
      <c r="I53" s="295" t="s">
        <v>1214</v>
      </c>
      <c r="J53" s="295" t="s">
        <v>796</v>
      </c>
      <c r="K53" s="295" t="s">
        <v>787</v>
      </c>
      <c r="L53" s="299"/>
      <c r="M53" s="299"/>
      <c r="N53" s="299" t="s">
        <v>1181</v>
      </c>
      <c r="O53" s="320"/>
      <c r="P53" s="299"/>
      <c r="Q53" s="299"/>
      <c r="U53" s="295" t="s">
        <v>1215</v>
      </c>
      <c r="V53" s="295" t="s">
        <v>1223</v>
      </c>
      <c r="X53" s="332">
        <v>42711</v>
      </c>
      <c r="Y53" s="332">
        <v>42711</v>
      </c>
      <c r="AA53" s="332"/>
      <c r="AB53" s="295" t="s">
        <v>793</v>
      </c>
      <c r="AC53" s="295">
        <v>0</v>
      </c>
      <c r="AD53" s="295">
        <v>0</v>
      </c>
      <c r="AE53" s="295">
        <v>0</v>
      </c>
      <c r="AF53" s="295">
        <v>0</v>
      </c>
      <c r="AG53" s="295">
        <v>5</v>
      </c>
      <c r="AH53" s="295">
        <v>1</v>
      </c>
      <c r="AI53" s="295">
        <v>70255</v>
      </c>
      <c r="AJ53" s="295">
        <v>2195</v>
      </c>
      <c r="AK53" s="295">
        <v>0</v>
      </c>
      <c r="AL53" s="295">
        <v>0</v>
      </c>
      <c r="AO53" s="335"/>
      <c r="AP53" s="335"/>
      <c r="AQ53" s="295" t="str">
        <f t="shared" si="0"/>
        <v/>
      </c>
    </row>
    <row r="54" spans="2:43">
      <c r="B54" s="295" t="s">
        <v>1117</v>
      </c>
      <c r="C54" s="332">
        <v>42735</v>
      </c>
      <c r="D54" s="333">
        <v>7.11</v>
      </c>
      <c r="E54" s="333">
        <v>0</v>
      </c>
      <c r="F54" s="334" t="s">
        <v>782</v>
      </c>
      <c r="G54" s="295" t="s">
        <v>1224</v>
      </c>
      <c r="H54" s="335" t="s">
        <v>784</v>
      </c>
      <c r="I54" s="295" t="s">
        <v>1196</v>
      </c>
      <c r="J54" s="295" t="s">
        <v>803</v>
      </c>
      <c r="K54" s="295" t="s">
        <v>787</v>
      </c>
      <c r="L54" s="299"/>
      <c r="M54" s="299"/>
      <c r="N54" s="299" t="s">
        <v>1225</v>
      </c>
      <c r="O54" s="320"/>
      <c r="P54" s="299"/>
      <c r="Q54" s="299"/>
      <c r="U54" s="295" t="s">
        <v>1226</v>
      </c>
      <c r="V54" s="295" t="s">
        <v>1226</v>
      </c>
      <c r="X54" s="332">
        <v>42741</v>
      </c>
      <c r="Y54" s="332">
        <v>42741</v>
      </c>
      <c r="AA54" s="332"/>
      <c r="AB54" s="295" t="s">
        <v>793</v>
      </c>
      <c r="AC54" s="295">
        <v>0</v>
      </c>
      <c r="AD54" s="295">
        <v>0</v>
      </c>
      <c r="AE54" s="295">
        <v>0</v>
      </c>
      <c r="AF54" s="295">
        <v>0</v>
      </c>
      <c r="AG54" s="295">
        <v>0</v>
      </c>
      <c r="AH54" s="295">
        <v>1</v>
      </c>
      <c r="AI54" s="295">
        <v>70255</v>
      </c>
      <c r="AJ54" s="295">
        <v>2195</v>
      </c>
      <c r="AK54" s="295">
        <v>0</v>
      </c>
      <c r="AL54" s="295">
        <v>0</v>
      </c>
      <c r="AO54" s="335"/>
      <c r="AP54" s="335"/>
      <c r="AQ54" s="295" t="str">
        <f t="shared" si="0"/>
        <v/>
      </c>
    </row>
    <row r="55" spans="2:43">
      <c r="B55" s="295" t="s">
        <v>1117</v>
      </c>
      <c r="C55" s="332">
        <v>42766</v>
      </c>
      <c r="D55" s="333">
        <v>480</v>
      </c>
      <c r="E55" s="333">
        <v>0</v>
      </c>
      <c r="F55" s="334" t="s">
        <v>782</v>
      </c>
      <c r="G55" s="295" t="s">
        <v>903</v>
      </c>
      <c r="H55" s="335" t="s">
        <v>784</v>
      </c>
      <c r="I55" s="295" t="s">
        <v>904</v>
      </c>
      <c r="J55" s="295" t="s">
        <v>803</v>
      </c>
      <c r="K55" s="295" t="s">
        <v>787</v>
      </c>
      <c r="L55" s="299"/>
      <c r="M55" s="299"/>
      <c r="N55" s="299" t="s">
        <v>1227</v>
      </c>
      <c r="O55" s="320"/>
      <c r="P55" s="299"/>
      <c r="Q55" s="299"/>
      <c r="U55" s="295" t="s">
        <v>905</v>
      </c>
      <c r="V55" s="295" t="s">
        <v>905</v>
      </c>
      <c r="X55" s="332">
        <v>42769</v>
      </c>
      <c r="Y55" s="332">
        <v>42769</v>
      </c>
      <c r="AA55" s="332"/>
      <c r="AB55" s="295" t="s">
        <v>793</v>
      </c>
      <c r="AC55" s="295">
        <v>0</v>
      </c>
      <c r="AD55" s="295">
        <v>0</v>
      </c>
      <c r="AE55" s="295">
        <v>0</v>
      </c>
      <c r="AF55" s="295">
        <v>0</v>
      </c>
      <c r="AG55" s="295">
        <v>0</v>
      </c>
      <c r="AH55" s="295">
        <v>1</v>
      </c>
      <c r="AI55" s="295">
        <v>70255</v>
      </c>
      <c r="AJ55" s="295">
        <v>2195</v>
      </c>
      <c r="AK55" s="295">
        <v>0</v>
      </c>
      <c r="AL55" s="295">
        <v>0</v>
      </c>
      <c r="AO55" s="335"/>
      <c r="AP55" s="335"/>
      <c r="AQ55" s="295" t="str">
        <f t="shared" si="0"/>
        <v/>
      </c>
    </row>
    <row r="56" spans="2:43">
      <c r="B56" s="295" t="s">
        <v>1117</v>
      </c>
      <c r="C56" s="332">
        <v>42766</v>
      </c>
      <c r="D56" s="333">
        <v>349.11</v>
      </c>
      <c r="E56" s="333">
        <v>0</v>
      </c>
      <c r="F56" s="334" t="s">
        <v>782</v>
      </c>
      <c r="G56" s="295" t="s">
        <v>1228</v>
      </c>
      <c r="H56" s="335" t="s">
        <v>784</v>
      </c>
      <c r="I56" s="295" t="s">
        <v>1214</v>
      </c>
      <c r="J56" s="295" t="s">
        <v>796</v>
      </c>
      <c r="K56" s="295" t="s">
        <v>787</v>
      </c>
      <c r="L56" s="299"/>
      <c r="M56" s="299"/>
      <c r="N56" s="299" t="s">
        <v>1181</v>
      </c>
      <c r="O56" s="320"/>
      <c r="P56" s="299"/>
      <c r="Q56" s="299"/>
      <c r="U56" s="295" t="s">
        <v>1229</v>
      </c>
      <c r="V56" s="295" t="s">
        <v>1229</v>
      </c>
      <c r="X56" s="332">
        <v>42772</v>
      </c>
      <c r="Y56" s="332">
        <v>42773</v>
      </c>
      <c r="AA56" s="332"/>
      <c r="AB56" s="295" t="s">
        <v>793</v>
      </c>
      <c r="AC56" s="295">
        <v>0</v>
      </c>
      <c r="AD56" s="295">
        <v>0</v>
      </c>
      <c r="AE56" s="295">
        <v>0</v>
      </c>
      <c r="AF56" s="295">
        <v>0</v>
      </c>
      <c r="AG56" s="295">
        <v>0</v>
      </c>
      <c r="AH56" s="295">
        <v>1</v>
      </c>
      <c r="AI56" s="295">
        <v>70255</v>
      </c>
      <c r="AJ56" s="295">
        <v>2195</v>
      </c>
      <c r="AK56" s="295">
        <v>0</v>
      </c>
      <c r="AL56" s="295">
        <v>0</v>
      </c>
      <c r="AO56" s="335"/>
      <c r="AP56" s="335"/>
      <c r="AQ56" s="295" t="str">
        <f t="shared" si="0"/>
        <v/>
      </c>
    </row>
    <row r="57" spans="2:43">
      <c r="B57" s="295" t="s">
        <v>1117</v>
      </c>
      <c r="C57" s="332">
        <v>42766</v>
      </c>
      <c r="D57" s="333">
        <v>87.88</v>
      </c>
      <c r="E57" s="333">
        <v>0</v>
      </c>
      <c r="F57" s="334" t="s">
        <v>782</v>
      </c>
      <c r="G57" s="295" t="s">
        <v>1230</v>
      </c>
      <c r="H57" s="335" t="s">
        <v>784</v>
      </c>
      <c r="I57" s="295" t="s">
        <v>1231</v>
      </c>
      <c r="J57" s="295" t="s">
        <v>856</v>
      </c>
      <c r="K57" s="295" t="s">
        <v>787</v>
      </c>
      <c r="L57" s="299"/>
      <c r="M57" s="299"/>
      <c r="N57" s="299" t="s">
        <v>1232</v>
      </c>
      <c r="O57" s="320"/>
      <c r="P57" s="299"/>
      <c r="Q57" s="299"/>
      <c r="U57" s="295" t="s">
        <v>1233</v>
      </c>
      <c r="V57" s="295" t="s">
        <v>1233</v>
      </c>
      <c r="X57" s="332">
        <v>42773</v>
      </c>
      <c r="Y57" s="332">
        <v>42774</v>
      </c>
      <c r="AA57" s="332"/>
      <c r="AB57" s="295" t="s">
        <v>793</v>
      </c>
      <c r="AC57" s="295">
        <v>0</v>
      </c>
      <c r="AD57" s="295">
        <v>0</v>
      </c>
      <c r="AE57" s="295">
        <v>0</v>
      </c>
      <c r="AF57" s="295">
        <v>0</v>
      </c>
      <c r="AG57" s="295">
        <v>0</v>
      </c>
      <c r="AH57" s="295">
        <v>1</v>
      </c>
      <c r="AI57" s="295">
        <v>70255</v>
      </c>
      <c r="AJ57" s="295">
        <v>2195</v>
      </c>
      <c r="AK57" s="295">
        <v>0</v>
      </c>
      <c r="AL57" s="295">
        <v>0</v>
      </c>
      <c r="AO57" s="335"/>
      <c r="AP57" s="335"/>
      <c r="AQ57" s="295" t="str">
        <f t="shared" si="0"/>
        <v/>
      </c>
    </row>
    <row r="58" spans="2:43">
      <c r="B58" s="295" t="s">
        <v>1117</v>
      </c>
      <c r="C58" s="332">
        <v>42782</v>
      </c>
      <c r="D58" s="333">
        <v>349.11</v>
      </c>
      <c r="E58" s="333">
        <v>0</v>
      </c>
      <c r="F58" s="334" t="s">
        <v>782</v>
      </c>
      <c r="G58" s="295" t="s">
        <v>1234</v>
      </c>
      <c r="H58" s="335" t="s">
        <v>784</v>
      </c>
      <c r="I58" s="295" t="s">
        <v>785</v>
      </c>
      <c r="J58" s="295" t="s">
        <v>810</v>
      </c>
      <c r="K58" s="295" t="s">
        <v>787</v>
      </c>
      <c r="L58" s="299" t="s">
        <v>1119</v>
      </c>
      <c r="M58" s="299"/>
      <c r="N58" s="299" t="s">
        <v>1120</v>
      </c>
      <c r="O58" s="320">
        <v>42766</v>
      </c>
      <c r="P58" s="299" t="s">
        <v>1147</v>
      </c>
      <c r="Q58" s="336">
        <v>42736</v>
      </c>
      <c r="R58" s="295" t="s">
        <v>1235</v>
      </c>
      <c r="U58" s="295" t="s">
        <v>1236</v>
      </c>
      <c r="V58" s="295" t="s">
        <v>1237</v>
      </c>
      <c r="W58" s="295">
        <v>2111</v>
      </c>
      <c r="X58" s="332">
        <v>42782</v>
      </c>
      <c r="Y58" s="332">
        <v>42787</v>
      </c>
      <c r="Z58" s="295">
        <v>4358.3999999999996</v>
      </c>
      <c r="AA58" s="332">
        <v>42767</v>
      </c>
      <c r="AB58" s="295" t="s">
        <v>793</v>
      </c>
      <c r="AC58" s="295">
        <v>0</v>
      </c>
      <c r="AD58" s="295">
        <v>0</v>
      </c>
      <c r="AE58" s="295">
        <v>0</v>
      </c>
      <c r="AF58" s="295">
        <v>0</v>
      </c>
      <c r="AG58" s="295">
        <v>0</v>
      </c>
      <c r="AH58" s="295">
        <v>1</v>
      </c>
      <c r="AI58" s="295">
        <v>70255</v>
      </c>
      <c r="AJ58" s="295">
        <v>2195</v>
      </c>
      <c r="AK58" s="295">
        <v>0</v>
      </c>
      <c r="AL58" s="295">
        <v>0</v>
      </c>
      <c r="AO58" s="335"/>
      <c r="AP58" s="335"/>
      <c r="AQ58" s="295" t="str">
        <f t="shared" si="0"/>
        <v>VO04202601</v>
      </c>
    </row>
    <row r="59" spans="2:43">
      <c r="B59" s="295" t="s">
        <v>1117</v>
      </c>
      <c r="C59" s="332">
        <v>42794</v>
      </c>
      <c r="D59" s="333">
        <v>-349.11</v>
      </c>
      <c r="E59" s="333">
        <v>0</v>
      </c>
      <c r="F59" s="334" t="s">
        <v>782</v>
      </c>
      <c r="G59" s="295" t="s">
        <v>1238</v>
      </c>
      <c r="H59" s="335" t="s">
        <v>784</v>
      </c>
      <c r="I59" s="295" t="s">
        <v>1214</v>
      </c>
      <c r="J59" s="295" t="s">
        <v>796</v>
      </c>
      <c r="K59" s="295" t="s">
        <v>787</v>
      </c>
      <c r="L59" s="299"/>
      <c r="M59" s="299"/>
      <c r="N59" s="299" t="s">
        <v>1181</v>
      </c>
      <c r="O59" s="320"/>
      <c r="P59" s="299"/>
      <c r="Q59" s="299"/>
      <c r="U59" s="295" t="s">
        <v>1229</v>
      </c>
      <c r="V59" s="295" t="s">
        <v>1239</v>
      </c>
      <c r="X59" s="332">
        <v>42773</v>
      </c>
      <c r="Y59" s="332">
        <v>42773</v>
      </c>
      <c r="AA59" s="332"/>
      <c r="AB59" s="295" t="s">
        <v>793</v>
      </c>
      <c r="AC59" s="295">
        <v>0</v>
      </c>
      <c r="AD59" s="295">
        <v>0</v>
      </c>
      <c r="AE59" s="295">
        <v>0</v>
      </c>
      <c r="AF59" s="295">
        <v>0</v>
      </c>
      <c r="AG59" s="295">
        <v>5</v>
      </c>
      <c r="AH59" s="295">
        <v>1</v>
      </c>
      <c r="AI59" s="295">
        <v>70255</v>
      </c>
      <c r="AJ59" s="295">
        <v>2195</v>
      </c>
      <c r="AK59" s="295">
        <v>0</v>
      </c>
      <c r="AL59" s="295">
        <v>0</v>
      </c>
      <c r="AO59" s="335"/>
      <c r="AP59" s="335"/>
      <c r="AQ59" s="295" t="str">
        <f t="shared" si="0"/>
        <v/>
      </c>
    </row>
    <row r="60" spans="2:43">
      <c r="B60" s="295" t="s">
        <v>1117</v>
      </c>
      <c r="C60" s="332">
        <v>42794</v>
      </c>
      <c r="D60" s="333">
        <v>-87.88</v>
      </c>
      <c r="E60" s="333">
        <v>0</v>
      </c>
      <c r="F60" s="334" t="s">
        <v>782</v>
      </c>
      <c r="G60" s="295" t="s">
        <v>1240</v>
      </c>
      <c r="H60" s="335" t="s">
        <v>784</v>
      </c>
      <c r="I60" s="295" t="s">
        <v>1231</v>
      </c>
      <c r="J60" s="295" t="s">
        <v>803</v>
      </c>
      <c r="K60" s="295" t="s">
        <v>787</v>
      </c>
      <c r="L60" s="299"/>
      <c r="M60" s="299"/>
      <c r="N60" s="299" t="s">
        <v>1232</v>
      </c>
      <c r="O60" s="320"/>
      <c r="P60" s="299"/>
      <c r="Q60" s="299"/>
      <c r="U60" s="295" t="s">
        <v>1233</v>
      </c>
      <c r="V60" s="295" t="s">
        <v>1241</v>
      </c>
      <c r="X60" s="332">
        <v>42774</v>
      </c>
      <c r="Y60" s="332">
        <v>42774</v>
      </c>
      <c r="AA60" s="332"/>
      <c r="AB60" s="295" t="s">
        <v>793</v>
      </c>
      <c r="AC60" s="295">
        <v>0</v>
      </c>
      <c r="AD60" s="295">
        <v>0</v>
      </c>
      <c r="AE60" s="295">
        <v>0</v>
      </c>
      <c r="AF60" s="295">
        <v>0</v>
      </c>
      <c r="AG60" s="295">
        <v>5</v>
      </c>
      <c r="AH60" s="295">
        <v>1</v>
      </c>
      <c r="AI60" s="295">
        <v>70255</v>
      </c>
      <c r="AJ60" s="295">
        <v>2195</v>
      </c>
      <c r="AK60" s="295">
        <v>0</v>
      </c>
      <c r="AL60" s="295">
        <v>0</v>
      </c>
      <c r="AO60" s="335"/>
      <c r="AP60" s="335"/>
      <c r="AQ60" s="295" t="str">
        <f t="shared" si="0"/>
        <v/>
      </c>
    </row>
    <row r="61" spans="2:43">
      <c r="B61" s="295" t="s">
        <v>1117</v>
      </c>
      <c r="C61" s="332">
        <v>42794</v>
      </c>
      <c r="D61" s="333">
        <v>87.88</v>
      </c>
      <c r="E61" s="333">
        <v>0</v>
      </c>
      <c r="F61" s="334" t="s">
        <v>782</v>
      </c>
      <c r="G61" s="295" t="s">
        <v>1242</v>
      </c>
      <c r="H61" s="335" t="s">
        <v>784</v>
      </c>
      <c r="I61" s="295" t="s">
        <v>1196</v>
      </c>
      <c r="J61" s="295" t="s">
        <v>803</v>
      </c>
      <c r="K61" s="295" t="s">
        <v>787</v>
      </c>
      <c r="L61" s="299"/>
      <c r="M61" s="299"/>
      <c r="N61" s="299" t="s">
        <v>1243</v>
      </c>
      <c r="O61" s="320"/>
      <c r="P61" s="299"/>
      <c r="Q61" s="299"/>
      <c r="U61" s="295" t="s">
        <v>1244</v>
      </c>
      <c r="V61" s="295" t="s">
        <v>1244</v>
      </c>
      <c r="X61" s="332">
        <v>42800</v>
      </c>
      <c r="Y61" s="332">
        <v>42800</v>
      </c>
      <c r="AA61" s="332"/>
      <c r="AB61" s="295" t="s">
        <v>793</v>
      </c>
      <c r="AC61" s="295">
        <v>0</v>
      </c>
      <c r="AD61" s="295">
        <v>0</v>
      </c>
      <c r="AE61" s="295">
        <v>0</v>
      </c>
      <c r="AF61" s="295">
        <v>0</v>
      </c>
      <c r="AG61" s="295">
        <v>0</v>
      </c>
      <c r="AH61" s="295">
        <v>1</v>
      </c>
      <c r="AI61" s="295">
        <v>70255</v>
      </c>
      <c r="AJ61" s="295">
        <v>2195</v>
      </c>
      <c r="AK61" s="295">
        <v>0</v>
      </c>
      <c r="AL61" s="295">
        <v>0</v>
      </c>
      <c r="AO61" s="335"/>
      <c r="AP61" s="335"/>
      <c r="AQ61" s="295" t="str">
        <f t="shared" si="0"/>
        <v/>
      </c>
    </row>
    <row r="62" spans="2:43">
      <c r="B62" s="295" t="s">
        <v>1117</v>
      </c>
      <c r="C62" s="332">
        <v>42794</v>
      </c>
      <c r="D62" s="333">
        <v>155.47999999999999</v>
      </c>
      <c r="E62" s="333">
        <v>0</v>
      </c>
      <c r="F62" s="334" t="s">
        <v>782</v>
      </c>
      <c r="G62" s="295" t="s">
        <v>1245</v>
      </c>
      <c r="H62" s="335" t="s">
        <v>784</v>
      </c>
      <c r="I62" s="295" t="s">
        <v>1231</v>
      </c>
      <c r="J62" s="295" t="s">
        <v>803</v>
      </c>
      <c r="K62" s="295" t="s">
        <v>787</v>
      </c>
      <c r="L62" s="299"/>
      <c r="M62" s="299"/>
      <c r="N62" s="299" t="s">
        <v>1246</v>
      </c>
      <c r="O62" s="320"/>
      <c r="P62" s="299"/>
      <c r="Q62" s="299"/>
      <c r="U62" s="295" t="s">
        <v>1247</v>
      </c>
      <c r="V62" s="295" t="s">
        <v>1247</v>
      </c>
      <c r="X62" s="332">
        <v>42800</v>
      </c>
      <c r="Y62" s="332">
        <v>42800</v>
      </c>
      <c r="AA62" s="332"/>
      <c r="AB62" s="295" t="s">
        <v>793</v>
      </c>
      <c r="AC62" s="295">
        <v>0</v>
      </c>
      <c r="AD62" s="295">
        <v>0</v>
      </c>
      <c r="AE62" s="295">
        <v>0</v>
      </c>
      <c r="AF62" s="295">
        <v>0</v>
      </c>
      <c r="AG62" s="295">
        <v>0</v>
      </c>
      <c r="AH62" s="295">
        <v>1</v>
      </c>
      <c r="AI62" s="295">
        <v>70255</v>
      </c>
      <c r="AJ62" s="295">
        <v>2195</v>
      </c>
      <c r="AK62" s="295">
        <v>0</v>
      </c>
      <c r="AL62" s="295">
        <v>0</v>
      </c>
      <c r="AO62" s="335"/>
      <c r="AP62" s="335"/>
      <c r="AQ62" s="295" t="str">
        <f t="shared" si="0"/>
        <v/>
      </c>
    </row>
    <row r="63" spans="2:43">
      <c r="B63" s="295" t="s">
        <v>1117</v>
      </c>
      <c r="C63" s="332">
        <v>42794</v>
      </c>
      <c r="D63" s="333">
        <v>349.11</v>
      </c>
      <c r="E63" s="333">
        <v>0</v>
      </c>
      <c r="F63" s="334" t="s">
        <v>782</v>
      </c>
      <c r="G63" s="295" t="s">
        <v>1248</v>
      </c>
      <c r="H63" s="335" t="s">
        <v>784</v>
      </c>
      <c r="I63" s="295" t="s">
        <v>1214</v>
      </c>
      <c r="J63" s="295" t="s">
        <v>796</v>
      </c>
      <c r="K63" s="295" t="s">
        <v>787</v>
      </c>
      <c r="L63" s="299"/>
      <c r="M63" s="299"/>
      <c r="N63" s="299" t="s">
        <v>1181</v>
      </c>
      <c r="O63" s="320"/>
      <c r="P63" s="299"/>
      <c r="Q63" s="299"/>
      <c r="U63" s="295" t="s">
        <v>1249</v>
      </c>
      <c r="V63" s="295" t="s">
        <v>1249</v>
      </c>
      <c r="X63" s="332">
        <v>42800</v>
      </c>
      <c r="Y63" s="332">
        <v>42801</v>
      </c>
      <c r="AA63" s="332"/>
      <c r="AB63" s="295" t="s">
        <v>793</v>
      </c>
      <c r="AC63" s="295">
        <v>0</v>
      </c>
      <c r="AD63" s="295">
        <v>0</v>
      </c>
      <c r="AE63" s="295">
        <v>0</v>
      </c>
      <c r="AF63" s="295">
        <v>0</v>
      </c>
      <c r="AG63" s="295">
        <v>0</v>
      </c>
      <c r="AH63" s="295">
        <v>1</v>
      </c>
      <c r="AI63" s="295">
        <v>70255</v>
      </c>
      <c r="AJ63" s="295">
        <v>2195</v>
      </c>
      <c r="AK63" s="295">
        <v>0</v>
      </c>
      <c r="AL63" s="295">
        <v>0</v>
      </c>
      <c r="AO63" s="335"/>
      <c r="AP63" s="335"/>
      <c r="AQ63" s="295" t="str">
        <f t="shared" si="0"/>
        <v/>
      </c>
    </row>
    <row r="64" spans="2:43">
      <c r="B64" s="295" t="s">
        <v>1117</v>
      </c>
      <c r="C64" s="332">
        <v>42810</v>
      </c>
      <c r="D64" s="333">
        <v>349.11</v>
      </c>
      <c r="E64" s="333">
        <v>0</v>
      </c>
      <c r="F64" s="334" t="s">
        <v>782</v>
      </c>
      <c r="G64" s="295" t="s">
        <v>1250</v>
      </c>
      <c r="H64" s="335" t="s">
        <v>784</v>
      </c>
      <c r="I64" s="295" t="s">
        <v>785</v>
      </c>
      <c r="J64" s="295" t="s">
        <v>786</v>
      </c>
      <c r="K64" s="295" t="s">
        <v>787</v>
      </c>
      <c r="L64" s="299" t="s">
        <v>1119</v>
      </c>
      <c r="M64" s="299"/>
      <c r="N64" s="299" t="s">
        <v>1120</v>
      </c>
      <c r="O64" s="320">
        <v>42794</v>
      </c>
      <c r="P64" s="299" t="s">
        <v>1147</v>
      </c>
      <c r="Q64" s="336">
        <v>42767</v>
      </c>
      <c r="R64" s="295" t="s">
        <v>1235</v>
      </c>
      <c r="U64" s="295" t="s">
        <v>1251</v>
      </c>
      <c r="V64" s="295" t="s">
        <v>1252</v>
      </c>
      <c r="W64" s="295">
        <v>2111</v>
      </c>
      <c r="X64" s="332">
        <v>42810</v>
      </c>
      <c r="Y64" s="332">
        <v>42811</v>
      </c>
      <c r="Z64" s="295">
        <v>4358.3999999999996</v>
      </c>
      <c r="AA64" s="332">
        <v>42795</v>
      </c>
      <c r="AB64" s="295" t="s">
        <v>793</v>
      </c>
      <c r="AC64" s="295">
        <v>0</v>
      </c>
      <c r="AD64" s="295">
        <v>0</v>
      </c>
      <c r="AE64" s="295">
        <v>0</v>
      </c>
      <c r="AF64" s="295">
        <v>0</v>
      </c>
      <c r="AG64" s="295">
        <v>0</v>
      </c>
      <c r="AH64" s="295">
        <v>1</v>
      </c>
      <c r="AI64" s="295">
        <v>70255</v>
      </c>
      <c r="AJ64" s="295">
        <v>2195</v>
      </c>
      <c r="AK64" s="295">
        <v>0</v>
      </c>
      <c r="AL64" s="295">
        <v>0</v>
      </c>
      <c r="AO64" s="335"/>
      <c r="AP64" s="335"/>
      <c r="AQ64" s="295" t="str">
        <f t="shared" si="0"/>
        <v>VO04232949</v>
      </c>
    </row>
    <row r="65" spans="2:43">
      <c r="B65" s="295" t="s">
        <v>1117</v>
      </c>
      <c r="C65" s="332">
        <v>42825</v>
      </c>
      <c r="D65" s="333">
        <v>-155.47999999999999</v>
      </c>
      <c r="E65" s="333">
        <v>0</v>
      </c>
      <c r="F65" s="334" t="s">
        <v>782</v>
      </c>
      <c r="G65" s="295" t="s">
        <v>1253</v>
      </c>
      <c r="H65" s="335" t="s">
        <v>784</v>
      </c>
      <c r="I65" s="295" t="s">
        <v>1231</v>
      </c>
      <c r="J65" s="295" t="s">
        <v>856</v>
      </c>
      <c r="K65" s="295" t="s">
        <v>787</v>
      </c>
      <c r="L65" s="299"/>
      <c r="M65" s="299"/>
      <c r="N65" s="299" t="s">
        <v>1246</v>
      </c>
      <c r="O65" s="320"/>
      <c r="P65" s="299"/>
      <c r="Q65" s="299"/>
      <c r="U65" s="295" t="s">
        <v>1247</v>
      </c>
      <c r="V65" s="295" t="s">
        <v>1254</v>
      </c>
      <c r="X65" s="332">
        <v>42800</v>
      </c>
      <c r="Y65" s="332">
        <v>42800</v>
      </c>
      <c r="AA65" s="332"/>
      <c r="AB65" s="295" t="s">
        <v>793</v>
      </c>
      <c r="AC65" s="295">
        <v>0</v>
      </c>
      <c r="AD65" s="295">
        <v>0</v>
      </c>
      <c r="AE65" s="295">
        <v>0</v>
      </c>
      <c r="AF65" s="295">
        <v>0</v>
      </c>
      <c r="AG65" s="295">
        <v>5</v>
      </c>
      <c r="AH65" s="295">
        <v>1</v>
      </c>
      <c r="AI65" s="295">
        <v>70255</v>
      </c>
      <c r="AJ65" s="295">
        <v>2195</v>
      </c>
      <c r="AK65" s="295">
        <v>0</v>
      </c>
      <c r="AL65" s="295">
        <v>0</v>
      </c>
      <c r="AO65" s="335"/>
      <c r="AP65" s="335"/>
      <c r="AQ65" s="295" t="str">
        <f t="shared" si="0"/>
        <v/>
      </c>
    </row>
    <row r="66" spans="2:43">
      <c r="B66" s="295" t="s">
        <v>1117</v>
      </c>
      <c r="C66" s="332">
        <v>42825</v>
      </c>
      <c r="D66" s="333">
        <v>-349.11</v>
      </c>
      <c r="E66" s="333">
        <v>0</v>
      </c>
      <c r="F66" s="334" t="s">
        <v>782</v>
      </c>
      <c r="G66" s="295" t="s">
        <v>1255</v>
      </c>
      <c r="H66" s="335" t="s">
        <v>784</v>
      </c>
      <c r="I66" s="295" t="s">
        <v>1214</v>
      </c>
      <c r="J66" s="295" t="s">
        <v>803</v>
      </c>
      <c r="K66" s="295" t="s">
        <v>787</v>
      </c>
      <c r="L66" s="299"/>
      <c r="M66" s="299"/>
      <c r="N66" s="299" t="s">
        <v>1181</v>
      </c>
      <c r="O66" s="320"/>
      <c r="P66" s="299"/>
      <c r="Q66" s="299"/>
      <c r="U66" s="295" t="s">
        <v>1249</v>
      </c>
      <c r="V66" s="295" t="s">
        <v>1256</v>
      </c>
      <c r="X66" s="332">
        <v>42801</v>
      </c>
      <c r="Y66" s="332">
        <v>42801</v>
      </c>
      <c r="AA66" s="332"/>
      <c r="AB66" s="295" t="s">
        <v>793</v>
      </c>
      <c r="AC66" s="295">
        <v>0</v>
      </c>
      <c r="AD66" s="295">
        <v>0</v>
      </c>
      <c r="AE66" s="295">
        <v>0</v>
      </c>
      <c r="AF66" s="295">
        <v>0</v>
      </c>
      <c r="AG66" s="295">
        <v>5</v>
      </c>
      <c r="AH66" s="295">
        <v>1</v>
      </c>
      <c r="AI66" s="295">
        <v>70255</v>
      </c>
      <c r="AJ66" s="295">
        <v>2195</v>
      </c>
      <c r="AK66" s="295">
        <v>0</v>
      </c>
      <c r="AL66" s="295">
        <v>0</v>
      </c>
      <c r="AO66" s="335"/>
      <c r="AP66" s="335"/>
      <c r="AQ66" s="295" t="str">
        <f t="shared" si="0"/>
        <v/>
      </c>
    </row>
    <row r="67" spans="2:43">
      <c r="B67" s="295" t="s">
        <v>1117</v>
      </c>
      <c r="C67" s="332">
        <v>42825</v>
      </c>
      <c r="D67" s="333">
        <v>25</v>
      </c>
      <c r="E67" s="333">
        <v>0</v>
      </c>
      <c r="F67" s="334" t="s">
        <v>782</v>
      </c>
      <c r="G67" s="295" t="s">
        <v>961</v>
      </c>
      <c r="H67" s="335" t="s">
        <v>784</v>
      </c>
      <c r="I67" s="295" t="s">
        <v>867</v>
      </c>
      <c r="J67" s="295" t="s">
        <v>803</v>
      </c>
      <c r="K67" s="295" t="s">
        <v>787</v>
      </c>
      <c r="L67" s="299"/>
      <c r="M67" s="299"/>
      <c r="N67" s="299" t="s">
        <v>1227</v>
      </c>
      <c r="O67" s="320"/>
      <c r="P67" s="299"/>
      <c r="Q67" s="299"/>
      <c r="U67" s="295" t="s">
        <v>962</v>
      </c>
      <c r="V67" s="295" t="s">
        <v>962</v>
      </c>
      <c r="X67" s="332">
        <v>42831</v>
      </c>
      <c r="Y67" s="332">
        <v>42831</v>
      </c>
      <c r="AA67" s="332"/>
      <c r="AB67" s="295" t="s">
        <v>793</v>
      </c>
      <c r="AC67" s="295">
        <v>0</v>
      </c>
      <c r="AD67" s="295">
        <v>0</v>
      </c>
      <c r="AE67" s="295">
        <v>0</v>
      </c>
      <c r="AF67" s="295">
        <v>0</v>
      </c>
      <c r="AG67" s="295">
        <v>0</v>
      </c>
      <c r="AH67" s="295">
        <v>1</v>
      </c>
      <c r="AI67" s="295">
        <v>70255</v>
      </c>
      <c r="AJ67" s="295">
        <v>2195</v>
      </c>
      <c r="AK67" s="295">
        <v>0</v>
      </c>
      <c r="AL67" s="295">
        <v>0</v>
      </c>
      <c r="AO67" s="335"/>
      <c r="AP67" s="335"/>
      <c r="AQ67" s="295" t="str">
        <f t="shared" si="0"/>
        <v/>
      </c>
    </row>
    <row r="68" spans="2:43">
      <c r="B68" s="295" t="s">
        <v>1117</v>
      </c>
      <c r="C68" s="332">
        <v>42825</v>
      </c>
      <c r="D68" s="333">
        <v>155.47999999999999</v>
      </c>
      <c r="E68" s="333">
        <v>0</v>
      </c>
      <c r="F68" s="334" t="s">
        <v>782</v>
      </c>
      <c r="G68" s="295" t="s">
        <v>1257</v>
      </c>
      <c r="H68" s="335" t="s">
        <v>784</v>
      </c>
      <c r="I68" s="295" t="s">
        <v>1196</v>
      </c>
      <c r="J68" s="295" t="s">
        <v>803</v>
      </c>
      <c r="K68" s="295" t="s">
        <v>787</v>
      </c>
      <c r="L68" s="299"/>
      <c r="M68" s="299"/>
      <c r="N68" s="299" t="s">
        <v>1258</v>
      </c>
      <c r="O68" s="320"/>
      <c r="P68" s="299"/>
      <c r="Q68" s="299"/>
      <c r="U68" s="295" t="s">
        <v>1259</v>
      </c>
      <c r="V68" s="295" t="s">
        <v>1259</v>
      </c>
      <c r="X68" s="332">
        <v>42831</v>
      </c>
      <c r="Y68" s="332">
        <v>42831</v>
      </c>
      <c r="AA68" s="332"/>
      <c r="AB68" s="295" t="s">
        <v>793</v>
      </c>
      <c r="AC68" s="295">
        <v>0</v>
      </c>
      <c r="AD68" s="295">
        <v>0</v>
      </c>
      <c r="AE68" s="295">
        <v>0</v>
      </c>
      <c r="AF68" s="295">
        <v>0</v>
      </c>
      <c r="AG68" s="295">
        <v>0</v>
      </c>
      <c r="AH68" s="295">
        <v>1</v>
      </c>
      <c r="AI68" s="295">
        <v>70255</v>
      </c>
      <c r="AJ68" s="295">
        <v>2195</v>
      </c>
      <c r="AK68" s="295">
        <v>0</v>
      </c>
      <c r="AL68" s="295">
        <v>0</v>
      </c>
      <c r="AO68" s="335"/>
      <c r="AP68" s="335"/>
      <c r="AQ68" s="295" t="str">
        <f t="shared" si="0"/>
        <v/>
      </c>
    </row>
    <row r="69" spans="2:43">
      <c r="B69" s="295" t="s">
        <v>1117</v>
      </c>
      <c r="C69" s="332">
        <v>42825</v>
      </c>
      <c r="D69" s="333">
        <v>277.22000000000003</v>
      </c>
      <c r="E69" s="333">
        <v>0</v>
      </c>
      <c r="F69" s="334" t="s">
        <v>782</v>
      </c>
      <c r="G69" s="295" t="s">
        <v>1260</v>
      </c>
      <c r="H69" s="335" t="s">
        <v>784</v>
      </c>
      <c r="I69" s="295" t="s">
        <v>1231</v>
      </c>
      <c r="J69" s="295" t="s">
        <v>803</v>
      </c>
      <c r="K69" s="295" t="s">
        <v>787</v>
      </c>
      <c r="L69" s="299"/>
      <c r="M69" s="299"/>
      <c r="N69" s="299" t="s">
        <v>1261</v>
      </c>
      <c r="O69" s="320"/>
      <c r="P69" s="299"/>
      <c r="Q69" s="299"/>
      <c r="U69" s="295" t="s">
        <v>1262</v>
      </c>
      <c r="V69" s="295" t="s">
        <v>1262</v>
      </c>
      <c r="X69" s="332">
        <v>42831</v>
      </c>
      <c r="Y69" s="332">
        <v>42832</v>
      </c>
      <c r="AA69" s="332"/>
      <c r="AB69" s="295" t="s">
        <v>793</v>
      </c>
      <c r="AC69" s="295">
        <v>0</v>
      </c>
      <c r="AD69" s="295">
        <v>0</v>
      </c>
      <c r="AE69" s="295">
        <v>0</v>
      </c>
      <c r="AF69" s="295">
        <v>0</v>
      </c>
      <c r="AG69" s="295">
        <v>0</v>
      </c>
      <c r="AH69" s="295">
        <v>1</v>
      </c>
      <c r="AI69" s="295">
        <v>70255</v>
      </c>
      <c r="AJ69" s="295">
        <v>2195</v>
      </c>
      <c r="AK69" s="295">
        <v>0</v>
      </c>
      <c r="AL69" s="295">
        <v>0</v>
      </c>
      <c r="AO69" s="335"/>
      <c r="AP69" s="335"/>
      <c r="AQ69" s="295" t="str">
        <f t="shared" si="0"/>
        <v/>
      </c>
    </row>
    <row r="70" spans="2:43">
      <c r="B70" s="295" t="s">
        <v>1117</v>
      </c>
      <c r="C70" s="332">
        <v>42825</v>
      </c>
      <c r="D70" s="333">
        <v>340.43</v>
      </c>
      <c r="E70" s="333">
        <v>0</v>
      </c>
      <c r="F70" s="334" t="s">
        <v>782</v>
      </c>
      <c r="G70" s="295" t="s">
        <v>1263</v>
      </c>
      <c r="H70" s="335" t="s">
        <v>784</v>
      </c>
      <c r="I70" s="295" t="s">
        <v>1264</v>
      </c>
      <c r="J70" s="295" t="s">
        <v>803</v>
      </c>
      <c r="K70" s="295" t="s">
        <v>787</v>
      </c>
      <c r="L70" s="299"/>
      <c r="M70" s="299"/>
      <c r="N70" s="299" t="s">
        <v>1265</v>
      </c>
      <c r="O70" s="320"/>
      <c r="P70" s="299"/>
      <c r="Q70" s="299"/>
      <c r="U70" s="295" t="s">
        <v>1266</v>
      </c>
      <c r="V70" s="295" t="s">
        <v>1266</v>
      </c>
      <c r="X70" s="332">
        <v>42831</v>
      </c>
      <c r="Y70" s="332">
        <v>42832</v>
      </c>
      <c r="AA70" s="332"/>
      <c r="AB70" s="295" t="s">
        <v>793</v>
      </c>
      <c r="AC70" s="295">
        <v>0</v>
      </c>
      <c r="AD70" s="295">
        <v>0</v>
      </c>
      <c r="AE70" s="295">
        <v>0</v>
      </c>
      <c r="AF70" s="295">
        <v>0</v>
      </c>
      <c r="AG70" s="295">
        <v>0</v>
      </c>
      <c r="AH70" s="295">
        <v>1</v>
      </c>
      <c r="AI70" s="295">
        <v>70255</v>
      </c>
      <c r="AJ70" s="295">
        <v>2195</v>
      </c>
      <c r="AK70" s="295">
        <v>0</v>
      </c>
      <c r="AL70" s="295">
        <v>0</v>
      </c>
      <c r="AO70" s="335"/>
      <c r="AP70" s="335"/>
      <c r="AQ70" s="295" t="str">
        <f t="shared" si="0"/>
        <v/>
      </c>
    </row>
    <row r="71" spans="2:43">
      <c r="B71" s="295" t="s">
        <v>1117</v>
      </c>
      <c r="C71" s="332">
        <v>42842</v>
      </c>
      <c r="D71" s="333">
        <v>349.11</v>
      </c>
      <c r="E71" s="333">
        <v>0</v>
      </c>
      <c r="F71" s="334" t="s">
        <v>782</v>
      </c>
      <c r="G71" s="295" t="s">
        <v>1267</v>
      </c>
      <c r="H71" s="335" t="s">
        <v>784</v>
      </c>
      <c r="I71" s="295" t="s">
        <v>785</v>
      </c>
      <c r="J71" s="295" t="s">
        <v>810</v>
      </c>
      <c r="K71" s="295" t="s">
        <v>787</v>
      </c>
      <c r="L71" s="299" t="s">
        <v>1119</v>
      </c>
      <c r="M71" s="299"/>
      <c r="N71" s="299" t="s">
        <v>1120</v>
      </c>
      <c r="O71" s="320">
        <v>42825</v>
      </c>
      <c r="P71" s="299" t="s">
        <v>1147</v>
      </c>
      <c r="Q71" s="336">
        <v>42795</v>
      </c>
      <c r="R71" s="295" t="s">
        <v>1235</v>
      </c>
      <c r="U71" s="295" t="s">
        <v>1268</v>
      </c>
      <c r="V71" s="295" t="s">
        <v>1269</v>
      </c>
      <c r="W71" s="295">
        <v>2111</v>
      </c>
      <c r="X71" s="332">
        <v>42842</v>
      </c>
      <c r="Y71" s="332">
        <v>42843</v>
      </c>
      <c r="Z71" s="295">
        <v>4358.3999999999996</v>
      </c>
      <c r="AA71" s="332">
        <v>42826</v>
      </c>
      <c r="AB71" s="295" t="s">
        <v>793</v>
      </c>
      <c r="AC71" s="295">
        <v>0</v>
      </c>
      <c r="AD71" s="295">
        <v>0</v>
      </c>
      <c r="AE71" s="295">
        <v>0</v>
      </c>
      <c r="AF71" s="295">
        <v>0</v>
      </c>
      <c r="AG71" s="295">
        <v>0</v>
      </c>
      <c r="AH71" s="295">
        <v>1</v>
      </c>
      <c r="AI71" s="295">
        <v>70255</v>
      </c>
      <c r="AJ71" s="295">
        <v>2195</v>
      </c>
      <c r="AK71" s="295">
        <v>0</v>
      </c>
      <c r="AL71" s="295">
        <v>0</v>
      </c>
      <c r="AO71" s="335"/>
      <c r="AP71" s="335"/>
      <c r="AQ71" s="295" t="str">
        <f t="shared" si="0"/>
        <v>VO04260246</v>
      </c>
    </row>
    <row r="72" spans="2:43">
      <c r="B72" s="295" t="s">
        <v>1117</v>
      </c>
      <c r="C72" s="332">
        <v>42855</v>
      </c>
      <c r="D72" s="333">
        <v>-25</v>
      </c>
      <c r="E72" s="333">
        <v>0</v>
      </c>
      <c r="F72" s="334" t="s">
        <v>782</v>
      </c>
      <c r="G72" s="295" t="s">
        <v>965</v>
      </c>
      <c r="H72" s="335" t="s">
        <v>784</v>
      </c>
      <c r="I72" s="295" t="s">
        <v>867</v>
      </c>
      <c r="J72" s="295" t="s">
        <v>803</v>
      </c>
      <c r="K72" s="295" t="s">
        <v>787</v>
      </c>
      <c r="L72" s="299"/>
      <c r="M72" s="299"/>
      <c r="N72" s="299" t="s">
        <v>1227</v>
      </c>
      <c r="O72" s="320"/>
      <c r="P72" s="299"/>
      <c r="Q72" s="299"/>
      <c r="U72" s="295" t="s">
        <v>962</v>
      </c>
      <c r="V72" s="295" t="s">
        <v>966</v>
      </c>
      <c r="X72" s="332">
        <v>42831</v>
      </c>
      <c r="Y72" s="332">
        <v>42831</v>
      </c>
      <c r="AA72" s="332"/>
      <c r="AB72" s="295" t="s">
        <v>793</v>
      </c>
      <c r="AC72" s="295">
        <v>0</v>
      </c>
      <c r="AD72" s="295">
        <v>0</v>
      </c>
      <c r="AE72" s="295">
        <v>0</v>
      </c>
      <c r="AF72" s="295">
        <v>0</v>
      </c>
      <c r="AG72" s="295">
        <v>5</v>
      </c>
      <c r="AH72" s="295">
        <v>1</v>
      </c>
      <c r="AI72" s="295">
        <v>70255</v>
      </c>
      <c r="AJ72" s="295">
        <v>2195</v>
      </c>
      <c r="AK72" s="295">
        <v>0</v>
      </c>
      <c r="AL72" s="295">
        <v>0</v>
      </c>
      <c r="AO72" s="335"/>
      <c r="AP72" s="335"/>
      <c r="AQ72" s="295" t="str">
        <f t="shared" si="0"/>
        <v/>
      </c>
    </row>
    <row r="73" spans="2:43">
      <c r="B73" s="295" t="s">
        <v>1117</v>
      </c>
      <c r="C73" s="332">
        <v>42855</v>
      </c>
      <c r="D73" s="333">
        <v>-277.22000000000003</v>
      </c>
      <c r="E73" s="333">
        <v>0</v>
      </c>
      <c r="F73" s="334" t="s">
        <v>782</v>
      </c>
      <c r="G73" s="295" t="s">
        <v>1270</v>
      </c>
      <c r="H73" s="335" t="s">
        <v>784</v>
      </c>
      <c r="I73" s="295" t="s">
        <v>1231</v>
      </c>
      <c r="J73" s="295" t="s">
        <v>856</v>
      </c>
      <c r="K73" s="295" t="s">
        <v>787</v>
      </c>
      <c r="L73" s="299"/>
      <c r="M73" s="299"/>
      <c r="N73" s="299" t="s">
        <v>1261</v>
      </c>
      <c r="O73" s="320"/>
      <c r="P73" s="299"/>
      <c r="Q73" s="299"/>
      <c r="U73" s="295" t="s">
        <v>1262</v>
      </c>
      <c r="V73" s="295" t="s">
        <v>1271</v>
      </c>
      <c r="X73" s="332">
        <v>42832</v>
      </c>
      <c r="Y73" s="332">
        <v>42832</v>
      </c>
      <c r="AA73" s="332"/>
      <c r="AB73" s="295" t="s">
        <v>793</v>
      </c>
      <c r="AC73" s="295">
        <v>0</v>
      </c>
      <c r="AD73" s="295">
        <v>0</v>
      </c>
      <c r="AE73" s="295">
        <v>0</v>
      </c>
      <c r="AF73" s="295">
        <v>0</v>
      </c>
      <c r="AG73" s="295">
        <v>5</v>
      </c>
      <c r="AH73" s="295">
        <v>1</v>
      </c>
      <c r="AI73" s="295">
        <v>70255</v>
      </c>
      <c r="AJ73" s="295">
        <v>2195</v>
      </c>
      <c r="AK73" s="295">
        <v>0</v>
      </c>
      <c r="AL73" s="295">
        <v>0</v>
      </c>
      <c r="AO73" s="335"/>
      <c r="AP73" s="335"/>
      <c r="AQ73" s="295" t="str">
        <f t="shared" si="0"/>
        <v/>
      </c>
    </row>
    <row r="74" spans="2:43">
      <c r="B74" s="295" t="s">
        <v>1117</v>
      </c>
      <c r="C74" s="332">
        <v>42855</v>
      </c>
      <c r="D74" s="333">
        <v>-340.43</v>
      </c>
      <c r="E74" s="333">
        <v>0</v>
      </c>
      <c r="F74" s="334" t="s">
        <v>782</v>
      </c>
      <c r="G74" s="295" t="s">
        <v>1272</v>
      </c>
      <c r="H74" s="335" t="s">
        <v>784</v>
      </c>
      <c r="I74" s="295" t="s">
        <v>1264</v>
      </c>
      <c r="J74" s="295" t="s">
        <v>856</v>
      </c>
      <c r="K74" s="295" t="s">
        <v>787</v>
      </c>
      <c r="L74" s="299"/>
      <c r="M74" s="299"/>
      <c r="N74" s="299" t="s">
        <v>1265</v>
      </c>
      <c r="O74" s="320"/>
      <c r="P74" s="299"/>
      <c r="Q74" s="299"/>
      <c r="U74" s="295" t="s">
        <v>1266</v>
      </c>
      <c r="V74" s="295" t="s">
        <v>1273</v>
      </c>
      <c r="X74" s="332">
        <v>42832</v>
      </c>
      <c r="Y74" s="332">
        <v>42832</v>
      </c>
      <c r="AA74" s="332"/>
      <c r="AB74" s="295" t="s">
        <v>793</v>
      </c>
      <c r="AC74" s="295">
        <v>0</v>
      </c>
      <c r="AD74" s="295">
        <v>0</v>
      </c>
      <c r="AE74" s="295">
        <v>0</v>
      </c>
      <c r="AF74" s="295">
        <v>0</v>
      </c>
      <c r="AG74" s="295">
        <v>5</v>
      </c>
      <c r="AH74" s="295">
        <v>1</v>
      </c>
      <c r="AI74" s="295">
        <v>70255</v>
      </c>
      <c r="AJ74" s="295">
        <v>2195</v>
      </c>
      <c r="AK74" s="295">
        <v>0</v>
      </c>
      <c r="AL74" s="295">
        <v>0</v>
      </c>
      <c r="AO74" s="335"/>
      <c r="AP74" s="335"/>
      <c r="AQ74" s="295" t="str">
        <f t="shared" si="0"/>
        <v/>
      </c>
    </row>
    <row r="75" spans="2:43">
      <c r="B75" s="295" t="s">
        <v>1117</v>
      </c>
      <c r="C75" s="332">
        <v>42855</v>
      </c>
      <c r="D75" s="333">
        <v>25</v>
      </c>
      <c r="E75" s="333">
        <v>0</v>
      </c>
      <c r="F75" s="334" t="s">
        <v>782</v>
      </c>
      <c r="G75" s="295" t="s">
        <v>967</v>
      </c>
      <c r="H75" s="335" t="s">
        <v>784</v>
      </c>
      <c r="I75" s="295" t="s">
        <v>968</v>
      </c>
      <c r="J75" s="295" t="s">
        <v>796</v>
      </c>
      <c r="K75" s="295" t="s">
        <v>787</v>
      </c>
      <c r="L75" s="299"/>
      <c r="M75" s="299"/>
      <c r="N75" s="299" t="s">
        <v>1227</v>
      </c>
      <c r="O75" s="320"/>
      <c r="P75" s="299"/>
      <c r="Q75" s="299"/>
      <c r="U75" s="295" t="s">
        <v>969</v>
      </c>
      <c r="V75" s="295" t="s">
        <v>969</v>
      </c>
      <c r="X75" s="332">
        <v>42857</v>
      </c>
      <c r="Y75" s="332">
        <v>42858</v>
      </c>
      <c r="AA75" s="332"/>
      <c r="AB75" s="295" t="s">
        <v>793</v>
      </c>
      <c r="AC75" s="295">
        <v>0</v>
      </c>
      <c r="AD75" s="295">
        <v>0</v>
      </c>
      <c r="AE75" s="295">
        <v>0</v>
      </c>
      <c r="AF75" s="295">
        <v>0</v>
      </c>
      <c r="AG75" s="295">
        <v>0</v>
      </c>
      <c r="AH75" s="295">
        <v>1</v>
      </c>
      <c r="AI75" s="295">
        <v>70255</v>
      </c>
      <c r="AJ75" s="295">
        <v>2195</v>
      </c>
      <c r="AK75" s="295">
        <v>0</v>
      </c>
      <c r="AL75" s="295">
        <v>0</v>
      </c>
      <c r="AO75" s="335"/>
      <c r="AP75" s="335"/>
      <c r="AQ75" s="295" t="str">
        <f t="shared" si="0"/>
        <v/>
      </c>
    </row>
    <row r="76" spans="2:43">
      <c r="B76" s="295" t="s">
        <v>1117</v>
      </c>
      <c r="C76" s="332">
        <v>42855</v>
      </c>
      <c r="D76" s="333">
        <v>277.22000000000003</v>
      </c>
      <c r="E76" s="333">
        <v>0</v>
      </c>
      <c r="F76" s="334" t="s">
        <v>782</v>
      </c>
      <c r="G76" s="295" t="s">
        <v>1274</v>
      </c>
      <c r="H76" s="335" t="s">
        <v>784</v>
      </c>
      <c r="I76" s="295" t="s">
        <v>1196</v>
      </c>
      <c r="J76" s="295" t="s">
        <v>796</v>
      </c>
      <c r="K76" s="295" t="s">
        <v>787</v>
      </c>
      <c r="L76" s="299"/>
      <c r="M76" s="299"/>
      <c r="N76" s="299" t="s">
        <v>1275</v>
      </c>
      <c r="O76" s="320"/>
      <c r="P76" s="299"/>
      <c r="Q76" s="299"/>
      <c r="U76" s="295" t="s">
        <v>1276</v>
      </c>
      <c r="V76" s="295" t="s">
        <v>1276</v>
      </c>
      <c r="X76" s="332">
        <v>42859</v>
      </c>
      <c r="Y76" s="332">
        <v>42859</v>
      </c>
      <c r="AA76" s="332"/>
      <c r="AB76" s="295" t="s">
        <v>793</v>
      </c>
      <c r="AC76" s="295">
        <v>0</v>
      </c>
      <c r="AD76" s="295">
        <v>0</v>
      </c>
      <c r="AE76" s="295">
        <v>0</v>
      </c>
      <c r="AF76" s="295">
        <v>0</v>
      </c>
      <c r="AG76" s="295">
        <v>0</v>
      </c>
      <c r="AH76" s="295">
        <v>1</v>
      </c>
      <c r="AI76" s="295">
        <v>70255</v>
      </c>
      <c r="AJ76" s="295">
        <v>2195</v>
      </c>
      <c r="AK76" s="295">
        <v>0</v>
      </c>
      <c r="AL76" s="295">
        <v>0</v>
      </c>
      <c r="AO76" s="335"/>
      <c r="AP76" s="335"/>
      <c r="AQ76" s="295" t="str">
        <f t="shared" si="0"/>
        <v/>
      </c>
    </row>
    <row r="77" spans="2:43">
      <c r="B77" s="295" t="s">
        <v>1117</v>
      </c>
      <c r="C77" s="332">
        <v>42855</v>
      </c>
      <c r="D77" s="333">
        <v>340.43</v>
      </c>
      <c r="E77" s="333">
        <v>0</v>
      </c>
      <c r="F77" s="334" t="s">
        <v>782</v>
      </c>
      <c r="G77" s="295" t="s">
        <v>1277</v>
      </c>
      <c r="H77" s="335" t="s">
        <v>784</v>
      </c>
      <c r="I77" s="295" t="s">
        <v>1278</v>
      </c>
      <c r="J77" s="295" t="s">
        <v>796</v>
      </c>
      <c r="K77" s="295" t="s">
        <v>787</v>
      </c>
      <c r="L77" s="299"/>
      <c r="M77" s="299"/>
      <c r="N77" s="299" t="s">
        <v>1265</v>
      </c>
      <c r="O77" s="320"/>
      <c r="P77" s="299"/>
      <c r="Q77" s="299"/>
      <c r="U77" s="295" t="s">
        <v>1279</v>
      </c>
      <c r="V77" s="295" t="s">
        <v>1279</v>
      </c>
      <c r="X77" s="332">
        <v>42859</v>
      </c>
      <c r="Y77" s="332">
        <v>42860</v>
      </c>
      <c r="AA77" s="332"/>
      <c r="AB77" s="295" t="s">
        <v>793</v>
      </c>
      <c r="AC77" s="295">
        <v>0</v>
      </c>
      <c r="AD77" s="295">
        <v>0</v>
      </c>
      <c r="AE77" s="295">
        <v>0</v>
      </c>
      <c r="AF77" s="295">
        <v>0</v>
      </c>
      <c r="AG77" s="295">
        <v>0</v>
      </c>
      <c r="AH77" s="295">
        <v>1</v>
      </c>
      <c r="AI77" s="295">
        <v>70255</v>
      </c>
      <c r="AJ77" s="295">
        <v>2195</v>
      </c>
      <c r="AK77" s="295">
        <v>0</v>
      </c>
      <c r="AL77" s="295">
        <v>0</v>
      </c>
      <c r="AO77" s="335"/>
      <c r="AP77" s="335"/>
      <c r="AQ77" s="295" t="str">
        <f t="shared" si="0"/>
        <v/>
      </c>
    </row>
    <row r="78" spans="2:43">
      <c r="B78" s="295" t="s">
        <v>1117</v>
      </c>
      <c r="C78" s="332">
        <v>42855</v>
      </c>
      <c r="D78" s="333">
        <v>338.35</v>
      </c>
      <c r="E78" s="333">
        <v>0</v>
      </c>
      <c r="F78" s="334" t="s">
        <v>782</v>
      </c>
      <c r="G78" s="295" t="s">
        <v>1280</v>
      </c>
      <c r="H78" s="335" t="s">
        <v>784</v>
      </c>
      <c r="I78" s="295" t="s">
        <v>1231</v>
      </c>
      <c r="J78" s="295" t="s">
        <v>796</v>
      </c>
      <c r="K78" s="295" t="s">
        <v>787</v>
      </c>
      <c r="L78" s="299"/>
      <c r="M78" s="299"/>
      <c r="N78" s="299" t="s">
        <v>1281</v>
      </c>
      <c r="O78" s="320"/>
      <c r="P78" s="299"/>
      <c r="Q78" s="299"/>
      <c r="U78" s="295" t="s">
        <v>1282</v>
      </c>
      <c r="V78" s="295" t="s">
        <v>1282</v>
      </c>
      <c r="X78" s="332">
        <v>42859</v>
      </c>
      <c r="Y78" s="332">
        <v>42860</v>
      </c>
      <c r="AA78" s="332"/>
      <c r="AB78" s="295" t="s">
        <v>793</v>
      </c>
      <c r="AC78" s="295">
        <v>0</v>
      </c>
      <c r="AD78" s="295">
        <v>0</v>
      </c>
      <c r="AE78" s="295">
        <v>0</v>
      </c>
      <c r="AF78" s="295">
        <v>0</v>
      </c>
      <c r="AG78" s="295">
        <v>0</v>
      </c>
      <c r="AH78" s="295">
        <v>1</v>
      </c>
      <c r="AI78" s="295">
        <v>70255</v>
      </c>
      <c r="AJ78" s="295">
        <v>2195</v>
      </c>
      <c r="AK78" s="295">
        <v>0</v>
      </c>
      <c r="AL78" s="295">
        <v>0</v>
      </c>
      <c r="AO78" s="335"/>
      <c r="AP78" s="335"/>
      <c r="AQ78" s="295" t="str">
        <f t="shared" si="0"/>
        <v/>
      </c>
    </row>
    <row r="79" spans="2:43">
      <c r="B79" s="295" t="s">
        <v>1117</v>
      </c>
      <c r="C79" s="332">
        <v>42873</v>
      </c>
      <c r="D79" s="333">
        <v>349.11</v>
      </c>
      <c r="E79" s="333">
        <v>0</v>
      </c>
      <c r="F79" s="334" t="s">
        <v>782</v>
      </c>
      <c r="G79" s="295" t="s">
        <v>1283</v>
      </c>
      <c r="H79" s="335" t="s">
        <v>784</v>
      </c>
      <c r="I79" s="295" t="s">
        <v>785</v>
      </c>
      <c r="J79" s="295" t="s">
        <v>810</v>
      </c>
      <c r="K79" s="295" t="s">
        <v>787</v>
      </c>
      <c r="L79" s="299" t="s">
        <v>1119</v>
      </c>
      <c r="M79" s="299"/>
      <c r="N79" s="299" t="s">
        <v>1120</v>
      </c>
      <c r="O79" s="320">
        <v>42855</v>
      </c>
      <c r="P79" s="299" t="s">
        <v>1147</v>
      </c>
      <c r="Q79" s="336">
        <v>42826</v>
      </c>
      <c r="R79" s="295" t="s">
        <v>1235</v>
      </c>
      <c r="U79" s="295" t="s">
        <v>1284</v>
      </c>
      <c r="V79" s="295" t="s">
        <v>1285</v>
      </c>
      <c r="W79" s="295">
        <v>2111</v>
      </c>
      <c r="X79" s="332">
        <v>42873</v>
      </c>
      <c r="Y79" s="332">
        <v>42874</v>
      </c>
      <c r="Z79" s="295">
        <v>4358.3999999999996</v>
      </c>
      <c r="AA79" s="332">
        <v>42856</v>
      </c>
      <c r="AB79" s="295" t="s">
        <v>793</v>
      </c>
      <c r="AC79" s="295">
        <v>0</v>
      </c>
      <c r="AD79" s="295">
        <v>0</v>
      </c>
      <c r="AE79" s="295">
        <v>0</v>
      </c>
      <c r="AF79" s="295">
        <v>0</v>
      </c>
      <c r="AG79" s="295">
        <v>0</v>
      </c>
      <c r="AH79" s="295">
        <v>1</v>
      </c>
      <c r="AI79" s="295">
        <v>70255</v>
      </c>
      <c r="AJ79" s="295">
        <v>2195</v>
      </c>
      <c r="AK79" s="295">
        <v>0</v>
      </c>
      <c r="AL79" s="295">
        <v>0</v>
      </c>
      <c r="AO79" s="335"/>
      <c r="AP79" s="335"/>
      <c r="AQ79" s="295" t="str">
        <f t="shared" si="0"/>
        <v>VO04295105</v>
      </c>
    </row>
    <row r="80" spans="2:43">
      <c r="B80" s="295" t="s">
        <v>1117</v>
      </c>
      <c r="C80" s="332">
        <v>42886</v>
      </c>
      <c r="D80" s="333">
        <v>-340.43</v>
      </c>
      <c r="E80" s="333">
        <v>0</v>
      </c>
      <c r="F80" s="334" t="s">
        <v>782</v>
      </c>
      <c r="G80" s="295" t="s">
        <v>1286</v>
      </c>
      <c r="H80" s="335" t="s">
        <v>784</v>
      </c>
      <c r="I80" s="295" t="s">
        <v>1278</v>
      </c>
      <c r="J80" s="295" t="s">
        <v>856</v>
      </c>
      <c r="K80" s="295" t="s">
        <v>787</v>
      </c>
      <c r="L80" s="299"/>
      <c r="M80" s="299"/>
      <c r="N80" s="299" t="s">
        <v>1265</v>
      </c>
      <c r="O80" s="320"/>
      <c r="P80" s="299"/>
      <c r="Q80" s="299"/>
      <c r="U80" s="295" t="s">
        <v>1279</v>
      </c>
      <c r="V80" s="295" t="s">
        <v>1287</v>
      </c>
      <c r="X80" s="332">
        <v>42860</v>
      </c>
      <c r="Y80" s="332">
        <v>42860</v>
      </c>
      <c r="AA80" s="332"/>
      <c r="AB80" s="295" t="s">
        <v>793</v>
      </c>
      <c r="AC80" s="295">
        <v>0</v>
      </c>
      <c r="AD80" s="295">
        <v>0</v>
      </c>
      <c r="AE80" s="295">
        <v>0</v>
      </c>
      <c r="AF80" s="295">
        <v>0</v>
      </c>
      <c r="AG80" s="295">
        <v>5</v>
      </c>
      <c r="AH80" s="295">
        <v>1</v>
      </c>
      <c r="AI80" s="295">
        <v>70255</v>
      </c>
      <c r="AJ80" s="295">
        <v>2195</v>
      </c>
      <c r="AK80" s="295">
        <v>0</v>
      </c>
      <c r="AL80" s="295">
        <v>0</v>
      </c>
      <c r="AO80" s="335"/>
      <c r="AP80" s="335"/>
      <c r="AQ80" s="295" t="str">
        <f t="shared" si="0"/>
        <v/>
      </c>
    </row>
    <row r="81" spans="2:43">
      <c r="B81" s="295" t="s">
        <v>1117</v>
      </c>
      <c r="C81" s="332">
        <v>42886</v>
      </c>
      <c r="D81" s="333">
        <v>-338.35</v>
      </c>
      <c r="E81" s="333">
        <v>0</v>
      </c>
      <c r="F81" s="334" t="s">
        <v>782</v>
      </c>
      <c r="G81" s="295" t="s">
        <v>1288</v>
      </c>
      <c r="H81" s="335" t="s">
        <v>784</v>
      </c>
      <c r="I81" s="295" t="s">
        <v>1231</v>
      </c>
      <c r="J81" s="295" t="s">
        <v>856</v>
      </c>
      <c r="K81" s="295" t="s">
        <v>787</v>
      </c>
      <c r="L81" s="299"/>
      <c r="M81" s="299"/>
      <c r="N81" s="299" t="s">
        <v>1281</v>
      </c>
      <c r="O81" s="320"/>
      <c r="P81" s="299"/>
      <c r="Q81" s="299"/>
      <c r="U81" s="295" t="s">
        <v>1282</v>
      </c>
      <c r="V81" s="295" t="s">
        <v>1289</v>
      </c>
      <c r="X81" s="332">
        <v>42860</v>
      </c>
      <c r="Y81" s="332">
        <v>42860</v>
      </c>
      <c r="AA81" s="332"/>
      <c r="AB81" s="295" t="s">
        <v>793</v>
      </c>
      <c r="AC81" s="295">
        <v>0</v>
      </c>
      <c r="AD81" s="295">
        <v>0</v>
      </c>
      <c r="AE81" s="295">
        <v>0</v>
      </c>
      <c r="AF81" s="295">
        <v>0</v>
      </c>
      <c r="AG81" s="295">
        <v>5</v>
      </c>
      <c r="AH81" s="295">
        <v>1</v>
      </c>
      <c r="AI81" s="295">
        <v>70255</v>
      </c>
      <c r="AJ81" s="295">
        <v>2195</v>
      </c>
      <c r="AK81" s="295">
        <v>0</v>
      </c>
      <c r="AL81" s="295">
        <v>0</v>
      </c>
      <c r="AO81" s="335"/>
      <c r="AP81" s="335"/>
      <c r="AQ81" s="295" t="str">
        <f t="shared" si="0"/>
        <v/>
      </c>
    </row>
    <row r="82" spans="2:43">
      <c r="B82" s="295" t="s">
        <v>1117</v>
      </c>
      <c r="C82" s="332">
        <v>42886</v>
      </c>
      <c r="D82" s="333">
        <v>338.35</v>
      </c>
      <c r="E82" s="333">
        <v>0</v>
      </c>
      <c r="F82" s="334" t="s">
        <v>782</v>
      </c>
      <c r="G82" s="295" t="s">
        <v>1290</v>
      </c>
      <c r="H82" s="335" t="s">
        <v>784</v>
      </c>
      <c r="I82" s="295" t="s">
        <v>1196</v>
      </c>
      <c r="J82" s="295" t="s">
        <v>796</v>
      </c>
      <c r="K82" s="295" t="s">
        <v>787</v>
      </c>
      <c r="L82" s="299"/>
      <c r="M82" s="299"/>
      <c r="N82" s="299" t="s">
        <v>1291</v>
      </c>
      <c r="O82" s="320"/>
      <c r="P82" s="299"/>
      <c r="Q82" s="299"/>
      <c r="U82" s="295" t="s">
        <v>1292</v>
      </c>
      <c r="V82" s="295" t="s">
        <v>1292</v>
      </c>
      <c r="X82" s="332">
        <v>42892</v>
      </c>
      <c r="Y82" s="332">
        <v>42893</v>
      </c>
      <c r="AA82" s="332"/>
      <c r="AB82" s="295" t="s">
        <v>793</v>
      </c>
      <c r="AC82" s="295">
        <v>0</v>
      </c>
      <c r="AD82" s="295">
        <v>0</v>
      </c>
      <c r="AE82" s="295">
        <v>0</v>
      </c>
      <c r="AF82" s="295">
        <v>0</v>
      </c>
      <c r="AG82" s="295">
        <v>0</v>
      </c>
      <c r="AH82" s="295">
        <v>1</v>
      </c>
      <c r="AI82" s="295">
        <v>70255</v>
      </c>
      <c r="AJ82" s="295">
        <v>2195</v>
      </c>
      <c r="AK82" s="295">
        <v>0</v>
      </c>
      <c r="AL82" s="295">
        <v>0</v>
      </c>
      <c r="AO82" s="335"/>
      <c r="AP82" s="335"/>
      <c r="AQ82" s="295" t="str">
        <f t="shared" si="0"/>
        <v/>
      </c>
    </row>
    <row r="83" spans="2:43">
      <c r="B83" s="295" t="s">
        <v>1117</v>
      </c>
      <c r="C83" s="332">
        <v>42886</v>
      </c>
      <c r="D83" s="333">
        <v>340.43</v>
      </c>
      <c r="E83" s="333">
        <v>0</v>
      </c>
      <c r="F83" s="334" t="s">
        <v>782</v>
      </c>
      <c r="G83" s="295" t="s">
        <v>1293</v>
      </c>
      <c r="H83" s="335" t="s">
        <v>784</v>
      </c>
      <c r="I83" s="295" t="s">
        <v>1294</v>
      </c>
      <c r="J83" s="295" t="s">
        <v>796</v>
      </c>
      <c r="K83" s="295" t="s">
        <v>787</v>
      </c>
      <c r="L83" s="299"/>
      <c r="M83" s="299"/>
      <c r="N83" s="299" t="s">
        <v>1265</v>
      </c>
      <c r="O83" s="320"/>
      <c r="P83" s="299"/>
      <c r="Q83" s="299"/>
      <c r="U83" s="295" t="s">
        <v>1295</v>
      </c>
      <c r="V83" s="295" t="s">
        <v>1295</v>
      </c>
      <c r="X83" s="332">
        <v>42892</v>
      </c>
      <c r="Y83" s="332">
        <v>42893</v>
      </c>
      <c r="AA83" s="332"/>
      <c r="AB83" s="295" t="s">
        <v>793</v>
      </c>
      <c r="AC83" s="295">
        <v>0</v>
      </c>
      <c r="AD83" s="295">
        <v>0</v>
      </c>
      <c r="AE83" s="295">
        <v>0</v>
      </c>
      <c r="AF83" s="295">
        <v>0</v>
      </c>
      <c r="AG83" s="295">
        <v>0</v>
      </c>
      <c r="AH83" s="295">
        <v>1</v>
      </c>
      <c r="AI83" s="295">
        <v>70255</v>
      </c>
      <c r="AJ83" s="295">
        <v>2195</v>
      </c>
      <c r="AK83" s="295">
        <v>0</v>
      </c>
      <c r="AL83" s="295">
        <v>0</v>
      </c>
      <c r="AO83" s="335"/>
      <c r="AP83" s="335"/>
      <c r="AQ83" s="295" t="str">
        <f t="shared" si="0"/>
        <v/>
      </c>
    </row>
    <row r="84" spans="2:43">
      <c r="B84" s="295" t="s">
        <v>1117</v>
      </c>
      <c r="C84" s="332">
        <v>42886</v>
      </c>
      <c r="D84" s="333">
        <v>311.87</v>
      </c>
      <c r="E84" s="333">
        <v>0</v>
      </c>
      <c r="F84" s="334" t="s">
        <v>782</v>
      </c>
      <c r="G84" s="295" t="s">
        <v>1296</v>
      </c>
      <c r="H84" s="335" t="s">
        <v>784</v>
      </c>
      <c r="I84" s="295" t="s">
        <v>1231</v>
      </c>
      <c r="J84" s="295" t="s">
        <v>856</v>
      </c>
      <c r="K84" s="295" t="s">
        <v>787</v>
      </c>
      <c r="L84" s="299"/>
      <c r="M84" s="299"/>
      <c r="N84" s="299" t="s">
        <v>1297</v>
      </c>
      <c r="O84" s="320"/>
      <c r="P84" s="299"/>
      <c r="Q84" s="299"/>
      <c r="U84" s="295" t="s">
        <v>1298</v>
      </c>
      <c r="V84" s="295" t="s">
        <v>1298</v>
      </c>
      <c r="X84" s="332">
        <v>42893</v>
      </c>
      <c r="Y84" s="332">
        <v>42893</v>
      </c>
      <c r="AA84" s="332"/>
      <c r="AB84" s="295" t="s">
        <v>793</v>
      </c>
      <c r="AC84" s="295">
        <v>0</v>
      </c>
      <c r="AD84" s="295">
        <v>0</v>
      </c>
      <c r="AE84" s="295">
        <v>0</v>
      </c>
      <c r="AF84" s="295">
        <v>0</v>
      </c>
      <c r="AG84" s="295">
        <v>0</v>
      </c>
      <c r="AH84" s="295">
        <v>1</v>
      </c>
      <c r="AI84" s="295">
        <v>70255</v>
      </c>
      <c r="AJ84" s="295">
        <v>2195</v>
      </c>
      <c r="AK84" s="295">
        <v>0</v>
      </c>
      <c r="AL84" s="295">
        <v>0</v>
      </c>
      <c r="AO84" s="335"/>
      <c r="AP84" s="335"/>
      <c r="AQ84" s="295" t="str">
        <f t="shared" si="0"/>
        <v/>
      </c>
    </row>
    <row r="85" spans="2:43">
      <c r="B85" s="295" t="s">
        <v>1117</v>
      </c>
      <c r="C85" s="332">
        <v>42900</v>
      </c>
      <c r="D85" s="333">
        <v>349.11</v>
      </c>
      <c r="E85" s="333">
        <v>0</v>
      </c>
      <c r="F85" s="334" t="s">
        <v>782</v>
      </c>
      <c r="G85" s="295" t="s">
        <v>1299</v>
      </c>
      <c r="H85" s="335" t="s">
        <v>784</v>
      </c>
      <c r="I85" s="295" t="s">
        <v>785</v>
      </c>
      <c r="J85" s="295" t="s">
        <v>810</v>
      </c>
      <c r="K85" s="295" t="s">
        <v>787</v>
      </c>
      <c r="L85" s="299" t="s">
        <v>1119</v>
      </c>
      <c r="M85" s="299"/>
      <c r="N85" s="299" t="s">
        <v>1120</v>
      </c>
      <c r="O85" s="320">
        <v>42886</v>
      </c>
      <c r="P85" s="299" t="s">
        <v>1147</v>
      </c>
      <c r="Q85" s="336">
        <v>42856</v>
      </c>
      <c r="R85" s="295" t="s">
        <v>1235</v>
      </c>
      <c r="U85" s="295" t="s">
        <v>1300</v>
      </c>
      <c r="V85" s="295" t="s">
        <v>1301</v>
      </c>
      <c r="W85" s="295">
        <v>2111</v>
      </c>
      <c r="X85" s="332">
        <v>42900</v>
      </c>
      <c r="Y85" s="332">
        <v>42900</v>
      </c>
      <c r="Z85" s="295">
        <v>4358.3999999999996</v>
      </c>
      <c r="AA85" s="332">
        <v>42887</v>
      </c>
      <c r="AB85" s="295" t="s">
        <v>793</v>
      </c>
      <c r="AC85" s="295">
        <v>0</v>
      </c>
      <c r="AD85" s="295">
        <v>0</v>
      </c>
      <c r="AE85" s="295">
        <v>0</v>
      </c>
      <c r="AF85" s="295">
        <v>0</v>
      </c>
      <c r="AG85" s="295">
        <v>0</v>
      </c>
      <c r="AH85" s="295">
        <v>1</v>
      </c>
      <c r="AI85" s="295">
        <v>70255</v>
      </c>
      <c r="AJ85" s="295">
        <v>2195</v>
      </c>
      <c r="AK85" s="295">
        <v>0</v>
      </c>
      <c r="AL85" s="295">
        <v>0</v>
      </c>
      <c r="AO85" s="335"/>
      <c r="AP85" s="335"/>
      <c r="AQ85" s="295" t="str">
        <f t="shared" ref="AQ85:AQ90" si="1">IF(LEFT(U85,2)="VO",U85,"")</f>
        <v>VO04317833</v>
      </c>
    </row>
    <row r="86" spans="2:43">
      <c r="B86" s="295" t="s">
        <v>1117</v>
      </c>
      <c r="C86" s="332">
        <v>42916</v>
      </c>
      <c r="D86" s="333">
        <v>-340.43</v>
      </c>
      <c r="E86" s="333">
        <v>0</v>
      </c>
      <c r="F86" s="334" t="s">
        <v>782</v>
      </c>
      <c r="G86" s="295" t="s">
        <v>1302</v>
      </c>
      <c r="H86" s="335" t="s">
        <v>784</v>
      </c>
      <c r="I86" s="295" t="s">
        <v>1294</v>
      </c>
      <c r="J86" s="295" t="s">
        <v>796</v>
      </c>
      <c r="K86" s="295" t="s">
        <v>787</v>
      </c>
      <c r="L86" s="299"/>
      <c r="M86" s="299"/>
      <c r="N86" s="299" t="s">
        <v>1265</v>
      </c>
      <c r="O86" s="320"/>
      <c r="P86" s="299"/>
      <c r="Q86" s="299"/>
      <c r="U86" s="295" t="s">
        <v>1295</v>
      </c>
      <c r="V86" s="295" t="s">
        <v>1303</v>
      </c>
      <c r="X86" s="332">
        <v>42893</v>
      </c>
      <c r="Y86" s="332">
        <v>42893</v>
      </c>
      <c r="AA86" s="332"/>
      <c r="AB86" s="295" t="s">
        <v>793</v>
      </c>
      <c r="AC86" s="295">
        <v>0</v>
      </c>
      <c r="AD86" s="295">
        <v>0</v>
      </c>
      <c r="AE86" s="295">
        <v>0</v>
      </c>
      <c r="AF86" s="295">
        <v>0</v>
      </c>
      <c r="AG86" s="295">
        <v>5</v>
      </c>
      <c r="AH86" s="295">
        <v>1</v>
      </c>
      <c r="AI86" s="295">
        <v>70255</v>
      </c>
      <c r="AJ86" s="295">
        <v>2195</v>
      </c>
      <c r="AK86" s="295">
        <v>0</v>
      </c>
      <c r="AL86" s="295">
        <v>0</v>
      </c>
      <c r="AO86" s="335"/>
      <c r="AP86" s="335"/>
      <c r="AQ86" s="295" t="str">
        <f t="shared" si="1"/>
        <v/>
      </c>
    </row>
    <row r="87" spans="2:43">
      <c r="B87" s="295" t="s">
        <v>1117</v>
      </c>
      <c r="C87" s="332">
        <v>42916</v>
      </c>
      <c r="D87" s="333">
        <v>-311.87</v>
      </c>
      <c r="E87" s="333">
        <v>0</v>
      </c>
      <c r="F87" s="334" t="s">
        <v>782</v>
      </c>
      <c r="G87" s="295" t="s">
        <v>1304</v>
      </c>
      <c r="H87" s="335" t="s">
        <v>784</v>
      </c>
      <c r="I87" s="295" t="s">
        <v>1231</v>
      </c>
      <c r="J87" s="295" t="s">
        <v>796</v>
      </c>
      <c r="K87" s="295" t="s">
        <v>787</v>
      </c>
      <c r="L87" s="299"/>
      <c r="M87" s="299"/>
      <c r="N87" s="299" t="s">
        <v>1297</v>
      </c>
      <c r="O87" s="320"/>
      <c r="P87" s="299"/>
      <c r="Q87" s="299"/>
      <c r="U87" s="295" t="s">
        <v>1298</v>
      </c>
      <c r="V87" s="295" t="s">
        <v>1305</v>
      </c>
      <c r="X87" s="332">
        <v>42893</v>
      </c>
      <c r="Y87" s="332">
        <v>42893</v>
      </c>
      <c r="AA87" s="332"/>
      <c r="AB87" s="295" t="s">
        <v>793</v>
      </c>
      <c r="AC87" s="295">
        <v>0</v>
      </c>
      <c r="AD87" s="295">
        <v>0</v>
      </c>
      <c r="AE87" s="295">
        <v>0</v>
      </c>
      <c r="AF87" s="295">
        <v>0</v>
      </c>
      <c r="AG87" s="295">
        <v>5</v>
      </c>
      <c r="AH87" s="295">
        <v>1</v>
      </c>
      <c r="AI87" s="295">
        <v>70255</v>
      </c>
      <c r="AJ87" s="295">
        <v>2195</v>
      </c>
      <c r="AK87" s="295">
        <v>0</v>
      </c>
      <c r="AL87" s="295">
        <v>0</v>
      </c>
      <c r="AO87" s="335"/>
      <c r="AP87" s="335"/>
      <c r="AQ87" s="295" t="str">
        <f t="shared" si="1"/>
        <v/>
      </c>
    </row>
    <row r="88" spans="2:43">
      <c r="B88" s="295" t="s">
        <v>1117</v>
      </c>
      <c r="C88" s="332">
        <v>42916</v>
      </c>
      <c r="D88" s="333">
        <v>311.87</v>
      </c>
      <c r="E88" s="333">
        <v>0</v>
      </c>
      <c r="F88" s="334" t="s">
        <v>782</v>
      </c>
      <c r="G88" s="295" t="s">
        <v>1306</v>
      </c>
      <c r="H88" s="335" t="s">
        <v>784</v>
      </c>
      <c r="I88" s="295" t="s">
        <v>1196</v>
      </c>
      <c r="J88" s="295" t="s">
        <v>796</v>
      </c>
      <c r="K88" s="295" t="s">
        <v>787</v>
      </c>
      <c r="L88" s="299"/>
      <c r="M88" s="299"/>
      <c r="N88" s="299" t="s">
        <v>1307</v>
      </c>
      <c r="O88" s="320"/>
      <c r="P88" s="299"/>
      <c r="Q88" s="299"/>
      <c r="U88" s="295" t="s">
        <v>1308</v>
      </c>
      <c r="V88" s="295" t="s">
        <v>1308</v>
      </c>
      <c r="X88" s="332">
        <v>42922</v>
      </c>
      <c r="Y88" s="332">
        <v>42923</v>
      </c>
      <c r="AA88" s="332"/>
      <c r="AB88" s="295" t="s">
        <v>793</v>
      </c>
      <c r="AC88" s="295">
        <v>0</v>
      </c>
      <c r="AD88" s="295">
        <v>0</v>
      </c>
      <c r="AE88" s="295">
        <v>0</v>
      </c>
      <c r="AF88" s="295">
        <v>0</v>
      </c>
      <c r="AG88" s="295">
        <v>0</v>
      </c>
      <c r="AH88" s="295">
        <v>1</v>
      </c>
      <c r="AI88" s="295">
        <v>70255</v>
      </c>
      <c r="AJ88" s="295">
        <v>2195</v>
      </c>
      <c r="AK88" s="295">
        <v>0</v>
      </c>
      <c r="AL88" s="295">
        <v>0</v>
      </c>
      <c r="AO88" s="335"/>
      <c r="AP88" s="335"/>
      <c r="AQ88" s="295" t="str">
        <f t="shared" si="1"/>
        <v/>
      </c>
    </row>
    <row r="89" spans="2:43">
      <c r="B89" s="295" t="s">
        <v>1117</v>
      </c>
      <c r="C89" s="332">
        <v>42916</v>
      </c>
      <c r="D89" s="333">
        <v>70.14</v>
      </c>
      <c r="E89" s="333">
        <v>0</v>
      </c>
      <c r="F89" s="334" t="s">
        <v>782</v>
      </c>
      <c r="G89" s="295" t="s">
        <v>1309</v>
      </c>
      <c r="H89" s="335" t="s">
        <v>784</v>
      </c>
      <c r="I89" s="295" t="s">
        <v>1231</v>
      </c>
      <c r="J89" s="295" t="s">
        <v>856</v>
      </c>
      <c r="K89" s="295" t="s">
        <v>787</v>
      </c>
      <c r="L89" s="299"/>
      <c r="M89" s="299"/>
      <c r="N89" s="299" t="s">
        <v>1310</v>
      </c>
      <c r="O89" s="320"/>
      <c r="P89" s="299"/>
      <c r="Q89" s="299"/>
      <c r="U89" s="295" t="s">
        <v>1311</v>
      </c>
      <c r="V89" s="295" t="s">
        <v>1311</v>
      </c>
      <c r="X89" s="332">
        <v>42926</v>
      </c>
      <c r="Y89" s="332">
        <v>42926</v>
      </c>
      <c r="AA89" s="332"/>
      <c r="AB89" s="295" t="s">
        <v>793</v>
      </c>
      <c r="AC89" s="295">
        <v>0</v>
      </c>
      <c r="AD89" s="295">
        <v>0</v>
      </c>
      <c r="AE89" s="295">
        <v>0</v>
      </c>
      <c r="AF89" s="295">
        <v>0</v>
      </c>
      <c r="AG89" s="295">
        <v>0</v>
      </c>
      <c r="AH89" s="295">
        <v>1</v>
      </c>
      <c r="AI89" s="295">
        <v>70255</v>
      </c>
      <c r="AJ89" s="295">
        <v>2195</v>
      </c>
      <c r="AK89" s="295">
        <v>0</v>
      </c>
      <c r="AL89" s="295">
        <v>0</v>
      </c>
      <c r="AO89" s="335"/>
      <c r="AP89" s="335"/>
      <c r="AQ89" s="295" t="str">
        <f t="shared" si="1"/>
        <v/>
      </c>
    </row>
    <row r="90" spans="2:43">
      <c r="B90" s="295" t="s">
        <v>1117</v>
      </c>
      <c r="C90" s="332">
        <v>42916</v>
      </c>
      <c r="D90" s="333">
        <v>349.11</v>
      </c>
      <c r="E90" s="333">
        <v>0</v>
      </c>
      <c r="F90" s="334" t="s">
        <v>782</v>
      </c>
      <c r="G90" s="295" t="s">
        <v>1312</v>
      </c>
      <c r="H90" s="335" t="s">
        <v>784</v>
      </c>
      <c r="I90" s="295" t="s">
        <v>1313</v>
      </c>
      <c r="J90" s="295" t="s">
        <v>856</v>
      </c>
      <c r="K90" s="295" t="s">
        <v>787</v>
      </c>
      <c r="L90" s="299"/>
      <c r="M90" s="299"/>
      <c r="N90" s="299" t="s">
        <v>1265</v>
      </c>
      <c r="O90" s="320"/>
      <c r="P90" s="299"/>
      <c r="Q90" s="299"/>
      <c r="U90" s="295" t="s">
        <v>1314</v>
      </c>
      <c r="V90" s="295" t="s">
        <v>1314</v>
      </c>
      <c r="X90" s="332">
        <v>42926</v>
      </c>
      <c r="Y90" s="332">
        <v>42927</v>
      </c>
      <c r="AA90" s="332"/>
      <c r="AB90" s="295" t="s">
        <v>793</v>
      </c>
      <c r="AC90" s="295">
        <v>0</v>
      </c>
      <c r="AD90" s="295">
        <v>0</v>
      </c>
      <c r="AE90" s="295">
        <v>0</v>
      </c>
      <c r="AF90" s="295">
        <v>0</v>
      </c>
      <c r="AG90" s="295">
        <v>0</v>
      </c>
      <c r="AH90" s="295">
        <v>1</v>
      </c>
      <c r="AI90" s="295">
        <v>70255</v>
      </c>
      <c r="AJ90" s="295">
        <v>2195</v>
      </c>
      <c r="AK90" s="295">
        <v>0</v>
      </c>
      <c r="AL90" s="295">
        <v>0</v>
      </c>
      <c r="AO90" s="335"/>
      <c r="AP90" s="335"/>
      <c r="AQ90" s="295" t="str">
        <f t="shared" si="1"/>
        <v/>
      </c>
    </row>
    <row r="91" spans="2:43">
      <c r="C91" s="332"/>
      <c r="D91" s="338"/>
      <c r="E91" s="338"/>
      <c r="F91" s="338"/>
      <c r="H91" s="298"/>
    </row>
    <row r="92" spans="2:43">
      <c r="B92" s="339" t="s">
        <v>991</v>
      </c>
      <c r="C92" s="339"/>
      <c r="D92" s="340"/>
      <c r="E92" s="340"/>
      <c r="F92" s="340"/>
      <c r="G92" s="339"/>
      <c r="H92" s="341"/>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42"/>
    </row>
    <row r="93" spans="2:43">
      <c r="H93" s="298"/>
    </row>
    <row r="94" spans="2:43">
      <c r="B94" s="295" t="s">
        <v>992</v>
      </c>
      <c r="C94" s="295" t="s">
        <v>993</v>
      </c>
      <c r="D94" s="347" t="s">
        <v>993</v>
      </c>
      <c r="E94" s="348" t="s">
        <v>1113</v>
      </c>
      <c r="H94" s="298"/>
    </row>
    <row r="95" spans="2:43">
      <c r="B95" s="299" t="s">
        <v>1120</v>
      </c>
      <c r="C95" s="343">
        <v>4238.1200000000008</v>
      </c>
      <c r="D95" s="343">
        <v>4238.1200000000008</v>
      </c>
      <c r="E95" s="296" t="s">
        <v>1114</v>
      </c>
      <c r="H95" s="298"/>
    </row>
    <row r="96" spans="2:43">
      <c r="B96" s="299" t="s">
        <v>1127</v>
      </c>
      <c r="C96" s="343">
        <v>-34.35</v>
      </c>
      <c r="D96" s="343">
        <v>-34.35</v>
      </c>
      <c r="H96" s="298"/>
    </row>
    <row r="97" spans="2:8">
      <c r="B97" s="299" t="s">
        <v>1132</v>
      </c>
      <c r="C97" s="343">
        <v>312</v>
      </c>
      <c r="D97" s="343">
        <v>312</v>
      </c>
      <c r="H97" s="298"/>
    </row>
    <row r="98" spans="2:8">
      <c r="B98" s="299" t="s">
        <v>1136</v>
      </c>
      <c r="C98" s="343">
        <v>34.35</v>
      </c>
      <c r="D98" s="343">
        <v>34.35</v>
      </c>
      <c r="E98" s="296"/>
      <c r="H98" s="298"/>
    </row>
    <row r="99" spans="2:8">
      <c r="B99" s="299" t="s">
        <v>1140</v>
      </c>
      <c r="C99" s="343">
        <v>0</v>
      </c>
      <c r="D99" s="343">
        <v>0</v>
      </c>
      <c r="E99" s="296"/>
      <c r="H99" s="298"/>
    </row>
    <row r="100" spans="2:8">
      <c r="B100" s="299" t="s">
        <v>861</v>
      </c>
      <c r="C100" s="343">
        <v>10.5</v>
      </c>
      <c r="D100" s="343">
        <v>10.5</v>
      </c>
      <c r="E100" s="296"/>
      <c r="H100" s="298"/>
    </row>
    <row r="101" spans="2:8">
      <c r="B101" s="299" t="s">
        <v>1159</v>
      </c>
      <c r="C101" s="343">
        <v>39.15</v>
      </c>
      <c r="D101" s="343">
        <v>39.15</v>
      </c>
      <c r="E101" s="296"/>
      <c r="H101" s="298"/>
    </row>
    <row r="102" spans="2:8">
      <c r="B102" s="299" t="s">
        <v>1162</v>
      </c>
      <c r="C102" s="343">
        <v>0</v>
      </c>
      <c r="D102" s="343">
        <v>0</v>
      </c>
      <c r="E102" s="296"/>
      <c r="H102" s="298"/>
    </row>
    <row r="103" spans="2:8">
      <c r="B103" s="299" t="s">
        <v>1171</v>
      </c>
      <c r="C103" s="343">
        <v>0</v>
      </c>
      <c r="D103" s="343">
        <v>0</v>
      </c>
      <c r="H103" s="298"/>
    </row>
    <row r="104" spans="2:8">
      <c r="B104" s="299" t="s">
        <v>1174</v>
      </c>
      <c r="C104" s="343">
        <v>0</v>
      </c>
      <c r="D104" s="343">
        <v>0</v>
      </c>
      <c r="H104" s="298"/>
    </row>
    <row r="105" spans="2:8">
      <c r="B105" s="299" t="s">
        <v>1177</v>
      </c>
      <c r="C105" s="343">
        <v>35.72</v>
      </c>
      <c r="D105" s="343">
        <v>35.72</v>
      </c>
      <c r="H105" s="298"/>
    </row>
    <row r="106" spans="2:8">
      <c r="B106" s="299" t="s">
        <v>1181</v>
      </c>
      <c r="C106" s="343">
        <v>0</v>
      </c>
      <c r="D106" s="343">
        <v>0</v>
      </c>
      <c r="H106" s="298"/>
    </row>
    <row r="107" spans="2:8">
      <c r="B107" s="299" t="s">
        <v>1193</v>
      </c>
      <c r="C107" s="343">
        <v>0</v>
      </c>
      <c r="D107" s="343">
        <v>0</v>
      </c>
      <c r="H107" s="298"/>
    </row>
    <row r="108" spans="2:8">
      <c r="B108" s="299" t="s">
        <v>1197</v>
      </c>
      <c r="C108" s="343">
        <v>239.08</v>
      </c>
      <c r="D108" s="295">
        <v>239.08</v>
      </c>
      <c r="E108" s="296"/>
      <c r="H108" s="298"/>
    </row>
    <row r="109" spans="2:8">
      <c r="B109" s="299" t="s">
        <v>1200</v>
      </c>
      <c r="C109" s="343">
        <v>0</v>
      </c>
      <c r="D109" s="295">
        <v>0</v>
      </c>
      <c r="H109" s="298"/>
    </row>
    <row r="110" spans="2:8">
      <c r="B110" s="299" t="s">
        <v>1211</v>
      </c>
      <c r="C110" s="343">
        <v>0</v>
      </c>
      <c r="D110" s="295">
        <v>0</v>
      </c>
      <c r="H110" s="298"/>
    </row>
    <row r="111" spans="2:8">
      <c r="B111" s="299" t="s">
        <v>1225</v>
      </c>
      <c r="C111" s="343">
        <v>7.11</v>
      </c>
      <c r="D111" s="295">
        <v>7.11</v>
      </c>
    </row>
    <row r="112" spans="2:8">
      <c r="B112" s="299" t="s">
        <v>1227</v>
      </c>
      <c r="C112" s="343">
        <v>505</v>
      </c>
      <c r="D112" s="295">
        <v>505</v>
      </c>
      <c r="E112" s="296" t="s">
        <v>1315</v>
      </c>
    </row>
    <row r="113" spans="2:5">
      <c r="B113" s="299" t="s">
        <v>1232</v>
      </c>
      <c r="C113" s="343">
        <v>0</v>
      </c>
      <c r="D113" s="295">
        <v>0</v>
      </c>
    </row>
    <row r="114" spans="2:5">
      <c r="B114" s="299" t="s">
        <v>1243</v>
      </c>
      <c r="C114" s="343">
        <v>87.88</v>
      </c>
      <c r="D114" s="295">
        <v>87.88</v>
      </c>
    </row>
    <row r="115" spans="2:5">
      <c r="B115" s="299" t="s">
        <v>1246</v>
      </c>
      <c r="C115" s="343">
        <v>0</v>
      </c>
      <c r="D115" s="295">
        <v>0</v>
      </c>
    </row>
    <row r="116" spans="2:5">
      <c r="B116" s="299" t="s">
        <v>1258</v>
      </c>
      <c r="C116" s="343">
        <v>155.47999999999999</v>
      </c>
      <c r="D116" s="295">
        <v>155.47999999999999</v>
      </c>
    </row>
    <row r="117" spans="2:5">
      <c r="B117" s="299" t="s">
        <v>1261</v>
      </c>
      <c r="C117" s="343">
        <v>0</v>
      </c>
      <c r="D117" s="345">
        <v>0</v>
      </c>
    </row>
    <row r="118" spans="2:5">
      <c r="B118" s="299" t="s">
        <v>1265</v>
      </c>
      <c r="C118" s="343">
        <v>349.11</v>
      </c>
      <c r="D118" s="345">
        <v>349.11</v>
      </c>
      <c r="E118" s="296" t="s">
        <v>1114</v>
      </c>
    </row>
    <row r="119" spans="2:5">
      <c r="B119" s="299" t="s">
        <v>1275</v>
      </c>
      <c r="C119" s="343">
        <v>277.22000000000003</v>
      </c>
      <c r="D119" s="345">
        <v>277.22000000000003</v>
      </c>
    </row>
    <row r="120" spans="2:5">
      <c r="B120" s="299" t="s">
        <v>1281</v>
      </c>
      <c r="C120" s="343">
        <v>0</v>
      </c>
      <c r="D120" s="295">
        <v>0</v>
      </c>
    </row>
    <row r="121" spans="2:5">
      <c r="B121" s="299" t="s">
        <v>1291</v>
      </c>
      <c r="C121" s="343">
        <v>338.35</v>
      </c>
      <c r="D121" s="295">
        <v>338.35</v>
      </c>
    </row>
    <row r="122" spans="2:5">
      <c r="B122" s="299" t="s">
        <v>1297</v>
      </c>
      <c r="C122" s="343">
        <v>0</v>
      </c>
      <c r="D122" s="345">
        <v>0</v>
      </c>
    </row>
    <row r="123" spans="2:5">
      <c r="B123" s="299" t="s">
        <v>1307</v>
      </c>
      <c r="C123" s="343">
        <v>311.87</v>
      </c>
      <c r="D123" s="295">
        <v>311.87</v>
      </c>
    </row>
    <row r="124" spans="2:5">
      <c r="B124" s="299" t="s">
        <v>1310</v>
      </c>
      <c r="C124" s="343">
        <v>70.14</v>
      </c>
      <c r="D124" s="295">
        <v>70.14</v>
      </c>
    </row>
    <row r="125" spans="2:5">
      <c r="B125" s="299" t="s">
        <v>994</v>
      </c>
      <c r="C125" s="343">
        <v>6976.7300000000005</v>
      </c>
      <c r="D125" s="349">
        <v>6976.7300000000005</v>
      </c>
    </row>
    <row r="128" spans="2:5">
      <c r="D128" s="309" t="s">
        <v>1115</v>
      </c>
      <c r="E128" s="350">
        <f>D95+D118</f>
        <v>4587.2300000000005</v>
      </c>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71" fitToWidth="2" fitToHeight="2" pageOrder="overThenDown"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rowBreaks count="1" manualBreakCount="1">
    <brk id="71" min="1" max="13" man="1"/>
  </rowBreaks>
  <colBreaks count="1" manualBreakCount="1">
    <brk id="7" min="8" max="128" man="1"/>
  </colBreaks>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226"/>
  <sheetViews>
    <sheetView showGridLines="0" view="pageBreakPreview" topLeftCell="D7" zoomScale="85" zoomScaleNormal="75" zoomScaleSheetLayoutView="85" workbookViewId="0">
      <pane xSplit="5" ySplit="7" topLeftCell="I14" activePane="bottomRight" state="frozen"/>
      <selection activeCell="G20" sqref="G20"/>
      <selection pane="topRight" activeCell="G20" sqref="G20"/>
      <selection pane="bottomLeft" activeCell="G20" sqref="G20"/>
      <selection pane="bottomRight" activeCell="AC47" sqref="AC47"/>
    </sheetView>
  </sheetViews>
  <sheetFormatPr defaultColWidth="13.85546875" defaultRowHeight="12.75" outlineLevelRow="1"/>
  <cols>
    <col min="1" max="1" width="116.7109375" style="123" customWidth="1"/>
    <col min="2" max="2" width="16.5703125" style="123" customWidth="1"/>
    <col min="3" max="3" width="12.42578125" style="123" customWidth="1"/>
    <col min="4" max="4" width="6.85546875" style="123" customWidth="1"/>
    <col min="5" max="6" width="2.28515625" style="123" customWidth="1"/>
    <col min="7" max="7" width="25.5703125" style="123" customWidth="1"/>
    <col min="8" max="8" width="3.85546875" style="123" customWidth="1"/>
    <col min="9" max="9" width="2" style="123" customWidth="1"/>
    <col min="10" max="10" width="15.5703125" style="123" customWidth="1"/>
    <col min="11" max="11" width="1.85546875" style="123" customWidth="1"/>
    <col min="12" max="12" width="15.5703125" style="123" customWidth="1"/>
    <col min="13" max="13" width="1.85546875" style="123" customWidth="1"/>
    <col min="14" max="14" width="18.42578125" style="123" customWidth="1"/>
    <col min="15" max="15" width="1.85546875" style="123" customWidth="1"/>
    <col min="16" max="16" width="15.5703125" style="123" customWidth="1"/>
    <col min="17" max="17" width="3.140625" style="123" customWidth="1"/>
    <col min="18" max="20" width="16.28515625" style="123" bestFit="1" customWidth="1"/>
    <col min="21" max="21" width="1.85546875" style="123" customWidth="1"/>
    <col min="22" max="22" width="15.5703125" style="123" customWidth="1"/>
    <col min="23" max="23" width="2.85546875" style="123" customWidth="1"/>
    <col min="24" max="16384" width="13.85546875" style="123"/>
  </cols>
  <sheetData>
    <row r="1" spans="1:25">
      <c r="D1" s="123" t="s">
        <v>213</v>
      </c>
      <c r="E1" s="123" t="s">
        <v>214</v>
      </c>
      <c r="F1" s="124"/>
      <c r="G1" s="125"/>
      <c r="J1" s="123" t="s">
        <v>217</v>
      </c>
      <c r="L1" s="123" t="s">
        <v>1317</v>
      </c>
      <c r="N1" s="123" t="s">
        <v>1318</v>
      </c>
      <c r="R1" s="355" t="s">
        <v>215</v>
      </c>
      <c r="S1" s="355" t="s">
        <v>216</v>
      </c>
    </row>
    <row r="2" spans="1:25" s="189" customFormat="1" outlineLevel="1">
      <c r="A2" s="356"/>
      <c r="B2" s="357"/>
      <c r="C2" s="358"/>
      <c r="D2" s="359"/>
      <c r="E2" s="359"/>
      <c r="F2" s="360"/>
      <c r="G2" s="360"/>
      <c r="H2" s="356"/>
      <c r="I2" s="356"/>
      <c r="J2" s="361">
        <v>0</v>
      </c>
      <c r="K2" s="356"/>
      <c r="L2" s="361">
        <v>0</v>
      </c>
      <c r="M2" s="356"/>
      <c r="N2" s="362">
        <v>0</v>
      </c>
      <c r="O2" s="356"/>
      <c r="P2" s="361">
        <f>J2+L2+N2</f>
        <v>0</v>
      </c>
      <c r="Q2" s="356"/>
      <c r="R2" s="361">
        <v>0</v>
      </c>
      <c r="S2" s="361">
        <v>0</v>
      </c>
      <c r="T2" s="361">
        <f>P2</f>
        <v>0</v>
      </c>
      <c r="U2" s="356"/>
      <c r="V2" s="362">
        <f>T2-S2</f>
        <v>0</v>
      </c>
      <c r="W2" s="356"/>
      <c r="X2" s="356"/>
    </row>
    <row r="3" spans="1:25">
      <c r="G3" s="125"/>
      <c r="J3" s="123" t="str">
        <f>D9</f>
        <v>Year Ended June 30, 2016</v>
      </c>
      <c r="L3" s="123" t="str">
        <f>D9</f>
        <v>Year Ended June 30, 2016</v>
      </c>
      <c r="N3" s="123" t="str">
        <f>YearMonth</f>
        <v>Year Ended June 30, 2016</v>
      </c>
      <c r="P3" s="123" t="str">
        <f>D9</f>
        <v>Year Ended June 30, 2016</v>
      </c>
      <c r="R3" s="123" t="str">
        <f>IFERROR(TEXT(EDATE($B$7,MID(LEFT(R1,FIND(")",R1)-1),FIND("(",R1)+1,LEN(R1))),"yyyy-mm"),"")</f>
        <v/>
      </c>
      <c r="S3" s="123" t="str">
        <f>IFERROR(TEXT(EDATE($B$7,MID(LEFT(S1,FIND(")",S1)-1),FIND("(",S1)+1,LEN(S1))),"yyyy-mm"),"")</f>
        <v/>
      </c>
      <c r="T3" s="123" t="str">
        <f>D9</f>
        <v>Year Ended June 30, 2016</v>
      </c>
    </row>
    <row r="4" spans="1:25">
      <c r="A4" s="123" t="str">
        <f>_xll.jBinder("MarkerCell")</f>
        <v>jBinderOption{MarkerCell}: This cell will be used to note the tab was created from the binder.</v>
      </c>
      <c r="B4" s="123" t="str">
        <f ca="1">_xll.ReportVariable("FinCube",B11:B226,A1:Y1,A2:Y2,_xll.Param("BS"&amp;IF(ExcludeIC=TRUE,",!Eliminated",""),District,System,,,,"*",,RIGHT(YearMonth,2),LEFT(YearMonth,4),,,1,,FALSE))</f>
        <v>OK!: ReportVariable Formula OK [jAction{}]</v>
      </c>
      <c r="G4" s="125"/>
      <c r="J4" s="123" t="s">
        <v>1319</v>
      </c>
      <c r="L4" s="123" t="s">
        <v>1320</v>
      </c>
      <c r="N4" s="123" t="s">
        <v>1318</v>
      </c>
      <c r="P4" s="123" t="s">
        <v>735</v>
      </c>
      <c r="R4" s="123" t="s">
        <v>735</v>
      </c>
      <c r="S4" s="123" t="s">
        <v>735</v>
      </c>
      <c r="T4" s="123" t="s">
        <v>735</v>
      </c>
    </row>
    <row r="5" spans="1:25">
      <c r="A5" s="123" t="str">
        <f>_xll.jBinder("ChooseSegmentListtoIterateThru","Dist")</f>
        <v>jBinderOption{ChooseSegmentListtoIterateThru|Dist}: Option "ChooseSegmentListtoIterateThru" has value "Dist"</v>
      </c>
      <c r="B5" s="123"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23" t="str">
        <f>_xll.jBinder("CreateSummaryTab","False")</f>
        <v>jBinderOption{CreateSummaryTab|False}: Option "CreateSummaryTab" has value "False"</v>
      </c>
      <c r="B6" s="123"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193" customFormat="1" ht="15.75">
      <c r="A7" s="123" t="str">
        <f ca="1">_xll.jBinder("Dist",District)</f>
        <v>jBinderOption{Dist||N7}: "Dist" can iterate on cell "N7"</v>
      </c>
      <c r="B7" s="363" t="e">
        <f>DATEVALUE(RIGHT(YearMonth,2)&amp;"/1/"&amp;LEFT(YearMonth,4))</f>
        <v>#VALUE!</v>
      </c>
      <c r="C7" s="123"/>
      <c r="D7" s="1409" t="s">
        <v>1733</v>
      </c>
      <c r="L7" s="195"/>
      <c r="N7" s="198"/>
      <c r="T7" s="195"/>
      <c r="U7" s="197"/>
      <c r="V7" s="198"/>
      <c r="X7" s="364"/>
    </row>
    <row r="8" spans="1:25" s="193" customFormat="1" ht="15.75">
      <c r="A8" s="193" t="str">
        <f>_xll.jBinder("TabSuffix","_BS")</f>
        <v>jBinderOption{TabSuffix|_BS}: Option "TabSuffix" has value "_BS"</v>
      </c>
      <c r="B8" s="199"/>
      <c r="C8" s="199"/>
      <c r="D8" s="1409" t="s">
        <v>492</v>
      </c>
      <c r="J8" s="365"/>
      <c r="N8" s="198"/>
      <c r="T8" s="195"/>
      <c r="V8" s="196" t="s">
        <v>220</v>
      </c>
    </row>
    <row r="9" spans="1:25" s="193" customFormat="1" ht="15.75">
      <c r="B9" s="199"/>
      <c r="C9" s="199"/>
      <c r="D9" s="200" t="s">
        <v>2553</v>
      </c>
      <c r="J9" s="366"/>
      <c r="K9" s="367"/>
      <c r="L9" s="366"/>
      <c r="M9" s="367"/>
      <c r="N9" s="366"/>
      <c r="O9" s="367"/>
      <c r="P9" s="366"/>
      <c r="Q9" s="367"/>
      <c r="R9" s="366"/>
      <c r="S9" s="366"/>
      <c r="T9" s="366"/>
    </row>
    <row r="10" spans="1:25" s="193" customFormat="1" ht="15">
      <c r="B10" s="358"/>
      <c r="C10" s="358"/>
      <c r="D10" s="368"/>
      <c r="E10" s="369"/>
      <c r="F10" s="369"/>
      <c r="G10" s="369"/>
      <c r="H10" s="369"/>
      <c r="I10" s="369"/>
      <c r="J10" s="370" t="s">
        <v>1321</v>
      </c>
      <c r="K10" s="370"/>
      <c r="L10" s="370"/>
      <c r="M10" s="370"/>
      <c r="N10" s="370"/>
      <c r="O10" s="370"/>
      <c r="P10" s="370"/>
      <c r="Q10" s="369"/>
      <c r="R10" s="370" t="s">
        <v>1322</v>
      </c>
      <c r="S10" s="370"/>
      <c r="T10" s="370"/>
      <c r="U10" s="369"/>
      <c r="V10" s="369"/>
      <c r="W10" s="369"/>
      <c r="X10" s="369"/>
      <c r="Y10" s="369"/>
    </row>
    <row r="11" spans="1:25" s="201" customFormat="1">
      <c r="B11" s="358"/>
      <c r="C11" s="358"/>
      <c r="D11" s="369"/>
      <c r="E11" s="369"/>
      <c r="F11" s="369"/>
      <c r="G11" s="369"/>
      <c r="H11" s="369"/>
      <c r="I11" s="369"/>
      <c r="J11" s="369"/>
      <c r="K11" s="369"/>
      <c r="L11" s="369"/>
      <c r="M11" s="369"/>
      <c r="N11" s="369"/>
      <c r="O11" s="369"/>
      <c r="P11" s="369"/>
      <c r="Q11" s="369"/>
      <c r="R11" s="369"/>
      <c r="S11" s="369"/>
      <c r="T11" s="371"/>
      <c r="U11" s="369"/>
      <c r="V11" s="369"/>
      <c r="W11" s="369"/>
      <c r="X11" s="369"/>
      <c r="Y11" s="369"/>
    </row>
    <row r="12" spans="1:25" s="201" customFormat="1">
      <c r="B12" s="358"/>
      <c r="C12" s="358"/>
      <c r="D12" s="369"/>
      <c r="E12" s="369"/>
      <c r="F12" s="369"/>
      <c r="G12" s="369"/>
      <c r="H12" s="369"/>
      <c r="I12" s="369"/>
      <c r="J12" s="369"/>
      <c r="K12" s="369"/>
      <c r="L12" s="372" t="s">
        <v>1323</v>
      </c>
      <c r="M12" s="373"/>
      <c r="N12" s="372"/>
      <c r="O12" s="369"/>
      <c r="P12" s="374"/>
      <c r="Q12" s="369"/>
      <c r="R12" s="375"/>
      <c r="S12" s="375"/>
      <c r="T12" s="376" t="s">
        <v>34</v>
      </c>
      <c r="U12" s="369"/>
      <c r="V12" s="377" t="s">
        <v>1324</v>
      </c>
      <c r="W12" s="369"/>
      <c r="X12" s="369"/>
      <c r="Y12" s="369"/>
    </row>
    <row r="13" spans="1:25" s="201" customFormat="1" ht="13.5" thickBot="1">
      <c r="B13" s="358"/>
      <c r="C13" s="358"/>
      <c r="D13" s="369"/>
      <c r="E13" s="369"/>
      <c r="F13" s="369"/>
      <c r="G13" s="369"/>
      <c r="H13" s="369"/>
      <c r="I13" s="369"/>
      <c r="J13" s="378" t="s">
        <v>1319</v>
      </c>
      <c r="K13" s="369"/>
      <c r="L13" s="378" t="s">
        <v>1320</v>
      </c>
      <c r="M13" s="369"/>
      <c r="N13" s="379" t="s">
        <v>1318</v>
      </c>
      <c r="O13" s="369"/>
      <c r="P13" s="378" t="s">
        <v>34</v>
      </c>
      <c r="Q13" s="369"/>
      <c r="R13" s="380" t="str">
        <f>IFERROR(EDATE(S13,-1),"")</f>
        <v/>
      </c>
      <c r="S13" s="380" t="str">
        <f>IFERROR(EDATE(T13,-1),"")</f>
        <v/>
      </c>
      <c r="T13" s="380"/>
      <c r="U13" s="369"/>
      <c r="V13" s="379" t="s">
        <v>1325</v>
      </c>
      <c r="W13" s="369"/>
      <c r="X13" s="369"/>
      <c r="Y13" s="369"/>
    </row>
    <row r="14" spans="1:25" s="201" customFormat="1" ht="5.25" customHeight="1">
      <c r="B14" s="358"/>
      <c r="C14" s="358"/>
      <c r="D14" s="369"/>
      <c r="E14" s="369"/>
      <c r="F14" s="381"/>
      <c r="G14" s="369"/>
      <c r="H14" s="369"/>
      <c r="I14" s="369"/>
      <c r="J14" s="366"/>
      <c r="K14" s="369"/>
      <c r="L14" s="366"/>
      <c r="M14" s="369"/>
      <c r="N14" s="366"/>
      <c r="O14" s="369"/>
      <c r="P14" s="366"/>
      <c r="Q14" s="369"/>
      <c r="R14" s="366"/>
      <c r="S14" s="366"/>
      <c r="T14" s="366"/>
      <c r="U14" s="369"/>
      <c r="V14" s="366"/>
      <c r="W14" s="369"/>
      <c r="X14" s="369"/>
      <c r="Y14" s="369"/>
    </row>
    <row r="15" spans="1:25" s="189" customFormat="1" ht="4.5" customHeight="1">
      <c r="B15" s="358"/>
      <c r="C15" s="358"/>
      <c r="D15" s="356"/>
      <c r="E15" s="356"/>
      <c r="F15" s="356"/>
      <c r="G15" s="356"/>
      <c r="H15" s="356"/>
      <c r="I15" s="356"/>
      <c r="J15" s="356"/>
      <c r="K15" s="356"/>
      <c r="L15" s="356"/>
      <c r="M15" s="356"/>
      <c r="N15" s="356"/>
      <c r="O15" s="356"/>
      <c r="P15" s="356"/>
      <c r="Q15" s="369"/>
      <c r="R15" s="356"/>
      <c r="S15" s="356"/>
      <c r="T15" s="356"/>
      <c r="U15" s="356"/>
      <c r="V15" s="356"/>
      <c r="W15" s="356"/>
      <c r="X15" s="356"/>
      <c r="Y15" s="356"/>
    </row>
    <row r="16" spans="1:25" s="189" customFormat="1" outlineLevel="1">
      <c r="A16" s="356"/>
      <c r="B16" s="357" t="s">
        <v>335</v>
      </c>
      <c r="C16" s="358"/>
      <c r="D16" s="359">
        <v>10050</v>
      </c>
      <c r="E16" s="359" t="s">
        <v>336</v>
      </c>
      <c r="F16" s="360"/>
      <c r="G16" s="360"/>
      <c r="H16" s="356"/>
      <c r="I16" s="356"/>
      <c r="J16" s="361">
        <v>189</v>
      </c>
      <c r="K16" s="356"/>
      <c r="L16" s="361">
        <v>0</v>
      </c>
      <c r="M16" s="356"/>
      <c r="N16" s="362">
        <v>0</v>
      </c>
      <c r="O16" s="356"/>
      <c r="P16" s="361">
        <f t="shared" ref="P16:P27" si="0">J16+L16+N16</f>
        <v>189</v>
      </c>
      <c r="Q16" s="356"/>
      <c r="R16" s="361">
        <v>-128.41</v>
      </c>
      <c r="S16" s="361">
        <v>2827.59</v>
      </c>
      <c r="T16" s="361">
        <f t="shared" ref="T16:T27" si="1">P16</f>
        <v>189</v>
      </c>
      <c r="U16" s="356"/>
      <c r="V16" s="362">
        <f t="shared" ref="V16:V27" si="2">T16-S16</f>
        <v>-2638.59</v>
      </c>
      <c r="W16" s="356"/>
      <c r="X16" s="356"/>
    </row>
    <row r="17" spans="1:25" s="189" customFormat="1" outlineLevel="1">
      <c r="A17" s="356"/>
      <c r="B17" s="357" t="s">
        <v>224</v>
      </c>
      <c r="C17" s="358"/>
      <c r="D17" s="359">
        <v>10051</v>
      </c>
      <c r="E17" s="359" t="s">
        <v>337</v>
      </c>
      <c r="F17" s="360"/>
      <c r="G17" s="360"/>
      <c r="H17" s="356"/>
      <c r="I17" s="356"/>
      <c r="J17" s="361">
        <v>900</v>
      </c>
      <c r="K17" s="356"/>
      <c r="L17" s="361">
        <v>0</v>
      </c>
      <c r="M17" s="356"/>
      <c r="N17" s="362">
        <v>0</v>
      </c>
      <c r="O17" s="356"/>
      <c r="P17" s="361">
        <f t="shared" si="0"/>
        <v>900</v>
      </c>
      <c r="Q17" s="356"/>
      <c r="R17" s="361">
        <v>900</v>
      </c>
      <c r="S17" s="361">
        <v>900</v>
      </c>
      <c r="T17" s="361">
        <f t="shared" si="1"/>
        <v>900</v>
      </c>
      <c r="U17" s="356"/>
      <c r="V17" s="362">
        <f t="shared" si="2"/>
        <v>0</v>
      </c>
      <c r="W17" s="356"/>
      <c r="X17" s="356"/>
    </row>
    <row r="18" spans="1:25" s="189" customFormat="1" outlineLevel="1">
      <c r="A18" s="356"/>
      <c r="B18" s="357" t="s">
        <v>224</v>
      </c>
      <c r="C18" s="358"/>
      <c r="D18" s="359">
        <v>10060</v>
      </c>
      <c r="E18" s="359" t="s">
        <v>338</v>
      </c>
      <c r="F18" s="360"/>
      <c r="G18" s="360"/>
      <c r="H18" s="356"/>
      <c r="I18" s="356"/>
      <c r="J18" s="361">
        <v>0</v>
      </c>
      <c r="K18" s="356"/>
      <c r="L18" s="361">
        <v>0</v>
      </c>
      <c r="M18" s="356"/>
      <c r="N18" s="362">
        <v>0</v>
      </c>
      <c r="O18" s="356"/>
      <c r="P18" s="361">
        <f t="shared" si="0"/>
        <v>0</v>
      </c>
      <c r="Q18" s="356"/>
      <c r="R18" s="361">
        <v>0</v>
      </c>
      <c r="S18" s="361">
        <v>0</v>
      </c>
      <c r="T18" s="361">
        <f t="shared" si="1"/>
        <v>0</v>
      </c>
      <c r="U18" s="356"/>
      <c r="V18" s="362">
        <f t="shared" si="2"/>
        <v>0</v>
      </c>
      <c r="W18" s="356"/>
      <c r="X18" s="356"/>
    </row>
    <row r="19" spans="1:25" s="189" customFormat="1" outlineLevel="1">
      <c r="A19" s="356"/>
      <c r="B19" s="357" t="s">
        <v>224</v>
      </c>
      <c r="C19" s="358"/>
      <c r="D19" s="359">
        <v>10070</v>
      </c>
      <c r="E19" s="359" t="s">
        <v>339</v>
      </c>
      <c r="F19" s="360"/>
      <c r="G19" s="360"/>
      <c r="H19" s="356"/>
      <c r="I19" s="356"/>
      <c r="J19" s="361">
        <v>-73797.86</v>
      </c>
      <c r="K19" s="356"/>
      <c r="L19" s="361">
        <v>0</v>
      </c>
      <c r="M19" s="356"/>
      <c r="N19" s="362">
        <v>0</v>
      </c>
      <c r="O19" s="356"/>
      <c r="P19" s="361">
        <f t="shared" si="0"/>
        <v>-73797.86</v>
      </c>
      <c r="Q19" s="356"/>
      <c r="R19" s="361">
        <v>-72797.86</v>
      </c>
      <c r="S19" s="361">
        <v>-72797.86</v>
      </c>
      <c r="T19" s="361">
        <f t="shared" si="1"/>
        <v>-73797.86</v>
      </c>
      <c r="U19" s="356"/>
      <c r="V19" s="362">
        <f t="shared" si="2"/>
        <v>-1000</v>
      </c>
      <c r="W19" s="356"/>
      <c r="X19" s="356"/>
    </row>
    <row r="20" spans="1:25" s="189" customFormat="1" outlineLevel="1">
      <c r="A20" s="356"/>
      <c r="B20" s="357" t="s">
        <v>224</v>
      </c>
      <c r="C20" s="358"/>
      <c r="D20" s="359">
        <v>10071</v>
      </c>
      <c r="E20" s="359" t="s">
        <v>340</v>
      </c>
      <c r="F20" s="360"/>
      <c r="G20" s="360"/>
      <c r="H20" s="356"/>
      <c r="I20" s="356"/>
      <c r="J20" s="361">
        <v>73797.86</v>
      </c>
      <c r="K20" s="356"/>
      <c r="L20" s="361">
        <v>0</v>
      </c>
      <c r="M20" s="356"/>
      <c r="N20" s="362">
        <v>0</v>
      </c>
      <c r="O20" s="356"/>
      <c r="P20" s="361">
        <f t="shared" si="0"/>
        <v>73797.86</v>
      </c>
      <c r="Q20" s="356"/>
      <c r="R20" s="361">
        <v>72797.86</v>
      </c>
      <c r="S20" s="361">
        <v>72797.86</v>
      </c>
      <c r="T20" s="361">
        <f t="shared" si="1"/>
        <v>73797.86</v>
      </c>
      <c r="U20" s="356"/>
      <c r="V20" s="362">
        <f t="shared" si="2"/>
        <v>1000</v>
      </c>
      <c r="W20" s="356"/>
      <c r="X20" s="356"/>
    </row>
    <row r="21" spans="1:25" s="189" customFormat="1" outlineLevel="1">
      <c r="A21" s="356"/>
      <c r="B21" s="357" t="s">
        <v>224</v>
      </c>
      <c r="C21" s="358"/>
      <c r="D21" s="359">
        <v>10092</v>
      </c>
      <c r="E21" s="359" t="s">
        <v>341</v>
      </c>
      <c r="F21" s="360"/>
      <c r="G21" s="360"/>
      <c r="H21" s="356"/>
      <c r="I21" s="356"/>
      <c r="J21" s="361">
        <v>0</v>
      </c>
      <c r="K21" s="356"/>
      <c r="L21" s="361">
        <v>0</v>
      </c>
      <c r="M21" s="356"/>
      <c r="N21" s="362">
        <v>0</v>
      </c>
      <c r="O21" s="356"/>
      <c r="P21" s="361">
        <f t="shared" si="0"/>
        <v>0</v>
      </c>
      <c r="Q21" s="356"/>
      <c r="R21" s="361">
        <v>0</v>
      </c>
      <c r="S21" s="361">
        <v>0</v>
      </c>
      <c r="T21" s="361">
        <f t="shared" si="1"/>
        <v>0</v>
      </c>
      <c r="U21" s="356"/>
      <c r="V21" s="362">
        <f t="shared" si="2"/>
        <v>0</v>
      </c>
      <c r="W21" s="356"/>
      <c r="X21" s="356"/>
    </row>
    <row r="22" spans="1:25" s="189" customFormat="1" outlineLevel="1">
      <c r="A22" s="356"/>
      <c r="B22" s="357" t="s">
        <v>224</v>
      </c>
      <c r="C22" s="358"/>
      <c r="D22" s="359">
        <v>10093</v>
      </c>
      <c r="E22" s="359" t="s">
        <v>342</v>
      </c>
      <c r="F22" s="360"/>
      <c r="G22" s="360"/>
      <c r="H22" s="356"/>
      <c r="I22" s="356"/>
      <c r="J22" s="361">
        <v>0</v>
      </c>
      <c r="K22" s="356"/>
      <c r="L22" s="361">
        <v>0</v>
      </c>
      <c r="M22" s="356"/>
      <c r="N22" s="362">
        <v>0</v>
      </c>
      <c r="O22" s="356"/>
      <c r="P22" s="361">
        <f t="shared" si="0"/>
        <v>0</v>
      </c>
      <c r="Q22" s="356"/>
      <c r="R22" s="361">
        <v>0</v>
      </c>
      <c r="S22" s="361">
        <v>0</v>
      </c>
      <c r="T22" s="361">
        <f t="shared" si="1"/>
        <v>0</v>
      </c>
      <c r="U22" s="356"/>
      <c r="V22" s="362">
        <f t="shared" si="2"/>
        <v>0</v>
      </c>
      <c r="W22" s="356"/>
      <c r="X22" s="356"/>
    </row>
    <row r="23" spans="1:25" s="189" customFormat="1" outlineLevel="1">
      <c r="A23" s="356"/>
      <c r="B23" s="357" t="s">
        <v>224</v>
      </c>
      <c r="C23" s="358"/>
      <c r="D23" s="359">
        <v>10095</v>
      </c>
      <c r="E23" s="359" t="s">
        <v>343</v>
      </c>
      <c r="F23" s="360"/>
      <c r="G23" s="360"/>
      <c r="H23" s="356"/>
      <c r="I23" s="356"/>
      <c r="J23" s="361">
        <v>0</v>
      </c>
      <c r="K23" s="356"/>
      <c r="L23" s="361">
        <v>0</v>
      </c>
      <c r="M23" s="356"/>
      <c r="N23" s="362">
        <v>0</v>
      </c>
      <c r="O23" s="356"/>
      <c r="P23" s="361">
        <f t="shared" si="0"/>
        <v>0</v>
      </c>
      <c r="Q23" s="356"/>
      <c r="R23" s="361">
        <v>0</v>
      </c>
      <c r="S23" s="361">
        <v>0</v>
      </c>
      <c r="T23" s="361">
        <f t="shared" si="1"/>
        <v>0</v>
      </c>
      <c r="U23" s="356"/>
      <c r="V23" s="362">
        <f t="shared" si="2"/>
        <v>0</v>
      </c>
      <c r="W23" s="356"/>
      <c r="X23" s="356"/>
    </row>
    <row r="24" spans="1:25" s="189" customFormat="1" outlineLevel="1">
      <c r="A24" s="356"/>
      <c r="B24" s="357" t="s">
        <v>224</v>
      </c>
      <c r="C24" s="358"/>
      <c r="D24" s="359">
        <v>10096</v>
      </c>
      <c r="E24" s="359" t="s">
        <v>344</v>
      </c>
      <c r="F24" s="360"/>
      <c r="G24" s="360"/>
      <c r="H24" s="356"/>
      <c r="I24" s="356"/>
      <c r="J24" s="361">
        <v>138.71</v>
      </c>
      <c r="K24" s="356"/>
      <c r="L24" s="361">
        <v>0</v>
      </c>
      <c r="M24" s="356"/>
      <c r="N24" s="362">
        <v>0</v>
      </c>
      <c r="O24" s="356"/>
      <c r="P24" s="361">
        <f t="shared" si="0"/>
        <v>138.71</v>
      </c>
      <c r="Q24" s="356"/>
      <c r="R24" s="361">
        <v>161.30000000000001</v>
      </c>
      <c r="S24" s="361">
        <v>1023.16</v>
      </c>
      <c r="T24" s="361">
        <f t="shared" si="1"/>
        <v>138.71</v>
      </c>
      <c r="U24" s="356"/>
      <c r="V24" s="362">
        <f t="shared" si="2"/>
        <v>-884.44999999999993</v>
      </c>
      <c r="W24" s="356"/>
      <c r="X24" s="356"/>
    </row>
    <row r="25" spans="1:25" s="189" customFormat="1" outlineLevel="1">
      <c r="A25" s="356"/>
      <c r="B25" s="357" t="s">
        <v>224</v>
      </c>
      <c r="C25" s="358"/>
      <c r="D25" s="359">
        <v>10097</v>
      </c>
      <c r="E25" s="359" t="s">
        <v>345</v>
      </c>
      <c r="F25" s="360"/>
      <c r="G25" s="360"/>
      <c r="H25" s="356"/>
      <c r="I25" s="356"/>
      <c r="J25" s="361">
        <v>557.45000000000005</v>
      </c>
      <c r="K25" s="356"/>
      <c r="L25" s="361">
        <v>0</v>
      </c>
      <c r="M25" s="356"/>
      <c r="N25" s="362">
        <v>0</v>
      </c>
      <c r="O25" s="356"/>
      <c r="P25" s="361">
        <f t="shared" si="0"/>
        <v>557.45000000000005</v>
      </c>
      <c r="Q25" s="356"/>
      <c r="R25" s="361">
        <v>84.85</v>
      </c>
      <c r="S25" s="361">
        <v>557.45000000000005</v>
      </c>
      <c r="T25" s="361">
        <f t="shared" si="1"/>
        <v>557.45000000000005</v>
      </c>
      <c r="U25" s="356"/>
      <c r="V25" s="362">
        <f t="shared" si="2"/>
        <v>0</v>
      </c>
      <c r="W25" s="356"/>
      <c r="X25" s="356"/>
    </row>
    <row r="26" spans="1:25" s="189" customFormat="1" outlineLevel="1">
      <c r="A26" s="356"/>
      <c r="B26" s="357" t="s">
        <v>224</v>
      </c>
      <c r="C26" s="358"/>
      <c r="D26" s="359">
        <v>10098</v>
      </c>
      <c r="E26" s="359" t="s">
        <v>346</v>
      </c>
      <c r="F26" s="360"/>
      <c r="G26" s="360"/>
      <c r="H26" s="356"/>
      <c r="I26" s="356"/>
      <c r="J26" s="361">
        <v>963.06</v>
      </c>
      <c r="K26" s="356"/>
      <c r="L26" s="361">
        <v>0</v>
      </c>
      <c r="M26" s="356"/>
      <c r="N26" s="362">
        <v>0</v>
      </c>
      <c r="O26" s="356"/>
      <c r="P26" s="361">
        <f t="shared" si="0"/>
        <v>963.06</v>
      </c>
      <c r="Q26" s="356"/>
      <c r="R26" s="361">
        <v>963.06</v>
      </c>
      <c r="S26" s="361">
        <v>963.06</v>
      </c>
      <c r="T26" s="361">
        <f t="shared" si="1"/>
        <v>963.06</v>
      </c>
      <c r="U26" s="356"/>
      <c r="V26" s="362">
        <f t="shared" si="2"/>
        <v>0</v>
      </c>
      <c r="W26" s="356"/>
      <c r="X26" s="356"/>
    </row>
    <row r="27" spans="1:25" s="189" customFormat="1" outlineLevel="1">
      <c r="A27" s="356"/>
      <c r="B27" s="357" t="s">
        <v>224</v>
      </c>
      <c r="C27" s="358"/>
      <c r="D27" s="359">
        <v>10099</v>
      </c>
      <c r="E27" s="359" t="s">
        <v>347</v>
      </c>
      <c r="F27" s="360"/>
      <c r="G27" s="360"/>
      <c r="H27" s="356"/>
      <c r="I27" s="356"/>
      <c r="J27" s="361">
        <v>9945.75</v>
      </c>
      <c r="K27" s="356"/>
      <c r="L27" s="361">
        <v>0</v>
      </c>
      <c r="M27" s="356"/>
      <c r="N27" s="362">
        <v>0</v>
      </c>
      <c r="O27" s="356"/>
      <c r="P27" s="361">
        <f t="shared" si="0"/>
        <v>9945.75</v>
      </c>
      <c r="Q27" s="356"/>
      <c r="R27" s="361">
        <v>9611.7999999999993</v>
      </c>
      <c r="S27" s="361">
        <v>9903.2800000000007</v>
      </c>
      <c r="T27" s="361">
        <f t="shared" si="1"/>
        <v>9945.75</v>
      </c>
      <c r="U27" s="356"/>
      <c r="V27" s="362">
        <f t="shared" si="2"/>
        <v>42.469999999999345</v>
      </c>
      <c r="W27" s="356"/>
      <c r="X27" s="356"/>
    </row>
    <row r="28" spans="1:25" s="189" customFormat="1" ht="4.5" customHeight="1" outlineLevel="1">
      <c r="A28" s="164"/>
      <c r="B28" s="382" t="s">
        <v>220</v>
      </c>
      <c r="C28" s="382"/>
      <c r="D28" s="356"/>
      <c r="E28" s="356"/>
      <c r="F28" s="356"/>
      <c r="G28" s="356"/>
      <c r="H28" s="356"/>
      <c r="I28" s="356"/>
      <c r="J28" s="383"/>
      <c r="K28" s="356"/>
      <c r="L28" s="383"/>
      <c r="M28" s="356"/>
      <c r="N28" s="383"/>
      <c r="O28" s="356"/>
      <c r="P28" s="383"/>
      <c r="Q28" s="356"/>
      <c r="R28" s="383"/>
      <c r="S28" s="383"/>
      <c r="T28" s="383"/>
      <c r="U28" s="356"/>
      <c r="V28" s="383"/>
      <c r="W28" s="356"/>
      <c r="X28" s="356"/>
      <c r="Y28" s="356"/>
    </row>
    <row r="29" spans="1:25" s="189" customFormat="1">
      <c r="A29" s="358" t="s">
        <v>335</v>
      </c>
      <c r="B29" s="358" t="s">
        <v>220</v>
      </c>
      <c r="C29" s="358"/>
      <c r="D29" s="356"/>
      <c r="E29" s="356"/>
      <c r="F29" s="356" t="s">
        <v>348</v>
      </c>
      <c r="G29" s="356"/>
      <c r="H29" s="356"/>
      <c r="I29" s="356"/>
      <c r="J29" s="384">
        <f>SUM(J16:J28)</f>
        <v>12693.970000000001</v>
      </c>
      <c r="K29" s="356"/>
      <c r="L29" s="384">
        <f>SUM(L16:L28)</f>
        <v>0</v>
      </c>
      <c r="M29" s="356"/>
      <c r="N29" s="385">
        <f>SUM(N16:N28)</f>
        <v>0</v>
      </c>
      <c r="O29" s="356"/>
      <c r="P29" s="384">
        <f>J29+L29+N29</f>
        <v>12693.970000000001</v>
      </c>
      <c r="Q29" s="356"/>
      <c r="R29" s="384">
        <f>SUM(R16:R28)</f>
        <v>11592.599999999995</v>
      </c>
      <c r="S29" s="384">
        <f>SUM(S16:S28)</f>
        <v>16174.539999999997</v>
      </c>
      <c r="T29" s="384">
        <f>SUM(T16:T28)</f>
        <v>12693.970000000001</v>
      </c>
      <c r="U29" s="356"/>
      <c r="V29" s="385">
        <f>SUM(V16:V28)</f>
        <v>-3480.5700000000006</v>
      </c>
      <c r="W29" s="356"/>
      <c r="X29" s="356"/>
      <c r="Y29" s="356"/>
    </row>
    <row r="30" spans="1:25" s="189" customFormat="1" outlineLevel="1">
      <c r="A30" s="356"/>
      <c r="B30" s="357" t="s">
        <v>349</v>
      </c>
      <c r="C30" s="358"/>
      <c r="D30" s="359">
        <v>11501</v>
      </c>
      <c r="E30" s="359" t="s">
        <v>350</v>
      </c>
      <c r="F30" s="360"/>
      <c r="G30" s="360"/>
      <c r="H30" s="356"/>
      <c r="I30" s="356"/>
      <c r="J30" s="361">
        <v>1563303.18</v>
      </c>
      <c r="K30" s="356"/>
      <c r="L30" s="361">
        <v>0</v>
      </c>
      <c r="M30" s="356"/>
      <c r="N30" s="362">
        <v>0</v>
      </c>
      <c r="O30" s="356"/>
      <c r="P30" s="361">
        <f t="shared" ref="P30:P36" si="3">J30+L30+N30</f>
        <v>1563303.18</v>
      </c>
      <c r="Q30" s="356"/>
      <c r="R30" s="361">
        <v>1501077.36</v>
      </c>
      <c r="S30" s="361">
        <v>1422053.84</v>
      </c>
      <c r="T30" s="361">
        <f t="shared" ref="T30:T36" si="4">P30</f>
        <v>1563303.18</v>
      </c>
      <c r="U30" s="356"/>
      <c r="V30" s="362">
        <f t="shared" ref="V30:V36" si="5">T30-S30</f>
        <v>141249.33999999985</v>
      </c>
      <c r="W30" s="356"/>
      <c r="X30" s="356"/>
    </row>
    <row r="31" spans="1:25" s="189" customFormat="1" outlineLevel="1">
      <c r="A31" s="356"/>
      <c r="B31" s="357" t="s">
        <v>224</v>
      </c>
      <c r="C31" s="358"/>
      <c r="D31" s="359">
        <v>11502</v>
      </c>
      <c r="E31" s="359" t="s">
        <v>351</v>
      </c>
      <c r="F31" s="360"/>
      <c r="G31" s="360"/>
      <c r="H31" s="356"/>
      <c r="I31" s="356"/>
      <c r="J31" s="361">
        <v>28595.78</v>
      </c>
      <c r="K31" s="356"/>
      <c r="L31" s="361">
        <v>0</v>
      </c>
      <c r="M31" s="356"/>
      <c r="N31" s="362">
        <v>0</v>
      </c>
      <c r="O31" s="356"/>
      <c r="P31" s="361">
        <f t="shared" si="3"/>
        <v>28595.78</v>
      </c>
      <c r="Q31" s="356"/>
      <c r="R31" s="361">
        <v>22781.34</v>
      </c>
      <c r="S31" s="361">
        <v>39452.69</v>
      </c>
      <c r="T31" s="361">
        <f t="shared" si="4"/>
        <v>28595.78</v>
      </c>
      <c r="U31" s="356"/>
      <c r="V31" s="362">
        <f t="shared" si="5"/>
        <v>-10856.910000000003</v>
      </c>
      <c r="W31" s="356"/>
      <c r="X31" s="356"/>
    </row>
    <row r="32" spans="1:25" s="189" customFormat="1" outlineLevel="1">
      <c r="A32" s="356"/>
      <c r="B32" s="357" t="s">
        <v>224</v>
      </c>
      <c r="C32" s="358"/>
      <c r="D32" s="359">
        <v>11510</v>
      </c>
      <c r="E32" s="359" t="s">
        <v>352</v>
      </c>
      <c r="F32" s="360"/>
      <c r="G32" s="360"/>
      <c r="H32" s="356"/>
      <c r="I32" s="356"/>
      <c r="J32" s="361">
        <v>7527.8</v>
      </c>
      <c r="K32" s="356"/>
      <c r="L32" s="361">
        <v>0</v>
      </c>
      <c r="M32" s="356"/>
      <c r="N32" s="362">
        <v>0</v>
      </c>
      <c r="O32" s="356"/>
      <c r="P32" s="361">
        <f t="shared" si="3"/>
        <v>7527.8</v>
      </c>
      <c r="Q32" s="356"/>
      <c r="R32" s="361">
        <v>7554</v>
      </c>
      <c r="S32" s="361">
        <v>7527.8</v>
      </c>
      <c r="T32" s="361">
        <f t="shared" si="4"/>
        <v>7527.8</v>
      </c>
      <c r="U32" s="356"/>
      <c r="V32" s="362">
        <f t="shared" si="5"/>
        <v>0</v>
      </c>
      <c r="W32" s="356"/>
      <c r="X32" s="356"/>
    </row>
    <row r="33" spans="1:25" s="189" customFormat="1" outlineLevel="1">
      <c r="A33" s="356"/>
      <c r="B33" s="357" t="s">
        <v>224</v>
      </c>
      <c r="C33" s="358"/>
      <c r="D33" s="359">
        <v>11511</v>
      </c>
      <c r="E33" s="359" t="s">
        <v>353</v>
      </c>
      <c r="F33" s="360"/>
      <c r="G33" s="360"/>
      <c r="H33" s="356"/>
      <c r="I33" s="356"/>
      <c r="J33" s="361">
        <v>35475.050000000003</v>
      </c>
      <c r="K33" s="356"/>
      <c r="L33" s="361">
        <v>0</v>
      </c>
      <c r="M33" s="356"/>
      <c r="N33" s="362">
        <v>0</v>
      </c>
      <c r="O33" s="356"/>
      <c r="P33" s="361">
        <f t="shared" si="3"/>
        <v>35475.050000000003</v>
      </c>
      <c r="Q33" s="356"/>
      <c r="R33" s="361">
        <v>44029.58</v>
      </c>
      <c r="S33" s="361">
        <v>34994.239999999998</v>
      </c>
      <c r="T33" s="361">
        <f t="shared" si="4"/>
        <v>35475.050000000003</v>
      </c>
      <c r="U33" s="356"/>
      <c r="V33" s="362">
        <f t="shared" si="5"/>
        <v>480.81000000000495</v>
      </c>
      <c r="W33" s="356"/>
      <c r="X33" s="356"/>
    </row>
    <row r="34" spans="1:25" s="189" customFormat="1" outlineLevel="1">
      <c r="A34" s="356"/>
      <c r="B34" s="357" t="s">
        <v>224</v>
      </c>
      <c r="C34" s="358"/>
      <c r="D34" s="359">
        <v>11901</v>
      </c>
      <c r="E34" s="359" t="s">
        <v>355</v>
      </c>
      <c r="F34" s="360"/>
      <c r="G34" s="360"/>
      <c r="H34" s="356"/>
      <c r="I34" s="356"/>
      <c r="J34" s="361">
        <v>-534089.31000000006</v>
      </c>
      <c r="K34" s="356"/>
      <c r="L34" s="361">
        <v>0</v>
      </c>
      <c r="M34" s="356"/>
      <c r="N34" s="362">
        <v>0</v>
      </c>
      <c r="O34" s="356"/>
      <c r="P34" s="361">
        <f t="shared" si="3"/>
        <v>-534089.31000000006</v>
      </c>
      <c r="Q34" s="356"/>
      <c r="R34" s="361">
        <v>-524519.04</v>
      </c>
      <c r="S34" s="361">
        <v>-529072.39</v>
      </c>
      <c r="T34" s="361">
        <f t="shared" si="4"/>
        <v>-534089.31000000006</v>
      </c>
      <c r="U34" s="356"/>
      <c r="V34" s="362">
        <f t="shared" si="5"/>
        <v>-5016.9200000000419</v>
      </c>
      <c r="W34" s="356"/>
      <c r="X34" s="356"/>
    </row>
    <row r="35" spans="1:25" s="189" customFormat="1" outlineLevel="1">
      <c r="A35" s="356"/>
      <c r="B35" s="357" t="s">
        <v>224</v>
      </c>
      <c r="C35" s="358"/>
      <c r="D35" s="359">
        <v>11902</v>
      </c>
      <c r="E35" s="359" t="s">
        <v>356</v>
      </c>
      <c r="F35" s="360"/>
      <c r="G35" s="360"/>
      <c r="H35" s="356"/>
      <c r="I35" s="356"/>
      <c r="J35" s="361">
        <v>655883.93000000005</v>
      </c>
      <c r="K35" s="356"/>
      <c r="L35" s="361">
        <v>0</v>
      </c>
      <c r="M35" s="356"/>
      <c r="N35" s="362">
        <v>0</v>
      </c>
      <c r="O35" s="356"/>
      <c r="P35" s="361">
        <f t="shared" si="3"/>
        <v>655883.93000000005</v>
      </c>
      <c r="Q35" s="356"/>
      <c r="R35" s="361">
        <v>645246.21</v>
      </c>
      <c r="S35" s="361">
        <v>647913.34</v>
      </c>
      <c r="T35" s="361">
        <f t="shared" si="4"/>
        <v>655883.93000000005</v>
      </c>
      <c r="U35" s="356"/>
      <c r="V35" s="362">
        <f t="shared" si="5"/>
        <v>7970.5900000000838</v>
      </c>
      <c r="W35" s="356"/>
      <c r="X35" s="356"/>
    </row>
    <row r="36" spans="1:25" s="189" customFormat="1" outlineLevel="1">
      <c r="A36" s="356"/>
      <c r="B36" s="357" t="s">
        <v>224</v>
      </c>
      <c r="C36" s="358"/>
      <c r="D36" s="359">
        <v>11903</v>
      </c>
      <c r="E36" s="359" t="s">
        <v>357</v>
      </c>
      <c r="F36" s="360"/>
      <c r="G36" s="360"/>
      <c r="H36" s="356"/>
      <c r="I36" s="356"/>
      <c r="J36" s="361">
        <v>-131056.46</v>
      </c>
      <c r="K36" s="356"/>
      <c r="L36" s="361">
        <v>0</v>
      </c>
      <c r="M36" s="356"/>
      <c r="N36" s="362">
        <v>0</v>
      </c>
      <c r="O36" s="356"/>
      <c r="P36" s="361">
        <f t="shared" si="3"/>
        <v>-131056.46</v>
      </c>
      <c r="Q36" s="356"/>
      <c r="R36" s="361">
        <v>-126765.88</v>
      </c>
      <c r="S36" s="361">
        <v>-128353.71</v>
      </c>
      <c r="T36" s="361">
        <f t="shared" si="4"/>
        <v>-131056.46</v>
      </c>
      <c r="U36" s="356"/>
      <c r="V36" s="362">
        <f t="shared" si="5"/>
        <v>-2702.75</v>
      </c>
      <c r="W36" s="356"/>
      <c r="X36" s="356"/>
    </row>
    <row r="37" spans="1:25" s="189" customFormat="1" ht="5.0999999999999996" customHeight="1" outlineLevel="1">
      <c r="A37" s="358" t="s">
        <v>220</v>
      </c>
      <c r="B37" s="382" t="s">
        <v>220</v>
      </c>
      <c r="C37" s="382"/>
      <c r="D37" s="360"/>
      <c r="E37" s="360"/>
      <c r="F37" s="360"/>
      <c r="G37" s="360"/>
      <c r="H37" s="356"/>
      <c r="I37" s="356"/>
      <c r="J37" s="386"/>
      <c r="K37" s="356"/>
      <c r="L37" s="386"/>
      <c r="M37" s="356"/>
      <c r="N37" s="387"/>
      <c r="O37" s="356"/>
      <c r="P37" s="386"/>
      <c r="Q37" s="356"/>
      <c r="R37" s="386"/>
      <c r="S37" s="386"/>
      <c r="T37" s="386"/>
      <c r="U37" s="356"/>
      <c r="V37" s="387"/>
      <c r="W37" s="356"/>
      <c r="X37" s="356"/>
      <c r="Y37" s="356"/>
    </row>
    <row r="38" spans="1:25" s="189" customFormat="1">
      <c r="A38" s="358" t="s">
        <v>349</v>
      </c>
      <c r="B38" s="358" t="s">
        <v>220</v>
      </c>
      <c r="C38" s="358"/>
      <c r="D38" s="356"/>
      <c r="E38" s="356"/>
      <c r="F38" s="359" t="s">
        <v>358</v>
      </c>
      <c r="G38" s="356"/>
      <c r="H38" s="356"/>
      <c r="I38" s="356"/>
      <c r="J38" s="384">
        <f>SUM(J30:J37)</f>
        <v>1625639.9700000002</v>
      </c>
      <c r="K38" s="356"/>
      <c r="L38" s="384">
        <f>SUM(L30:L37)</f>
        <v>0</v>
      </c>
      <c r="M38" s="356"/>
      <c r="N38" s="385">
        <f>SUM(N30:N37)</f>
        <v>0</v>
      </c>
      <c r="O38" s="356"/>
      <c r="P38" s="384">
        <f>J38+L38+N38</f>
        <v>1625639.9700000002</v>
      </c>
      <c r="Q38" s="356"/>
      <c r="R38" s="384">
        <f>SUM(R30:R37)</f>
        <v>1569403.5700000003</v>
      </c>
      <c r="S38" s="384">
        <f>SUM(S30:S37)</f>
        <v>1494515.81</v>
      </c>
      <c r="T38" s="384">
        <f>SUM(T30:T37)</f>
        <v>1625639.9700000002</v>
      </c>
      <c r="U38" s="356"/>
      <c r="V38" s="385">
        <f>SUM(V30:V37)</f>
        <v>131124.15999999989</v>
      </c>
      <c r="W38" s="356"/>
      <c r="X38" s="356"/>
      <c r="Y38" s="356"/>
    </row>
    <row r="39" spans="1:25" s="189" customFormat="1" outlineLevel="1">
      <c r="A39" s="356"/>
      <c r="B39" s="357" t="s">
        <v>359</v>
      </c>
      <c r="C39" s="358"/>
      <c r="D39" s="359">
        <v>12001</v>
      </c>
      <c r="E39" s="359" t="s">
        <v>360</v>
      </c>
      <c r="F39" s="360"/>
      <c r="G39" s="360"/>
      <c r="H39" s="356"/>
      <c r="I39" s="356"/>
      <c r="J39" s="361">
        <v>88249.51</v>
      </c>
      <c r="K39" s="356"/>
      <c r="L39" s="361">
        <v>0</v>
      </c>
      <c r="M39" s="356"/>
      <c r="N39" s="362">
        <v>0</v>
      </c>
      <c r="O39" s="356"/>
      <c r="P39" s="361">
        <f t="shared" ref="P39:P43" si="6">J39+L39+N39</f>
        <v>88249.51</v>
      </c>
      <c r="Q39" s="356"/>
      <c r="R39" s="361">
        <v>88249.51</v>
      </c>
      <c r="S39" s="361">
        <v>88249.51</v>
      </c>
      <c r="T39" s="361">
        <f t="shared" ref="T39:T43" si="7">P39</f>
        <v>88249.51</v>
      </c>
      <c r="U39" s="356"/>
      <c r="V39" s="362">
        <f t="shared" ref="V39:V43" si="8">T39-S39</f>
        <v>0</v>
      </c>
      <c r="W39" s="356"/>
      <c r="X39" s="356"/>
    </row>
    <row r="40" spans="1:25" s="189" customFormat="1" outlineLevel="1">
      <c r="A40" s="356"/>
      <c r="B40" s="357" t="s">
        <v>224</v>
      </c>
      <c r="C40" s="358"/>
      <c r="D40" s="359">
        <v>12002</v>
      </c>
      <c r="E40" s="359" t="s">
        <v>361</v>
      </c>
      <c r="F40" s="360"/>
      <c r="G40" s="360"/>
      <c r="H40" s="356"/>
      <c r="I40" s="356"/>
      <c r="J40" s="361">
        <v>22898.02</v>
      </c>
      <c r="K40" s="356"/>
      <c r="L40" s="361">
        <v>0</v>
      </c>
      <c r="M40" s="356"/>
      <c r="N40" s="362">
        <v>0</v>
      </c>
      <c r="O40" s="356"/>
      <c r="P40" s="361">
        <f t="shared" si="6"/>
        <v>22898.02</v>
      </c>
      <c r="Q40" s="356"/>
      <c r="R40" s="361">
        <v>22493.54</v>
      </c>
      <c r="S40" s="361">
        <v>18715.580000000002</v>
      </c>
      <c r="T40" s="361">
        <f t="shared" si="7"/>
        <v>22898.02</v>
      </c>
      <c r="U40" s="356"/>
      <c r="V40" s="362">
        <f t="shared" si="8"/>
        <v>4182.4399999999987</v>
      </c>
      <c r="W40" s="356"/>
      <c r="X40" s="356"/>
    </row>
    <row r="41" spans="1:25" s="189" customFormat="1" outlineLevel="1">
      <c r="A41" s="356"/>
      <c r="B41" s="357" t="s">
        <v>224</v>
      </c>
      <c r="C41" s="358"/>
      <c r="D41" s="359">
        <v>12003</v>
      </c>
      <c r="E41" s="359" t="s">
        <v>362</v>
      </c>
      <c r="F41" s="360"/>
      <c r="G41" s="360"/>
      <c r="H41" s="356"/>
      <c r="I41" s="356"/>
      <c r="J41" s="361">
        <v>8910.93</v>
      </c>
      <c r="K41" s="356"/>
      <c r="L41" s="361">
        <v>0</v>
      </c>
      <c r="M41" s="356"/>
      <c r="N41" s="362">
        <v>0</v>
      </c>
      <c r="O41" s="356"/>
      <c r="P41" s="361">
        <f t="shared" si="6"/>
        <v>8910.93</v>
      </c>
      <c r="Q41" s="356"/>
      <c r="R41" s="361">
        <v>8910.93</v>
      </c>
      <c r="S41" s="361">
        <v>8910.93</v>
      </c>
      <c r="T41" s="361">
        <f t="shared" si="7"/>
        <v>8910.93</v>
      </c>
      <c r="U41" s="356"/>
      <c r="V41" s="362">
        <f t="shared" si="8"/>
        <v>0</v>
      </c>
      <c r="W41" s="356"/>
      <c r="X41" s="356"/>
    </row>
    <row r="42" spans="1:25" s="189" customFormat="1" outlineLevel="1">
      <c r="A42" s="356"/>
      <c r="B42" s="357" t="s">
        <v>224</v>
      </c>
      <c r="C42" s="358"/>
      <c r="D42" s="359">
        <v>12004</v>
      </c>
      <c r="E42" s="359" t="s">
        <v>363</v>
      </c>
      <c r="F42" s="360"/>
      <c r="G42" s="360"/>
      <c r="H42" s="356"/>
      <c r="I42" s="356"/>
      <c r="J42" s="361">
        <v>20012.39</v>
      </c>
      <c r="K42" s="356"/>
      <c r="L42" s="361">
        <v>0</v>
      </c>
      <c r="M42" s="356"/>
      <c r="N42" s="362">
        <v>0</v>
      </c>
      <c r="O42" s="356"/>
      <c r="P42" s="361">
        <f t="shared" si="6"/>
        <v>20012.39</v>
      </c>
      <c r="Q42" s="356"/>
      <c r="R42" s="361">
        <v>20012.39</v>
      </c>
      <c r="S42" s="361">
        <v>20012.39</v>
      </c>
      <c r="T42" s="361">
        <f t="shared" si="7"/>
        <v>20012.39</v>
      </c>
      <c r="U42" s="356"/>
      <c r="V42" s="362">
        <f t="shared" si="8"/>
        <v>0</v>
      </c>
      <c r="W42" s="356"/>
      <c r="X42" s="356"/>
    </row>
    <row r="43" spans="1:25" s="189" customFormat="1" outlineLevel="1">
      <c r="A43" s="356"/>
      <c r="B43" s="357" t="s">
        <v>224</v>
      </c>
      <c r="C43" s="358"/>
      <c r="D43" s="359">
        <v>12005</v>
      </c>
      <c r="E43" s="359" t="s">
        <v>364</v>
      </c>
      <c r="F43" s="360"/>
      <c r="G43" s="360"/>
      <c r="H43" s="356"/>
      <c r="I43" s="356"/>
      <c r="J43" s="361">
        <v>10608.72</v>
      </c>
      <c r="K43" s="356"/>
      <c r="L43" s="361">
        <v>0</v>
      </c>
      <c r="M43" s="356"/>
      <c r="N43" s="362">
        <v>0</v>
      </c>
      <c r="O43" s="356"/>
      <c r="P43" s="361">
        <f t="shared" si="6"/>
        <v>10608.72</v>
      </c>
      <c r="Q43" s="356"/>
      <c r="R43" s="361">
        <v>10608.72</v>
      </c>
      <c r="S43" s="361">
        <v>10608.72</v>
      </c>
      <c r="T43" s="361">
        <f t="shared" si="7"/>
        <v>10608.72</v>
      </c>
      <c r="U43" s="356"/>
      <c r="V43" s="362">
        <f t="shared" si="8"/>
        <v>0</v>
      </c>
      <c r="W43" s="356"/>
      <c r="X43" s="356"/>
    </row>
    <row r="44" spans="1:25" s="189" customFormat="1" ht="5.0999999999999996" customHeight="1" outlineLevel="1">
      <c r="A44" s="358" t="s">
        <v>220</v>
      </c>
      <c r="B44" s="382" t="s">
        <v>220</v>
      </c>
      <c r="C44" s="382"/>
      <c r="D44" s="360"/>
      <c r="E44" s="360"/>
      <c r="F44" s="360"/>
      <c r="G44" s="360"/>
      <c r="H44" s="356"/>
      <c r="I44" s="356"/>
      <c r="J44" s="386"/>
      <c r="K44" s="356"/>
      <c r="L44" s="386"/>
      <c r="M44" s="356"/>
      <c r="N44" s="387"/>
      <c r="O44" s="356"/>
      <c r="P44" s="386"/>
      <c r="Q44" s="356"/>
      <c r="R44" s="386"/>
      <c r="S44" s="386"/>
      <c r="T44" s="386"/>
      <c r="U44" s="356"/>
      <c r="V44" s="387"/>
      <c r="W44" s="356"/>
      <c r="X44" s="356"/>
      <c r="Y44" s="356"/>
    </row>
    <row r="45" spans="1:25" s="189" customFormat="1">
      <c r="A45" s="358" t="s">
        <v>359</v>
      </c>
      <c r="B45" s="358" t="s">
        <v>220</v>
      </c>
      <c r="C45" s="358"/>
      <c r="D45" s="356"/>
      <c r="E45" s="356"/>
      <c r="F45" s="359" t="s">
        <v>365</v>
      </c>
      <c r="G45" s="356"/>
      <c r="H45" s="356"/>
      <c r="I45" s="356"/>
      <c r="J45" s="384">
        <f>SUM(J39:J44)</f>
        <v>150679.56999999998</v>
      </c>
      <c r="K45" s="356"/>
      <c r="L45" s="384">
        <f>SUM(L39:L44)</f>
        <v>0</v>
      </c>
      <c r="M45" s="356"/>
      <c r="N45" s="385">
        <f>SUM(N39:N44)</f>
        <v>0</v>
      </c>
      <c r="O45" s="356"/>
      <c r="P45" s="384">
        <f>J45+L45+N45</f>
        <v>150679.56999999998</v>
      </c>
      <c r="Q45" s="356"/>
      <c r="R45" s="384">
        <f>SUM(R39:R44)</f>
        <v>150275.09</v>
      </c>
      <c r="S45" s="384">
        <f>SUM(S39:S44)</f>
        <v>146497.12999999998</v>
      </c>
      <c r="T45" s="384">
        <f>SUM(T39:T44)</f>
        <v>150679.56999999998</v>
      </c>
      <c r="U45" s="356"/>
      <c r="V45" s="385">
        <f>SUM(V39:V44)</f>
        <v>4182.4399999999987</v>
      </c>
      <c r="W45" s="356"/>
      <c r="X45" s="356"/>
      <c r="Y45" s="356"/>
    </row>
    <row r="46" spans="1:25" s="189" customFormat="1" outlineLevel="1">
      <c r="A46" s="356"/>
      <c r="B46" s="357" t="s">
        <v>366</v>
      </c>
      <c r="C46" s="358"/>
      <c r="D46" s="359">
        <v>13001</v>
      </c>
      <c r="E46" s="359" t="s">
        <v>367</v>
      </c>
      <c r="F46" s="360"/>
      <c r="G46" s="360"/>
      <c r="H46" s="356"/>
      <c r="I46" s="356"/>
      <c r="J46" s="361">
        <v>15825</v>
      </c>
      <c r="K46" s="356"/>
      <c r="L46" s="361">
        <v>0</v>
      </c>
      <c r="M46" s="356"/>
      <c r="N46" s="362">
        <v>0</v>
      </c>
      <c r="O46" s="356"/>
      <c r="P46" s="361">
        <f t="shared" ref="P46:P51" si="9">J46+L46+N46</f>
        <v>15825</v>
      </c>
      <c r="Q46" s="356"/>
      <c r="R46" s="361">
        <v>21100</v>
      </c>
      <c r="S46" s="361">
        <v>18462.5</v>
      </c>
      <c r="T46" s="361">
        <f t="shared" ref="T46:T51" si="10">P46</f>
        <v>15825</v>
      </c>
      <c r="U46" s="356"/>
      <c r="V46" s="362">
        <f t="shared" ref="V46:V51" si="11">T46-S46</f>
        <v>-2637.5</v>
      </c>
      <c r="W46" s="356"/>
      <c r="X46" s="356"/>
    </row>
    <row r="47" spans="1:25" s="189" customFormat="1" outlineLevel="1">
      <c r="A47" s="356"/>
      <c r="B47" s="357" t="s">
        <v>224</v>
      </c>
      <c r="C47" s="358"/>
      <c r="D47" s="359">
        <v>13002</v>
      </c>
      <c r="E47" s="359" t="s">
        <v>368</v>
      </c>
      <c r="F47" s="360"/>
      <c r="G47" s="360"/>
      <c r="H47" s="356"/>
      <c r="I47" s="356"/>
      <c r="J47" s="361">
        <v>375</v>
      </c>
      <c r="K47" s="356"/>
      <c r="L47" s="361">
        <v>0</v>
      </c>
      <c r="M47" s="356"/>
      <c r="N47" s="362">
        <v>0</v>
      </c>
      <c r="O47" s="356"/>
      <c r="P47" s="361">
        <f t="shared" si="9"/>
        <v>375</v>
      </c>
      <c r="Q47" s="356"/>
      <c r="R47" s="361">
        <v>625</v>
      </c>
      <c r="S47" s="361">
        <v>500</v>
      </c>
      <c r="T47" s="361">
        <f t="shared" si="10"/>
        <v>375</v>
      </c>
      <c r="U47" s="356"/>
      <c r="V47" s="362">
        <f t="shared" si="11"/>
        <v>-125</v>
      </c>
      <c r="W47" s="356"/>
      <c r="X47" s="356"/>
    </row>
    <row r="48" spans="1:25" s="189" customFormat="1" outlineLevel="1">
      <c r="A48" s="356"/>
      <c r="B48" s="357" t="s">
        <v>224</v>
      </c>
      <c r="C48" s="358"/>
      <c r="D48" s="359">
        <v>13003</v>
      </c>
      <c r="E48" s="359" t="s">
        <v>369</v>
      </c>
      <c r="F48" s="360"/>
      <c r="G48" s="360"/>
      <c r="H48" s="356"/>
      <c r="I48" s="356"/>
      <c r="J48" s="361">
        <v>0</v>
      </c>
      <c r="K48" s="356"/>
      <c r="L48" s="361">
        <v>0</v>
      </c>
      <c r="M48" s="356"/>
      <c r="N48" s="362">
        <v>0</v>
      </c>
      <c r="O48" s="356"/>
      <c r="P48" s="361">
        <f t="shared" si="9"/>
        <v>0</v>
      </c>
      <c r="Q48" s="356"/>
      <c r="R48" s="361">
        <v>306</v>
      </c>
      <c r="S48" s="361">
        <v>153</v>
      </c>
      <c r="T48" s="361">
        <f t="shared" si="10"/>
        <v>0</v>
      </c>
      <c r="U48" s="356"/>
      <c r="V48" s="362">
        <f t="shared" si="11"/>
        <v>-153</v>
      </c>
      <c r="W48" s="356"/>
      <c r="X48" s="356"/>
    </row>
    <row r="49" spans="1:25" s="189" customFormat="1" outlineLevel="1">
      <c r="A49" s="356"/>
      <c r="B49" s="357" t="s">
        <v>224</v>
      </c>
      <c r="C49" s="358"/>
      <c r="D49" s="359">
        <v>13004</v>
      </c>
      <c r="E49" s="359" t="s">
        <v>370</v>
      </c>
      <c r="F49" s="360"/>
      <c r="G49" s="360"/>
      <c r="H49" s="356"/>
      <c r="I49" s="356"/>
      <c r="J49" s="361">
        <v>17225.599999999999</v>
      </c>
      <c r="K49" s="356"/>
      <c r="L49" s="361">
        <v>0</v>
      </c>
      <c r="M49" s="356"/>
      <c r="N49" s="362">
        <v>0</v>
      </c>
      <c r="O49" s="356"/>
      <c r="P49" s="361">
        <f t="shared" si="9"/>
        <v>17225.599999999999</v>
      </c>
      <c r="Q49" s="356"/>
      <c r="R49" s="361">
        <v>22967.48</v>
      </c>
      <c r="S49" s="361">
        <v>20096.54</v>
      </c>
      <c r="T49" s="361">
        <f t="shared" si="10"/>
        <v>17225.599999999999</v>
      </c>
      <c r="U49" s="356"/>
      <c r="V49" s="362">
        <f t="shared" si="11"/>
        <v>-2870.9400000000023</v>
      </c>
      <c r="W49" s="356"/>
      <c r="X49" s="356"/>
    </row>
    <row r="50" spans="1:25" s="189" customFormat="1" outlineLevel="1">
      <c r="A50" s="356"/>
      <c r="B50" s="357" t="s">
        <v>224</v>
      </c>
      <c r="C50" s="358"/>
      <c r="D50" s="359">
        <v>13007</v>
      </c>
      <c r="E50" s="359" t="s">
        <v>371</v>
      </c>
      <c r="F50" s="360"/>
      <c r="G50" s="360"/>
      <c r="H50" s="356"/>
      <c r="I50" s="356"/>
      <c r="J50" s="361">
        <v>0</v>
      </c>
      <c r="K50" s="356"/>
      <c r="L50" s="361">
        <v>0</v>
      </c>
      <c r="M50" s="356"/>
      <c r="N50" s="362">
        <v>0</v>
      </c>
      <c r="O50" s="356"/>
      <c r="P50" s="361">
        <f t="shared" si="9"/>
        <v>0</v>
      </c>
      <c r="Q50" s="356"/>
      <c r="R50" s="361">
        <v>0</v>
      </c>
      <c r="S50" s="361">
        <v>0</v>
      </c>
      <c r="T50" s="361">
        <f t="shared" si="10"/>
        <v>0</v>
      </c>
      <c r="U50" s="356"/>
      <c r="V50" s="362">
        <f t="shared" si="11"/>
        <v>0</v>
      </c>
      <c r="W50" s="356"/>
      <c r="X50" s="356"/>
    </row>
    <row r="51" spans="1:25" s="189" customFormat="1" outlineLevel="1">
      <c r="A51" s="356"/>
      <c r="B51" s="357" t="s">
        <v>224</v>
      </c>
      <c r="C51" s="358"/>
      <c r="D51" s="359">
        <v>13008</v>
      </c>
      <c r="E51" s="359" t="s">
        <v>372</v>
      </c>
      <c r="F51" s="360"/>
      <c r="G51" s="360"/>
      <c r="H51" s="356"/>
      <c r="I51" s="356"/>
      <c r="J51" s="361">
        <v>9819.5</v>
      </c>
      <c r="K51" s="356"/>
      <c r="L51" s="361">
        <v>0</v>
      </c>
      <c r="M51" s="356"/>
      <c r="N51" s="362">
        <v>0</v>
      </c>
      <c r="O51" s="356"/>
      <c r="P51" s="361">
        <f t="shared" si="9"/>
        <v>9819.5</v>
      </c>
      <c r="Q51" s="356"/>
      <c r="R51" s="361">
        <v>11273.52</v>
      </c>
      <c r="S51" s="361">
        <v>10546.51</v>
      </c>
      <c r="T51" s="361">
        <f t="shared" si="10"/>
        <v>9819.5</v>
      </c>
      <c r="U51" s="356"/>
      <c r="V51" s="362">
        <f t="shared" si="11"/>
        <v>-727.01000000000022</v>
      </c>
      <c r="W51" s="356"/>
      <c r="X51" s="356"/>
    </row>
    <row r="52" spans="1:25" s="189" customFormat="1" ht="3.75" customHeight="1" outlineLevel="1">
      <c r="A52" s="358" t="s">
        <v>220</v>
      </c>
      <c r="B52" s="382" t="s">
        <v>220</v>
      </c>
      <c r="C52" s="382"/>
      <c r="D52" s="360"/>
      <c r="E52" s="360"/>
      <c r="F52" s="360"/>
      <c r="G52" s="360"/>
      <c r="H52" s="356"/>
      <c r="I52" s="356"/>
      <c r="J52" s="386"/>
      <c r="K52" s="356"/>
      <c r="L52" s="386"/>
      <c r="M52" s="356"/>
      <c r="N52" s="387"/>
      <c r="O52" s="356"/>
      <c r="P52" s="386"/>
      <c r="Q52" s="356"/>
      <c r="R52" s="386"/>
      <c r="S52" s="386"/>
      <c r="T52" s="386"/>
      <c r="U52" s="356"/>
      <c r="V52" s="387"/>
      <c r="W52" s="356"/>
      <c r="X52" s="356"/>
      <c r="Y52" s="356"/>
    </row>
    <row r="53" spans="1:25" s="189" customFormat="1">
      <c r="A53" s="358" t="s">
        <v>366</v>
      </c>
      <c r="B53" s="358" t="s">
        <v>220</v>
      </c>
      <c r="C53" s="358"/>
      <c r="D53" s="356"/>
      <c r="E53" s="356"/>
      <c r="F53" s="359" t="s">
        <v>373</v>
      </c>
      <c r="G53" s="356"/>
      <c r="H53" s="356"/>
      <c r="I53" s="356"/>
      <c r="J53" s="384">
        <f>SUM(J46:J52)</f>
        <v>43245.1</v>
      </c>
      <c r="K53" s="356"/>
      <c r="L53" s="384">
        <f>SUM(L46:L52)</f>
        <v>0</v>
      </c>
      <c r="M53" s="356"/>
      <c r="N53" s="385">
        <f>SUM(N46:N52)</f>
        <v>0</v>
      </c>
      <c r="O53" s="356"/>
      <c r="P53" s="384">
        <f>J53+L53+N53</f>
        <v>43245.1</v>
      </c>
      <c r="Q53" s="356"/>
      <c r="R53" s="384">
        <f>SUM(R46:R52)</f>
        <v>56272</v>
      </c>
      <c r="S53" s="384">
        <f>SUM(S46:S52)</f>
        <v>49758.55</v>
      </c>
      <c r="T53" s="384">
        <f>SUM(T46:T52)</f>
        <v>43245.1</v>
      </c>
      <c r="U53" s="388"/>
      <c r="V53" s="385">
        <f>SUM(V46:V52)</f>
        <v>-6513.4500000000025</v>
      </c>
      <c r="W53" s="356"/>
      <c r="X53" s="356"/>
      <c r="Y53" s="356"/>
    </row>
    <row r="54" spans="1:25" s="189" customFormat="1" outlineLevel="1">
      <c r="A54" s="356"/>
      <c r="B54" s="357" t="s">
        <v>374</v>
      </c>
      <c r="C54" s="358"/>
      <c r="D54" s="359"/>
      <c r="E54" s="359"/>
      <c r="F54" s="360"/>
      <c r="G54" s="360"/>
      <c r="H54" s="356"/>
      <c r="I54" s="356"/>
      <c r="J54" s="361"/>
      <c r="K54" s="356"/>
      <c r="L54" s="361"/>
      <c r="M54" s="356"/>
      <c r="N54" s="362"/>
      <c r="O54" s="356"/>
      <c r="P54" s="361"/>
      <c r="Q54" s="356"/>
      <c r="R54" s="361"/>
      <c r="S54" s="361"/>
      <c r="T54" s="361"/>
      <c r="U54" s="356"/>
      <c r="V54" s="362"/>
      <c r="W54" s="356"/>
      <c r="X54" s="356"/>
    </row>
    <row r="55" spans="1:25" s="189" customFormat="1" ht="3.75" customHeight="1" outlineLevel="1">
      <c r="A55" s="358" t="s">
        <v>220</v>
      </c>
      <c r="B55" s="382" t="s">
        <v>220</v>
      </c>
      <c r="C55" s="382"/>
      <c r="D55" s="360"/>
      <c r="E55" s="360"/>
      <c r="F55" s="360"/>
      <c r="G55" s="360"/>
      <c r="H55" s="356"/>
      <c r="I55" s="356"/>
      <c r="J55" s="386"/>
      <c r="K55" s="356"/>
      <c r="L55" s="386"/>
      <c r="M55" s="356"/>
      <c r="N55" s="387"/>
      <c r="O55" s="356"/>
      <c r="P55" s="386"/>
      <c r="Q55" s="356"/>
      <c r="R55" s="386"/>
      <c r="S55" s="386"/>
      <c r="T55" s="386"/>
      <c r="U55" s="356"/>
      <c r="V55" s="387"/>
      <c r="W55" s="356"/>
      <c r="X55" s="356"/>
      <c r="Y55" s="356"/>
    </row>
    <row r="56" spans="1:25" s="189" customFormat="1">
      <c r="A56" s="358" t="s">
        <v>374</v>
      </c>
      <c r="B56" s="358" t="s">
        <v>220</v>
      </c>
      <c r="C56" s="358"/>
      <c r="D56" s="356"/>
      <c r="E56" s="356"/>
      <c r="F56" s="359" t="s">
        <v>375</v>
      </c>
      <c r="G56" s="356"/>
      <c r="H56" s="356"/>
      <c r="I56" s="356"/>
      <c r="J56" s="384">
        <f>SUM(J54:J55)</f>
        <v>0</v>
      </c>
      <c r="K56" s="356"/>
      <c r="L56" s="384">
        <f>SUM(L54:L55)</f>
        <v>0</v>
      </c>
      <c r="M56" s="356"/>
      <c r="N56" s="385">
        <f>SUM(N54:N55)</f>
        <v>0</v>
      </c>
      <c r="O56" s="356"/>
      <c r="P56" s="384">
        <f>J56+L56+N56</f>
        <v>0</v>
      </c>
      <c r="Q56" s="356"/>
      <c r="R56" s="384">
        <f>SUM(R54:R55)</f>
        <v>0</v>
      </c>
      <c r="S56" s="384">
        <f>SUM(S54:S55)</f>
        <v>0</v>
      </c>
      <c r="T56" s="384">
        <f>SUM(T54:T55)</f>
        <v>0</v>
      </c>
      <c r="U56" s="388"/>
      <c r="V56" s="385">
        <f>SUM(V54:V55)</f>
        <v>0</v>
      </c>
      <c r="W56" s="356"/>
      <c r="X56" s="356"/>
      <c r="Y56" s="356"/>
    </row>
    <row r="57" spans="1:25" s="189" customFormat="1" ht="7.5" customHeight="1">
      <c r="A57" s="382" t="s">
        <v>220</v>
      </c>
      <c r="B57" s="382" t="s">
        <v>220</v>
      </c>
      <c r="C57" s="382"/>
      <c r="D57" s="356"/>
      <c r="E57" s="356"/>
      <c r="F57" s="356"/>
      <c r="G57" s="356"/>
      <c r="H57" s="356"/>
      <c r="I57" s="356"/>
      <c r="J57" s="389"/>
      <c r="K57" s="356"/>
      <c r="L57" s="389"/>
      <c r="M57" s="356"/>
      <c r="N57" s="389"/>
      <c r="O57" s="356"/>
      <c r="P57" s="389"/>
      <c r="Q57" s="356"/>
      <c r="R57" s="389"/>
      <c r="S57" s="389"/>
      <c r="T57" s="389"/>
      <c r="U57" s="356"/>
      <c r="V57" s="389"/>
      <c r="W57" s="356"/>
      <c r="X57" s="356"/>
      <c r="Y57" s="356"/>
    </row>
    <row r="58" spans="1:25" s="189" customFormat="1">
      <c r="A58" s="358" t="s">
        <v>220</v>
      </c>
      <c r="B58" s="382" t="s">
        <v>220</v>
      </c>
      <c r="C58" s="382"/>
      <c r="D58" s="356"/>
      <c r="E58" s="390" t="s">
        <v>376</v>
      </c>
      <c r="F58" s="356"/>
      <c r="G58" s="356"/>
      <c r="H58" s="356"/>
      <c r="I58" s="356"/>
      <c r="J58" s="391">
        <f>SUM(J29,J38,J45,J53,J56)</f>
        <v>1832258.6100000003</v>
      </c>
      <c r="K58" s="356"/>
      <c r="L58" s="391">
        <f>SUM(L29,L38,L45,L53,L56)</f>
        <v>0</v>
      </c>
      <c r="M58" s="356"/>
      <c r="N58" s="392">
        <f>SUM(N29,N38,N45,N53,N56)</f>
        <v>0</v>
      </c>
      <c r="O58" s="356"/>
      <c r="P58" s="391">
        <f>SUM(P29,P38,P45,P53,P56)</f>
        <v>1832258.6100000003</v>
      </c>
      <c r="Q58" s="356"/>
      <c r="R58" s="391">
        <f>SUM(R29,R38,R45,R53,R56)</f>
        <v>1787543.2600000005</v>
      </c>
      <c r="S58" s="391">
        <f>SUM(S29,S38,S45,S53,S56)</f>
        <v>1706946.03</v>
      </c>
      <c r="T58" s="391">
        <f>SUM(T29,T38,T45,T53,T56)</f>
        <v>1832258.6100000003</v>
      </c>
      <c r="U58" s="356"/>
      <c r="V58" s="392">
        <f>SUM(V29,V38,V45,V53,V56)</f>
        <v>125312.57999999989</v>
      </c>
      <c r="W58" s="356"/>
      <c r="X58" s="356"/>
      <c r="Y58" s="356"/>
    </row>
    <row r="59" spans="1:25" s="189" customFormat="1" ht="7.5" customHeight="1">
      <c r="A59" s="382" t="s">
        <v>220</v>
      </c>
      <c r="B59" s="382" t="s">
        <v>220</v>
      </c>
      <c r="C59" s="382"/>
      <c r="D59" s="356"/>
      <c r="E59" s="356"/>
      <c r="F59" s="356"/>
      <c r="G59" s="356"/>
      <c r="H59" s="356"/>
      <c r="I59" s="356"/>
      <c r="J59" s="389"/>
      <c r="K59" s="356"/>
      <c r="L59" s="389"/>
      <c r="M59" s="356"/>
      <c r="N59" s="362"/>
      <c r="O59" s="356"/>
      <c r="P59" s="389"/>
      <c r="Q59" s="356"/>
      <c r="R59" s="389"/>
      <c r="S59" s="389"/>
      <c r="T59" s="389"/>
      <c r="U59" s="356"/>
      <c r="V59" s="362"/>
      <c r="W59" s="356"/>
      <c r="X59" s="356"/>
      <c r="Y59" s="356"/>
    </row>
    <row r="60" spans="1:25" s="189" customFormat="1" outlineLevel="1">
      <c r="A60" s="382" t="s">
        <v>220</v>
      </c>
      <c r="B60" s="382" t="s">
        <v>220</v>
      </c>
      <c r="C60" s="382"/>
      <c r="D60" s="356"/>
      <c r="E60" s="356"/>
      <c r="F60" s="356"/>
      <c r="G60" s="356"/>
      <c r="H60" s="356"/>
      <c r="I60" s="356"/>
      <c r="J60" s="389"/>
      <c r="K60" s="356"/>
      <c r="L60" s="389"/>
      <c r="M60" s="356"/>
      <c r="N60" s="362"/>
      <c r="O60" s="356"/>
      <c r="P60" s="389"/>
      <c r="Q60" s="356"/>
      <c r="R60" s="389"/>
      <c r="S60" s="389"/>
      <c r="T60" s="389"/>
      <c r="U60" s="356"/>
      <c r="V60" s="362"/>
      <c r="W60" s="356"/>
      <c r="X60" s="356"/>
      <c r="Y60" s="356"/>
    </row>
    <row r="61" spans="1:25" s="189" customFormat="1" outlineLevel="1">
      <c r="A61" s="356"/>
      <c r="B61" s="357" t="s">
        <v>377</v>
      </c>
      <c r="C61" s="358"/>
      <c r="D61" s="359">
        <v>14002</v>
      </c>
      <c r="E61" s="359" t="s">
        <v>378</v>
      </c>
      <c r="F61" s="360"/>
      <c r="G61" s="360"/>
      <c r="H61" s="356"/>
      <c r="I61" s="356"/>
      <c r="J61" s="361">
        <v>410740</v>
      </c>
      <c r="K61" s="356"/>
      <c r="L61" s="361">
        <v>0</v>
      </c>
      <c r="M61" s="356"/>
      <c r="N61" s="362">
        <v>0</v>
      </c>
      <c r="O61" s="356"/>
      <c r="P61" s="361">
        <f t="shared" ref="P61:P95" si="12">J61+L61+N61</f>
        <v>410740</v>
      </c>
      <c r="Q61" s="356"/>
      <c r="R61" s="361">
        <v>410740</v>
      </c>
      <c r="S61" s="361">
        <v>410740</v>
      </c>
      <c r="T61" s="361">
        <f t="shared" ref="T61:T95" si="13">P61</f>
        <v>410740</v>
      </c>
      <c r="U61" s="356"/>
      <c r="V61" s="362">
        <f t="shared" ref="V61:V95" si="14">T61-S61</f>
        <v>0</v>
      </c>
      <c r="W61" s="356"/>
      <c r="X61" s="356"/>
    </row>
    <row r="62" spans="1:25" s="189" customFormat="1" outlineLevel="1">
      <c r="A62" s="356"/>
      <c r="B62" s="357" t="s">
        <v>224</v>
      </c>
      <c r="C62" s="358"/>
      <c r="D62" s="359">
        <v>14011</v>
      </c>
      <c r="E62" s="359" t="s">
        <v>380</v>
      </c>
      <c r="F62" s="360"/>
      <c r="G62" s="360"/>
      <c r="H62" s="356"/>
      <c r="I62" s="356"/>
      <c r="J62" s="361">
        <v>390832.85</v>
      </c>
      <c r="K62" s="356"/>
      <c r="L62" s="361">
        <v>0</v>
      </c>
      <c r="M62" s="356"/>
      <c r="N62" s="362">
        <v>0</v>
      </c>
      <c r="O62" s="356"/>
      <c r="P62" s="361">
        <f t="shared" si="12"/>
        <v>390832.85</v>
      </c>
      <c r="Q62" s="356"/>
      <c r="R62" s="361">
        <v>387487.95</v>
      </c>
      <c r="S62" s="361">
        <v>390832.85</v>
      </c>
      <c r="T62" s="361">
        <f t="shared" si="13"/>
        <v>390832.85</v>
      </c>
      <c r="U62" s="356"/>
      <c r="V62" s="362">
        <f t="shared" si="14"/>
        <v>0</v>
      </c>
      <c r="W62" s="356"/>
      <c r="X62" s="356"/>
    </row>
    <row r="63" spans="1:25" s="189" customFormat="1" outlineLevel="1">
      <c r="A63" s="356"/>
      <c r="B63" s="357" t="s">
        <v>224</v>
      </c>
      <c r="C63" s="358"/>
      <c r="D63" s="359">
        <v>14016</v>
      </c>
      <c r="E63" s="359" t="s">
        <v>381</v>
      </c>
      <c r="F63" s="360"/>
      <c r="G63" s="360"/>
      <c r="H63" s="356"/>
      <c r="I63" s="356"/>
      <c r="J63" s="361">
        <v>-67210.77</v>
      </c>
      <c r="K63" s="356"/>
      <c r="L63" s="361">
        <v>0</v>
      </c>
      <c r="M63" s="356"/>
      <c r="N63" s="362">
        <v>0</v>
      </c>
      <c r="O63" s="356"/>
      <c r="P63" s="361">
        <f t="shared" si="12"/>
        <v>-67210.77</v>
      </c>
      <c r="Q63" s="356"/>
      <c r="R63" s="361">
        <v>-60692.69</v>
      </c>
      <c r="S63" s="361">
        <v>-63951.72</v>
      </c>
      <c r="T63" s="361">
        <f t="shared" si="13"/>
        <v>-67210.77</v>
      </c>
      <c r="U63" s="356"/>
      <c r="V63" s="362">
        <f t="shared" si="14"/>
        <v>-3259.0500000000029</v>
      </c>
      <c r="W63" s="356"/>
      <c r="X63" s="356"/>
    </row>
    <row r="64" spans="1:25" s="189" customFormat="1" outlineLevel="1">
      <c r="A64" s="356"/>
      <c r="B64" s="357" t="s">
        <v>224</v>
      </c>
      <c r="C64" s="358"/>
      <c r="D64" s="359">
        <v>14031</v>
      </c>
      <c r="E64" s="359" t="s">
        <v>382</v>
      </c>
      <c r="F64" s="360"/>
      <c r="G64" s="360"/>
      <c r="H64" s="356"/>
      <c r="I64" s="356"/>
      <c r="J64" s="361">
        <v>10790</v>
      </c>
      <c r="K64" s="356"/>
      <c r="L64" s="361">
        <v>0</v>
      </c>
      <c r="M64" s="356"/>
      <c r="N64" s="362">
        <v>0</v>
      </c>
      <c r="O64" s="356"/>
      <c r="P64" s="361">
        <f t="shared" si="12"/>
        <v>10790</v>
      </c>
      <c r="Q64" s="356"/>
      <c r="R64" s="361">
        <v>10790</v>
      </c>
      <c r="S64" s="361">
        <v>10790</v>
      </c>
      <c r="T64" s="361">
        <f t="shared" si="13"/>
        <v>10790</v>
      </c>
      <c r="U64" s="356"/>
      <c r="V64" s="362">
        <f t="shared" si="14"/>
        <v>0</v>
      </c>
      <c r="W64" s="356"/>
      <c r="X64" s="356"/>
    </row>
    <row r="65" spans="1:24" s="189" customFormat="1" outlineLevel="1">
      <c r="A65" s="356"/>
      <c r="B65" s="357" t="s">
        <v>224</v>
      </c>
      <c r="C65" s="358"/>
      <c r="D65" s="359">
        <v>14036</v>
      </c>
      <c r="E65" s="359" t="s">
        <v>383</v>
      </c>
      <c r="F65" s="360"/>
      <c r="G65" s="360"/>
      <c r="H65" s="356"/>
      <c r="I65" s="356"/>
      <c r="J65" s="361">
        <v>-10790</v>
      </c>
      <c r="K65" s="356"/>
      <c r="L65" s="361">
        <v>0</v>
      </c>
      <c r="M65" s="356"/>
      <c r="N65" s="362">
        <v>0</v>
      </c>
      <c r="O65" s="356"/>
      <c r="P65" s="361">
        <f t="shared" si="12"/>
        <v>-10790</v>
      </c>
      <c r="Q65" s="356"/>
      <c r="R65" s="361">
        <v>-10790</v>
      </c>
      <c r="S65" s="361">
        <v>-10790</v>
      </c>
      <c r="T65" s="361">
        <f t="shared" si="13"/>
        <v>-10790</v>
      </c>
      <c r="U65" s="356"/>
      <c r="V65" s="362">
        <f t="shared" si="14"/>
        <v>0</v>
      </c>
      <c r="W65" s="356"/>
      <c r="X65" s="356"/>
    </row>
    <row r="66" spans="1:24" s="189" customFormat="1" outlineLevel="1">
      <c r="A66" s="356"/>
      <c r="B66" s="357" t="s">
        <v>224</v>
      </c>
      <c r="C66" s="358"/>
      <c r="D66" s="359">
        <v>14041</v>
      </c>
      <c r="E66" s="359" t="s">
        <v>384</v>
      </c>
      <c r="F66" s="360"/>
      <c r="G66" s="360"/>
      <c r="H66" s="356"/>
      <c r="I66" s="356"/>
      <c r="J66" s="361">
        <v>4483454.3099999996</v>
      </c>
      <c r="K66" s="356"/>
      <c r="L66" s="361">
        <v>0</v>
      </c>
      <c r="M66" s="356"/>
      <c r="N66" s="362">
        <v>0</v>
      </c>
      <c r="O66" s="356"/>
      <c r="P66" s="361">
        <f t="shared" si="12"/>
        <v>4483454.3099999996</v>
      </c>
      <c r="Q66" s="356"/>
      <c r="R66" s="361">
        <v>4468073.3600000003</v>
      </c>
      <c r="S66" s="361">
        <v>4469158.6100000003</v>
      </c>
      <c r="T66" s="361">
        <f t="shared" si="13"/>
        <v>4483454.3099999996</v>
      </c>
      <c r="U66" s="356"/>
      <c r="V66" s="362">
        <f t="shared" si="14"/>
        <v>14295.699999999255</v>
      </c>
      <c r="W66" s="356"/>
      <c r="X66" s="356"/>
    </row>
    <row r="67" spans="1:24" s="189" customFormat="1" outlineLevel="1">
      <c r="A67" s="356"/>
      <c r="B67" s="357" t="s">
        <v>224</v>
      </c>
      <c r="C67" s="358"/>
      <c r="D67" s="359">
        <v>14042</v>
      </c>
      <c r="E67" s="359" t="s">
        <v>385</v>
      </c>
      <c r="F67" s="360"/>
      <c r="G67" s="360"/>
      <c r="H67" s="356"/>
      <c r="I67" s="356"/>
      <c r="J67" s="361">
        <v>1341075</v>
      </c>
      <c r="K67" s="356"/>
      <c r="L67" s="361">
        <v>0</v>
      </c>
      <c r="M67" s="356"/>
      <c r="N67" s="362">
        <v>0</v>
      </c>
      <c r="O67" s="356"/>
      <c r="P67" s="361">
        <f t="shared" si="12"/>
        <v>1341075</v>
      </c>
      <c r="Q67" s="356"/>
      <c r="R67" s="361">
        <v>1341075</v>
      </c>
      <c r="S67" s="361">
        <v>1341075</v>
      </c>
      <c r="T67" s="361">
        <f t="shared" si="13"/>
        <v>1341075</v>
      </c>
      <c r="U67" s="356"/>
      <c r="V67" s="362">
        <f t="shared" si="14"/>
        <v>0</v>
      </c>
      <c r="W67" s="356"/>
      <c r="X67" s="356"/>
    </row>
    <row r="68" spans="1:24" s="189" customFormat="1" outlineLevel="1">
      <c r="A68" s="356"/>
      <c r="B68" s="357" t="s">
        <v>224</v>
      </c>
      <c r="C68" s="358"/>
      <c r="D68" s="359">
        <v>14043</v>
      </c>
      <c r="E68" s="359" t="s">
        <v>386</v>
      </c>
      <c r="F68" s="360"/>
      <c r="G68" s="360"/>
      <c r="H68" s="356"/>
      <c r="I68" s="356"/>
      <c r="J68" s="361">
        <v>890862.36</v>
      </c>
      <c r="K68" s="356"/>
      <c r="L68" s="361">
        <v>0</v>
      </c>
      <c r="M68" s="356"/>
      <c r="N68" s="362">
        <v>0</v>
      </c>
      <c r="O68" s="356"/>
      <c r="P68" s="361">
        <f t="shared" si="12"/>
        <v>890862.36</v>
      </c>
      <c r="Q68" s="356"/>
      <c r="R68" s="361">
        <v>890862.36</v>
      </c>
      <c r="S68" s="361">
        <v>890862.36</v>
      </c>
      <c r="T68" s="361">
        <f t="shared" si="13"/>
        <v>890862.36</v>
      </c>
      <c r="U68" s="356"/>
      <c r="V68" s="362">
        <f t="shared" si="14"/>
        <v>0</v>
      </c>
      <c r="W68" s="356"/>
      <c r="X68" s="356"/>
    </row>
    <row r="69" spans="1:24" s="189" customFormat="1" outlineLevel="1">
      <c r="A69" s="356"/>
      <c r="B69" s="357" t="s">
        <v>224</v>
      </c>
      <c r="C69" s="358"/>
      <c r="D69" s="359">
        <v>14044</v>
      </c>
      <c r="E69" s="359" t="s">
        <v>387</v>
      </c>
      <c r="F69" s="360"/>
      <c r="G69" s="360"/>
      <c r="H69" s="356"/>
      <c r="I69" s="356"/>
      <c r="J69" s="361">
        <v>-312041.28999999998</v>
      </c>
      <c r="K69" s="356"/>
      <c r="L69" s="361">
        <v>0</v>
      </c>
      <c r="M69" s="356"/>
      <c r="N69" s="362">
        <v>0</v>
      </c>
      <c r="O69" s="356"/>
      <c r="P69" s="361">
        <f t="shared" si="12"/>
        <v>-312041.28999999998</v>
      </c>
      <c r="Q69" s="356"/>
      <c r="R69" s="361">
        <v>-312041.28999999998</v>
      </c>
      <c r="S69" s="361">
        <v>-312041.28999999998</v>
      </c>
      <c r="T69" s="361">
        <f t="shared" si="13"/>
        <v>-312041.28999999998</v>
      </c>
      <c r="U69" s="356"/>
      <c r="V69" s="362">
        <f t="shared" si="14"/>
        <v>0</v>
      </c>
      <c r="W69" s="356"/>
      <c r="X69" s="356"/>
    </row>
    <row r="70" spans="1:24" s="189" customFormat="1" outlineLevel="1">
      <c r="A70" s="356"/>
      <c r="B70" s="357" t="s">
        <v>224</v>
      </c>
      <c r="C70" s="358"/>
      <c r="D70" s="359">
        <v>14046</v>
      </c>
      <c r="E70" s="359" t="s">
        <v>388</v>
      </c>
      <c r="F70" s="360"/>
      <c r="G70" s="360"/>
      <c r="H70" s="356"/>
      <c r="I70" s="356"/>
      <c r="J70" s="361">
        <v>-3397693.78</v>
      </c>
      <c r="K70" s="356"/>
      <c r="L70" s="361">
        <v>0</v>
      </c>
      <c r="M70" s="356"/>
      <c r="N70" s="362">
        <v>0</v>
      </c>
      <c r="O70" s="356"/>
      <c r="P70" s="361">
        <f t="shared" si="12"/>
        <v>-3397693.78</v>
      </c>
      <c r="Q70" s="356"/>
      <c r="R70" s="361">
        <v>-3309439.37</v>
      </c>
      <c r="S70" s="361">
        <v>-3353575.54</v>
      </c>
      <c r="T70" s="361">
        <f t="shared" si="13"/>
        <v>-3397693.78</v>
      </c>
      <c r="U70" s="356"/>
      <c r="V70" s="362">
        <f t="shared" si="14"/>
        <v>-44118.239999999758</v>
      </c>
      <c r="W70" s="356"/>
      <c r="X70" s="356"/>
    </row>
    <row r="71" spans="1:24" s="189" customFormat="1" outlineLevel="1">
      <c r="A71" s="356"/>
      <c r="B71" s="357" t="s">
        <v>224</v>
      </c>
      <c r="C71" s="358"/>
      <c r="D71" s="359">
        <v>14047</v>
      </c>
      <c r="E71" s="359" t="s">
        <v>386</v>
      </c>
      <c r="F71" s="360"/>
      <c r="G71" s="360"/>
      <c r="H71" s="356"/>
      <c r="I71" s="356"/>
      <c r="J71" s="361">
        <v>-679159.07</v>
      </c>
      <c r="K71" s="356"/>
      <c r="L71" s="361">
        <v>0</v>
      </c>
      <c r="M71" s="356"/>
      <c r="N71" s="362">
        <v>0</v>
      </c>
      <c r="O71" s="356"/>
      <c r="P71" s="361">
        <f t="shared" si="12"/>
        <v>-679159.07</v>
      </c>
      <c r="Q71" s="356"/>
      <c r="R71" s="361">
        <v>-679159.07</v>
      </c>
      <c r="S71" s="361">
        <v>-679159.07</v>
      </c>
      <c r="T71" s="361">
        <f t="shared" si="13"/>
        <v>-679159.07</v>
      </c>
      <c r="U71" s="356"/>
      <c r="V71" s="362">
        <f t="shared" si="14"/>
        <v>0</v>
      </c>
      <c r="W71" s="356"/>
      <c r="X71" s="356"/>
    </row>
    <row r="72" spans="1:24" s="189" customFormat="1" outlineLevel="1">
      <c r="A72" s="356"/>
      <c r="B72" s="357" t="s">
        <v>224</v>
      </c>
      <c r="C72" s="358"/>
      <c r="D72" s="359">
        <v>14048</v>
      </c>
      <c r="E72" s="359" t="s">
        <v>387</v>
      </c>
      <c r="F72" s="360"/>
      <c r="G72" s="360"/>
      <c r="H72" s="356"/>
      <c r="I72" s="356"/>
      <c r="J72" s="361">
        <v>302561.71000000002</v>
      </c>
      <c r="K72" s="356"/>
      <c r="L72" s="361">
        <v>0</v>
      </c>
      <c r="M72" s="356"/>
      <c r="N72" s="362">
        <v>0</v>
      </c>
      <c r="O72" s="356"/>
      <c r="P72" s="361">
        <f t="shared" si="12"/>
        <v>302561.71000000002</v>
      </c>
      <c r="Q72" s="356"/>
      <c r="R72" s="361">
        <v>302561.71000000002</v>
      </c>
      <c r="S72" s="361">
        <v>302561.71000000002</v>
      </c>
      <c r="T72" s="361">
        <f t="shared" si="13"/>
        <v>302561.71000000002</v>
      </c>
      <c r="U72" s="356"/>
      <c r="V72" s="362">
        <f t="shared" si="14"/>
        <v>0</v>
      </c>
      <c r="W72" s="356"/>
      <c r="X72" s="356"/>
    </row>
    <row r="73" spans="1:24" s="189" customFormat="1" outlineLevel="1">
      <c r="A73" s="356"/>
      <c r="B73" s="357" t="s">
        <v>224</v>
      </c>
      <c r="C73" s="358"/>
      <c r="D73" s="359">
        <v>14051</v>
      </c>
      <c r="E73" s="359" t="s">
        <v>389</v>
      </c>
      <c r="F73" s="360"/>
      <c r="G73" s="360"/>
      <c r="H73" s="356"/>
      <c r="I73" s="356"/>
      <c r="J73" s="361">
        <v>1280517.55</v>
      </c>
      <c r="K73" s="356"/>
      <c r="L73" s="361">
        <v>0</v>
      </c>
      <c r="M73" s="356"/>
      <c r="N73" s="362">
        <v>0</v>
      </c>
      <c r="O73" s="356"/>
      <c r="P73" s="361">
        <f t="shared" si="12"/>
        <v>1280517.55</v>
      </c>
      <c r="Q73" s="356"/>
      <c r="R73" s="361">
        <v>1185572.1000000001</v>
      </c>
      <c r="S73" s="361">
        <v>1185572.1000000001</v>
      </c>
      <c r="T73" s="361">
        <f t="shared" si="13"/>
        <v>1280517.55</v>
      </c>
      <c r="U73" s="356"/>
      <c r="V73" s="362">
        <f t="shared" si="14"/>
        <v>94945.449999999953</v>
      </c>
      <c r="W73" s="356"/>
      <c r="X73" s="356"/>
    </row>
    <row r="74" spans="1:24" s="189" customFormat="1" outlineLevel="1">
      <c r="A74" s="356"/>
      <c r="B74" s="357" t="s">
        <v>224</v>
      </c>
      <c r="C74" s="358"/>
      <c r="D74" s="359">
        <v>14052</v>
      </c>
      <c r="E74" s="359" t="s">
        <v>390</v>
      </c>
      <c r="F74" s="360"/>
      <c r="G74" s="360"/>
      <c r="H74" s="356"/>
      <c r="I74" s="356"/>
      <c r="J74" s="361">
        <v>775600</v>
      </c>
      <c r="K74" s="356"/>
      <c r="L74" s="361">
        <v>0</v>
      </c>
      <c r="M74" s="356"/>
      <c r="N74" s="362">
        <v>0</v>
      </c>
      <c r="O74" s="356"/>
      <c r="P74" s="361">
        <f t="shared" si="12"/>
        <v>775600</v>
      </c>
      <c r="Q74" s="356"/>
      <c r="R74" s="361">
        <v>775600</v>
      </c>
      <c r="S74" s="361">
        <v>775600</v>
      </c>
      <c r="T74" s="361">
        <f t="shared" si="13"/>
        <v>775600</v>
      </c>
      <c r="U74" s="356"/>
      <c r="V74" s="362">
        <f t="shared" si="14"/>
        <v>0</v>
      </c>
      <c r="W74" s="356"/>
      <c r="X74" s="356"/>
    </row>
    <row r="75" spans="1:24" s="189" customFormat="1" outlineLevel="1">
      <c r="A75" s="356"/>
      <c r="B75" s="357" t="s">
        <v>224</v>
      </c>
      <c r="C75" s="358"/>
      <c r="D75" s="359">
        <v>14053</v>
      </c>
      <c r="E75" s="359" t="s">
        <v>391</v>
      </c>
      <c r="F75" s="360"/>
      <c r="G75" s="360"/>
      <c r="H75" s="356"/>
      <c r="I75" s="356"/>
      <c r="J75" s="361">
        <v>283219.89</v>
      </c>
      <c r="K75" s="356"/>
      <c r="L75" s="361">
        <v>0</v>
      </c>
      <c r="M75" s="356"/>
      <c r="N75" s="362">
        <v>0</v>
      </c>
      <c r="O75" s="356"/>
      <c r="P75" s="361">
        <f t="shared" si="12"/>
        <v>283219.89</v>
      </c>
      <c r="Q75" s="356"/>
      <c r="R75" s="361">
        <v>283219.89</v>
      </c>
      <c r="S75" s="361">
        <v>283219.89</v>
      </c>
      <c r="T75" s="361">
        <f t="shared" si="13"/>
        <v>283219.89</v>
      </c>
      <c r="U75" s="356"/>
      <c r="V75" s="362">
        <f t="shared" si="14"/>
        <v>0</v>
      </c>
      <c r="W75" s="356"/>
      <c r="X75" s="356"/>
    </row>
    <row r="76" spans="1:24" s="189" customFormat="1" outlineLevel="1">
      <c r="A76" s="356"/>
      <c r="B76" s="357" t="s">
        <v>224</v>
      </c>
      <c r="C76" s="358"/>
      <c r="D76" s="359">
        <v>14054</v>
      </c>
      <c r="E76" s="359" t="s">
        <v>392</v>
      </c>
      <c r="F76" s="360"/>
      <c r="G76" s="360"/>
      <c r="H76" s="356"/>
      <c r="I76" s="356"/>
      <c r="J76" s="361">
        <v>-107324.69</v>
      </c>
      <c r="K76" s="356"/>
      <c r="L76" s="361">
        <v>0</v>
      </c>
      <c r="M76" s="356"/>
      <c r="N76" s="362">
        <v>0</v>
      </c>
      <c r="O76" s="356"/>
      <c r="P76" s="361">
        <f t="shared" si="12"/>
        <v>-107324.69</v>
      </c>
      <c r="Q76" s="356"/>
      <c r="R76" s="361">
        <v>-107324.69</v>
      </c>
      <c r="S76" s="361">
        <v>-107324.69</v>
      </c>
      <c r="T76" s="361">
        <f t="shared" si="13"/>
        <v>-107324.69</v>
      </c>
      <c r="U76" s="356"/>
      <c r="V76" s="362">
        <f t="shared" si="14"/>
        <v>0</v>
      </c>
      <c r="W76" s="356"/>
      <c r="X76" s="356"/>
    </row>
    <row r="77" spans="1:24" s="189" customFormat="1" outlineLevel="1">
      <c r="A77" s="356"/>
      <c r="B77" s="357" t="s">
        <v>224</v>
      </c>
      <c r="C77" s="358"/>
      <c r="D77" s="359">
        <v>14056</v>
      </c>
      <c r="E77" s="359" t="s">
        <v>393</v>
      </c>
      <c r="F77" s="360"/>
      <c r="G77" s="360"/>
      <c r="H77" s="356"/>
      <c r="I77" s="356"/>
      <c r="J77" s="361">
        <v>-1392034.38</v>
      </c>
      <c r="K77" s="356"/>
      <c r="L77" s="361">
        <v>0</v>
      </c>
      <c r="M77" s="356"/>
      <c r="N77" s="362">
        <v>0</v>
      </c>
      <c r="O77" s="356"/>
      <c r="P77" s="361">
        <f t="shared" si="12"/>
        <v>-1392034.38</v>
      </c>
      <c r="Q77" s="356"/>
      <c r="R77" s="361">
        <v>-1368765.2</v>
      </c>
      <c r="S77" s="361">
        <v>-1379988.22</v>
      </c>
      <c r="T77" s="361">
        <f t="shared" si="13"/>
        <v>-1392034.38</v>
      </c>
      <c r="U77" s="356"/>
      <c r="V77" s="362">
        <f t="shared" si="14"/>
        <v>-12046.159999999916</v>
      </c>
      <c r="W77" s="356"/>
      <c r="X77" s="356"/>
    </row>
    <row r="78" spans="1:24" s="189" customFormat="1" outlineLevel="1">
      <c r="A78" s="356"/>
      <c r="B78" s="357" t="s">
        <v>224</v>
      </c>
      <c r="C78" s="358"/>
      <c r="D78" s="359">
        <v>14057</v>
      </c>
      <c r="E78" s="359" t="s">
        <v>394</v>
      </c>
      <c r="F78" s="360"/>
      <c r="G78" s="360"/>
      <c r="H78" s="356"/>
      <c r="I78" s="356"/>
      <c r="J78" s="361">
        <v>-135801.88</v>
      </c>
      <c r="K78" s="356"/>
      <c r="L78" s="361">
        <v>0</v>
      </c>
      <c r="M78" s="356"/>
      <c r="N78" s="362">
        <v>0</v>
      </c>
      <c r="O78" s="356"/>
      <c r="P78" s="361">
        <f t="shared" si="12"/>
        <v>-135801.88</v>
      </c>
      <c r="Q78" s="356"/>
      <c r="R78" s="361">
        <v>-135801.88</v>
      </c>
      <c r="S78" s="361">
        <v>-135801.88</v>
      </c>
      <c r="T78" s="361">
        <f t="shared" si="13"/>
        <v>-135801.88</v>
      </c>
      <c r="U78" s="356"/>
      <c r="V78" s="362">
        <f t="shared" si="14"/>
        <v>0</v>
      </c>
      <c r="W78" s="356"/>
      <c r="X78" s="356"/>
    </row>
    <row r="79" spans="1:24" s="189" customFormat="1" outlineLevel="1">
      <c r="A79" s="356"/>
      <c r="B79" s="357" t="s">
        <v>224</v>
      </c>
      <c r="C79" s="358"/>
      <c r="D79" s="359">
        <v>14058</v>
      </c>
      <c r="E79" s="359" t="s">
        <v>395</v>
      </c>
      <c r="F79" s="360"/>
      <c r="G79" s="360"/>
      <c r="H79" s="356"/>
      <c r="I79" s="356"/>
      <c r="J79" s="361">
        <v>53997.99</v>
      </c>
      <c r="K79" s="356"/>
      <c r="L79" s="361">
        <v>0</v>
      </c>
      <c r="M79" s="356"/>
      <c r="N79" s="362">
        <v>0</v>
      </c>
      <c r="O79" s="356"/>
      <c r="P79" s="361">
        <f t="shared" si="12"/>
        <v>53997.99</v>
      </c>
      <c r="Q79" s="356"/>
      <c r="R79" s="361">
        <v>53997.99</v>
      </c>
      <c r="S79" s="361">
        <v>53997.99</v>
      </c>
      <c r="T79" s="361">
        <f t="shared" si="13"/>
        <v>53997.99</v>
      </c>
      <c r="U79" s="356"/>
      <c r="V79" s="362">
        <f t="shared" si="14"/>
        <v>0</v>
      </c>
      <c r="W79" s="356"/>
      <c r="X79" s="356"/>
    </row>
    <row r="80" spans="1:24" s="189" customFormat="1" outlineLevel="1">
      <c r="A80" s="356"/>
      <c r="B80" s="357" t="s">
        <v>224</v>
      </c>
      <c r="C80" s="358"/>
      <c r="D80" s="359">
        <v>14071</v>
      </c>
      <c r="E80" s="359" t="s">
        <v>396</v>
      </c>
      <c r="F80" s="360"/>
      <c r="G80" s="360"/>
      <c r="H80" s="356"/>
      <c r="I80" s="356"/>
      <c r="J80" s="361">
        <v>117602.94</v>
      </c>
      <c r="K80" s="356"/>
      <c r="L80" s="361">
        <v>0</v>
      </c>
      <c r="M80" s="356"/>
      <c r="N80" s="362">
        <v>0</v>
      </c>
      <c r="O80" s="356"/>
      <c r="P80" s="361">
        <f t="shared" si="12"/>
        <v>117602.94</v>
      </c>
      <c r="Q80" s="356"/>
      <c r="R80" s="361">
        <v>117602.94</v>
      </c>
      <c r="S80" s="361">
        <v>117602.94</v>
      </c>
      <c r="T80" s="361">
        <f t="shared" si="13"/>
        <v>117602.94</v>
      </c>
      <c r="U80" s="356"/>
      <c r="V80" s="362">
        <f t="shared" si="14"/>
        <v>0</v>
      </c>
      <c r="W80" s="356"/>
      <c r="X80" s="356"/>
    </row>
    <row r="81" spans="1:25" s="189" customFormat="1" outlineLevel="1">
      <c r="A81" s="356"/>
      <c r="B81" s="357" t="s">
        <v>224</v>
      </c>
      <c r="C81" s="358"/>
      <c r="D81" s="359">
        <v>14072</v>
      </c>
      <c r="E81" s="359" t="s">
        <v>397</v>
      </c>
      <c r="F81" s="360"/>
      <c r="G81" s="360"/>
      <c r="H81" s="356"/>
      <c r="I81" s="356"/>
      <c r="J81" s="361">
        <v>34650</v>
      </c>
      <c r="K81" s="356"/>
      <c r="L81" s="361">
        <v>0</v>
      </c>
      <c r="M81" s="356"/>
      <c r="N81" s="362">
        <v>0</v>
      </c>
      <c r="O81" s="356"/>
      <c r="P81" s="361">
        <f t="shared" si="12"/>
        <v>34650</v>
      </c>
      <c r="Q81" s="356"/>
      <c r="R81" s="361">
        <v>34650</v>
      </c>
      <c r="S81" s="361">
        <v>34650</v>
      </c>
      <c r="T81" s="361">
        <f t="shared" si="13"/>
        <v>34650</v>
      </c>
      <c r="U81" s="356"/>
      <c r="V81" s="362">
        <f t="shared" si="14"/>
        <v>0</v>
      </c>
      <c r="W81" s="356"/>
      <c r="X81" s="356"/>
    </row>
    <row r="82" spans="1:25" s="189" customFormat="1" outlineLevel="1">
      <c r="A82" s="356"/>
      <c r="B82" s="357" t="s">
        <v>224</v>
      </c>
      <c r="C82" s="358"/>
      <c r="D82" s="359">
        <v>14073</v>
      </c>
      <c r="E82" s="359" t="s">
        <v>398</v>
      </c>
      <c r="F82" s="360"/>
      <c r="G82" s="360"/>
      <c r="H82" s="356"/>
      <c r="I82" s="356"/>
      <c r="J82" s="361">
        <v>10350</v>
      </c>
      <c r="K82" s="356"/>
      <c r="L82" s="361">
        <v>0</v>
      </c>
      <c r="M82" s="356"/>
      <c r="N82" s="362">
        <v>0</v>
      </c>
      <c r="O82" s="356"/>
      <c r="P82" s="361">
        <f t="shared" si="12"/>
        <v>10350</v>
      </c>
      <c r="Q82" s="356"/>
      <c r="R82" s="361">
        <v>10350</v>
      </c>
      <c r="S82" s="361">
        <v>10350</v>
      </c>
      <c r="T82" s="361">
        <f t="shared" si="13"/>
        <v>10350</v>
      </c>
      <c r="U82" s="356"/>
      <c r="V82" s="362">
        <f t="shared" si="14"/>
        <v>0</v>
      </c>
      <c r="W82" s="356"/>
      <c r="X82" s="356"/>
    </row>
    <row r="83" spans="1:25" s="189" customFormat="1" outlineLevel="1">
      <c r="A83" s="356"/>
      <c r="B83" s="357" t="s">
        <v>224</v>
      </c>
      <c r="C83" s="358"/>
      <c r="D83" s="359">
        <v>14076</v>
      </c>
      <c r="E83" s="359" t="s">
        <v>399</v>
      </c>
      <c r="F83" s="360"/>
      <c r="G83" s="360"/>
      <c r="H83" s="356"/>
      <c r="I83" s="356"/>
      <c r="J83" s="361">
        <v>-148119.69</v>
      </c>
      <c r="K83" s="356"/>
      <c r="L83" s="361">
        <v>0</v>
      </c>
      <c r="M83" s="356"/>
      <c r="N83" s="362">
        <v>0</v>
      </c>
      <c r="O83" s="356"/>
      <c r="P83" s="361">
        <f t="shared" si="12"/>
        <v>-148119.69</v>
      </c>
      <c r="Q83" s="356"/>
      <c r="R83" s="361">
        <v>-147042.87</v>
      </c>
      <c r="S83" s="361">
        <v>-147586.38</v>
      </c>
      <c r="T83" s="361">
        <f t="shared" si="13"/>
        <v>-148119.69</v>
      </c>
      <c r="U83" s="356"/>
      <c r="V83" s="362">
        <f t="shared" si="14"/>
        <v>-533.30999999999767</v>
      </c>
      <c r="W83" s="356"/>
      <c r="X83" s="356"/>
    </row>
    <row r="84" spans="1:25" s="189" customFormat="1" outlineLevel="1">
      <c r="A84" s="356"/>
      <c r="B84" s="357" t="s">
        <v>224</v>
      </c>
      <c r="C84" s="358"/>
      <c r="D84" s="359">
        <v>14077</v>
      </c>
      <c r="E84" s="359" t="s">
        <v>400</v>
      </c>
      <c r="F84" s="360"/>
      <c r="G84" s="360"/>
      <c r="H84" s="356"/>
      <c r="I84" s="356"/>
      <c r="J84" s="361">
        <v>-6555</v>
      </c>
      <c r="K84" s="356"/>
      <c r="L84" s="361">
        <v>0</v>
      </c>
      <c r="M84" s="356"/>
      <c r="N84" s="362">
        <v>0</v>
      </c>
      <c r="O84" s="356"/>
      <c r="P84" s="361">
        <f t="shared" si="12"/>
        <v>-6555</v>
      </c>
      <c r="Q84" s="356"/>
      <c r="R84" s="361">
        <v>-6555</v>
      </c>
      <c r="S84" s="361">
        <v>-6555</v>
      </c>
      <c r="T84" s="361">
        <f t="shared" si="13"/>
        <v>-6555</v>
      </c>
      <c r="U84" s="356"/>
      <c r="V84" s="362">
        <f t="shared" si="14"/>
        <v>0</v>
      </c>
      <c r="W84" s="356"/>
      <c r="X84" s="356"/>
    </row>
    <row r="85" spans="1:25" s="189" customFormat="1" outlineLevel="1">
      <c r="A85" s="356"/>
      <c r="B85" s="357" t="s">
        <v>224</v>
      </c>
      <c r="C85" s="358"/>
      <c r="D85" s="359">
        <v>14081</v>
      </c>
      <c r="E85" s="359" t="s">
        <v>401</v>
      </c>
      <c r="F85" s="360"/>
      <c r="G85" s="360"/>
      <c r="H85" s="356"/>
      <c r="I85" s="356"/>
      <c r="J85" s="361">
        <v>73024.72</v>
      </c>
      <c r="K85" s="356"/>
      <c r="L85" s="361">
        <v>0</v>
      </c>
      <c r="M85" s="356"/>
      <c r="N85" s="362">
        <v>0</v>
      </c>
      <c r="O85" s="356"/>
      <c r="P85" s="361">
        <f t="shared" si="12"/>
        <v>73024.72</v>
      </c>
      <c r="Q85" s="356"/>
      <c r="R85" s="361">
        <v>73024.72</v>
      </c>
      <c r="S85" s="361">
        <v>73024.72</v>
      </c>
      <c r="T85" s="361">
        <f t="shared" si="13"/>
        <v>73024.72</v>
      </c>
      <c r="U85" s="356"/>
      <c r="V85" s="362">
        <f t="shared" si="14"/>
        <v>0</v>
      </c>
      <c r="W85" s="356"/>
      <c r="X85" s="356"/>
    </row>
    <row r="86" spans="1:25" s="189" customFormat="1" outlineLevel="1">
      <c r="A86" s="356"/>
      <c r="B86" s="357" t="s">
        <v>224</v>
      </c>
      <c r="C86" s="358"/>
      <c r="D86" s="359">
        <v>14082</v>
      </c>
      <c r="E86" s="359" t="s">
        <v>402</v>
      </c>
      <c r="F86" s="360"/>
      <c r="G86" s="360"/>
      <c r="H86" s="356"/>
      <c r="I86" s="356"/>
      <c r="J86" s="361">
        <v>834400</v>
      </c>
      <c r="K86" s="356"/>
      <c r="L86" s="361">
        <v>0</v>
      </c>
      <c r="M86" s="356"/>
      <c r="N86" s="362">
        <v>0</v>
      </c>
      <c r="O86" s="356"/>
      <c r="P86" s="361">
        <f t="shared" si="12"/>
        <v>834400</v>
      </c>
      <c r="Q86" s="356"/>
      <c r="R86" s="361">
        <v>834400</v>
      </c>
      <c r="S86" s="361">
        <v>834400</v>
      </c>
      <c r="T86" s="361">
        <f t="shared" si="13"/>
        <v>834400</v>
      </c>
      <c r="U86" s="356"/>
      <c r="V86" s="362">
        <f t="shared" si="14"/>
        <v>0</v>
      </c>
      <c r="W86" s="356"/>
      <c r="X86" s="356"/>
    </row>
    <row r="87" spans="1:25" s="189" customFormat="1" outlineLevel="1">
      <c r="A87" s="356"/>
      <c r="B87" s="357" t="s">
        <v>224</v>
      </c>
      <c r="C87" s="358"/>
      <c r="D87" s="359">
        <v>14086</v>
      </c>
      <c r="E87" s="359" t="s">
        <v>403</v>
      </c>
      <c r="F87" s="360"/>
      <c r="G87" s="360"/>
      <c r="H87" s="356"/>
      <c r="I87" s="356"/>
      <c r="J87" s="361">
        <v>-353972.65</v>
      </c>
      <c r="K87" s="356"/>
      <c r="L87" s="361">
        <v>0</v>
      </c>
      <c r="M87" s="356"/>
      <c r="N87" s="362">
        <v>0</v>
      </c>
      <c r="O87" s="356"/>
      <c r="P87" s="361">
        <f t="shared" si="12"/>
        <v>-353972.65</v>
      </c>
      <c r="Q87" s="356"/>
      <c r="R87" s="361">
        <v>-345802.2</v>
      </c>
      <c r="S87" s="361">
        <v>-349887.42</v>
      </c>
      <c r="T87" s="361">
        <f t="shared" si="13"/>
        <v>-353972.65</v>
      </c>
      <c r="U87" s="356"/>
      <c r="V87" s="362">
        <f t="shared" si="14"/>
        <v>-4085.2300000000396</v>
      </c>
      <c r="W87" s="356"/>
      <c r="X87" s="356"/>
    </row>
    <row r="88" spans="1:25" s="189" customFormat="1" outlineLevel="1">
      <c r="A88" s="356"/>
      <c r="B88" s="357" t="s">
        <v>224</v>
      </c>
      <c r="C88" s="358"/>
      <c r="D88" s="359">
        <v>14101</v>
      </c>
      <c r="E88" s="359" t="s">
        <v>404</v>
      </c>
      <c r="F88" s="360"/>
      <c r="G88" s="360"/>
      <c r="H88" s="356"/>
      <c r="I88" s="356"/>
      <c r="J88" s="361">
        <v>15160.03</v>
      </c>
      <c r="K88" s="356"/>
      <c r="L88" s="361">
        <v>0</v>
      </c>
      <c r="M88" s="356"/>
      <c r="N88" s="362">
        <v>0</v>
      </c>
      <c r="O88" s="356"/>
      <c r="P88" s="361">
        <f t="shared" si="12"/>
        <v>15160.03</v>
      </c>
      <c r="Q88" s="356"/>
      <c r="R88" s="361">
        <v>15160.03</v>
      </c>
      <c r="S88" s="361">
        <v>15160.03</v>
      </c>
      <c r="T88" s="361">
        <f t="shared" si="13"/>
        <v>15160.03</v>
      </c>
      <c r="U88" s="356"/>
      <c r="V88" s="362">
        <f t="shared" si="14"/>
        <v>0</v>
      </c>
      <c r="W88" s="356"/>
      <c r="X88" s="356"/>
    </row>
    <row r="89" spans="1:25" s="189" customFormat="1" outlineLevel="1">
      <c r="A89" s="356"/>
      <c r="B89" s="357" t="s">
        <v>224</v>
      </c>
      <c r="C89" s="358"/>
      <c r="D89" s="359">
        <v>14106</v>
      </c>
      <c r="E89" s="359" t="s">
        <v>405</v>
      </c>
      <c r="F89" s="360"/>
      <c r="G89" s="360"/>
      <c r="H89" s="356"/>
      <c r="I89" s="356"/>
      <c r="J89" s="361">
        <v>-14654.73</v>
      </c>
      <c r="K89" s="356"/>
      <c r="L89" s="361">
        <v>0</v>
      </c>
      <c r="M89" s="356"/>
      <c r="N89" s="362">
        <v>0</v>
      </c>
      <c r="O89" s="356"/>
      <c r="P89" s="361">
        <f t="shared" si="12"/>
        <v>-14654.73</v>
      </c>
      <c r="Q89" s="356"/>
      <c r="R89" s="361">
        <v>-14149.39</v>
      </c>
      <c r="S89" s="361">
        <v>-14402.05</v>
      </c>
      <c r="T89" s="361">
        <f t="shared" si="13"/>
        <v>-14654.73</v>
      </c>
      <c r="U89" s="356"/>
      <c r="V89" s="362">
        <f t="shared" si="14"/>
        <v>-252.68000000000029</v>
      </c>
      <c r="W89" s="356"/>
      <c r="X89" s="356"/>
    </row>
    <row r="90" spans="1:25" s="189" customFormat="1" outlineLevel="1">
      <c r="A90" s="356"/>
      <c r="B90" s="357" t="s">
        <v>224</v>
      </c>
      <c r="C90" s="358"/>
      <c r="D90" s="359">
        <v>14111</v>
      </c>
      <c r="E90" s="359" t="s">
        <v>406</v>
      </c>
      <c r="F90" s="360"/>
      <c r="G90" s="360"/>
      <c r="H90" s="356"/>
      <c r="I90" s="356"/>
      <c r="J90" s="361">
        <v>45030.91</v>
      </c>
      <c r="K90" s="356"/>
      <c r="L90" s="361">
        <v>0</v>
      </c>
      <c r="M90" s="356"/>
      <c r="N90" s="362">
        <v>0</v>
      </c>
      <c r="O90" s="356"/>
      <c r="P90" s="361">
        <f t="shared" si="12"/>
        <v>45030.91</v>
      </c>
      <c r="Q90" s="356"/>
      <c r="R90" s="361">
        <v>34899.269999999997</v>
      </c>
      <c r="S90" s="361">
        <v>34899.269999999997</v>
      </c>
      <c r="T90" s="361">
        <f t="shared" si="13"/>
        <v>45030.91</v>
      </c>
      <c r="U90" s="356"/>
      <c r="V90" s="362">
        <f t="shared" si="14"/>
        <v>10131.640000000007</v>
      </c>
      <c r="W90" s="356"/>
      <c r="X90" s="356"/>
    </row>
    <row r="91" spans="1:25" s="189" customFormat="1" outlineLevel="1">
      <c r="A91" s="356"/>
      <c r="B91" s="357" t="s">
        <v>224</v>
      </c>
      <c r="C91" s="358"/>
      <c r="D91" s="359">
        <v>14113</v>
      </c>
      <c r="E91" s="359" t="s">
        <v>407</v>
      </c>
      <c r="F91" s="360"/>
      <c r="G91" s="360"/>
      <c r="H91" s="356"/>
      <c r="I91" s="356"/>
      <c r="J91" s="361">
        <v>944.18</v>
      </c>
      <c r="K91" s="356"/>
      <c r="L91" s="361">
        <v>0</v>
      </c>
      <c r="M91" s="356"/>
      <c r="N91" s="362">
        <v>0</v>
      </c>
      <c r="O91" s="356"/>
      <c r="P91" s="361">
        <f t="shared" si="12"/>
        <v>944.18</v>
      </c>
      <c r="Q91" s="356"/>
      <c r="R91" s="361">
        <v>944.18</v>
      </c>
      <c r="S91" s="361">
        <v>944.18</v>
      </c>
      <c r="T91" s="361">
        <f t="shared" si="13"/>
        <v>944.18</v>
      </c>
      <c r="U91" s="356"/>
      <c r="V91" s="362">
        <f t="shared" si="14"/>
        <v>0</v>
      </c>
      <c r="W91" s="356"/>
      <c r="X91" s="356"/>
    </row>
    <row r="92" spans="1:25" s="189" customFormat="1" outlineLevel="1">
      <c r="A92" s="356"/>
      <c r="B92" s="357" t="s">
        <v>224</v>
      </c>
      <c r="C92" s="358"/>
      <c r="D92" s="359">
        <v>14116</v>
      </c>
      <c r="E92" s="359" t="s">
        <v>408</v>
      </c>
      <c r="F92" s="360"/>
      <c r="G92" s="360"/>
      <c r="H92" s="356"/>
      <c r="I92" s="356"/>
      <c r="J92" s="361">
        <v>-29215.21</v>
      </c>
      <c r="K92" s="356"/>
      <c r="L92" s="361">
        <v>0</v>
      </c>
      <c r="M92" s="356"/>
      <c r="N92" s="362">
        <v>0</v>
      </c>
      <c r="O92" s="356"/>
      <c r="P92" s="361">
        <f t="shared" si="12"/>
        <v>-29215.21</v>
      </c>
      <c r="Q92" s="356"/>
      <c r="R92" s="361">
        <v>-28269.72</v>
      </c>
      <c r="S92" s="361">
        <v>-28742.45</v>
      </c>
      <c r="T92" s="361">
        <f t="shared" si="13"/>
        <v>-29215.21</v>
      </c>
      <c r="U92" s="356"/>
      <c r="V92" s="362">
        <f t="shared" si="14"/>
        <v>-472.7599999999984</v>
      </c>
      <c r="W92" s="356"/>
      <c r="X92" s="356"/>
    </row>
    <row r="93" spans="1:25" s="189" customFormat="1" outlineLevel="1">
      <c r="A93" s="356"/>
      <c r="B93" s="357" t="s">
        <v>224</v>
      </c>
      <c r="C93" s="358"/>
      <c r="D93" s="359">
        <v>14117</v>
      </c>
      <c r="E93" s="359" t="s">
        <v>409</v>
      </c>
      <c r="F93" s="360"/>
      <c r="G93" s="360"/>
      <c r="H93" s="356"/>
      <c r="I93" s="356"/>
      <c r="J93" s="361">
        <v>-5.53</v>
      </c>
      <c r="K93" s="356"/>
      <c r="L93" s="361">
        <v>0</v>
      </c>
      <c r="M93" s="356"/>
      <c r="N93" s="362">
        <v>0</v>
      </c>
      <c r="O93" s="356"/>
      <c r="P93" s="361">
        <f t="shared" si="12"/>
        <v>-5.53</v>
      </c>
      <c r="Q93" s="356"/>
      <c r="R93" s="361">
        <v>-5.53</v>
      </c>
      <c r="S93" s="361">
        <v>-5.53</v>
      </c>
      <c r="T93" s="361">
        <f t="shared" si="13"/>
        <v>-5.53</v>
      </c>
      <c r="U93" s="356"/>
      <c r="V93" s="362">
        <f t="shared" si="14"/>
        <v>0</v>
      </c>
      <c r="W93" s="356"/>
      <c r="X93" s="356"/>
    </row>
    <row r="94" spans="1:25" s="189" customFormat="1" outlineLevel="1">
      <c r="A94" s="356"/>
      <c r="B94" s="357" t="s">
        <v>224</v>
      </c>
      <c r="C94" s="358"/>
      <c r="D94" s="359">
        <v>14121</v>
      </c>
      <c r="E94" s="359" t="s">
        <v>410</v>
      </c>
      <c r="F94" s="360"/>
      <c r="G94" s="360"/>
      <c r="H94" s="356"/>
      <c r="I94" s="356"/>
      <c r="J94" s="361">
        <v>0</v>
      </c>
      <c r="K94" s="356"/>
      <c r="L94" s="361">
        <v>0</v>
      </c>
      <c r="M94" s="356"/>
      <c r="N94" s="362">
        <v>0</v>
      </c>
      <c r="O94" s="356"/>
      <c r="P94" s="361">
        <f t="shared" si="12"/>
        <v>0</v>
      </c>
      <c r="Q94" s="356"/>
      <c r="R94" s="361">
        <v>0</v>
      </c>
      <c r="S94" s="361">
        <v>0</v>
      </c>
      <c r="T94" s="361">
        <f t="shared" si="13"/>
        <v>0</v>
      </c>
      <c r="U94" s="356"/>
      <c r="V94" s="362">
        <f t="shared" si="14"/>
        <v>0</v>
      </c>
      <c r="W94" s="356"/>
      <c r="X94" s="356"/>
    </row>
    <row r="95" spans="1:25" s="189" customFormat="1" outlineLevel="1">
      <c r="A95" s="356"/>
      <c r="B95" s="357" t="s">
        <v>224</v>
      </c>
      <c r="C95" s="358"/>
      <c r="D95" s="359">
        <v>14201</v>
      </c>
      <c r="E95" s="359" t="s">
        <v>411</v>
      </c>
      <c r="F95" s="360"/>
      <c r="G95" s="360"/>
      <c r="H95" s="356"/>
      <c r="I95" s="356"/>
      <c r="J95" s="361">
        <v>235789.38</v>
      </c>
      <c r="K95" s="356"/>
      <c r="L95" s="361">
        <v>0</v>
      </c>
      <c r="M95" s="356"/>
      <c r="N95" s="362">
        <v>0</v>
      </c>
      <c r="O95" s="356"/>
      <c r="P95" s="361">
        <f t="shared" si="12"/>
        <v>235789.38</v>
      </c>
      <c r="Q95" s="356"/>
      <c r="R95" s="361">
        <v>0</v>
      </c>
      <c r="S95" s="361">
        <v>0</v>
      </c>
      <c r="T95" s="361">
        <f t="shared" si="13"/>
        <v>235789.38</v>
      </c>
      <c r="U95" s="356"/>
      <c r="V95" s="362">
        <f t="shared" si="14"/>
        <v>235789.38</v>
      </c>
      <c r="W95" s="356"/>
      <c r="X95" s="356"/>
    </row>
    <row r="96" spans="1:25" s="189" customFormat="1" ht="4.5" customHeight="1" outlineLevel="1">
      <c r="A96" s="382" t="s">
        <v>220</v>
      </c>
      <c r="B96" s="382" t="s">
        <v>220</v>
      </c>
      <c r="C96" s="382"/>
      <c r="D96" s="393"/>
      <c r="E96" s="356"/>
      <c r="F96" s="356"/>
      <c r="G96" s="356"/>
      <c r="H96" s="356"/>
      <c r="I96" s="356"/>
      <c r="J96" s="386"/>
      <c r="K96" s="356"/>
      <c r="L96" s="386"/>
      <c r="M96" s="356"/>
      <c r="N96" s="387"/>
      <c r="O96" s="356"/>
      <c r="P96" s="386"/>
      <c r="Q96" s="356"/>
      <c r="R96" s="386"/>
      <c r="S96" s="386"/>
      <c r="T96" s="386"/>
      <c r="U96" s="356"/>
      <c r="V96" s="387"/>
      <c r="W96" s="356"/>
      <c r="X96" s="356"/>
      <c r="Y96" s="356"/>
    </row>
    <row r="97" spans="1:25" s="189" customFormat="1">
      <c r="A97" s="358" t="s">
        <v>377</v>
      </c>
      <c r="B97" s="382" t="s">
        <v>220</v>
      </c>
      <c r="C97" s="382"/>
      <c r="D97" s="356"/>
      <c r="E97" s="356"/>
      <c r="F97" s="356" t="s">
        <v>412</v>
      </c>
      <c r="G97" s="356"/>
      <c r="H97" s="356"/>
      <c r="I97" s="356"/>
      <c r="J97" s="384">
        <f>SUM(J61:J96)</f>
        <v>4936025.1499999994</v>
      </c>
      <c r="K97" s="356"/>
      <c r="L97" s="384">
        <f>SUM(L61:L96)</f>
        <v>0</v>
      </c>
      <c r="M97" s="356"/>
      <c r="N97" s="385">
        <f>SUM(N61:N96)</f>
        <v>0</v>
      </c>
      <c r="O97" s="356"/>
      <c r="P97" s="384">
        <f>J97+L97+N97</f>
        <v>4936025.1499999994</v>
      </c>
      <c r="Q97" s="356"/>
      <c r="R97" s="384">
        <f>SUM(R61:R96)</f>
        <v>4705172.5999999996</v>
      </c>
      <c r="S97" s="384">
        <f>SUM(S61:S96)</f>
        <v>4645630.41</v>
      </c>
      <c r="T97" s="384">
        <f>SUM(T61:T96)</f>
        <v>4936025.1499999994</v>
      </c>
      <c r="U97" s="356"/>
      <c r="V97" s="385">
        <f>SUM(V61:V96)</f>
        <v>290394.73999999953</v>
      </c>
      <c r="W97" s="356"/>
      <c r="X97" s="356"/>
      <c r="Y97" s="356"/>
    </row>
    <row r="98" spans="1:25" s="189" customFormat="1" outlineLevel="1">
      <c r="A98" s="356"/>
      <c r="B98" s="357" t="s">
        <v>413</v>
      </c>
      <c r="C98" s="358"/>
      <c r="D98" s="359"/>
      <c r="E98" s="359"/>
      <c r="F98" s="360"/>
      <c r="G98" s="360"/>
      <c r="H98" s="356"/>
      <c r="I98" s="356"/>
      <c r="J98" s="361"/>
      <c r="K98" s="356"/>
      <c r="L98" s="361"/>
      <c r="M98" s="356"/>
      <c r="N98" s="362"/>
      <c r="O98" s="356"/>
      <c r="P98" s="361"/>
      <c r="Q98" s="356"/>
      <c r="R98" s="361"/>
      <c r="S98" s="361"/>
      <c r="T98" s="361"/>
      <c r="U98" s="356"/>
      <c r="V98" s="362"/>
      <c r="W98" s="356"/>
      <c r="X98" s="356"/>
    </row>
    <row r="99" spans="1:25" s="189" customFormat="1" ht="5.0999999999999996" customHeight="1" outlineLevel="1">
      <c r="A99" s="382" t="s">
        <v>220</v>
      </c>
      <c r="B99" s="382" t="s">
        <v>220</v>
      </c>
      <c r="C99" s="382"/>
      <c r="D99" s="360"/>
      <c r="E99" s="360"/>
      <c r="F99" s="360"/>
      <c r="G99" s="360"/>
      <c r="H99" s="356"/>
      <c r="I99" s="356"/>
      <c r="J99" s="386"/>
      <c r="K99" s="356"/>
      <c r="L99" s="386"/>
      <c r="M99" s="356"/>
      <c r="N99" s="387"/>
      <c r="O99" s="356"/>
      <c r="P99" s="386"/>
      <c r="Q99" s="356"/>
      <c r="R99" s="386"/>
      <c r="S99" s="386"/>
      <c r="T99" s="386"/>
      <c r="U99" s="356"/>
      <c r="V99" s="387"/>
      <c r="W99" s="356"/>
      <c r="X99" s="356"/>
      <c r="Y99" s="356"/>
    </row>
    <row r="100" spans="1:25" s="189" customFormat="1">
      <c r="A100" s="358" t="s">
        <v>413</v>
      </c>
      <c r="B100" s="382" t="s">
        <v>220</v>
      </c>
      <c r="C100" s="382"/>
      <c r="D100" s="356"/>
      <c r="E100" s="356"/>
      <c r="F100" s="359" t="s">
        <v>414</v>
      </c>
      <c r="G100" s="356"/>
      <c r="H100" s="356"/>
      <c r="I100" s="356"/>
      <c r="J100" s="384">
        <f>SUM(J98:J99)</f>
        <v>0</v>
      </c>
      <c r="K100" s="356"/>
      <c r="L100" s="384">
        <f>SUM(L98:L99)</f>
        <v>0</v>
      </c>
      <c r="M100" s="356"/>
      <c r="N100" s="385">
        <f>SUM(N98:N99)</f>
        <v>0</v>
      </c>
      <c r="O100" s="356"/>
      <c r="P100" s="384">
        <f>J100+L100+N100</f>
        <v>0</v>
      </c>
      <c r="Q100" s="356"/>
      <c r="R100" s="384">
        <f>SUM(R98:R99)</f>
        <v>0</v>
      </c>
      <c r="S100" s="384">
        <f>SUM(S98:S99)</f>
        <v>0</v>
      </c>
      <c r="T100" s="384">
        <f>SUM(T98:T99)</f>
        <v>0</v>
      </c>
      <c r="U100" s="356"/>
      <c r="V100" s="385">
        <f>SUM(V98:V99)</f>
        <v>0</v>
      </c>
      <c r="W100" s="356"/>
      <c r="X100" s="356"/>
      <c r="Y100" s="356"/>
    </row>
    <row r="101" spans="1:25" s="189" customFormat="1" outlineLevel="1">
      <c r="A101" s="356"/>
      <c r="B101" s="357" t="s">
        <v>415</v>
      </c>
      <c r="C101" s="358"/>
      <c r="D101" s="359">
        <v>15111</v>
      </c>
      <c r="E101" s="359" t="s">
        <v>416</v>
      </c>
      <c r="F101" s="360"/>
      <c r="G101" s="360"/>
      <c r="H101" s="356"/>
      <c r="I101" s="356"/>
      <c r="J101" s="361">
        <v>886998.82</v>
      </c>
      <c r="K101" s="356"/>
      <c r="L101" s="361">
        <v>0</v>
      </c>
      <c r="M101" s="356"/>
      <c r="N101" s="362">
        <v>0</v>
      </c>
      <c r="O101" s="356"/>
      <c r="P101" s="361">
        <f t="shared" ref="P101:P102" si="15">J101+L101+N101</f>
        <v>886998.82</v>
      </c>
      <c r="Q101" s="356"/>
      <c r="R101" s="361">
        <v>886998.82</v>
      </c>
      <c r="S101" s="361">
        <v>886998.82</v>
      </c>
      <c r="T101" s="361">
        <f t="shared" ref="T101:T102" si="16">P101</f>
        <v>886998.82</v>
      </c>
      <c r="U101" s="356"/>
      <c r="V101" s="362">
        <f t="shared" ref="V101:V102" si="17">T101-S101</f>
        <v>0</v>
      </c>
      <c r="W101" s="356"/>
      <c r="X101" s="356"/>
    </row>
    <row r="102" spans="1:25" s="189" customFormat="1" outlineLevel="1">
      <c r="A102" s="356"/>
      <c r="B102" s="357" t="s">
        <v>224</v>
      </c>
      <c r="C102" s="358"/>
      <c r="D102" s="359">
        <v>15112</v>
      </c>
      <c r="E102" s="359" t="s">
        <v>417</v>
      </c>
      <c r="F102" s="360"/>
      <c r="G102" s="360"/>
      <c r="H102" s="356"/>
      <c r="I102" s="356"/>
      <c r="J102" s="361">
        <v>342745.35</v>
      </c>
      <c r="K102" s="356"/>
      <c r="L102" s="361">
        <v>0</v>
      </c>
      <c r="M102" s="356"/>
      <c r="N102" s="362">
        <v>0</v>
      </c>
      <c r="O102" s="356"/>
      <c r="P102" s="361">
        <f t="shared" si="15"/>
        <v>342745.35</v>
      </c>
      <c r="Q102" s="356"/>
      <c r="R102" s="361">
        <v>342745.35</v>
      </c>
      <c r="S102" s="361">
        <v>342745.35</v>
      </c>
      <c r="T102" s="361">
        <f t="shared" si="16"/>
        <v>342745.35</v>
      </c>
      <c r="U102" s="356"/>
      <c r="V102" s="362">
        <f t="shared" si="17"/>
        <v>0</v>
      </c>
      <c r="W102" s="356"/>
      <c r="X102" s="356"/>
    </row>
    <row r="103" spans="1:25" s="189" customFormat="1" ht="4.5" customHeight="1" outlineLevel="1">
      <c r="A103" s="382" t="s">
        <v>220</v>
      </c>
      <c r="B103" s="356" t="s">
        <v>220</v>
      </c>
      <c r="C103" s="394"/>
      <c r="D103" s="393"/>
      <c r="E103" s="356"/>
      <c r="F103" s="356"/>
      <c r="G103" s="356"/>
      <c r="H103" s="356"/>
      <c r="I103" s="356"/>
      <c r="J103" s="386"/>
      <c r="K103" s="356"/>
      <c r="L103" s="386"/>
      <c r="M103" s="356"/>
      <c r="N103" s="387"/>
      <c r="O103" s="356"/>
      <c r="P103" s="386"/>
      <c r="Q103" s="356"/>
      <c r="R103" s="386"/>
      <c r="S103" s="386"/>
      <c r="T103" s="386"/>
      <c r="U103" s="356"/>
      <c r="V103" s="387"/>
      <c r="W103" s="356"/>
      <c r="X103" s="356"/>
      <c r="Y103" s="356"/>
    </row>
    <row r="104" spans="1:25" s="189" customFormat="1">
      <c r="A104" s="358" t="s">
        <v>415</v>
      </c>
      <c r="B104" s="382" t="s">
        <v>220</v>
      </c>
      <c r="C104" s="382"/>
      <c r="D104" s="356"/>
      <c r="E104" s="356"/>
      <c r="F104" s="356" t="s">
        <v>418</v>
      </c>
      <c r="G104" s="356"/>
      <c r="H104" s="356"/>
      <c r="I104" s="356"/>
      <c r="J104" s="384">
        <f>SUM(J101:J103)</f>
        <v>1229744.17</v>
      </c>
      <c r="K104" s="356"/>
      <c r="L104" s="384">
        <f>SUM(L101:L103)</f>
        <v>0</v>
      </c>
      <c r="M104" s="356"/>
      <c r="N104" s="385">
        <f>SUM(N101:N103)</f>
        <v>0</v>
      </c>
      <c r="O104" s="356"/>
      <c r="P104" s="384">
        <f>J104+L104+N104</f>
        <v>1229744.17</v>
      </c>
      <c r="Q104" s="356"/>
      <c r="R104" s="384">
        <f>SUM(R101:R103)</f>
        <v>1229744.17</v>
      </c>
      <c r="S104" s="384">
        <f>SUM(S101:S103)</f>
        <v>1229744.17</v>
      </c>
      <c r="T104" s="384">
        <f>SUM(T101:T103)</f>
        <v>1229744.17</v>
      </c>
      <c r="U104" s="356"/>
      <c r="V104" s="385">
        <f>SUM(V101:V103)</f>
        <v>0</v>
      </c>
      <c r="W104" s="356"/>
      <c r="X104" s="356"/>
      <c r="Y104" s="356"/>
    </row>
    <row r="105" spans="1:25" s="189" customFormat="1" outlineLevel="1">
      <c r="A105" s="356"/>
      <c r="B105" s="357" t="s">
        <v>419</v>
      </c>
      <c r="C105" s="358"/>
      <c r="D105" s="359">
        <v>15222</v>
      </c>
      <c r="E105" s="359" t="s">
        <v>420</v>
      </c>
      <c r="F105" s="360"/>
      <c r="G105" s="360"/>
      <c r="H105" s="356"/>
      <c r="I105" s="356"/>
      <c r="J105" s="361">
        <v>141653.54999999999</v>
      </c>
      <c r="K105" s="356"/>
      <c r="L105" s="361">
        <v>0</v>
      </c>
      <c r="M105" s="356"/>
      <c r="N105" s="362">
        <v>0</v>
      </c>
      <c r="O105" s="356"/>
      <c r="P105" s="361">
        <f t="shared" ref="P105:P111" si="18">J105+L105+N105</f>
        <v>141653.54999999999</v>
      </c>
      <c r="Q105" s="356"/>
      <c r="R105" s="361">
        <v>141653.54999999999</v>
      </c>
      <c r="S105" s="361">
        <v>141653.54999999999</v>
      </c>
      <c r="T105" s="361">
        <f t="shared" ref="T105:T111" si="19">P105</f>
        <v>141653.54999999999</v>
      </c>
      <c r="U105" s="356"/>
      <c r="V105" s="362">
        <f t="shared" ref="V105:V111" si="20">T105-S105</f>
        <v>0</v>
      </c>
      <c r="W105" s="356"/>
      <c r="X105" s="356"/>
    </row>
    <row r="106" spans="1:25" s="189" customFormat="1" outlineLevel="1">
      <c r="A106" s="356"/>
      <c r="B106" s="357" t="s">
        <v>224</v>
      </c>
      <c r="C106" s="358"/>
      <c r="D106" s="359">
        <v>15226</v>
      </c>
      <c r="E106" s="359" t="s">
        <v>421</v>
      </c>
      <c r="F106" s="360"/>
      <c r="G106" s="360"/>
      <c r="H106" s="356"/>
      <c r="I106" s="356"/>
      <c r="J106" s="361">
        <v>-51939.64</v>
      </c>
      <c r="K106" s="356"/>
      <c r="L106" s="361">
        <v>0</v>
      </c>
      <c r="M106" s="356"/>
      <c r="N106" s="362">
        <v>0</v>
      </c>
      <c r="O106" s="356"/>
      <c r="P106" s="361">
        <f t="shared" si="18"/>
        <v>-51939.64</v>
      </c>
      <c r="Q106" s="356"/>
      <c r="R106" s="361">
        <v>-51939.64</v>
      </c>
      <c r="S106" s="361">
        <v>-51939.64</v>
      </c>
      <c r="T106" s="361">
        <f t="shared" si="19"/>
        <v>-51939.64</v>
      </c>
      <c r="U106" s="356"/>
      <c r="V106" s="362">
        <f t="shared" si="20"/>
        <v>0</v>
      </c>
      <c r="W106" s="356"/>
      <c r="X106" s="356"/>
    </row>
    <row r="107" spans="1:25" s="189" customFormat="1" outlineLevel="1">
      <c r="A107" s="356"/>
      <c r="B107" s="357" t="s">
        <v>224</v>
      </c>
      <c r="C107" s="358"/>
      <c r="D107" s="359">
        <v>15227</v>
      </c>
      <c r="E107" s="359" t="s">
        <v>422</v>
      </c>
      <c r="F107" s="360"/>
      <c r="G107" s="360"/>
      <c r="H107" s="356"/>
      <c r="I107" s="356"/>
      <c r="J107" s="361">
        <v>-89713.91</v>
      </c>
      <c r="K107" s="356"/>
      <c r="L107" s="361">
        <v>0</v>
      </c>
      <c r="M107" s="356"/>
      <c r="N107" s="362">
        <v>0</v>
      </c>
      <c r="O107" s="356"/>
      <c r="P107" s="361">
        <f t="shared" si="18"/>
        <v>-89713.91</v>
      </c>
      <c r="Q107" s="356"/>
      <c r="R107" s="361">
        <v>-89713.91</v>
      </c>
      <c r="S107" s="361">
        <v>-89713.91</v>
      </c>
      <c r="T107" s="361">
        <f t="shared" si="19"/>
        <v>-89713.91</v>
      </c>
      <c r="U107" s="356"/>
      <c r="V107" s="362">
        <f t="shared" si="20"/>
        <v>0</v>
      </c>
      <c r="W107" s="356"/>
      <c r="X107" s="356"/>
    </row>
    <row r="108" spans="1:25" s="189" customFormat="1" outlineLevel="1">
      <c r="A108" s="356"/>
      <c r="B108" s="357" t="s">
        <v>224</v>
      </c>
      <c r="C108" s="358"/>
      <c r="D108" s="359">
        <v>15252</v>
      </c>
      <c r="E108" s="359" t="s">
        <v>423</v>
      </c>
      <c r="F108" s="360"/>
      <c r="G108" s="360"/>
      <c r="H108" s="356"/>
      <c r="I108" s="356"/>
      <c r="J108" s="361">
        <v>2597940.2599999998</v>
      </c>
      <c r="K108" s="356"/>
      <c r="L108" s="361">
        <v>0</v>
      </c>
      <c r="M108" s="356"/>
      <c r="N108" s="362">
        <v>0</v>
      </c>
      <c r="O108" s="356"/>
      <c r="P108" s="361">
        <f t="shared" si="18"/>
        <v>2597940.2599999998</v>
      </c>
      <c r="Q108" s="356"/>
      <c r="R108" s="361">
        <v>2597940.2599999998</v>
      </c>
      <c r="S108" s="361">
        <v>2597940.2599999998</v>
      </c>
      <c r="T108" s="361">
        <f t="shared" si="19"/>
        <v>2597940.2599999998</v>
      </c>
      <c r="U108" s="356"/>
      <c r="V108" s="362">
        <f t="shared" si="20"/>
        <v>0</v>
      </c>
      <c r="W108" s="356"/>
      <c r="X108" s="356"/>
    </row>
    <row r="109" spans="1:25" s="189" customFormat="1" outlineLevel="1">
      <c r="A109" s="356"/>
      <c r="B109" s="357" t="s">
        <v>224</v>
      </c>
      <c r="C109" s="358"/>
      <c r="D109" s="359">
        <v>15256</v>
      </c>
      <c r="E109" s="359" t="s">
        <v>424</v>
      </c>
      <c r="F109" s="360"/>
      <c r="G109" s="360"/>
      <c r="H109" s="356"/>
      <c r="I109" s="356"/>
      <c r="J109" s="361">
        <v>-363193.01</v>
      </c>
      <c r="K109" s="356"/>
      <c r="L109" s="361">
        <v>0</v>
      </c>
      <c r="M109" s="356"/>
      <c r="N109" s="362">
        <v>0</v>
      </c>
      <c r="O109" s="356"/>
      <c r="P109" s="361">
        <f t="shared" si="18"/>
        <v>-363193.01</v>
      </c>
      <c r="Q109" s="356"/>
      <c r="R109" s="361">
        <v>-349487.62</v>
      </c>
      <c r="S109" s="361">
        <v>-356340.31</v>
      </c>
      <c r="T109" s="361">
        <f t="shared" si="19"/>
        <v>-363193.01</v>
      </c>
      <c r="U109" s="356"/>
      <c r="V109" s="362">
        <f t="shared" si="20"/>
        <v>-6852.7000000000116</v>
      </c>
      <c r="W109" s="356"/>
      <c r="X109" s="356"/>
    </row>
    <row r="110" spans="1:25" s="189" customFormat="1" outlineLevel="1">
      <c r="A110" s="356"/>
      <c r="B110" s="357" t="s">
        <v>224</v>
      </c>
      <c r="C110" s="358"/>
      <c r="D110" s="359">
        <v>15257</v>
      </c>
      <c r="E110" s="359" t="s">
        <v>425</v>
      </c>
      <c r="F110" s="360"/>
      <c r="G110" s="360"/>
      <c r="H110" s="356"/>
      <c r="I110" s="356"/>
      <c r="J110" s="361">
        <v>-260402.54</v>
      </c>
      <c r="K110" s="356"/>
      <c r="L110" s="361">
        <v>0</v>
      </c>
      <c r="M110" s="356"/>
      <c r="N110" s="362">
        <v>0</v>
      </c>
      <c r="O110" s="356"/>
      <c r="P110" s="361">
        <f t="shared" si="18"/>
        <v>-260402.54</v>
      </c>
      <c r="Q110" s="356"/>
      <c r="R110" s="361">
        <v>-260402.54</v>
      </c>
      <c r="S110" s="361">
        <v>-260402.54</v>
      </c>
      <c r="T110" s="361">
        <f t="shared" si="19"/>
        <v>-260402.54</v>
      </c>
      <c r="U110" s="356"/>
      <c r="V110" s="362">
        <f t="shared" si="20"/>
        <v>0</v>
      </c>
      <c r="W110" s="356"/>
      <c r="X110" s="356"/>
    </row>
    <row r="111" spans="1:25" s="189" customFormat="1" outlineLevel="1">
      <c r="A111" s="356"/>
      <c r="B111" s="357" t="s">
        <v>224</v>
      </c>
      <c r="C111" s="358"/>
      <c r="D111" s="359">
        <v>15261</v>
      </c>
      <c r="E111" s="359" t="s">
        <v>426</v>
      </c>
      <c r="F111" s="360"/>
      <c r="G111" s="360"/>
      <c r="H111" s="356"/>
      <c r="I111" s="356"/>
      <c r="J111" s="361">
        <v>9552800.7799999993</v>
      </c>
      <c r="K111" s="356"/>
      <c r="L111" s="361">
        <v>0</v>
      </c>
      <c r="M111" s="356"/>
      <c r="N111" s="362">
        <v>0</v>
      </c>
      <c r="O111" s="356"/>
      <c r="P111" s="361">
        <f t="shared" si="18"/>
        <v>9552800.7799999993</v>
      </c>
      <c r="Q111" s="356"/>
      <c r="R111" s="361">
        <v>9552800.7799999993</v>
      </c>
      <c r="S111" s="361">
        <v>9552800.7799999993</v>
      </c>
      <c r="T111" s="361">
        <f t="shared" si="19"/>
        <v>9552800.7799999993</v>
      </c>
      <c r="U111" s="356"/>
      <c r="V111" s="362">
        <f t="shared" si="20"/>
        <v>0</v>
      </c>
      <c r="W111" s="356"/>
      <c r="X111" s="356"/>
    </row>
    <row r="112" spans="1:25" s="189" customFormat="1" ht="5.0999999999999996" customHeight="1" outlineLevel="1">
      <c r="A112" s="382" t="s">
        <v>220</v>
      </c>
      <c r="B112" s="358" t="s">
        <v>220</v>
      </c>
      <c r="C112" s="358"/>
      <c r="D112" s="360"/>
      <c r="E112" s="360"/>
      <c r="F112" s="360"/>
      <c r="G112" s="360"/>
      <c r="H112" s="356"/>
      <c r="I112" s="356"/>
      <c r="J112" s="386"/>
      <c r="K112" s="356"/>
      <c r="L112" s="386"/>
      <c r="M112" s="356"/>
      <c r="N112" s="387"/>
      <c r="O112" s="356"/>
      <c r="P112" s="386"/>
      <c r="Q112" s="356"/>
      <c r="R112" s="386"/>
      <c r="S112" s="386"/>
      <c r="T112" s="386"/>
      <c r="U112" s="356"/>
      <c r="V112" s="387"/>
      <c r="W112" s="356"/>
      <c r="X112" s="356"/>
      <c r="Y112" s="356"/>
    </row>
    <row r="113" spans="1:25" s="189" customFormat="1">
      <c r="A113" s="358" t="s">
        <v>419</v>
      </c>
      <c r="B113" s="382" t="s">
        <v>220</v>
      </c>
      <c r="C113" s="382"/>
      <c r="D113" s="356"/>
      <c r="E113" s="356"/>
      <c r="F113" s="359" t="s">
        <v>427</v>
      </c>
      <c r="G113" s="395"/>
      <c r="H113" s="395"/>
      <c r="I113" s="395"/>
      <c r="J113" s="384">
        <f>SUM(J105:J112)</f>
        <v>11527145.489999998</v>
      </c>
      <c r="K113" s="356"/>
      <c r="L113" s="384">
        <f>SUM(L105:L112)</f>
        <v>0</v>
      </c>
      <c r="M113" s="356"/>
      <c r="N113" s="385">
        <f>SUM(N105:N112)</f>
        <v>0</v>
      </c>
      <c r="O113" s="356"/>
      <c r="P113" s="384">
        <f>J113+L113+N113</f>
        <v>11527145.489999998</v>
      </c>
      <c r="Q113" s="356"/>
      <c r="R113" s="384">
        <f>SUM(R105:R112)</f>
        <v>11540850.879999999</v>
      </c>
      <c r="S113" s="384">
        <f>SUM(S105:S112)</f>
        <v>11533998.189999999</v>
      </c>
      <c r="T113" s="384">
        <f>SUM(T105:T112)</f>
        <v>11527145.489999998</v>
      </c>
      <c r="U113" s="356"/>
      <c r="V113" s="385">
        <f>SUM(V105:V112)</f>
        <v>-6852.7000000000116</v>
      </c>
      <c r="W113" s="356"/>
      <c r="X113" s="356"/>
      <c r="Y113" s="356"/>
    </row>
    <row r="114" spans="1:25" s="189" customFormat="1" outlineLevel="1">
      <c r="A114" s="356"/>
      <c r="B114" s="357" t="s">
        <v>428</v>
      </c>
      <c r="C114" s="358"/>
      <c r="D114" s="359"/>
      <c r="E114" s="359"/>
      <c r="F114" s="360"/>
      <c r="G114" s="360"/>
      <c r="H114" s="356"/>
      <c r="I114" s="356"/>
      <c r="J114" s="361"/>
      <c r="K114" s="356"/>
      <c r="L114" s="361"/>
      <c r="M114" s="356"/>
      <c r="N114" s="362"/>
      <c r="O114" s="356"/>
      <c r="P114" s="361"/>
      <c r="Q114" s="356"/>
      <c r="R114" s="361"/>
      <c r="S114" s="361"/>
      <c r="T114" s="361"/>
      <c r="U114" s="356"/>
      <c r="V114" s="362"/>
      <c r="W114" s="356"/>
      <c r="X114" s="356"/>
    </row>
    <row r="115" spans="1:25" s="189" customFormat="1" ht="5.0999999999999996" customHeight="1" outlineLevel="1">
      <c r="A115" s="382" t="s">
        <v>220</v>
      </c>
      <c r="B115" s="358" t="s">
        <v>220</v>
      </c>
      <c r="C115" s="358"/>
      <c r="D115" s="360"/>
      <c r="E115" s="360"/>
      <c r="F115" s="360"/>
      <c r="G115" s="360"/>
      <c r="H115" s="356"/>
      <c r="I115" s="356"/>
      <c r="J115" s="386"/>
      <c r="K115" s="356"/>
      <c r="L115" s="386"/>
      <c r="M115" s="356"/>
      <c r="N115" s="387"/>
      <c r="O115" s="356"/>
      <c r="P115" s="386"/>
      <c r="Q115" s="356"/>
      <c r="R115" s="386"/>
      <c r="S115" s="386"/>
      <c r="T115" s="386"/>
      <c r="U115" s="356"/>
      <c r="V115" s="387"/>
      <c r="W115" s="356"/>
      <c r="X115" s="356"/>
      <c r="Y115" s="356"/>
    </row>
    <row r="116" spans="1:25" s="189" customFormat="1">
      <c r="A116" s="358" t="s">
        <v>428</v>
      </c>
      <c r="B116" s="358" t="s">
        <v>220</v>
      </c>
      <c r="C116" s="358"/>
      <c r="D116" s="356"/>
      <c r="E116" s="356"/>
      <c r="F116" s="359" t="s">
        <v>429</v>
      </c>
      <c r="G116" s="395"/>
      <c r="H116" s="395"/>
      <c r="I116" s="395"/>
      <c r="J116" s="384">
        <f>SUM(J114:J115)</f>
        <v>0</v>
      </c>
      <c r="K116" s="356"/>
      <c r="L116" s="384">
        <f>SUM(L114:L115)</f>
        <v>0</v>
      </c>
      <c r="M116" s="356"/>
      <c r="N116" s="385">
        <f>SUM(N114:N115)</f>
        <v>0</v>
      </c>
      <c r="O116" s="356"/>
      <c r="P116" s="384">
        <f>J116+L116+N116</f>
        <v>0</v>
      </c>
      <c r="Q116" s="356"/>
      <c r="R116" s="384">
        <f>SUM(R114:R115)</f>
        <v>0</v>
      </c>
      <c r="S116" s="384">
        <f>SUM(S114:S115)</f>
        <v>0</v>
      </c>
      <c r="T116" s="384">
        <f>SUM(T114:T115)</f>
        <v>0</v>
      </c>
      <c r="U116" s="356"/>
      <c r="V116" s="385">
        <f>SUM(V114:V115)</f>
        <v>0</v>
      </c>
      <c r="W116" s="356"/>
      <c r="X116" s="356"/>
      <c r="Y116" s="356"/>
    </row>
    <row r="117" spans="1:25" s="189" customFormat="1" outlineLevel="1">
      <c r="A117" s="356"/>
      <c r="B117" s="357" t="s">
        <v>430</v>
      </c>
      <c r="C117" s="358"/>
      <c r="D117" s="359"/>
      <c r="E117" s="359"/>
      <c r="F117" s="360"/>
      <c r="G117" s="360"/>
      <c r="H117" s="356"/>
      <c r="I117" s="356"/>
      <c r="J117" s="361"/>
      <c r="K117" s="356"/>
      <c r="L117" s="361"/>
      <c r="M117" s="356"/>
      <c r="N117" s="362"/>
      <c r="O117" s="356"/>
      <c r="P117" s="361"/>
      <c r="Q117" s="356"/>
      <c r="R117" s="361"/>
      <c r="S117" s="361"/>
      <c r="T117" s="361"/>
      <c r="U117" s="356"/>
      <c r="V117" s="362"/>
      <c r="W117" s="356"/>
      <c r="X117" s="356"/>
    </row>
    <row r="118" spans="1:25" s="189" customFormat="1" ht="4.5" customHeight="1" outlineLevel="1">
      <c r="A118" s="358" t="s">
        <v>220</v>
      </c>
      <c r="B118" s="356" t="s">
        <v>220</v>
      </c>
      <c r="C118" s="394"/>
      <c r="D118" s="393"/>
      <c r="E118" s="356"/>
      <c r="F118" s="356"/>
      <c r="G118" s="356"/>
      <c r="H118" s="356"/>
      <c r="I118" s="356"/>
      <c r="J118" s="386"/>
      <c r="K118" s="356"/>
      <c r="L118" s="386"/>
      <c r="M118" s="356"/>
      <c r="N118" s="387"/>
      <c r="O118" s="356"/>
      <c r="P118" s="386"/>
      <c r="Q118" s="356"/>
      <c r="R118" s="386"/>
      <c r="S118" s="386"/>
      <c r="T118" s="386"/>
      <c r="U118" s="356"/>
      <c r="V118" s="387"/>
      <c r="W118" s="356"/>
      <c r="X118" s="356"/>
      <c r="Y118" s="356"/>
    </row>
    <row r="119" spans="1:25" s="189" customFormat="1">
      <c r="A119" s="358" t="s">
        <v>430</v>
      </c>
      <c r="B119" s="382" t="s">
        <v>220</v>
      </c>
      <c r="C119" s="382"/>
      <c r="D119" s="356"/>
      <c r="E119" s="356"/>
      <c r="F119" s="356" t="s">
        <v>431</v>
      </c>
      <c r="G119" s="356"/>
      <c r="H119" s="356"/>
      <c r="I119" s="356"/>
      <c r="J119" s="384">
        <f>SUM(J117:J118)</f>
        <v>0</v>
      </c>
      <c r="K119" s="356"/>
      <c r="L119" s="384">
        <f>SUM(L117:L118)</f>
        <v>0</v>
      </c>
      <c r="M119" s="356"/>
      <c r="N119" s="385">
        <f>SUM(N117:N118)</f>
        <v>0</v>
      </c>
      <c r="O119" s="356"/>
      <c r="P119" s="384">
        <f>J119+L119+N119</f>
        <v>0</v>
      </c>
      <c r="Q119" s="356"/>
      <c r="R119" s="384">
        <f>SUM(R117:R118)</f>
        <v>0</v>
      </c>
      <c r="S119" s="384">
        <f>SUM(S117:S118)</f>
        <v>0</v>
      </c>
      <c r="T119" s="384">
        <f>SUM(T117:T118)</f>
        <v>0</v>
      </c>
      <c r="U119" s="356"/>
      <c r="V119" s="385">
        <f>SUM(V117:V118)</f>
        <v>0</v>
      </c>
      <c r="W119" s="356"/>
      <c r="X119" s="356"/>
      <c r="Y119" s="356"/>
    </row>
    <row r="120" spans="1:25" s="189" customFormat="1" outlineLevel="1">
      <c r="A120" s="356"/>
      <c r="B120" s="357" t="s">
        <v>432</v>
      </c>
      <c r="C120" s="358"/>
      <c r="D120" s="359"/>
      <c r="E120" s="359"/>
      <c r="F120" s="360"/>
      <c r="G120" s="360"/>
      <c r="H120" s="356"/>
      <c r="I120" s="356"/>
      <c r="J120" s="361"/>
      <c r="K120" s="356"/>
      <c r="L120" s="361"/>
      <c r="M120" s="356"/>
      <c r="N120" s="362"/>
      <c r="O120" s="356"/>
      <c r="P120" s="361"/>
      <c r="Q120" s="356"/>
      <c r="R120" s="361"/>
      <c r="S120" s="361"/>
      <c r="T120" s="361"/>
      <c r="U120" s="356"/>
      <c r="V120" s="362"/>
      <c r="W120" s="356"/>
      <c r="X120" s="356"/>
    </row>
    <row r="121" spans="1:25" s="189" customFormat="1" ht="5.0999999999999996" customHeight="1" outlineLevel="1">
      <c r="A121" s="382" t="s">
        <v>220</v>
      </c>
      <c r="B121" s="382" t="s">
        <v>220</v>
      </c>
      <c r="C121" s="382"/>
      <c r="D121" s="360"/>
      <c r="E121" s="360"/>
      <c r="F121" s="360"/>
      <c r="G121" s="360"/>
      <c r="H121" s="356"/>
      <c r="I121" s="356"/>
      <c r="J121" s="386"/>
      <c r="K121" s="356"/>
      <c r="L121" s="386"/>
      <c r="M121" s="356"/>
      <c r="N121" s="387"/>
      <c r="O121" s="356"/>
      <c r="P121" s="386"/>
      <c r="Q121" s="356"/>
      <c r="R121" s="386"/>
      <c r="S121" s="386"/>
      <c r="T121" s="386"/>
      <c r="U121" s="356"/>
      <c r="V121" s="387"/>
      <c r="W121" s="356"/>
      <c r="X121" s="356"/>
      <c r="Y121" s="356"/>
    </row>
    <row r="122" spans="1:25" s="189" customFormat="1">
      <c r="A122" s="358" t="s">
        <v>432</v>
      </c>
      <c r="B122" s="382" t="s">
        <v>220</v>
      </c>
      <c r="C122" s="382"/>
      <c r="D122" s="356"/>
      <c r="E122" s="356"/>
      <c r="F122" s="359" t="s">
        <v>433</v>
      </c>
      <c r="G122" s="356"/>
      <c r="H122" s="356"/>
      <c r="I122" s="356"/>
      <c r="J122" s="384">
        <f>SUM(J120:J121)</f>
        <v>0</v>
      </c>
      <c r="K122" s="356"/>
      <c r="L122" s="384">
        <f>SUM(L120:L121)</f>
        <v>0</v>
      </c>
      <c r="M122" s="356"/>
      <c r="N122" s="385">
        <f>SUM(N120:N121)</f>
        <v>0</v>
      </c>
      <c r="O122" s="356"/>
      <c r="P122" s="384">
        <f>J122+L122+N122</f>
        <v>0</v>
      </c>
      <c r="Q122" s="356"/>
      <c r="R122" s="384">
        <f>SUM(R120:R121)</f>
        <v>0</v>
      </c>
      <c r="S122" s="384">
        <f>SUM(S120:S121)</f>
        <v>0</v>
      </c>
      <c r="T122" s="384">
        <f>SUM(T120:T121)</f>
        <v>0</v>
      </c>
      <c r="U122" s="356"/>
      <c r="V122" s="385">
        <f>SUM(V120:V121)</f>
        <v>0</v>
      </c>
      <c r="W122" s="356"/>
      <c r="X122" s="356"/>
      <c r="Y122" s="356"/>
    </row>
    <row r="123" spans="1:25" s="189" customFormat="1" outlineLevel="1">
      <c r="A123" s="356"/>
      <c r="B123" s="357" t="s">
        <v>1326</v>
      </c>
      <c r="C123" s="358"/>
      <c r="D123" s="359"/>
      <c r="E123" s="359"/>
      <c r="F123" s="360"/>
      <c r="G123" s="360"/>
      <c r="H123" s="356"/>
      <c r="I123" s="356"/>
      <c r="J123" s="361"/>
      <c r="K123" s="356"/>
      <c r="L123" s="361"/>
      <c r="M123" s="356"/>
      <c r="N123" s="362"/>
      <c r="O123" s="356"/>
      <c r="P123" s="361"/>
      <c r="Q123" s="356"/>
      <c r="R123" s="361"/>
      <c r="S123" s="361"/>
      <c r="T123" s="361"/>
      <c r="U123" s="356"/>
      <c r="V123" s="362"/>
      <c r="W123" s="356"/>
      <c r="X123" s="356"/>
    </row>
    <row r="124" spans="1:25" s="189" customFormat="1" ht="5.0999999999999996" customHeight="1" outlineLevel="1">
      <c r="A124" s="382" t="s">
        <v>220</v>
      </c>
      <c r="B124" s="382" t="s">
        <v>220</v>
      </c>
      <c r="C124" s="382"/>
      <c r="D124" s="360"/>
      <c r="E124" s="360"/>
      <c r="F124" s="360"/>
      <c r="G124" s="360"/>
      <c r="H124" s="356"/>
      <c r="I124" s="356"/>
      <c r="J124" s="386"/>
      <c r="K124" s="356"/>
      <c r="L124" s="386"/>
      <c r="M124" s="356"/>
      <c r="N124" s="387"/>
      <c r="O124" s="356"/>
      <c r="P124" s="386"/>
      <c r="Q124" s="356"/>
      <c r="R124" s="386"/>
      <c r="S124" s="386"/>
      <c r="T124" s="386"/>
      <c r="U124" s="356"/>
      <c r="V124" s="387"/>
      <c r="W124" s="356"/>
      <c r="X124" s="356"/>
      <c r="Y124" s="356"/>
    </row>
    <row r="125" spans="1:25" s="189" customFormat="1">
      <c r="A125" s="358" t="s">
        <v>1326</v>
      </c>
      <c r="B125" s="358" t="s">
        <v>220</v>
      </c>
      <c r="C125" s="358"/>
      <c r="D125" s="356"/>
      <c r="E125" s="356"/>
      <c r="F125" s="359" t="s">
        <v>1327</v>
      </c>
      <c r="G125" s="356"/>
      <c r="H125" s="356"/>
      <c r="I125" s="356"/>
      <c r="J125" s="384">
        <f>SUM(J123:J124)</f>
        <v>0</v>
      </c>
      <c r="K125" s="356"/>
      <c r="L125" s="384">
        <f>SUM(L123:L124)</f>
        <v>0</v>
      </c>
      <c r="M125" s="356"/>
      <c r="N125" s="385">
        <f>SUM(N123:N124)</f>
        <v>0</v>
      </c>
      <c r="O125" s="356"/>
      <c r="P125" s="384">
        <f>J125+L125+N125</f>
        <v>0</v>
      </c>
      <c r="Q125" s="356"/>
      <c r="R125" s="384">
        <f>SUM(R123:R124)</f>
        <v>0</v>
      </c>
      <c r="S125" s="384">
        <f>SUM(S123:S124)</f>
        <v>0</v>
      </c>
      <c r="T125" s="384">
        <f>SUM(T123:T124)</f>
        <v>0</v>
      </c>
      <c r="U125" s="356"/>
      <c r="V125" s="385">
        <f>SUM(V123:V124)</f>
        <v>0</v>
      </c>
      <c r="W125" s="356"/>
      <c r="X125" s="356"/>
      <c r="Y125" s="356"/>
    </row>
    <row r="126" spans="1:25" s="189" customFormat="1" outlineLevel="1">
      <c r="A126" s="356"/>
      <c r="B126" s="357" t="s">
        <v>436</v>
      </c>
      <c r="C126" s="358"/>
      <c r="D126" s="359">
        <v>17100</v>
      </c>
      <c r="E126" s="359" t="s">
        <v>437</v>
      </c>
      <c r="F126" s="360"/>
      <c r="G126" s="360"/>
      <c r="H126" s="356"/>
      <c r="I126" s="356"/>
      <c r="J126" s="361">
        <v>112460.12</v>
      </c>
      <c r="K126" s="356"/>
      <c r="L126" s="361">
        <v>0</v>
      </c>
      <c r="M126" s="356"/>
      <c r="N126" s="362">
        <v>0</v>
      </c>
      <c r="O126" s="356"/>
      <c r="P126" s="361">
        <f t="shared" ref="P126:P127" si="21">J126+L126+N126</f>
        <v>112460.12</v>
      </c>
      <c r="Q126" s="356"/>
      <c r="R126" s="361">
        <v>-360876.43</v>
      </c>
      <c r="S126" s="361">
        <v>295579.13</v>
      </c>
      <c r="T126" s="361">
        <f t="shared" ref="T126:T127" si="22">P126</f>
        <v>112460.12</v>
      </c>
      <c r="U126" s="356"/>
      <c r="V126" s="362">
        <f t="shared" ref="V126:V127" si="23">T126-S126</f>
        <v>-183119.01</v>
      </c>
      <c r="W126" s="356"/>
      <c r="X126" s="356"/>
    </row>
    <row r="127" spans="1:25" s="189" customFormat="1" outlineLevel="1">
      <c r="A127" s="356"/>
      <c r="B127" s="357" t="s">
        <v>224</v>
      </c>
      <c r="C127" s="358"/>
      <c r="D127" s="359">
        <v>18100</v>
      </c>
      <c r="E127" s="359" t="s">
        <v>438</v>
      </c>
      <c r="F127" s="360"/>
      <c r="G127" s="360"/>
      <c r="H127" s="356"/>
      <c r="I127" s="356"/>
      <c r="J127" s="361">
        <v>-14457593.98</v>
      </c>
      <c r="K127" s="356"/>
      <c r="L127" s="361">
        <v>0</v>
      </c>
      <c r="M127" s="356"/>
      <c r="N127" s="362">
        <v>0</v>
      </c>
      <c r="O127" s="356"/>
      <c r="P127" s="361">
        <f t="shared" si="21"/>
        <v>-14457593.98</v>
      </c>
      <c r="Q127" s="356"/>
      <c r="R127" s="361">
        <v>-14096717.59</v>
      </c>
      <c r="S127" s="361">
        <v>-14457593.98</v>
      </c>
      <c r="T127" s="361">
        <f t="shared" si="22"/>
        <v>-14457593.98</v>
      </c>
      <c r="U127" s="356"/>
      <c r="V127" s="362">
        <f t="shared" si="23"/>
        <v>0</v>
      </c>
      <c r="W127" s="356"/>
      <c r="X127" s="356"/>
    </row>
    <row r="128" spans="1:25" s="189" customFormat="1" ht="5.0999999999999996" customHeight="1" outlineLevel="1">
      <c r="A128" s="358" t="s">
        <v>220</v>
      </c>
      <c r="B128" s="358" t="s">
        <v>220</v>
      </c>
      <c r="C128" s="358"/>
      <c r="D128" s="360"/>
      <c r="E128" s="360"/>
      <c r="F128" s="360"/>
      <c r="G128" s="360"/>
      <c r="H128" s="356"/>
      <c r="I128" s="356"/>
      <c r="J128" s="386"/>
      <c r="K128" s="356"/>
      <c r="L128" s="386"/>
      <c r="M128" s="356"/>
      <c r="N128" s="387"/>
      <c r="O128" s="356"/>
      <c r="P128" s="386"/>
      <c r="Q128" s="356"/>
      <c r="R128" s="386"/>
      <c r="S128" s="386"/>
      <c r="T128" s="386"/>
      <c r="U128" s="356"/>
      <c r="V128" s="387"/>
      <c r="W128" s="356"/>
      <c r="X128" s="356"/>
      <c r="Y128" s="356"/>
    </row>
    <row r="129" spans="1:25" s="189" customFormat="1">
      <c r="A129" s="358" t="s">
        <v>436</v>
      </c>
      <c r="B129" s="358" t="s">
        <v>220</v>
      </c>
      <c r="C129" s="358"/>
      <c r="D129" s="356"/>
      <c r="E129" s="356"/>
      <c r="F129" s="359" t="s">
        <v>439</v>
      </c>
      <c r="G129" s="356"/>
      <c r="H129" s="356"/>
      <c r="I129" s="356"/>
      <c r="J129" s="384">
        <f>SUM(J126:J128)</f>
        <v>-14345133.860000001</v>
      </c>
      <c r="K129" s="356"/>
      <c r="L129" s="384">
        <f>SUM(L126:L128)</f>
        <v>0</v>
      </c>
      <c r="M129" s="356"/>
      <c r="N129" s="385">
        <f>SUM(N126:N128)</f>
        <v>0</v>
      </c>
      <c r="O129" s="356"/>
      <c r="P129" s="384">
        <f>J129+L129+N129</f>
        <v>-14345133.860000001</v>
      </c>
      <c r="Q129" s="356"/>
      <c r="R129" s="384">
        <f>SUM(R126:R128)</f>
        <v>-14457594.02</v>
      </c>
      <c r="S129" s="384">
        <f>SUM(S126:S128)</f>
        <v>-14162014.85</v>
      </c>
      <c r="T129" s="384">
        <f>SUM(T126:T128)</f>
        <v>-14345133.860000001</v>
      </c>
      <c r="U129" s="356"/>
      <c r="V129" s="385">
        <f>SUM(V126:V128)</f>
        <v>-183119.01</v>
      </c>
      <c r="W129" s="356"/>
      <c r="X129" s="356"/>
      <c r="Y129" s="356"/>
    </row>
    <row r="130" spans="1:25" s="189" customFormat="1" ht="7.5" customHeight="1">
      <c r="A130" s="358" t="s">
        <v>220</v>
      </c>
      <c r="B130" s="382" t="s">
        <v>220</v>
      </c>
      <c r="C130" s="382"/>
      <c r="D130" s="356"/>
      <c r="E130" s="356"/>
      <c r="F130" s="356"/>
      <c r="G130" s="356"/>
      <c r="H130" s="356"/>
      <c r="I130" s="356"/>
      <c r="J130" s="389"/>
      <c r="K130" s="356"/>
      <c r="L130" s="389"/>
      <c r="M130" s="356"/>
      <c r="N130" s="362"/>
      <c r="O130" s="356"/>
      <c r="P130" s="389"/>
      <c r="Q130" s="356"/>
      <c r="R130" s="389"/>
      <c r="S130" s="389"/>
      <c r="T130" s="389"/>
      <c r="U130" s="356"/>
      <c r="V130" s="362"/>
      <c r="W130" s="356"/>
      <c r="X130" s="356"/>
      <c r="Y130" s="356"/>
    </row>
    <row r="131" spans="1:25" s="189" customFormat="1" ht="13.5" thickBot="1">
      <c r="A131" s="358" t="s">
        <v>220</v>
      </c>
      <c r="B131" s="382" t="s">
        <v>220</v>
      </c>
      <c r="C131" s="382"/>
      <c r="D131" s="356"/>
      <c r="E131" s="390" t="s">
        <v>440</v>
      </c>
      <c r="F131" s="356"/>
      <c r="G131" s="356"/>
      <c r="H131" s="356"/>
      <c r="I131" s="356"/>
      <c r="J131" s="396">
        <f>SUM(J97,J100,J104,J113,J116,J119,J122,J125,J129,J58)</f>
        <v>5180039.5599999977</v>
      </c>
      <c r="K131" s="356"/>
      <c r="L131" s="396">
        <f>SUM(L97,L100,L104,L113,L116,L119,L122,L125,L129,L58)</f>
        <v>0</v>
      </c>
      <c r="M131" s="356"/>
      <c r="N131" s="397">
        <f>SUM(N97,N100,N104,N113,N116,N119,N122,N125,N129,N58)</f>
        <v>0</v>
      </c>
      <c r="O131" s="356"/>
      <c r="P131" s="396">
        <f>SUM(P97,P100,P104,P113,P116,P119,P122,P125,P129,P58)</f>
        <v>5180039.5599999977</v>
      </c>
      <c r="Q131" s="356"/>
      <c r="R131" s="396">
        <f>SUM(R97,R100,R104,R113,R116,R119,R122,R125,R129,R58)</f>
        <v>4805716.8899999997</v>
      </c>
      <c r="S131" s="396">
        <f>SUM(S97,S100,S104,S113,S116,S119,S122,S125,S129,S58)</f>
        <v>4954303.95</v>
      </c>
      <c r="T131" s="396">
        <f>SUM(T97,T100,T104,T113,T116,T119,T122,T125,T129,T58)</f>
        <v>5180039.5599999977</v>
      </c>
      <c r="U131" s="356"/>
      <c r="V131" s="397">
        <f>SUM(V97,V100,V104,V113,V116,V119,V122,V125,V129,V58)</f>
        <v>225735.6099999994</v>
      </c>
      <c r="W131" s="356"/>
      <c r="X131" s="356"/>
      <c r="Y131" s="356"/>
    </row>
    <row r="132" spans="1:25" s="189" customFormat="1" ht="7.5" customHeight="1" thickTop="1">
      <c r="A132" s="382" t="s">
        <v>220</v>
      </c>
      <c r="B132" s="382"/>
      <c r="C132" s="382"/>
      <c r="D132" s="356"/>
      <c r="E132" s="390"/>
      <c r="F132" s="356"/>
      <c r="G132" s="356"/>
      <c r="H132" s="356"/>
      <c r="I132" s="356"/>
      <c r="J132" s="385"/>
      <c r="K132" s="394"/>
      <c r="L132" s="385"/>
      <c r="M132" s="394"/>
      <c r="N132" s="385"/>
      <c r="O132" s="394"/>
      <c r="P132" s="385"/>
      <c r="Q132" s="394"/>
      <c r="R132" s="385"/>
      <c r="S132" s="385"/>
      <c r="T132" s="385"/>
      <c r="U132" s="394"/>
      <c r="V132" s="385"/>
      <c r="W132" s="356"/>
      <c r="X132" s="356"/>
      <c r="Y132" s="356"/>
    </row>
    <row r="133" spans="1:25" s="189" customFormat="1" outlineLevel="1">
      <c r="A133" s="356"/>
      <c r="B133" s="357" t="s">
        <v>1328</v>
      </c>
      <c r="C133" s="358"/>
      <c r="D133" s="359"/>
      <c r="E133" s="359"/>
      <c r="F133" s="360"/>
      <c r="G133" s="360"/>
      <c r="H133" s="356"/>
      <c r="I133" s="356"/>
      <c r="J133" s="361"/>
      <c r="K133" s="356"/>
      <c r="L133" s="361"/>
      <c r="M133" s="356"/>
      <c r="N133" s="362"/>
      <c r="O133" s="356"/>
      <c r="P133" s="361"/>
      <c r="Q133" s="356"/>
      <c r="R133" s="361"/>
      <c r="S133" s="361"/>
      <c r="T133" s="361"/>
      <c r="U133" s="356"/>
      <c r="V133" s="362"/>
      <c r="W133" s="356"/>
      <c r="X133" s="356"/>
    </row>
    <row r="134" spans="1:25" s="189" customFormat="1" ht="5.0999999999999996" customHeight="1" outlineLevel="1">
      <c r="A134" s="382"/>
      <c r="B134" s="382"/>
      <c r="C134" s="382"/>
      <c r="D134" s="359"/>
      <c r="E134" s="359"/>
      <c r="F134" s="356"/>
      <c r="G134" s="356"/>
      <c r="H134" s="356"/>
      <c r="I134" s="356"/>
      <c r="J134" s="386"/>
      <c r="K134" s="356"/>
      <c r="L134" s="386"/>
      <c r="M134" s="356"/>
      <c r="N134" s="387"/>
      <c r="O134" s="356"/>
      <c r="P134" s="386"/>
      <c r="Q134" s="356"/>
      <c r="R134" s="386"/>
      <c r="S134" s="386"/>
      <c r="T134" s="386"/>
      <c r="U134" s="356"/>
      <c r="V134" s="387"/>
      <c r="W134" s="356"/>
      <c r="X134" s="356"/>
      <c r="Y134" s="356"/>
    </row>
    <row r="135" spans="1:25" s="189" customFormat="1" ht="12.75" customHeight="1">
      <c r="A135" s="358" t="s">
        <v>1328</v>
      </c>
      <c r="B135" s="382" t="s">
        <v>220</v>
      </c>
      <c r="C135" s="382"/>
      <c r="D135" s="356"/>
      <c r="E135" s="356"/>
      <c r="F135" s="356" t="s">
        <v>1329</v>
      </c>
      <c r="G135" s="356"/>
      <c r="H135" s="356"/>
      <c r="I135" s="356"/>
      <c r="J135" s="384">
        <f>SUM(J133:J134)</f>
        <v>0</v>
      </c>
      <c r="K135" s="356"/>
      <c r="L135" s="384">
        <f>SUM(L133:L134)</f>
        <v>0</v>
      </c>
      <c r="M135" s="356"/>
      <c r="N135" s="385">
        <f>SUM(N133:N134)</f>
        <v>0</v>
      </c>
      <c r="O135" s="356"/>
      <c r="P135" s="384">
        <f>J135+L135+N135</f>
        <v>0</v>
      </c>
      <c r="Q135" s="356"/>
      <c r="R135" s="384">
        <f>SUM(R133:R134)</f>
        <v>0</v>
      </c>
      <c r="S135" s="384">
        <f>SUM(S133:S134)</f>
        <v>0</v>
      </c>
      <c r="T135" s="384">
        <f>SUM(T133:T134)</f>
        <v>0</v>
      </c>
      <c r="U135" s="356"/>
      <c r="V135" s="385">
        <f>SUM(V133:V134)</f>
        <v>0</v>
      </c>
      <c r="W135" s="356"/>
      <c r="X135" s="356"/>
      <c r="Y135" s="356"/>
    </row>
    <row r="136" spans="1:25" s="189" customFormat="1" outlineLevel="1">
      <c r="A136" s="382"/>
      <c r="B136" s="358" t="s">
        <v>220</v>
      </c>
      <c r="C136" s="358"/>
      <c r="D136" s="356"/>
      <c r="E136" s="356"/>
      <c r="F136" s="356"/>
      <c r="G136" s="356"/>
      <c r="H136" s="356"/>
      <c r="I136" s="356"/>
      <c r="J136" s="389"/>
      <c r="K136" s="356"/>
      <c r="L136" s="389"/>
      <c r="M136" s="356"/>
      <c r="N136" s="362"/>
      <c r="O136" s="356"/>
      <c r="P136" s="389"/>
      <c r="Q136" s="356"/>
      <c r="R136" s="389"/>
      <c r="S136" s="389"/>
      <c r="T136" s="389"/>
      <c r="U136" s="356"/>
      <c r="V136" s="362"/>
      <c r="W136" s="356"/>
      <c r="X136" s="356"/>
      <c r="Y136" s="356"/>
    </row>
    <row r="137" spans="1:25" s="189" customFormat="1" outlineLevel="1">
      <c r="A137" s="356"/>
      <c r="B137" s="357" t="s">
        <v>441</v>
      </c>
      <c r="C137" s="358"/>
      <c r="D137" s="359"/>
      <c r="E137" s="359"/>
      <c r="F137" s="360"/>
      <c r="G137" s="360"/>
      <c r="H137" s="356"/>
      <c r="I137" s="356"/>
      <c r="J137" s="361"/>
      <c r="K137" s="356"/>
      <c r="L137" s="361"/>
      <c r="M137" s="356"/>
      <c r="N137" s="362"/>
      <c r="O137" s="356"/>
      <c r="P137" s="361"/>
      <c r="Q137" s="356"/>
      <c r="R137" s="361"/>
      <c r="S137" s="361"/>
      <c r="T137" s="361"/>
      <c r="U137" s="356"/>
      <c r="V137" s="362"/>
      <c r="W137" s="356"/>
      <c r="X137" s="356"/>
    </row>
    <row r="138" spans="1:25" s="189" customFormat="1" ht="5.0999999999999996" customHeight="1" outlineLevel="1">
      <c r="A138" s="358" t="s">
        <v>220</v>
      </c>
      <c r="B138" s="358" t="s">
        <v>220</v>
      </c>
      <c r="C138" s="358"/>
      <c r="D138" s="360"/>
      <c r="E138" s="360"/>
      <c r="F138" s="360"/>
      <c r="G138" s="360"/>
      <c r="H138" s="356"/>
      <c r="I138" s="356"/>
      <c r="J138" s="386"/>
      <c r="K138" s="356"/>
      <c r="L138" s="386"/>
      <c r="M138" s="356"/>
      <c r="N138" s="387"/>
      <c r="O138" s="356"/>
      <c r="P138" s="386"/>
      <c r="Q138" s="356"/>
      <c r="R138" s="386"/>
      <c r="S138" s="386"/>
      <c r="T138" s="386"/>
      <c r="U138" s="356"/>
      <c r="V138" s="387"/>
      <c r="W138" s="356"/>
      <c r="X138" s="356"/>
      <c r="Y138" s="356"/>
    </row>
    <row r="139" spans="1:25" s="189" customFormat="1" ht="12.75" customHeight="1">
      <c r="A139" s="358" t="s">
        <v>441</v>
      </c>
      <c r="B139" s="358" t="s">
        <v>220</v>
      </c>
      <c r="C139" s="358"/>
      <c r="D139" s="356"/>
      <c r="E139" s="356"/>
      <c r="F139" s="359" t="s">
        <v>442</v>
      </c>
      <c r="G139" s="356"/>
      <c r="H139" s="356"/>
      <c r="I139" s="356"/>
      <c r="J139" s="384">
        <f>SUM(J137:J138)</f>
        <v>0</v>
      </c>
      <c r="K139" s="356"/>
      <c r="L139" s="384">
        <f>SUM(L137:L138)</f>
        <v>0</v>
      </c>
      <c r="M139" s="356"/>
      <c r="N139" s="385">
        <f>SUM(N137:N138)</f>
        <v>0</v>
      </c>
      <c r="O139" s="356"/>
      <c r="P139" s="384">
        <f>J139+L139+N139</f>
        <v>0</v>
      </c>
      <c r="Q139" s="356"/>
      <c r="R139" s="384">
        <f>SUM(R137:R138)</f>
        <v>0</v>
      </c>
      <c r="S139" s="384">
        <f>SUM(S137:S138)</f>
        <v>0</v>
      </c>
      <c r="T139" s="384">
        <f>SUM(T137:T138)</f>
        <v>0</v>
      </c>
      <c r="U139" s="356"/>
      <c r="V139" s="385">
        <f>SUM(V137:V138)</f>
        <v>0</v>
      </c>
      <c r="W139" s="356"/>
      <c r="X139" s="356"/>
      <c r="Y139" s="356"/>
    </row>
    <row r="140" spans="1:25" s="189" customFormat="1" outlineLevel="1">
      <c r="A140" s="356"/>
      <c r="B140" s="357" t="s">
        <v>443</v>
      </c>
      <c r="C140" s="358"/>
      <c r="D140" s="359">
        <v>20120</v>
      </c>
      <c r="E140" s="359" t="s">
        <v>444</v>
      </c>
      <c r="F140" s="360"/>
      <c r="G140" s="360"/>
      <c r="H140" s="356"/>
      <c r="I140" s="356"/>
      <c r="J140" s="361">
        <v>419720.43</v>
      </c>
      <c r="K140" s="356"/>
      <c r="L140" s="361">
        <v>0</v>
      </c>
      <c r="M140" s="356"/>
      <c r="N140" s="362">
        <v>0</v>
      </c>
      <c r="O140" s="356"/>
      <c r="P140" s="361">
        <f t="shared" ref="P140:P147" si="24">J140+L140+N140</f>
        <v>419720.43</v>
      </c>
      <c r="Q140" s="356"/>
      <c r="R140" s="361">
        <v>410742.92</v>
      </c>
      <c r="S140" s="361">
        <v>415948.86</v>
      </c>
      <c r="T140" s="361">
        <f t="shared" ref="T140:T147" si="25">P140</f>
        <v>419720.43</v>
      </c>
      <c r="U140" s="356"/>
      <c r="V140" s="362">
        <f t="shared" ref="V140:V147" si="26">T140-S140</f>
        <v>3771.570000000007</v>
      </c>
      <c r="W140" s="356"/>
      <c r="X140" s="356"/>
    </row>
    <row r="141" spans="1:25" s="189" customFormat="1" outlineLevel="1">
      <c r="A141" s="356"/>
      <c r="B141" s="357" t="s">
        <v>224</v>
      </c>
      <c r="C141" s="358"/>
      <c r="D141" s="359">
        <v>20121</v>
      </c>
      <c r="E141" s="359" t="s">
        <v>445</v>
      </c>
      <c r="F141" s="360"/>
      <c r="G141" s="360"/>
      <c r="H141" s="356"/>
      <c r="I141" s="356"/>
      <c r="J141" s="361">
        <v>0</v>
      </c>
      <c r="K141" s="356"/>
      <c r="L141" s="361">
        <v>0</v>
      </c>
      <c r="M141" s="356"/>
      <c r="N141" s="362">
        <v>0</v>
      </c>
      <c r="O141" s="356"/>
      <c r="P141" s="361">
        <f t="shared" si="24"/>
        <v>0</v>
      </c>
      <c r="Q141" s="356"/>
      <c r="R141" s="361">
        <v>0</v>
      </c>
      <c r="S141" s="361">
        <v>0</v>
      </c>
      <c r="T141" s="361">
        <f t="shared" si="25"/>
        <v>0</v>
      </c>
      <c r="U141" s="356"/>
      <c r="V141" s="362">
        <f t="shared" si="26"/>
        <v>0</v>
      </c>
      <c r="W141" s="356"/>
      <c r="X141" s="356"/>
    </row>
    <row r="142" spans="1:25" s="189" customFormat="1" outlineLevel="1">
      <c r="A142" s="356"/>
      <c r="B142" s="357" t="s">
        <v>224</v>
      </c>
      <c r="C142" s="358"/>
      <c r="D142" s="359">
        <v>20123</v>
      </c>
      <c r="E142" s="359" t="s">
        <v>446</v>
      </c>
      <c r="F142" s="360"/>
      <c r="G142" s="360"/>
      <c r="H142" s="356"/>
      <c r="I142" s="356"/>
      <c r="J142" s="361">
        <v>6451.57</v>
      </c>
      <c r="K142" s="356"/>
      <c r="L142" s="361">
        <v>0</v>
      </c>
      <c r="M142" s="356"/>
      <c r="N142" s="362">
        <v>0</v>
      </c>
      <c r="O142" s="356"/>
      <c r="P142" s="361">
        <f t="shared" si="24"/>
        <v>6451.57</v>
      </c>
      <c r="Q142" s="356"/>
      <c r="R142" s="361">
        <v>10276.26</v>
      </c>
      <c r="S142" s="361">
        <v>6512.12</v>
      </c>
      <c r="T142" s="361">
        <f t="shared" si="25"/>
        <v>6451.57</v>
      </c>
      <c r="U142" s="356"/>
      <c r="V142" s="362">
        <f t="shared" si="26"/>
        <v>-60.550000000000182</v>
      </c>
      <c r="W142" s="356"/>
      <c r="X142" s="356"/>
    </row>
    <row r="143" spans="1:25" s="189" customFormat="1" outlineLevel="1">
      <c r="A143" s="356"/>
      <c r="B143" s="357" t="s">
        <v>224</v>
      </c>
      <c r="C143" s="358"/>
      <c r="D143" s="359">
        <v>20140</v>
      </c>
      <c r="E143" s="359" t="s">
        <v>447</v>
      </c>
      <c r="F143" s="360"/>
      <c r="G143" s="360"/>
      <c r="H143" s="356"/>
      <c r="I143" s="356"/>
      <c r="J143" s="361">
        <v>12737.18</v>
      </c>
      <c r="K143" s="356"/>
      <c r="L143" s="361">
        <v>0</v>
      </c>
      <c r="M143" s="356"/>
      <c r="N143" s="362">
        <v>0</v>
      </c>
      <c r="O143" s="356"/>
      <c r="P143" s="361">
        <f t="shared" si="24"/>
        <v>12737.18</v>
      </c>
      <c r="Q143" s="356"/>
      <c r="R143" s="361">
        <v>14815.29</v>
      </c>
      <c r="S143" s="361">
        <v>10192.76</v>
      </c>
      <c r="T143" s="361">
        <f t="shared" si="25"/>
        <v>12737.18</v>
      </c>
      <c r="U143" s="356"/>
      <c r="V143" s="362">
        <f t="shared" si="26"/>
        <v>2544.42</v>
      </c>
      <c r="W143" s="356"/>
      <c r="X143" s="356"/>
    </row>
    <row r="144" spans="1:25" s="189" customFormat="1" outlineLevel="1">
      <c r="A144" s="356"/>
      <c r="B144" s="357" t="s">
        <v>224</v>
      </c>
      <c r="C144" s="358"/>
      <c r="D144" s="359">
        <v>20170</v>
      </c>
      <c r="E144" s="359" t="s">
        <v>448</v>
      </c>
      <c r="F144" s="360"/>
      <c r="G144" s="360"/>
      <c r="H144" s="356"/>
      <c r="I144" s="356"/>
      <c r="J144" s="361">
        <v>17725.310000000001</v>
      </c>
      <c r="K144" s="356"/>
      <c r="L144" s="361">
        <v>0</v>
      </c>
      <c r="M144" s="356"/>
      <c r="N144" s="362">
        <v>0</v>
      </c>
      <c r="O144" s="356"/>
      <c r="P144" s="361">
        <f t="shared" si="24"/>
        <v>17725.310000000001</v>
      </c>
      <c r="Q144" s="356"/>
      <c r="R144" s="361">
        <v>15673.4</v>
      </c>
      <c r="S144" s="361">
        <v>17117.07</v>
      </c>
      <c r="T144" s="361">
        <f t="shared" si="25"/>
        <v>17725.310000000001</v>
      </c>
      <c r="U144" s="356"/>
      <c r="V144" s="362">
        <f t="shared" si="26"/>
        <v>608.2400000000016</v>
      </c>
      <c r="W144" s="356"/>
      <c r="X144" s="356"/>
    </row>
    <row r="145" spans="1:25" s="189" customFormat="1" outlineLevel="1">
      <c r="A145" s="356"/>
      <c r="B145" s="357" t="s">
        <v>224</v>
      </c>
      <c r="C145" s="358"/>
      <c r="D145" s="359">
        <v>20175</v>
      </c>
      <c r="E145" s="359" t="s">
        <v>449</v>
      </c>
      <c r="F145" s="360"/>
      <c r="G145" s="360"/>
      <c r="H145" s="356"/>
      <c r="I145" s="356"/>
      <c r="J145" s="361">
        <v>59161.98</v>
      </c>
      <c r="K145" s="356"/>
      <c r="L145" s="361">
        <v>0</v>
      </c>
      <c r="M145" s="356"/>
      <c r="N145" s="362">
        <v>0</v>
      </c>
      <c r="O145" s="356"/>
      <c r="P145" s="361">
        <f t="shared" si="24"/>
        <v>59161.98</v>
      </c>
      <c r="Q145" s="356"/>
      <c r="R145" s="361">
        <v>55205.22</v>
      </c>
      <c r="S145" s="361">
        <v>56240.5</v>
      </c>
      <c r="T145" s="361">
        <f t="shared" si="25"/>
        <v>59161.98</v>
      </c>
      <c r="U145" s="356"/>
      <c r="V145" s="362">
        <f t="shared" si="26"/>
        <v>2921.4800000000032</v>
      </c>
      <c r="W145" s="356"/>
      <c r="X145" s="356"/>
    </row>
    <row r="146" spans="1:25" s="189" customFormat="1" outlineLevel="1">
      <c r="A146" s="356"/>
      <c r="B146" s="357" t="s">
        <v>224</v>
      </c>
      <c r="C146" s="358"/>
      <c r="D146" s="359">
        <v>20178</v>
      </c>
      <c r="E146" s="359" t="s">
        <v>450</v>
      </c>
      <c r="F146" s="360"/>
      <c r="G146" s="360"/>
      <c r="H146" s="356"/>
      <c r="I146" s="356"/>
      <c r="J146" s="361">
        <v>20770</v>
      </c>
      <c r="K146" s="356"/>
      <c r="L146" s="361">
        <v>0</v>
      </c>
      <c r="M146" s="356"/>
      <c r="N146" s="362">
        <v>0</v>
      </c>
      <c r="O146" s="356"/>
      <c r="P146" s="361">
        <f t="shared" si="24"/>
        <v>20770</v>
      </c>
      <c r="Q146" s="356"/>
      <c r="R146" s="361">
        <v>13616.03</v>
      </c>
      <c r="S146" s="361">
        <v>17072</v>
      </c>
      <c r="T146" s="361">
        <f t="shared" si="25"/>
        <v>20770</v>
      </c>
      <c r="U146" s="356"/>
      <c r="V146" s="362">
        <f t="shared" si="26"/>
        <v>3698</v>
      </c>
      <c r="W146" s="356"/>
      <c r="X146" s="356"/>
    </row>
    <row r="147" spans="1:25" s="189" customFormat="1" outlineLevel="1">
      <c r="A147" s="356"/>
      <c r="B147" s="357" t="s">
        <v>224</v>
      </c>
      <c r="C147" s="358"/>
      <c r="D147" s="359">
        <v>20180</v>
      </c>
      <c r="E147" s="359" t="s">
        <v>451</v>
      </c>
      <c r="F147" s="360"/>
      <c r="G147" s="360"/>
      <c r="H147" s="356"/>
      <c r="I147" s="356"/>
      <c r="J147" s="361">
        <v>30452.34</v>
      </c>
      <c r="K147" s="356"/>
      <c r="L147" s="361">
        <v>0</v>
      </c>
      <c r="M147" s="356"/>
      <c r="N147" s="362">
        <v>0</v>
      </c>
      <c r="O147" s="356"/>
      <c r="P147" s="361">
        <f t="shared" si="24"/>
        <v>30452.34</v>
      </c>
      <c r="Q147" s="356"/>
      <c r="R147" s="361">
        <v>28409.42</v>
      </c>
      <c r="S147" s="361">
        <v>27288.98</v>
      </c>
      <c r="T147" s="361">
        <f t="shared" si="25"/>
        <v>30452.34</v>
      </c>
      <c r="U147" s="356"/>
      <c r="V147" s="362">
        <f t="shared" si="26"/>
        <v>3163.3600000000006</v>
      </c>
      <c r="W147" s="356"/>
      <c r="X147" s="356"/>
    </row>
    <row r="148" spans="1:25" s="189" customFormat="1" ht="5.0999999999999996" customHeight="1" outlineLevel="1">
      <c r="A148" s="358" t="s">
        <v>220</v>
      </c>
      <c r="B148" s="358" t="s">
        <v>220</v>
      </c>
      <c r="C148" s="358"/>
      <c r="D148" s="360"/>
      <c r="E148" s="360"/>
      <c r="F148" s="360"/>
      <c r="G148" s="360"/>
      <c r="H148" s="356"/>
      <c r="I148" s="356"/>
      <c r="J148" s="386"/>
      <c r="K148" s="356"/>
      <c r="L148" s="386"/>
      <c r="M148" s="356"/>
      <c r="N148" s="387"/>
      <c r="O148" s="356"/>
      <c r="P148" s="386"/>
      <c r="Q148" s="356"/>
      <c r="R148" s="386"/>
      <c r="S148" s="386"/>
      <c r="T148" s="386"/>
      <c r="U148" s="356"/>
      <c r="V148" s="387"/>
      <c r="W148" s="356"/>
      <c r="X148" s="356"/>
      <c r="Y148" s="356"/>
    </row>
    <row r="149" spans="1:25" s="189" customFormat="1">
      <c r="A149" s="358" t="s">
        <v>443</v>
      </c>
      <c r="B149" s="358" t="s">
        <v>220</v>
      </c>
      <c r="C149" s="358"/>
      <c r="D149" s="356"/>
      <c r="E149" s="356"/>
      <c r="F149" s="359" t="s">
        <v>452</v>
      </c>
      <c r="G149" s="356"/>
      <c r="H149" s="356"/>
      <c r="I149" s="356"/>
      <c r="J149" s="384">
        <f>SUM(J140:J148)</f>
        <v>567018.80999999994</v>
      </c>
      <c r="K149" s="356"/>
      <c r="L149" s="384">
        <f>SUM(L140:L148)</f>
        <v>0</v>
      </c>
      <c r="M149" s="356"/>
      <c r="N149" s="385">
        <f>SUM(N140:N148)</f>
        <v>0</v>
      </c>
      <c r="O149" s="356"/>
      <c r="P149" s="384">
        <f>J149+L149+N149</f>
        <v>567018.80999999994</v>
      </c>
      <c r="Q149" s="356"/>
      <c r="R149" s="384">
        <f>SUM(R140:R148)</f>
        <v>548738.54</v>
      </c>
      <c r="S149" s="384">
        <f>SUM(S140:S148)</f>
        <v>550372.29</v>
      </c>
      <c r="T149" s="384">
        <f>SUM(T140:T148)</f>
        <v>567018.80999999994</v>
      </c>
      <c r="U149" s="356"/>
      <c r="V149" s="385">
        <f>SUM(V140:V148)</f>
        <v>16646.520000000011</v>
      </c>
      <c r="W149" s="356"/>
      <c r="X149" s="356"/>
      <c r="Y149" s="356"/>
    </row>
    <row r="150" spans="1:25" s="189" customFormat="1" outlineLevel="1">
      <c r="A150" s="356"/>
      <c r="B150" s="357" t="s">
        <v>453</v>
      </c>
      <c r="C150" s="358"/>
      <c r="D150" s="359">
        <v>20300</v>
      </c>
      <c r="E150" s="359" t="s">
        <v>454</v>
      </c>
      <c r="F150" s="360"/>
      <c r="G150" s="360"/>
      <c r="H150" s="356"/>
      <c r="I150" s="356"/>
      <c r="J150" s="361">
        <v>114741.67</v>
      </c>
      <c r="K150" s="356"/>
      <c r="L150" s="361">
        <v>0</v>
      </c>
      <c r="M150" s="356"/>
      <c r="N150" s="362">
        <v>0</v>
      </c>
      <c r="O150" s="356"/>
      <c r="P150" s="361">
        <f>J150+L150+N150</f>
        <v>114741.67</v>
      </c>
      <c r="Q150" s="356"/>
      <c r="R150" s="361">
        <v>113415.46</v>
      </c>
      <c r="S150" s="361">
        <v>95328.72</v>
      </c>
      <c r="T150" s="361">
        <f>P150</f>
        <v>114741.67</v>
      </c>
      <c r="U150" s="356"/>
      <c r="V150" s="362">
        <f>T150-S150</f>
        <v>19412.949999999997</v>
      </c>
      <c r="W150" s="356"/>
      <c r="X150" s="356"/>
    </row>
    <row r="151" spans="1:25" s="189" customFormat="1" ht="5.0999999999999996" customHeight="1" outlineLevel="1">
      <c r="A151" s="358" t="s">
        <v>220</v>
      </c>
      <c r="B151" s="382" t="s">
        <v>220</v>
      </c>
      <c r="C151" s="382"/>
      <c r="D151" s="360"/>
      <c r="E151" s="360"/>
      <c r="F151" s="360"/>
      <c r="G151" s="360"/>
      <c r="H151" s="356"/>
      <c r="I151" s="356"/>
      <c r="J151" s="386"/>
      <c r="K151" s="356"/>
      <c r="L151" s="386"/>
      <c r="M151" s="356"/>
      <c r="N151" s="387"/>
      <c r="O151" s="356"/>
      <c r="P151" s="386"/>
      <c r="Q151" s="356"/>
      <c r="R151" s="386"/>
      <c r="S151" s="386"/>
      <c r="T151" s="386"/>
      <c r="U151" s="356"/>
      <c r="V151" s="387"/>
      <c r="W151" s="356"/>
      <c r="X151" s="356"/>
      <c r="Y151" s="356"/>
    </row>
    <row r="152" spans="1:25" s="189" customFormat="1">
      <c r="A152" s="358" t="s">
        <v>453</v>
      </c>
      <c r="B152" s="382" t="s">
        <v>220</v>
      </c>
      <c r="C152" s="382"/>
      <c r="D152" s="356"/>
      <c r="E152" s="356"/>
      <c r="F152" s="359" t="s">
        <v>455</v>
      </c>
      <c r="G152" s="356"/>
      <c r="H152" s="356"/>
      <c r="I152" s="356"/>
      <c r="J152" s="384">
        <f>SUM(J150:J151)</f>
        <v>114741.67</v>
      </c>
      <c r="K152" s="356"/>
      <c r="L152" s="384">
        <f>SUM(L150:L151)</f>
        <v>0</v>
      </c>
      <c r="M152" s="356"/>
      <c r="N152" s="385">
        <f>SUM(N150:N151)</f>
        <v>0</v>
      </c>
      <c r="O152" s="356"/>
      <c r="P152" s="384">
        <f>J152+L152+N152</f>
        <v>114741.67</v>
      </c>
      <c r="Q152" s="356"/>
      <c r="R152" s="384">
        <f>SUM(R150:R151)</f>
        <v>113415.46</v>
      </c>
      <c r="S152" s="384">
        <f>SUM(S150:S151)</f>
        <v>95328.72</v>
      </c>
      <c r="T152" s="384">
        <f>SUM(T150:T151)</f>
        <v>114741.67</v>
      </c>
      <c r="U152" s="356"/>
      <c r="V152" s="385">
        <f>SUM(V150:V151)</f>
        <v>19412.949999999997</v>
      </c>
      <c r="W152" s="356"/>
      <c r="X152" s="356"/>
      <c r="Y152" s="356"/>
    </row>
    <row r="153" spans="1:25" s="189" customFormat="1" outlineLevel="1">
      <c r="A153" s="356"/>
      <c r="B153" s="357" t="s">
        <v>456</v>
      </c>
      <c r="C153" s="358"/>
      <c r="D153" s="359">
        <v>20320</v>
      </c>
      <c r="E153" s="359" t="s">
        <v>457</v>
      </c>
      <c r="F153" s="360"/>
      <c r="G153" s="360"/>
      <c r="H153" s="356"/>
      <c r="I153" s="356"/>
      <c r="J153" s="361">
        <v>129659.32</v>
      </c>
      <c r="K153" s="356"/>
      <c r="L153" s="361">
        <v>0</v>
      </c>
      <c r="M153" s="356"/>
      <c r="N153" s="362">
        <v>0</v>
      </c>
      <c r="O153" s="356"/>
      <c r="P153" s="361">
        <f t="shared" ref="P153:P158" si="27">J153+L153+N153</f>
        <v>129659.32</v>
      </c>
      <c r="Q153" s="356"/>
      <c r="R153" s="361">
        <v>83979.93</v>
      </c>
      <c r="S153" s="361">
        <v>98910.46</v>
      </c>
      <c r="T153" s="361">
        <f t="shared" ref="T153:T158" si="28">P153</f>
        <v>129659.32</v>
      </c>
      <c r="U153" s="356"/>
      <c r="V153" s="362">
        <f t="shared" ref="V153:V158" si="29">T153-S153</f>
        <v>30748.86</v>
      </c>
      <c r="W153" s="356"/>
      <c r="X153" s="356"/>
    </row>
    <row r="154" spans="1:25" s="189" customFormat="1" outlineLevel="1">
      <c r="A154" s="356"/>
      <c r="B154" s="357" t="s">
        <v>224</v>
      </c>
      <c r="C154" s="358"/>
      <c r="D154" s="359">
        <v>20321</v>
      </c>
      <c r="E154" s="359" t="s">
        <v>458</v>
      </c>
      <c r="F154" s="360"/>
      <c r="G154" s="360"/>
      <c r="H154" s="356"/>
      <c r="I154" s="356"/>
      <c r="J154" s="361">
        <v>188939.79</v>
      </c>
      <c r="K154" s="356"/>
      <c r="L154" s="361">
        <v>0</v>
      </c>
      <c r="M154" s="356"/>
      <c r="N154" s="362">
        <v>0</v>
      </c>
      <c r="O154" s="356"/>
      <c r="P154" s="361">
        <f t="shared" si="27"/>
        <v>188939.79</v>
      </c>
      <c r="Q154" s="356"/>
      <c r="R154" s="361">
        <v>174891.5</v>
      </c>
      <c r="S154" s="361">
        <v>180261.03</v>
      </c>
      <c r="T154" s="361">
        <f t="shared" si="28"/>
        <v>188939.79</v>
      </c>
      <c r="U154" s="356"/>
      <c r="V154" s="362">
        <f t="shared" si="29"/>
        <v>8678.7600000000093</v>
      </c>
      <c r="W154" s="356"/>
      <c r="X154" s="356"/>
    </row>
    <row r="155" spans="1:25" s="189" customFormat="1" outlineLevel="1">
      <c r="A155" s="356"/>
      <c r="B155" s="357" t="s">
        <v>224</v>
      </c>
      <c r="C155" s="358"/>
      <c r="D155" s="359">
        <v>20340</v>
      </c>
      <c r="E155" s="359" t="s">
        <v>459</v>
      </c>
      <c r="F155" s="360"/>
      <c r="G155" s="360"/>
      <c r="H155" s="356"/>
      <c r="I155" s="356"/>
      <c r="J155" s="361">
        <v>42707.7</v>
      </c>
      <c r="K155" s="356"/>
      <c r="L155" s="361">
        <v>0</v>
      </c>
      <c r="M155" s="356"/>
      <c r="N155" s="362">
        <v>0</v>
      </c>
      <c r="O155" s="356"/>
      <c r="P155" s="361">
        <f t="shared" si="27"/>
        <v>42707.7</v>
      </c>
      <c r="Q155" s="356"/>
      <c r="R155" s="361">
        <v>29107.7</v>
      </c>
      <c r="S155" s="361">
        <v>35907.699999999997</v>
      </c>
      <c r="T155" s="361">
        <f t="shared" si="28"/>
        <v>42707.7</v>
      </c>
      <c r="U155" s="356"/>
      <c r="V155" s="362">
        <f t="shared" si="29"/>
        <v>6800</v>
      </c>
      <c r="W155" s="356"/>
      <c r="X155" s="356"/>
    </row>
    <row r="156" spans="1:25" s="189" customFormat="1" outlineLevel="1">
      <c r="A156" s="356"/>
      <c r="B156" s="357" t="s">
        <v>224</v>
      </c>
      <c r="C156" s="358"/>
      <c r="D156" s="359">
        <v>20351</v>
      </c>
      <c r="E156" s="359" t="s">
        <v>460</v>
      </c>
      <c r="F156" s="360"/>
      <c r="G156" s="360"/>
      <c r="H156" s="356"/>
      <c r="I156" s="356"/>
      <c r="J156" s="361">
        <v>5657.41</v>
      </c>
      <c r="K156" s="356"/>
      <c r="L156" s="361">
        <v>0</v>
      </c>
      <c r="M156" s="356"/>
      <c r="N156" s="362">
        <v>0</v>
      </c>
      <c r="O156" s="356"/>
      <c r="P156" s="361">
        <f t="shared" si="27"/>
        <v>5657.41</v>
      </c>
      <c r="Q156" s="356"/>
      <c r="R156" s="361">
        <v>7013.7</v>
      </c>
      <c r="S156" s="361">
        <v>3771.61</v>
      </c>
      <c r="T156" s="361">
        <f t="shared" si="28"/>
        <v>5657.41</v>
      </c>
      <c r="U156" s="356"/>
      <c r="V156" s="362">
        <f t="shared" si="29"/>
        <v>1885.7999999999997</v>
      </c>
      <c r="W156" s="356"/>
      <c r="X156" s="356"/>
    </row>
    <row r="157" spans="1:25" s="189" customFormat="1" outlineLevel="1">
      <c r="A157" s="356"/>
      <c r="B157" s="357" t="s">
        <v>224</v>
      </c>
      <c r="C157" s="358"/>
      <c r="D157" s="359">
        <v>20360</v>
      </c>
      <c r="E157" s="359" t="s">
        <v>461</v>
      </c>
      <c r="F157" s="360"/>
      <c r="G157" s="360"/>
      <c r="H157" s="356"/>
      <c r="I157" s="356"/>
      <c r="J157" s="361">
        <v>0</v>
      </c>
      <c r="K157" s="356"/>
      <c r="L157" s="361">
        <v>0</v>
      </c>
      <c r="M157" s="356"/>
      <c r="N157" s="362">
        <v>0</v>
      </c>
      <c r="O157" s="356"/>
      <c r="P157" s="361">
        <f t="shared" si="27"/>
        <v>0</v>
      </c>
      <c r="Q157" s="356"/>
      <c r="R157" s="361">
        <v>0.01</v>
      </c>
      <c r="S157" s="361">
        <v>0</v>
      </c>
      <c r="T157" s="361">
        <f t="shared" si="28"/>
        <v>0</v>
      </c>
      <c r="U157" s="356"/>
      <c r="V157" s="362">
        <f t="shared" si="29"/>
        <v>0</v>
      </c>
      <c r="W157" s="356"/>
      <c r="X157" s="356"/>
    </row>
    <row r="158" spans="1:25" s="189" customFormat="1" outlineLevel="1">
      <c r="A158" s="356"/>
      <c r="B158" s="357" t="s">
        <v>224</v>
      </c>
      <c r="C158" s="358"/>
      <c r="D158" s="359">
        <v>20397</v>
      </c>
      <c r="E158" s="359" t="s">
        <v>462</v>
      </c>
      <c r="F158" s="360"/>
      <c r="G158" s="360"/>
      <c r="H158" s="356"/>
      <c r="I158" s="356"/>
      <c r="J158" s="361">
        <v>20.75</v>
      </c>
      <c r="K158" s="356"/>
      <c r="L158" s="361">
        <v>0</v>
      </c>
      <c r="M158" s="356"/>
      <c r="N158" s="362">
        <v>0</v>
      </c>
      <c r="O158" s="356"/>
      <c r="P158" s="361">
        <f t="shared" si="27"/>
        <v>20.75</v>
      </c>
      <c r="Q158" s="356"/>
      <c r="R158" s="361">
        <v>20.75</v>
      </c>
      <c r="S158" s="361">
        <v>20.75</v>
      </c>
      <c r="T158" s="361">
        <f t="shared" si="28"/>
        <v>20.75</v>
      </c>
      <c r="U158" s="356"/>
      <c r="V158" s="362">
        <f t="shared" si="29"/>
        <v>0</v>
      </c>
      <c r="W158" s="356"/>
      <c r="X158" s="356"/>
    </row>
    <row r="159" spans="1:25" s="189" customFormat="1" ht="4.5" customHeight="1" outlineLevel="1">
      <c r="A159" s="382" t="s">
        <v>220</v>
      </c>
      <c r="B159" s="382" t="s">
        <v>220</v>
      </c>
      <c r="C159" s="382"/>
      <c r="D159" s="393"/>
      <c r="E159" s="356"/>
      <c r="F159" s="356"/>
      <c r="G159" s="356"/>
      <c r="H159" s="356"/>
      <c r="I159" s="356"/>
      <c r="J159" s="386"/>
      <c r="K159" s="356"/>
      <c r="L159" s="386"/>
      <c r="M159" s="356"/>
      <c r="N159" s="387"/>
      <c r="O159" s="356"/>
      <c r="P159" s="386"/>
      <c r="Q159" s="356"/>
      <c r="R159" s="386"/>
      <c r="S159" s="386"/>
      <c r="T159" s="386"/>
      <c r="U159" s="356"/>
      <c r="V159" s="387"/>
      <c r="W159" s="356"/>
      <c r="X159" s="356"/>
      <c r="Y159" s="356"/>
    </row>
    <row r="160" spans="1:25" s="189" customFormat="1">
      <c r="A160" s="358" t="s">
        <v>456</v>
      </c>
      <c r="B160" s="382" t="s">
        <v>220</v>
      </c>
      <c r="C160" s="382"/>
      <c r="D160" s="356"/>
      <c r="E160" s="356"/>
      <c r="F160" s="356" t="s">
        <v>463</v>
      </c>
      <c r="G160" s="356"/>
      <c r="H160" s="356"/>
      <c r="I160" s="356"/>
      <c r="J160" s="384">
        <f>SUM(J153:J159)</f>
        <v>366984.97</v>
      </c>
      <c r="K160" s="356"/>
      <c r="L160" s="384">
        <f>SUM(L153:L159)</f>
        <v>0</v>
      </c>
      <c r="M160" s="356"/>
      <c r="N160" s="385">
        <f>SUM(N153:N159)</f>
        <v>0</v>
      </c>
      <c r="O160" s="356"/>
      <c r="P160" s="384">
        <f>J160+L160+N160</f>
        <v>366984.97</v>
      </c>
      <c r="Q160" s="356"/>
      <c r="R160" s="384">
        <f>SUM(R153:R159)</f>
        <v>295013.59000000003</v>
      </c>
      <c r="S160" s="384">
        <f>SUM(S153:S159)</f>
        <v>318871.55</v>
      </c>
      <c r="T160" s="384">
        <f>SUM(T153:T159)</f>
        <v>366984.97</v>
      </c>
      <c r="U160" s="356"/>
      <c r="V160" s="385">
        <f>SUM(V153:V159)</f>
        <v>48113.420000000013</v>
      </c>
      <c r="W160" s="356"/>
      <c r="X160" s="356"/>
      <c r="Y160" s="356"/>
    </row>
    <row r="161" spans="1:25" s="189" customFormat="1" ht="7.5" customHeight="1">
      <c r="A161" s="382" t="s">
        <v>220</v>
      </c>
      <c r="B161" s="382" t="s">
        <v>220</v>
      </c>
      <c r="C161" s="382"/>
      <c r="D161" s="356"/>
      <c r="E161" s="356"/>
      <c r="F161" s="356"/>
      <c r="G161" s="356"/>
      <c r="H161" s="356"/>
      <c r="I161" s="356"/>
      <c r="J161" s="389"/>
      <c r="K161" s="356"/>
      <c r="L161" s="389"/>
      <c r="M161" s="356"/>
      <c r="N161" s="362"/>
      <c r="O161" s="356"/>
      <c r="P161" s="389"/>
      <c r="Q161" s="356"/>
      <c r="R161" s="389"/>
      <c r="S161" s="389"/>
      <c r="T161" s="389"/>
      <c r="U161" s="356"/>
      <c r="V161" s="362"/>
      <c r="W161" s="356"/>
      <c r="X161" s="356"/>
      <c r="Y161" s="356"/>
    </row>
    <row r="162" spans="1:25" s="189" customFormat="1">
      <c r="A162" s="382" t="s">
        <v>220</v>
      </c>
      <c r="B162" s="382" t="s">
        <v>220</v>
      </c>
      <c r="C162" s="382"/>
      <c r="D162" s="356"/>
      <c r="E162" s="390" t="s">
        <v>464</v>
      </c>
      <c r="F162" s="356"/>
      <c r="G162" s="356"/>
      <c r="H162" s="356"/>
      <c r="I162" s="356"/>
      <c r="J162" s="391">
        <f>SUM(J139,J149,J152,J160,J135)</f>
        <v>1048745.45</v>
      </c>
      <c r="K162" s="356"/>
      <c r="L162" s="391">
        <f>SUM(L139,L149,L152,L160,L135)</f>
        <v>0</v>
      </c>
      <c r="M162" s="356"/>
      <c r="N162" s="392">
        <f>SUM(N139,N149,N152,N160)</f>
        <v>0</v>
      </c>
      <c r="O162" s="356"/>
      <c r="P162" s="391">
        <f>SUM(P139,P149,P152,P160,P135)</f>
        <v>1048745.45</v>
      </c>
      <c r="Q162" s="356"/>
      <c r="R162" s="391">
        <f>SUM(R139,R149,R152,R160,R135)</f>
        <v>957167.59000000008</v>
      </c>
      <c r="S162" s="391">
        <f>SUM(S139,S149,S152,S160,S135)</f>
        <v>964572.56</v>
      </c>
      <c r="T162" s="391">
        <f>SUM(T139,T149,T152,T160,T135)</f>
        <v>1048745.45</v>
      </c>
      <c r="U162" s="356"/>
      <c r="V162" s="392">
        <f>SUM(V139,V149,V152,V160,V135)</f>
        <v>84172.890000000014</v>
      </c>
      <c r="W162" s="356"/>
      <c r="X162" s="356"/>
      <c r="Y162" s="356"/>
    </row>
    <row r="163" spans="1:25" s="189" customFormat="1" ht="7.5" customHeight="1">
      <c r="A163" s="382" t="s">
        <v>220</v>
      </c>
      <c r="B163" s="382" t="s">
        <v>220</v>
      </c>
      <c r="C163" s="382"/>
      <c r="D163" s="356"/>
      <c r="E163" s="356"/>
      <c r="F163" s="356"/>
      <c r="G163" s="356"/>
      <c r="H163" s="356"/>
      <c r="I163" s="356"/>
      <c r="J163" s="389"/>
      <c r="K163" s="356"/>
      <c r="L163" s="389"/>
      <c r="M163" s="356"/>
      <c r="N163" s="362"/>
      <c r="O163" s="356"/>
      <c r="P163" s="389"/>
      <c r="Q163" s="356"/>
      <c r="R163" s="389"/>
      <c r="S163" s="389"/>
      <c r="T163" s="389"/>
      <c r="U163" s="356"/>
      <c r="V163" s="362"/>
      <c r="W163" s="356"/>
      <c r="X163" s="356"/>
      <c r="Y163" s="356"/>
    </row>
    <row r="164" spans="1:25" s="189" customFormat="1" outlineLevel="1">
      <c r="A164" s="382" t="s">
        <v>220</v>
      </c>
      <c r="B164" s="382" t="s">
        <v>220</v>
      </c>
      <c r="C164" s="382"/>
      <c r="D164" s="356"/>
      <c r="E164" s="356"/>
      <c r="F164" s="356"/>
      <c r="G164" s="356"/>
      <c r="H164" s="356"/>
      <c r="I164" s="356"/>
      <c r="J164" s="389"/>
      <c r="K164" s="356"/>
      <c r="L164" s="389"/>
      <c r="M164" s="356"/>
      <c r="N164" s="362"/>
      <c r="O164" s="356"/>
      <c r="P164" s="389"/>
      <c r="Q164" s="356"/>
      <c r="R164" s="389"/>
      <c r="S164" s="389"/>
      <c r="T164" s="389"/>
      <c r="U164" s="356"/>
      <c r="V164" s="362"/>
      <c r="W164" s="356"/>
      <c r="X164" s="356"/>
      <c r="Y164" s="356"/>
    </row>
    <row r="165" spans="1:25" s="189" customFormat="1" outlineLevel="1">
      <c r="A165" s="356"/>
      <c r="B165" s="357" t="s">
        <v>465</v>
      </c>
      <c r="C165" s="358"/>
      <c r="D165" s="359"/>
      <c r="E165" s="359"/>
      <c r="F165" s="360"/>
      <c r="G165" s="360"/>
      <c r="H165" s="356"/>
      <c r="I165" s="356"/>
      <c r="J165" s="361"/>
      <c r="K165" s="356"/>
      <c r="L165" s="361"/>
      <c r="M165" s="356"/>
      <c r="N165" s="362"/>
      <c r="O165" s="356"/>
      <c r="P165" s="361"/>
      <c r="Q165" s="356"/>
      <c r="R165" s="361"/>
      <c r="S165" s="361"/>
      <c r="T165" s="361"/>
      <c r="U165" s="356"/>
      <c r="V165" s="362"/>
      <c r="W165" s="356"/>
      <c r="X165" s="356"/>
    </row>
    <row r="166" spans="1:25" s="189" customFormat="1" ht="5.0999999999999996" customHeight="1" outlineLevel="1">
      <c r="A166" s="382" t="s">
        <v>220</v>
      </c>
      <c r="B166" s="382" t="s">
        <v>220</v>
      </c>
      <c r="C166" s="382"/>
      <c r="D166" s="360"/>
      <c r="E166" s="360"/>
      <c r="F166" s="360"/>
      <c r="G166" s="360"/>
      <c r="H166" s="356"/>
      <c r="I166" s="356"/>
      <c r="J166" s="386"/>
      <c r="K166" s="356"/>
      <c r="L166" s="386"/>
      <c r="M166" s="356"/>
      <c r="N166" s="387"/>
      <c r="O166" s="356"/>
      <c r="P166" s="386"/>
      <c r="Q166" s="356"/>
      <c r="R166" s="386"/>
      <c r="S166" s="386"/>
      <c r="T166" s="386"/>
      <c r="U166" s="356"/>
      <c r="V166" s="387"/>
      <c r="W166" s="356"/>
      <c r="X166" s="356"/>
      <c r="Y166" s="356"/>
    </row>
    <row r="167" spans="1:25" s="189" customFormat="1">
      <c r="A167" s="358" t="s">
        <v>465</v>
      </c>
      <c r="B167" s="382" t="s">
        <v>220</v>
      </c>
      <c r="C167" s="382"/>
      <c r="D167" s="356"/>
      <c r="E167" s="356"/>
      <c r="F167" s="359" t="s">
        <v>466</v>
      </c>
      <c r="G167" s="356"/>
      <c r="H167" s="356"/>
      <c r="I167" s="356"/>
      <c r="J167" s="384">
        <f>SUM(J165:J166)</f>
        <v>0</v>
      </c>
      <c r="K167" s="356"/>
      <c r="L167" s="384">
        <f>SUM(L165:L166)</f>
        <v>0</v>
      </c>
      <c r="M167" s="356"/>
      <c r="N167" s="385">
        <f>SUM(N165:N166)</f>
        <v>0</v>
      </c>
      <c r="O167" s="356"/>
      <c r="P167" s="384">
        <f>J167+L167+N167</f>
        <v>0</v>
      </c>
      <c r="Q167" s="356"/>
      <c r="R167" s="384">
        <f>SUM(R165:R166)</f>
        <v>0</v>
      </c>
      <c r="S167" s="384">
        <f>SUM(S165:S166)</f>
        <v>0</v>
      </c>
      <c r="T167" s="384">
        <f>SUM(T165:T166)</f>
        <v>0</v>
      </c>
      <c r="U167" s="356"/>
      <c r="V167" s="385">
        <f>SUM(V165:V166)</f>
        <v>0</v>
      </c>
      <c r="W167" s="356"/>
      <c r="X167" s="356"/>
      <c r="Y167" s="356"/>
    </row>
    <row r="168" spans="1:25" s="189" customFormat="1" outlineLevel="1">
      <c r="A168" s="356"/>
      <c r="B168" s="357" t="s">
        <v>467</v>
      </c>
      <c r="C168" s="358"/>
      <c r="D168" s="359"/>
      <c r="E168" s="359"/>
      <c r="F168" s="360"/>
      <c r="G168" s="360"/>
      <c r="H168" s="356"/>
      <c r="I168" s="356"/>
      <c r="J168" s="361"/>
      <c r="K168" s="356"/>
      <c r="L168" s="361"/>
      <c r="M168" s="356"/>
      <c r="N168" s="362"/>
      <c r="O168" s="356"/>
      <c r="P168" s="361"/>
      <c r="Q168" s="356"/>
      <c r="R168" s="361"/>
      <c r="S168" s="361"/>
      <c r="T168" s="361"/>
      <c r="U168" s="356"/>
      <c r="V168" s="362"/>
      <c r="W168" s="356"/>
      <c r="X168" s="356"/>
    </row>
    <row r="169" spans="1:25" s="189" customFormat="1" ht="5.0999999999999996" customHeight="1" outlineLevel="1">
      <c r="A169" s="382" t="s">
        <v>220</v>
      </c>
      <c r="B169" s="382" t="s">
        <v>220</v>
      </c>
      <c r="C169" s="382"/>
      <c r="D169" s="360"/>
      <c r="E169" s="360"/>
      <c r="F169" s="360"/>
      <c r="G169" s="360"/>
      <c r="H169" s="356"/>
      <c r="I169" s="356"/>
      <c r="J169" s="386"/>
      <c r="K169" s="356"/>
      <c r="L169" s="386"/>
      <c r="M169" s="356"/>
      <c r="N169" s="387"/>
      <c r="O169" s="356"/>
      <c r="P169" s="386"/>
      <c r="Q169" s="356"/>
      <c r="R169" s="386"/>
      <c r="S169" s="386"/>
      <c r="T169" s="386"/>
      <c r="U169" s="356"/>
      <c r="V169" s="387"/>
      <c r="W169" s="356"/>
      <c r="X169" s="356"/>
      <c r="Y169" s="356"/>
    </row>
    <row r="170" spans="1:25" s="189" customFormat="1">
      <c r="A170" s="358" t="s">
        <v>467</v>
      </c>
      <c r="B170" s="382" t="s">
        <v>220</v>
      </c>
      <c r="C170" s="382"/>
      <c r="D170" s="356"/>
      <c r="E170" s="356"/>
      <c r="F170" s="359" t="s">
        <v>468</v>
      </c>
      <c r="G170" s="356"/>
      <c r="H170" s="356"/>
      <c r="I170" s="356"/>
      <c r="J170" s="384">
        <f>SUM(J168:J169)</f>
        <v>0</v>
      </c>
      <c r="K170" s="356"/>
      <c r="L170" s="384">
        <f>SUM(L168:L169)</f>
        <v>0</v>
      </c>
      <c r="M170" s="356"/>
      <c r="N170" s="385">
        <f>SUM(N168:N169)</f>
        <v>0</v>
      </c>
      <c r="O170" s="356"/>
      <c r="P170" s="384">
        <f>J170+L170+N170</f>
        <v>0</v>
      </c>
      <c r="Q170" s="356"/>
      <c r="R170" s="384">
        <f>SUM(R168:R169)</f>
        <v>0</v>
      </c>
      <c r="S170" s="384">
        <f>SUM(S168:S169)</f>
        <v>0</v>
      </c>
      <c r="T170" s="384">
        <f>SUM(T168:T169)</f>
        <v>0</v>
      </c>
      <c r="U170" s="356"/>
      <c r="V170" s="385">
        <f>SUM(V168:V169)</f>
        <v>0</v>
      </c>
      <c r="W170" s="356"/>
      <c r="X170" s="356"/>
      <c r="Y170" s="356"/>
    </row>
    <row r="171" spans="1:25" s="189" customFormat="1" outlineLevel="1">
      <c r="A171" s="356"/>
      <c r="B171" s="357" t="s">
        <v>469</v>
      </c>
      <c r="C171" s="358"/>
      <c r="D171" s="359"/>
      <c r="E171" s="359"/>
      <c r="F171" s="360"/>
      <c r="G171" s="360"/>
      <c r="H171" s="356"/>
      <c r="I171" s="356"/>
      <c r="J171" s="361"/>
      <c r="K171" s="356"/>
      <c r="L171" s="361"/>
      <c r="M171" s="356"/>
      <c r="N171" s="362"/>
      <c r="O171" s="356"/>
      <c r="P171" s="361"/>
      <c r="Q171" s="356"/>
      <c r="R171" s="361"/>
      <c r="S171" s="361"/>
      <c r="T171" s="361"/>
      <c r="U171" s="356"/>
      <c r="V171" s="362"/>
      <c r="W171" s="356"/>
      <c r="X171" s="356"/>
    </row>
    <row r="172" spans="1:25" s="189" customFormat="1" ht="5.0999999999999996" customHeight="1" outlineLevel="1">
      <c r="A172" s="382" t="s">
        <v>220</v>
      </c>
      <c r="B172" s="358" t="s">
        <v>220</v>
      </c>
      <c r="C172" s="358"/>
      <c r="D172" s="360"/>
      <c r="E172" s="360"/>
      <c r="F172" s="360"/>
      <c r="G172" s="360"/>
      <c r="H172" s="356"/>
      <c r="I172" s="356"/>
      <c r="J172" s="386"/>
      <c r="K172" s="356"/>
      <c r="L172" s="386"/>
      <c r="M172" s="356"/>
      <c r="N172" s="387"/>
      <c r="O172" s="356"/>
      <c r="P172" s="386"/>
      <c r="Q172" s="356"/>
      <c r="R172" s="386"/>
      <c r="S172" s="386"/>
      <c r="T172" s="386"/>
      <c r="U172" s="356"/>
      <c r="V172" s="387"/>
      <c r="W172" s="356"/>
      <c r="X172" s="356"/>
      <c r="Y172" s="356"/>
    </row>
    <row r="173" spans="1:25" s="189" customFormat="1">
      <c r="A173" s="358" t="s">
        <v>469</v>
      </c>
      <c r="B173" s="358" t="s">
        <v>220</v>
      </c>
      <c r="C173" s="358"/>
      <c r="D173" s="356"/>
      <c r="E173" s="356"/>
      <c r="F173" s="359" t="s">
        <v>470</v>
      </c>
      <c r="G173" s="356"/>
      <c r="H173" s="356"/>
      <c r="I173" s="356"/>
      <c r="J173" s="384">
        <f>SUM(J171:J172)</f>
        <v>0</v>
      </c>
      <c r="K173" s="356"/>
      <c r="L173" s="384">
        <f>SUM(L171:L172)</f>
        <v>0</v>
      </c>
      <c r="M173" s="356"/>
      <c r="N173" s="385">
        <f>SUM(N171:N172)</f>
        <v>0</v>
      </c>
      <c r="O173" s="356"/>
      <c r="P173" s="384">
        <f>J173+L173+N173</f>
        <v>0</v>
      </c>
      <c r="Q173" s="356"/>
      <c r="R173" s="384">
        <f>SUM(R171:R172)</f>
        <v>0</v>
      </c>
      <c r="S173" s="384">
        <f>SUM(S171:S172)</f>
        <v>0</v>
      </c>
      <c r="T173" s="384">
        <f>SUM(T171:T172)</f>
        <v>0</v>
      </c>
      <c r="U173" s="356"/>
      <c r="V173" s="385">
        <f>SUM(V171:V172)</f>
        <v>0</v>
      </c>
      <c r="W173" s="356"/>
      <c r="X173" s="356"/>
      <c r="Y173" s="356"/>
    </row>
    <row r="174" spans="1:25" s="189" customFormat="1" outlineLevel="1">
      <c r="A174" s="356"/>
      <c r="B174" s="357" t="s">
        <v>1330</v>
      </c>
      <c r="C174" s="358"/>
      <c r="D174" s="359"/>
      <c r="E174" s="359"/>
      <c r="F174" s="360"/>
      <c r="G174" s="360"/>
      <c r="H174" s="356"/>
      <c r="I174" s="356"/>
      <c r="J174" s="361"/>
      <c r="K174" s="356"/>
      <c r="L174" s="361"/>
      <c r="M174" s="356"/>
      <c r="N174" s="362"/>
      <c r="O174" s="356"/>
      <c r="P174" s="361"/>
      <c r="Q174" s="356"/>
      <c r="R174" s="361"/>
      <c r="S174" s="361"/>
      <c r="T174" s="361"/>
      <c r="U174" s="356"/>
      <c r="V174" s="362"/>
      <c r="W174" s="356"/>
      <c r="X174" s="356"/>
    </row>
    <row r="175" spans="1:25" s="189" customFormat="1" ht="5.0999999999999996" customHeight="1" outlineLevel="1">
      <c r="A175" s="358" t="s">
        <v>220</v>
      </c>
      <c r="B175" s="382"/>
      <c r="C175" s="382"/>
      <c r="D175" s="359"/>
      <c r="E175" s="359"/>
      <c r="F175" s="356"/>
      <c r="G175" s="356"/>
      <c r="H175" s="356"/>
      <c r="I175" s="356"/>
      <c r="J175" s="386"/>
      <c r="K175" s="356"/>
      <c r="L175" s="386"/>
      <c r="M175" s="356"/>
      <c r="N175" s="387"/>
      <c r="O175" s="356"/>
      <c r="P175" s="386"/>
      <c r="Q175" s="356"/>
      <c r="R175" s="386"/>
      <c r="S175" s="386"/>
      <c r="T175" s="386"/>
      <c r="U175" s="356"/>
      <c r="V175" s="387"/>
      <c r="W175" s="356"/>
      <c r="X175" s="356"/>
      <c r="Y175" s="356"/>
    </row>
    <row r="176" spans="1:25" s="189" customFormat="1" ht="12.75" customHeight="1">
      <c r="A176" s="358" t="s">
        <v>1330</v>
      </c>
      <c r="B176" s="382" t="s">
        <v>220</v>
      </c>
      <c r="C176" s="382"/>
      <c r="D176" s="356"/>
      <c r="E176" s="356"/>
      <c r="F176" s="356" t="s">
        <v>1331</v>
      </c>
      <c r="G176" s="356"/>
      <c r="H176" s="356"/>
      <c r="I176" s="356"/>
      <c r="J176" s="384">
        <f>SUM(J174:J175)</f>
        <v>0</v>
      </c>
      <c r="K176" s="356"/>
      <c r="L176" s="384">
        <f>SUM(L174:L175)</f>
        <v>0</v>
      </c>
      <c r="M176" s="356"/>
      <c r="N176" s="385">
        <f>SUM(N174:N175)</f>
        <v>0</v>
      </c>
      <c r="O176" s="356"/>
      <c r="P176" s="384">
        <f>J176+L176+N176</f>
        <v>0</v>
      </c>
      <c r="Q176" s="356"/>
      <c r="R176" s="384">
        <f>SUM(R174:R175)</f>
        <v>0</v>
      </c>
      <c r="S176" s="384">
        <f>SUM(S174:S175)</f>
        <v>0</v>
      </c>
      <c r="T176" s="384">
        <f>SUM(T174:T175)</f>
        <v>0</v>
      </c>
      <c r="U176" s="356"/>
      <c r="V176" s="385">
        <f>SUM(V174:V175)</f>
        <v>0</v>
      </c>
      <c r="W176" s="356"/>
      <c r="X176" s="356"/>
      <c r="Y176" s="356"/>
    </row>
    <row r="177" spans="1:25" s="189" customFormat="1" outlineLevel="1">
      <c r="A177" s="356"/>
      <c r="B177" s="357" t="s">
        <v>471</v>
      </c>
      <c r="C177" s="358"/>
      <c r="D177" s="359"/>
      <c r="E177" s="359"/>
      <c r="F177" s="360"/>
      <c r="G177" s="360"/>
      <c r="H177" s="356"/>
      <c r="I177" s="356"/>
      <c r="J177" s="361"/>
      <c r="K177" s="356"/>
      <c r="L177" s="361"/>
      <c r="M177" s="356"/>
      <c r="N177" s="362"/>
      <c r="O177" s="356"/>
      <c r="P177" s="361"/>
      <c r="Q177" s="356"/>
      <c r="R177" s="361"/>
      <c r="S177" s="361"/>
      <c r="T177" s="361"/>
      <c r="U177" s="356"/>
      <c r="V177" s="362"/>
      <c r="W177" s="356"/>
      <c r="X177" s="356"/>
    </row>
    <row r="178" spans="1:25" s="189" customFormat="1" ht="5.0999999999999996" customHeight="1" outlineLevel="1">
      <c r="A178" s="382" t="s">
        <v>220</v>
      </c>
      <c r="B178" s="358" t="s">
        <v>220</v>
      </c>
      <c r="C178" s="358"/>
      <c r="D178" s="360"/>
      <c r="E178" s="360"/>
      <c r="F178" s="360"/>
      <c r="G178" s="360"/>
      <c r="H178" s="356"/>
      <c r="I178" s="356"/>
      <c r="J178" s="386"/>
      <c r="K178" s="356"/>
      <c r="L178" s="386"/>
      <c r="M178" s="356"/>
      <c r="N178" s="387"/>
      <c r="O178" s="356"/>
      <c r="P178" s="386"/>
      <c r="Q178" s="356"/>
      <c r="R178" s="386"/>
      <c r="S178" s="386"/>
      <c r="T178" s="386"/>
      <c r="U178" s="356"/>
      <c r="V178" s="387"/>
      <c r="W178" s="356"/>
      <c r="X178" s="356"/>
      <c r="Y178" s="356"/>
    </row>
    <row r="179" spans="1:25" s="189" customFormat="1">
      <c r="A179" s="358" t="s">
        <v>471</v>
      </c>
      <c r="B179" s="358" t="s">
        <v>220</v>
      </c>
      <c r="C179" s="358"/>
      <c r="D179" s="356"/>
      <c r="E179" s="356"/>
      <c r="F179" s="359" t="s">
        <v>472</v>
      </c>
      <c r="G179" s="356"/>
      <c r="H179" s="356"/>
      <c r="I179" s="356"/>
      <c r="J179" s="384">
        <f>SUM(J177:J178)</f>
        <v>0</v>
      </c>
      <c r="K179" s="356"/>
      <c r="L179" s="384">
        <f>SUM(L177:L178)</f>
        <v>0</v>
      </c>
      <c r="M179" s="356"/>
      <c r="N179" s="385">
        <f>SUM(N177:N178)</f>
        <v>0</v>
      </c>
      <c r="O179" s="356"/>
      <c r="P179" s="384">
        <f>J179+L179+N179</f>
        <v>0</v>
      </c>
      <c r="Q179" s="356"/>
      <c r="R179" s="384">
        <f>SUM(R177:R178)</f>
        <v>0</v>
      </c>
      <c r="S179" s="384">
        <f>SUM(S177:S178)</f>
        <v>0</v>
      </c>
      <c r="T179" s="384">
        <f>SUM(T177:T178)</f>
        <v>0</v>
      </c>
      <c r="U179" s="356"/>
      <c r="V179" s="385">
        <f>SUM(V177:V178)</f>
        <v>0</v>
      </c>
      <c r="W179" s="356"/>
      <c r="X179" s="356"/>
      <c r="Y179" s="356"/>
    </row>
    <row r="180" spans="1:25" s="189" customFormat="1" outlineLevel="1">
      <c r="A180" s="356"/>
      <c r="B180" s="357" t="s">
        <v>473</v>
      </c>
      <c r="C180" s="358"/>
      <c r="D180" s="359"/>
      <c r="E180" s="359"/>
      <c r="F180" s="360"/>
      <c r="G180" s="360"/>
      <c r="H180" s="356"/>
      <c r="I180" s="356"/>
      <c r="J180" s="361"/>
      <c r="K180" s="356"/>
      <c r="L180" s="361"/>
      <c r="M180" s="356"/>
      <c r="N180" s="362"/>
      <c r="O180" s="356"/>
      <c r="P180" s="361"/>
      <c r="Q180" s="356"/>
      <c r="R180" s="361"/>
      <c r="S180" s="361"/>
      <c r="T180" s="361"/>
      <c r="U180" s="356"/>
      <c r="V180" s="362"/>
      <c r="W180" s="356"/>
      <c r="X180" s="356"/>
    </row>
    <row r="181" spans="1:25" s="189" customFormat="1" ht="5.0999999999999996" customHeight="1" outlineLevel="1">
      <c r="A181" s="358" t="s">
        <v>220</v>
      </c>
      <c r="B181" s="358" t="s">
        <v>220</v>
      </c>
      <c r="C181" s="358"/>
      <c r="D181" s="360"/>
      <c r="E181" s="360"/>
      <c r="F181" s="360"/>
      <c r="G181" s="360"/>
      <c r="H181" s="356"/>
      <c r="I181" s="356"/>
      <c r="J181" s="386"/>
      <c r="K181" s="356"/>
      <c r="L181" s="386"/>
      <c r="M181" s="356"/>
      <c r="N181" s="387"/>
      <c r="O181" s="356"/>
      <c r="P181" s="386"/>
      <c r="Q181" s="356"/>
      <c r="R181" s="386"/>
      <c r="S181" s="386"/>
      <c r="T181" s="386"/>
      <c r="U181" s="356"/>
      <c r="V181" s="387"/>
      <c r="W181" s="356"/>
      <c r="X181" s="356"/>
      <c r="Y181" s="356"/>
    </row>
    <row r="182" spans="1:25" s="189" customFormat="1">
      <c r="A182" s="358" t="s">
        <v>473</v>
      </c>
      <c r="B182" s="358" t="s">
        <v>220</v>
      </c>
      <c r="C182" s="358"/>
      <c r="D182" s="356"/>
      <c r="E182" s="356"/>
      <c r="F182" s="359" t="s">
        <v>474</v>
      </c>
      <c r="G182" s="356"/>
      <c r="H182" s="356"/>
      <c r="I182" s="356"/>
      <c r="J182" s="384">
        <f>SUM(J180:J181)</f>
        <v>0</v>
      </c>
      <c r="K182" s="356"/>
      <c r="L182" s="384">
        <f>SUM(L180:L181)</f>
        <v>0</v>
      </c>
      <c r="M182" s="356"/>
      <c r="N182" s="385">
        <f>SUM(N180:N181)</f>
        <v>0</v>
      </c>
      <c r="O182" s="356"/>
      <c r="P182" s="384">
        <f>J182+L182+N182</f>
        <v>0</v>
      </c>
      <c r="Q182" s="356"/>
      <c r="R182" s="384">
        <f>SUM(R180:R181)</f>
        <v>0</v>
      </c>
      <c r="S182" s="384">
        <f>SUM(S180:S181)</f>
        <v>0</v>
      </c>
      <c r="T182" s="384">
        <f>SUM(T180:T181)</f>
        <v>0</v>
      </c>
      <c r="U182" s="356"/>
      <c r="V182" s="385">
        <f>SUM(V180:V181)</f>
        <v>0</v>
      </c>
      <c r="W182" s="356"/>
      <c r="X182" s="356"/>
      <c r="Y182" s="356"/>
    </row>
    <row r="183" spans="1:25" s="189" customFormat="1" outlineLevel="1">
      <c r="A183" s="356"/>
      <c r="B183" s="357" t="s">
        <v>434</v>
      </c>
      <c r="C183" s="358"/>
      <c r="D183" s="359"/>
      <c r="E183" s="359"/>
      <c r="F183" s="360"/>
      <c r="G183" s="360"/>
      <c r="H183" s="356"/>
      <c r="I183" s="356"/>
      <c r="J183" s="361"/>
      <c r="K183" s="356"/>
      <c r="L183" s="361"/>
      <c r="M183" s="356"/>
      <c r="N183" s="362"/>
      <c r="O183" s="356"/>
      <c r="P183" s="361"/>
      <c r="Q183" s="356"/>
      <c r="R183" s="361"/>
      <c r="S183" s="361"/>
      <c r="T183" s="361"/>
      <c r="U183" s="356"/>
      <c r="V183" s="362"/>
      <c r="W183" s="356"/>
      <c r="X183" s="356"/>
    </row>
    <row r="184" spans="1:25" s="189" customFormat="1" ht="5.0999999999999996" customHeight="1" outlineLevel="1">
      <c r="A184" s="382" t="s">
        <v>220</v>
      </c>
      <c r="B184" s="382" t="s">
        <v>220</v>
      </c>
      <c r="C184" s="382"/>
      <c r="D184" s="360"/>
      <c r="E184" s="360"/>
      <c r="F184" s="360"/>
      <c r="G184" s="360"/>
      <c r="H184" s="356"/>
      <c r="I184" s="356"/>
      <c r="J184" s="386"/>
      <c r="K184" s="356"/>
      <c r="L184" s="386"/>
      <c r="M184" s="356"/>
      <c r="N184" s="387"/>
      <c r="O184" s="356"/>
      <c r="P184" s="386"/>
      <c r="Q184" s="356"/>
      <c r="R184" s="386"/>
      <c r="S184" s="386"/>
      <c r="T184" s="386"/>
      <c r="U184" s="356"/>
      <c r="V184" s="387"/>
      <c r="W184" s="356"/>
      <c r="X184" s="356"/>
      <c r="Y184" s="356"/>
    </row>
    <row r="185" spans="1:25" s="189" customFormat="1">
      <c r="A185" s="358" t="s">
        <v>434</v>
      </c>
      <c r="B185" s="358" t="s">
        <v>220</v>
      </c>
      <c r="C185" s="358"/>
      <c r="D185" s="356"/>
      <c r="E185" s="356"/>
      <c r="F185" s="359" t="s">
        <v>435</v>
      </c>
      <c r="G185" s="356"/>
      <c r="H185" s="356"/>
      <c r="I185" s="356"/>
      <c r="J185" s="384">
        <f>SUM(J183:J184)</f>
        <v>0</v>
      </c>
      <c r="K185" s="356"/>
      <c r="L185" s="384">
        <f>SUM(L183:L184)</f>
        <v>0</v>
      </c>
      <c r="M185" s="356"/>
      <c r="N185" s="385">
        <f>SUM(N183:N184)</f>
        <v>0</v>
      </c>
      <c r="O185" s="356"/>
      <c r="P185" s="384">
        <f>J185+L185+N185</f>
        <v>0</v>
      </c>
      <c r="Q185" s="356"/>
      <c r="R185" s="384">
        <f>SUM(R183:R184)</f>
        <v>0</v>
      </c>
      <c r="S185" s="384">
        <f>SUM(S183:S184)</f>
        <v>0</v>
      </c>
      <c r="T185" s="384">
        <f>SUM(T183:T184)</f>
        <v>0</v>
      </c>
      <c r="U185" s="356"/>
      <c r="V185" s="385">
        <f>SUM(V183:V184)</f>
        <v>0</v>
      </c>
      <c r="W185" s="356"/>
      <c r="X185" s="356"/>
      <c r="Y185" s="356"/>
    </row>
    <row r="186" spans="1:25" s="189" customFormat="1" ht="7.5" customHeight="1">
      <c r="A186" s="358" t="s">
        <v>220</v>
      </c>
      <c r="B186" s="358" t="s">
        <v>220</v>
      </c>
      <c r="C186" s="358"/>
      <c r="D186" s="356"/>
      <c r="E186" s="356"/>
      <c r="F186" s="356"/>
      <c r="G186" s="356"/>
      <c r="H186" s="356"/>
      <c r="I186" s="356"/>
      <c r="J186" s="389"/>
      <c r="K186" s="356"/>
      <c r="L186" s="389"/>
      <c r="M186" s="356"/>
      <c r="N186" s="362"/>
      <c r="O186" s="356"/>
      <c r="P186" s="389"/>
      <c r="Q186" s="356"/>
      <c r="R186" s="389"/>
      <c r="S186" s="389"/>
      <c r="T186" s="389"/>
      <c r="U186" s="356"/>
      <c r="V186" s="362"/>
      <c r="W186" s="356"/>
      <c r="X186" s="356"/>
      <c r="Y186" s="356"/>
    </row>
    <row r="187" spans="1:25" s="189" customFormat="1">
      <c r="A187" s="358" t="s">
        <v>220</v>
      </c>
      <c r="B187" s="358" t="s">
        <v>220</v>
      </c>
      <c r="C187" s="358"/>
      <c r="D187" s="356"/>
      <c r="E187" s="390" t="s">
        <v>475</v>
      </c>
      <c r="F187" s="356"/>
      <c r="G187" s="356"/>
      <c r="H187" s="356"/>
      <c r="I187" s="356"/>
      <c r="J187" s="391">
        <f>SUM(J167,J173,J182,J162,J170,J179,J176)</f>
        <v>1048745.45</v>
      </c>
      <c r="K187" s="356"/>
      <c r="L187" s="391">
        <f>SUM(L167,L173,L182,L162,L170,L179,L176)</f>
        <v>0</v>
      </c>
      <c r="M187" s="356"/>
      <c r="N187" s="392">
        <f>SUM(N167,N173,N182,N162,N170,N179,N176)</f>
        <v>0</v>
      </c>
      <c r="O187" s="356"/>
      <c r="P187" s="391">
        <f>SUM(P167,P173,P182,P162,P170,P179,P176)</f>
        <v>1048745.45</v>
      </c>
      <c r="Q187" s="356"/>
      <c r="R187" s="391">
        <f>SUM(R167,R173,R182,R162,R170,R179,R176)</f>
        <v>957167.59000000008</v>
      </c>
      <c r="S187" s="391">
        <f>SUM(S167,S173,S182,S162,S170,S179,S176)</f>
        <v>964572.56</v>
      </c>
      <c r="T187" s="391">
        <f>SUM(T167,T173,T182,T162,T170,T179,T176)</f>
        <v>1048745.45</v>
      </c>
      <c r="U187" s="356"/>
      <c r="V187" s="392">
        <f>SUM(V167,V173,V182,V162,V170,V179,V176)</f>
        <v>84172.890000000014</v>
      </c>
      <c r="W187" s="356"/>
      <c r="X187" s="356"/>
      <c r="Y187" s="356"/>
    </row>
    <row r="188" spans="1:25" s="189" customFormat="1" ht="7.5" customHeight="1">
      <c r="A188" s="358" t="s">
        <v>220</v>
      </c>
      <c r="B188" s="358" t="s">
        <v>220</v>
      </c>
      <c r="C188" s="358"/>
      <c r="D188" s="356"/>
      <c r="E188" s="356"/>
      <c r="F188" s="356"/>
      <c r="G188" s="356"/>
      <c r="H188" s="356"/>
      <c r="I188" s="356"/>
      <c r="J188" s="389"/>
      <c r="K188" s="356"/>
      <c r="L188" s="389"/>
      <c r="M188" s="356"/>
      <c r="N188" s="362"/>
      <c r="O188" s="356"/>
      <c r="P188" s="389"/>
      <c r="Q188" s="356"/>
      <c r="R188" s="389"/>
      <c r="S188" s="389"/>
      <c r="T188" s="389"/>
      <c r="U188" s="356"/>
      <c r="V188" s="362"/>
      <c r="W188" s="356"/>
      <c r="X188" s="356"/>
      <c r="Y188" s="356"/>
    </row>
    <row r="189" spans="1:25" s="189" customFormat="1" outlineLevel="1">
      <c r="A189" s="356"/>
      <c r="B189" s="357" t="s">
        <v>476</v>
      </c>
      <c r="C189" s="358"/>
      <c r="D189" s="359"/>
      <c r="E189" s="359"/>
      <c r="F189" s="360"/>
      <c r="G189" s="360"/>
      <c r="H189" s="356"/>
      <c r="I189" s="356"/>
      <c r="J189" s="361"/>
      <c r="K189" s="356"/>
      <c r="L189" s="361"/>
      <c r="M189" s="356"/>
      <c r="N189" s="362"/>
      <c r="O189" s="356"/>
      <c r="P189" s="361"/>
      <c r="Q189" s="356"/>
      <c r="R189" s="361"/>
      <c r="S189" s="361"/>
      <c r="T189" s="361"/>
      <c r="U189" s="356"/>
      <c r="V189" s="362"/>
      <c r="W189" s="356"/>
      <c r="X189" s="356"/>
    </row>
    <row r="190" spans="1:25" s="189" customFormat="1" ht="5.0999999999999996" customHeight="1" outlineLevel="1">
      <c r="A190" s="358" t="s">
        <v>220</v>
      </c>
      <c r="B190" s="358" t="s">
        <v>220</v>
      </c>
      <c r="C190" s="358"/>
      <c r="D190" s="360"/>
      <c r="E190" s="360"/>
      <c r="F190" s="360"/>
      <c r="G190" s="360"/>
      <c r="H190" s="356"/>
      <c r="I190" s="356"/>
      <c r="J190" s="386"/>
      <c r="K190" s="356"/>
      <c r="L190" s="386"/>
      <c r="M190" s="356"/>
      <c r="N190" s="387"/>
      <c r="O190" s="356"/>
      <c r="P190" s="386"/>
      <c r="Q190" s="356"/>
      <c r="R190" s="386"/>
      <c r="S190" s="386"/>
      <c r="T190" s="386"/>
      <c r="U190" s="356"/>
      <c r="V190" s="387"/>
      <c r="W190" s="356"/>
      <c r="X190" s="356"/>
      <c r="Y190" s="356"/>
    </row>
    <row r="191" spans="1:25" s="189" customFormat="1">
      <c r="A191" s="358" t="s">
        <v>476</v>
      </c>
      <c r="B191" s="358" t="s">
        <v>220</v>
      </c>
      <c r="C191" s="358"/>
      <c r="D191" s="356"/>
      <c r="E191" s="356"/>
      <c r="F191" s="359" t="s">
        <v>477</v>
      </c>
      <c r="G191" s="356"/>
      <c r="H191" s="356"/>
      <c r="I191" s="356"/>
      <c r="J191" s="384">
        <f>SUM(J189:J190)</f>
        <v>0</v>
      </c>
      <c r="K191" s="356"/>
      <c r="L191" s="384">
        <f>SUM(L189:L190)</f>
        <v>0</v>
      </c>
      <c r="M191" s="356"/>
      <c r="N191" s="385">
        <f>SUM(N189:N190)</f>
        <v>0</v>
      </c>
      <c r="O191" s="356"/>
      <c r="P191" s="384">
        <f>J191+L191+N191</f>
        <v>0</v>
      </c>
      <c r="Q191" s="356"/>
      <c r="R191" s="384">
        <f>SUM(R189:R190)</f>
        <v>0</v>
      </c>
      <c r="S191" s="384">
        <f>SUM(S189:S190)</f>
        <v>0</v>
      </c>
      <c r="T191" s="384">
        <f>SUM(T189:T190)</f>
        <v>0</v>
      </c>
      <c r="U191" s="356"/>
      <c r="V191" s="385">
        <f>SUM(V189:V190)</f>
        <v>0</v>
      </c>
      <c r="W191" s="356"/>
      <c r="X191" s="356"/>
      <c r="Y191" s="356"/>
    </row>
    <row r="192" spans="1:25" s="164" customFormat="1" outlineLevel="1">
      <c r="A192" s="358"/>
      <c r="B192" s="398" t="s">
        <v>478</v>
      </c>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row>
    <row r="193" spans="1:25" s="189" customFormat="1" ht="5.0999999999999996" customHeight="1" outlineLevel="1">
      <c r="A193" s="358" t="s">
        <v>220</v>
      </c>
      <c r="B193" s="358" t="s">
        <v>220</v>
      </c>
      <c r="C193" s="358"/>
      <c r="D193" s="360"/>
      <c r="E193" s="360"/>
      <c r="F193" s="360"/>
      <c r="G193" s="360"/>
      <c r="H193" s="356"/>
      <c r="I193" s="356"/>
      <c r="J193" s="386"/>
      <c r="K193" s="356"/>
      <c r="L193" s="386"/>
      <c r="M193" s="356"/>
      <c r="N193" s="387"/>
      <c r="O193" s="356"/>
      <c r="P193" s="386"/>
      <c r="Q193" s="356"/>
      <c r="R193" s="386"/>
      <c r="S193" s="386"/>
      <c r="T193" s="386"/>
      <c r="U193" s="356"/>
      <c r="V193" s="387"/>
      <c r="W193" s="356"/>
      <c r="X193" s="356"/>
      <c r="Y193" s="356"/>
    </row>
    <row r="194" spans="1:25" s="189" customFormat="1">
      <c r="A194" s="399" t="s">
        <v>478</v>
      </c>
      <c r="B194" s="358" t="s">
        <v>220</v>
      </c>
      <c r="C194" s="358"/>
      <c r="D194" s="356"/>
      <c r="E194" s="356"/>
      <c r="F194" s="359" t="s">
        <v>479</v>
      </c>
      <c r="G194" s="356"/>
      <c r="H194" s="356"/>
      <c r="I194" s="356"/>
      <c r="J194" s="384">
        <f>SUM(J192:J193)</f>
        <v>0</v>
      </c>
      <c r="K194" s="356"/>
      <c r="L194" s="384">
        <f>SUM(L192:L193)</f>
        <v>0</v>
      </c>
      <c r="M194" s="356"/>
      <c r="N194" s="385">
        <f>SUM(N192:N193)</f>
        <v>0</v>
      </c>
      <c r="O194" s="356"/>
      <c r="P194" s="384">
        <f>J194+L194+N194</f>
        <v>0</v>
      </c>
      <c r="Q194" s="356"/>
      <c r="R194" s="384">
        <f>SUM(R192:R193)</f>
        <v>0</v>
      </c>
      <c r="S194" s="384">
        <f>SUM(S192:S193)</f>
        <v>0</v>
      </c>
      <c r="T194" s="384">
        <f>SUM(T192:T193)</f>
        <v>0</v>
      </c>
      <c r="U194" s="356"/>
      <c r="V194" s="385">
        <f>SUM(V192:V193)</f>
        <v>0</v>
      </c>
      <c r="W194" s="356"/>
      <c r="X194" s="356"/>
      <c r="Y194" s="356"/>
    </row>
    <row r="195" spans="1:25" s="164" customFormat="1" outlineLevel="1">
      <c r="A195" s="358"/>
      <c r="B195" s="398" t="s">
        <v>480</v>
      </c>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row>
    <row r="196" spans="1:25" s="189" customFormat="1" ht="5.0999999999999996" customHeight="1" outlineLevel="1">
      <c r="A196" s="358" t="s">
        <v>220</v>
      </c>
      <c r="B196" s="358" t="s">
        <v>220</v>
      </c>
      <c r="C196" s="358"/>
      <c r="D196" s="360"/>
      <c r="E196" s="360"/>
      <c r="F196" s="360"/>
      <c r="G196" s="360"/>
      <c r="H196" s="356"/>
      <c r="I196" s="356"/>
      <c r="J196" s="386"/>
      <c r="K196" s="356"/>
      <c r="L196" s="386"/>
      <c r="M196" s="356"/>
      <c r="N196" s="387"/>
      <c r="O196" s="356"/>
      <c r="P196" s="386"/>
      <c r="Q196" s="356"/>
      <c r="R196" s="386"/>
      <c r="S196" s="386"/>
      <c r="T196" s="386"/>
      <c r="U196" s="356"/>
      <c r="V196" s="387"/>
      <c r="W196" s="356"/>
      <c r="X196" s="356"/>
      <c r="Y196" s="356"/>
    </row>
    <row r="197" spans="1:25" s="189" customFormat="1">
      <c r="A197" s="399" t="s">
        <v>480</v>
      </c>
      <c r="B197" s="358" t="s">
        <v>220</v>
      </c>
      <c r="C197" s="358"/>
      <c r="D197" s="356"/>
      <c r="E197" s="356"/>
      <c r="F197" s="359" t="s">
        <v>481</v>
      </c>
      <c r="G197" s="356"/>
      <c r="H197" s="356"/>
      <c r="I197" s="356"/>
      <c r="J197" s="384">
        <f>SUM(J195:J196)</f>
        <v>0</v>
      </c>
      <c r="K197" s="356"/>
      <c r="L197" s="384">
        <f>SUM(L195:L196)</f>
        <v>0</v>
      </c>
      <c r="M197" s="356"/>
      <c r="N197" s="385">
        <f>SUM(N195:N196)</f>
        <v>0</v>
      </c>
      <c r="O197" s="356"/>
      <c r="P197" s="384">
        <f>J197+L197+N197</f>
        <v>0</v>
      </c>
      <c r="Q197" s="356"/>
      <c r="R197" s="384">
        <f>SUM(R195:R196)</f>
        <v>0</v>
      </c>
      <c r="S197" s="384">
        <f>SUM(S195:S196)</f>
        <v>0</v>
      </c>
      <c r="T197" s="384">
        <f>SUM(T195:T196)</f>
        <v>0</v>
      </c>
      <c r="U197" s="356"/>
      <c r="V197" s="385">
        <f>SUM(V195:V196)</f>
        <v>0</v>
      </c>
      <c r="W197" s="356"/>
      <c r="X197" s="356"/>
      <c r="Y197" s="356"/>
    </row>
    <row r="198" spans="1:25" s="189" customFormat="1" outlineLevel="1">
      <c r="A198" s="356"/>
      <c r="B198" s="357" t="s">
        <v>482</v>
      </c>
      <c r="C198" s="358"/>
      <c r="D198" s="359"/>
      <c r="E198" s="359"/>
      <c r="F198" s="360"/>
      <c r="G198" s="360"/>
      <c r="H198" s="356"/>
      <c r="I198" s="356"/>
      <c r="J198" s="361"/>
      <c r="K198" s="356"/>
      <c r="L198" s="361"/>
      <c r="M198" s="356"/>
      <c r="N198" s="362"/>
      <c r="O198" s="356"/>
      <c r="P198" s="361"/>
      <c r="Q198" s="356"/>
      <c r="R198" s="361"/>
      <c r="S198" s="361"/>
      <c r="T198" s="361"/>
      <c r="U198" s="356"/>
      <c r="V198" s="362"/>
      <c r="W198" s="356"/>
      <c r="X198" s="356"/>
    </row>
    <row r="199" spans="1:25" s="189" customFormat="1" ht="5.0999999999999996" customHeight="1" outlineLevel="1">
      <c r="A199" s="358" t="s">
        <v>220</v>
      </c>
      <c r="B199" s="358" t="s">
        <v>220</v>
      </c>
      <c r="C199" s="358"/>
      <c r="D199" s="360"/>
      <c r="E199" s="360"/>
      <c r="F199" s="360"/>
      <c r="G199" s="360"/>
      <c r="H199" s="356"/>
      <c r="I199" s="356"/>
      <c r="J199" s="386"/>
      <c r="K199" s="356"/>
      <c r="L199" s="386"/>
      <c r="M199" s="356"/>
      <c r="N199" s="387"/>
      <c r="O199" s="356"/>
      <c r="P199" s="386"/>
      <c r="Q199" s="356"/>
      <c r="R199" s="386"/>
      <c r="S199" s="386"/>
      <c r="T199" s="386"/>
      <c r="U199" s="356"/>
      <c r="V199" s="387"/>
      <c r="W199" s="356"/>
      <c r="X199" s="356"/>
      <c r="Y199" s="356"/>
    </row>
    <row r="200" spans="1:25" s="189" customFormat="1">
      <c r="A200" s="358" t="s">
        <v>482</v>
      </c>
      <c r="B200" s="358" t="s">
        <v>220</v>
      </c>
      <c r="C200" s="358"/>
      <c r="D200" s="356"/>
      <c r="E200" s="356"/>
      <c r="F200" s="359" t="s">
        <v>483</v>
      </c>
      <c r="G200" s="356"/>
      <c r="H200" s="356"/>
      <c r="I200" s="356"/>
      <c r="J200" s="384">
        <f>SUM(J198:J199)</f>
        <v>0</v>
      </c>
      <c r="K200" s="356"/>
      <c r="L200" s="384">
        <f>SUM(L198:L199)</f>
        <v>0</v>
      </c>
      <c r="M200" s="356"/>
      <c r="N200" s="385">
        <f>SUM(N198:N199)</f>
        <v>0</v>
      </c>
      <c r="O200" s="356"/>
      <c r="P200" s="384">
        <f>J200+L200+N200</f>
        <v>0</v>
      </c>
      <c r="Q200" s="356"/>
      <c r="R200" s="384">
        <f>SUM(R198:R199)</f>
        <v>0</v>
      </c>
      <c r="S200" s="384">
        <f>SUM(S198:S199)</f>
        <v>0</v>
      </c>
      <c r="T200" s="384">
        <f>SUM(T198:T199)</f>
        <v>0</v>
      </c>
      <c r="U200" s="356"/>
      <c r="V200" s="385">
        <f>SUM(V198:V199)</f>
        <v>0</v>
      </c>
      <c r="W200" s="356"/>
      <c r="X200" s="356"/>
      <c r="Y200" s="356"/>
    </row>
    <row r="201" spans="1:25" s="189" customFormat="1" outlineLevel="1">
      <c r="A201" s="356"/>
      <c r="B201" s="357" t="s">
        <v>484</v>
      </c>
      <c r="C201" s="358"/>
      <c r="D201" s="359"/>
      <c r="E201" s="359"/>
      <c r="F201" s="360"/>
      <c r="G201" s="360"/>
      <c r="H201" s="356"/>
      <c r="I201" s="356"/>
      <c r="J201" s="361"/>
      <c r="K201" s="356"/>
      <c r="L201" s="361"/>
      <c r="M201" s="356"/>
      <c r="N201" s="362"/>
      <c r="O201" s="356"/>
      <c r="P201" s="361"/>
      <c r="Q201" s="356"/>
      <c r="R201" s="361"/>
      <c r="S201" s="361"/>
      <c r="T201" s="361"/>
      <c r="U201" s="356"/>
      <c r="V201" s="362"/>
      <c r="W201" s="356"/>
      <c r="X201" s="356"/>
    </row>
    <row r="202" spans="1:25" s="189" customFormat="1" ht="5.0999999999999996" customHeight="1" outlineLevel="1">
      <c r="A202" s="358" t="s">
        <v>220</v>
      </c>
      <c r="B202" s="358" t="s">
        <v>220</v>
      </c>
      <c r="C202" s="358"/>
      <c r="D202" s="360"/>
      <c r="E202" s="360"/>
      <c r="F202" s="360"/>
      <c r="G202" s="360"/>
      <c r="H202" s="356"/>
      <c r="I202" s="356"/>
      <c r="J202" s="386"/>
      <c r="K202" s="356"/>
      <c r="L202" s="386"/>
      <c r="M202" s="356"/>
      <c r="N202" s="387"/>
      <c r="O202" s="356"/>
      <c r="P202" s="386"/>
      <c r="Q202" s="356"/>
      <c r="R202" s="386"/>
      <c r="S202" s="386"/>
      <c r="T202" s="386"/>
      <c r="U202" s="356"/>
      <c r="V202" s="387"/>
      <c r="W202" s="356"/>
      <c r="X202" s="356"/>
      <c r="Y202" s="356"/>
    </row>
    <row r="203" spans="1:25" s="189" customFormat="1">
      <c r="A203" s="358" t="s">
        <v>484</v>
      </c>
      <c r="B203" s="358" t="s">
        <v>220</v>
      </c>
      <c r="C203" s="358"/>
      <c r="D203" s="356"/>
      <c r="E203" s="356"/>
      <c r="F203" s="359" t="s">
        <v>485</v>
      </c>
      <c r="G203" s="356"/>
      <c r="H203" s="356"/>
      <c r="I203" s="356"/>
      <c r="J203" s="384">
        <f>SUM(J201:J202)</f>
        <v>0</v>
      </c>
      <c r="K203" s="356"/>
      <c r="L203" s="384">
        <f>SUM(L201:L202)</f>
        <v>0</v>
      </c>
      <c r="M203" s="356"/>
      <c r="N203" s="385">
        <f>SUM(N201:N202)</f>
        <v>0</v>
      </c>
      <c r="O203" s="356"/>
      <c r="P203" s="384">
        <f>J203+L203+N203</f>
        <v>0</v>
      </c>
      <c r="Q203" s="356"/>
      <c r="R203" s="384">
        <f>SUM(R201:R202)</f>
        <v>0</v>
      </c>
      <c r="S203" s="384">
        <f>SUM(S201:S202)</f>
        <v>0</v>
      </c>
      <c r="T203" s="384">
        <f>SUM(T201:T202)</f>
        <v>0</v>
      </c>
      <c r="U203" s="356"/>
      <c r="V203" s="385">
        <f>SUM(V201:V202)</f>
        <v>0</v>
      </c>
      <c r="W203" s="356"/>
      <c r="X203" s="356"/>
      <c r="Y203" s="356"/>
    </row>
    <row r="204" spans="1:25" s="189" customFormat="1" outlineLevel="1">
      <c r="A204" s="356"/>
      <c r="B204" s="357" t="s">
        <v>486</v>
      </c>
      <c r="C204" s="358"/>
      <c r="D204" s="359"/>
      <c r="E204" s="359"/>
      <c r="F204" s="360"/>
      <c r="G204" s="360"/>
      <c r="H204" s="356"/>
      <c r="I204" s="356"/>
      <c r="J204" s="361"/>
      <c r="K204" s="356"/>
      <c r="L204" s="361"/>
      <c r="M204" s="356"/>
      <c r="N204" s="362"/>
      <c r="O204" s="356"/>
      <c r="P204" s="361"/>
      <c r="Q204" s="356"/>
      <c r="R204" s="361"/>
      <c r="S204" s="361"/>
      <c r="T204" s="361"/>
      <c r="U204" s="356"/>
      <c r="V204" s="362"/>
      <c r="W204" s="356"/>
      <c r="X204" s="356"/>
    </row>
    <row r="205" spans="1:25" s="189" customFormat="1" ht="5.0999999999999996" customHeight="1" outlineLevel="1">
      <c r="A205" s="358" t="s">
        <v>220</v>
      </c>
      <c r="B205" s="358" t="s">
        <v>220</v>
      </c>
      <c r="C205" s="358"/>
      <c r="D205" s="360"/>
      <c r="E205" s="360"/>
      <c r="F205" s="360"/>
      <c r="G205" s="360"/>
      <c r="H205" s="356"/>
      <c r="I205" s="356"/>
      <c r="J205" s="386"/>
      <c r="K205" s="356"/>
      <c r="L205" s="386"/>
      <c r="M205" s="356"/>
      <c r="N205" s="387"/>
      <c r="O205" s="356"/>
      <c r="P205" s="386"/>
      <c r="Q205" s="356"/>
      <c r="R205" s="386"/>
      <c r="S205" s="386"/>
      <c r="T205" s="386"/>
      <c r="U205" s="356"/>
      <c r="V205" s="387"/>
      <c r="W205" s="356"/>
      <c r="X205" s="356"/>
      <c r="Y205" s="356"/>
    </row>
    <row r="206" spans="1:25" s="189" customFormat="1">
      <c r="A206" s="358" t="s">
        <v>486</v>
      </c>
      <c r="B206" s="358" t="s">
        <v>220</v>
      </c>
      <c r="C206" s="358"/>
      <c r="D206" s="356"/>
      <c r="E206" s="356"/>
      <c r="F206" s="359" t="s">
        <v>487</v>
      </c>
      <c r="G206" s="356"/>
      <c r="H206" s="356"/>
      <c r="I206" s="356"/>
      <c r="J206" s="384">
        <f>SUM(J204:J205)</f>
        <v>0</v>
      </c>
      <c r="K206" s="356"/>
      <c r="L206" s="384">
        <f>SUM(L204:L205)</f>
        <v>0</v>
      </c>
      <c r="M206" s="356"/>
      <c r="N206" s="385">
        <f>SUM(N204:N205)</f>
        <v>0</v>
      </c>
      <c r="O206" s="356"/>
      <c r="P206" s="384">
        <f>J206+L206+N206</f>
        <v>0</v>
      </c>
      <c r="Q206" s="356"/>
      <c r="R206" s="384">
        <f>SUM(R204:R205)</f>
        <v>0</v>
      </c>
      <c r="S206" s="384">
        <f>SUM(S204:S205)</f>
        <v>0</v>
      </c>
      <c r="T206" s="384">
        <f>SUM(T204:T205)</f>
        <v>0</v>
      </c>
      <c r="U206" s="356"/>
      <c r="V206" s="385">
        <f>SUM(V204:V205)</f>
        <v>0</v>
      </c>
      <c r="W206" s="356"/>
      <c r="X206" s="356"/>
      <c r="Y206" s="356"/>
    </row>
    <row r="207" spans="1:25" s="189" customFormat="1" outlineLevel="1">
      <c r="A207" s="356"/>
      <c r="B207" s="357" t="s">
        <v>629</v>
      </c>
      <c r="C207" s="358"/>
      <c r="D207" s="359"/>
      <c r="E207" s="359"/>
      <c r="F207" s="360"/>
      <c r="G207" s="360"/>
      <c r="H207" s="356"/>
      <c r="I207" s="356"/>
      <c r="J207" s="361"/>
      <c r="K207" s="356"/>
      <c r="L207" s="361"/>
      <c r="M207" s="356"/>
      <c r="N207" s="362"/>
      <c r="O207" s="356"/>
      <c r="P207" s="361"/>
      <c r="Q207" s="356"/>
      <c r="R207" s="361"/>
      <c r="S207" s="361"/>
      <c r="T207" s="361"/>
      <c r="U207" s="356"/>
      <c r="V207" s="362"/>
      <c r="W207" s="356"/>
      <c r="X207" s="356"/>
    </row>
    <row r="208" spans="1:25" s="189" customFormat="1" ht="5.0999999999999996" customHeight="1" outlineLevel="1">
      <c r="A208" s="358" t="s">
        <v>220</v>
      </c>
      <c r="B208" s="382"/>
      <c r="C208" s="382"/>
      <c r="D208" s="360"/>
      <c r="E208" s="360"/>
      <c r="F208" s="360"/>
      <c r="G208" s="360"/>
      <c r="H208" s="356"/>
      <c r="I208" s="356"/>
      <c r="J208" s="386"/>
      <c r="K208" s="356"/>
      <c r="L208" s="386"/>
      <c r="M208" s="356"/>
      <c r="N208" s="387"/>
      <c r="O208" s="356"/>
      <c r="P208" s="386"/>
      <c r="Q208" s="356"/>
      <c r="R208" s="386"/>
      <c r="S208" s="386"/>
      <c r="T208" s="386"/>
      <c r="U208" s="356"/>
      <c r="V208" s="387"/>
      <c r="W208" s="356"/>
      <c r="X208" s="356"/>
      <c r="Y208" s="356"/>
    </row>
    <row r="209" spans="1:25" s="189" customFormat="1">
      <c r="A209" s="358" t="s">
        <v>629</v>
      </c>
      <c r="B209" s="382"/>
      <c r="C209" s="382"/>
      <c r="D209" s="356"/>
      <c r="E209" s="356"/>
      <c r="F209" s="359" t="s">
        <v>1332</v>
      </c>
      <c r="G209" s="356"/>
      <c r="H209" s="356"/>
      <c r="I209" s="356"/>
      <c r="J209" s="384">
        <f>SUM(J207:J208)</f>
        <v>0</v>
      </c>
      <c r="K209" s="356"/>
      <c r="L209" s="384">
        <f>SUM(L207:L208)</f>
        <v>0</v>
      </c>
      <c r="M209" s="356"/>
      <c r="N209" s="385">
        <f>SUM(N207:N208)</f>
        <v>0</v>
      </c>
      <c r="O209" s="356"/>
      <c r="P209" s="384">
        <f>J209+L209+N209</f>
        <v>0</v>
      </c>
      <c r="Q209" s="356"/>
      <c r="R209" s="384">
        <f>SUM(R207:R208)</f>
        <v>0</v>
      </c>
      <c r="S209" s="384">
        <f>SUM(S207:S208)</f>
        <v>0</v>
      </c>
      <c r="T209" s="384">
        <f>SUM(T207:T208)</f>
        <v>0</v>
      </c>
      <c r="U209" s="356"/>
      <c r="V209" s="385">
        <f>SUM(V207:V208)</f>
        <v>0</v>
      </c>
      <c r="W209" s="356"/>
      <c r="X209" s="356"/>
      <c r="Y209" s="356"/>
    </row>
    <row r="210" spans="1:25" s="189" customFormat="1" ht="7.5" hidden="1" customHeight="1">
      <c r="A210" s="382"/>
      <c r="B210" s="358"/>
      <c r="C210" s="358"/>
      <c r="D210" s="356"/>
      <c r="E210" s="356"/>
      <c r="F210" s="356"/>
      <c r="G210" s="356"/>
      <c r="H210" s="356"/>
      <c r="I210" s="356"/>
      <c r="J210" s="389"/>
      <c r="K210" s="356"/>
      <c r="L210" s="389"/>
      <c r="M210" s="356"/>
      <c r="N210" s="362"/>
      <c r="O210" s="356"/>
      <c r="P210" s="389"/>
      <c r="Q210" s="356"/>
      <c r="R210" s="389"/>
      <c r="S210" s="389"/>
      <c r="T210" s="389"/>
      <c r="U210" s="356"/>
      <c r="V210" s="362"/>
      <c r="W210" s="356"/>
      <c r="X210" s="356"/>
      <c r="Y210" s="356"/>
    </row>
    <row r="211" spans="1:25" s="189" customFormat="1" outlineLevel="1">
      <c r="A211" s="356"/>
      <c r="B211" s="357" t="s">
        <v>488</v>
      </c>
      <c r="C211" s="358"/>
      <c r="D211" s="359">
        <v>29100</v>
      </c>
      <c r="E211" s="359" t="s">
        <v>489</v>
      </c>
      <c r="F211" s="360"/>
      <c r="G211" s="360"/>
      <c r="H211" s="356"/>
      <c r="I211" s="356"/>
      <c r="J211" s="361">
        <v>4131294.11</v>
      </c>
      <c r="K211" s="356"/>
      <c r="L211" s="361">
        <v>0</v>
      </c>
      <c r="M211" s="356"/>
      <c r="N211" s="362">
        <v>0</v>
      </c>
      <c r="O211" s="356"/>
      <c r="P211" s="361">
        <f>J211+L211+N211</f>
        <v>4131294.11</v>
      </c>
      <c r="Q211" s="356"/>
      <c r="R211" s="361">
        <v>3848549.3</v>
      </c>
      <c r="S211" s="361">
        <v>3989731.39</v>
      </c>
      <c r="T211" s="361">
        <f>P211</f>
        <v>4131294.11</v>
      </c>
      <c r="U211" s="356"/>
      <c r="V211" s="362">
        <f>T211-S211</f>
        <v>141562.71999999974</v>
      </c>
      <c r="W211" s="356"/>
      <c r="X211" s="356"/>
    </row>
    <row r="212" spans="1:25" s="189" customFormat="1" ht="5.0999999999999996" customHeight="1" outlineLevel="1">
      <c r="A212" s="358" t="s">
        <v>220</v>
      </c>
      <c r="B212" s="382"/>
      <c r="C212" s="382"/>
      <c r="D212" s="360"/>
      <c r="E212" s="360"/>
      <c r="F212" s="360"/>
      <c r="G212" s="360"/>
      <c r="H212" s="356"/>
      <c r="I212" s="356"/>
      <c r="J212" s="386"/>
      <c r="K212" s="356"/>
      <c r="L212" s="386"/>
      <c r="M212" s="356"/>
      <c r="N212" s="387"/>
      <c r="O212" s="356"/>
      <c r="P212" s="386"/>
      <c r="Q212" s="356"/>
      <c r="R212" s="386"/>
      <c r="S212" s="386"/>
      <c r="T212" s="386"/>
      <c r="U212" s="356"/>
      <c r="V212" s="387"/>
      <c r="W212" s="356"/>
      <c r="X212" s="356"/>
      <c r="Y212" s="356"/>
    </row>
    <row r="213" spans="1:25" s="189" customFormat="1">
      <c r="A213" s="358" t="s">
        <v>488</v>
      </c>
      <c r="B213" s="382"/>
      <c r="C213" s="382"/>
      <c r="D213" s="356"/>
      <c r="E213" s="356"/>
      <c r="F213" s="359" t="s">
        <v>489</v>
      </c>
      <c r="G213" s="356"/>
      <c r="H213" s="356"/>
      <c r="I213" s="356"/>
      <c r="J213" s="384">
        <f>SUM(J211:J212)</f>
        <v>4131294.11</v>
      </c>
      <c r="K213" s="356"/>
      <c r="L213" s="384">
        <f>SUM(L211:L212)</f>
        <v>0</v>
      </c>
      <c r="M213" s="356"/>
      <c r="N213" s="385">
        <f>SUM(N211:N212)</f>
        <v>0</v>
      </c>
      <c r="O213" s="356"/>
      <c r="P213" s="384">
        <f>J213+L213+N213</f>
        <v>4131294.11</v>
      </c>
      <c r="Q213" s="356"/>
      <c r="R213" s="384">
        <f>SUM(R211:R212)</f>
        <v>3848549.3</v>
      </c>
      <c r="S213" s="384">
        <f>SUM(S211:S212)</f>
        <v>3989731.39</v>
      </c>
      <c r="T213" s="384">
        <f>SUM(T211:T212)</f>
        <v>4131294.11</v>
      </c>
      <c r="U213" s="356"/>
      <c r="V213" s="385">
        <f>SUM(V211:V212)</f>
        <v>141562.71999999974</v>
      </c>
      <c r="W213" s="356"/>
      <c r="X213" s="356"/>
      <c r="Y213" s="356"/>
    </row>
    <row r="214" spans="1:25" s="189" customFormat="1" ht="7.5" customHeight="1">
      <c r="A214" s="382"/>
      <c r="B214" s="358"/>
      <c r="C214" s="358"/>
      <c r="D214" s="356"/>
      <c r="E214" s="356"/>
      <c r="F214" s="356"/>
      <c r="G214" s="356"/>
      <c r="H214" s="356"/>
      <c r="I214" s="356"/>
      <c r="J214" s="389"/>
      <c r="K214" s="356"/>
      <c r="L214" s="389"/>
      <c r="M214" s="356"/>
      <c r="N214" s="362"/>
      <c r="O214" s="356"/>
      <c r="P214" s="389"/>
      <c r="Q214" s="356"/>
      <c r="R214" s="389"/>
      <c r="S214" s="389"/>
      <c r="T214" s="389"/>
      <c r="U214" s="356"/>
      <c r="V214" s="362"/>
      <c r="W214" s="356"/>
      <c r="X214" s="356"/>
      <c r="Y214" s="356"/>
    </row>
    <row r="215" spans="1:25" s="189" customFormat="1">
      <c r="A215" s="382"/>
      <c r="B215" s="358"/>
      <c r="C215" s="358"/>
      <c r="D215" s="356"/>
      <c r="E215" s="390" t="s">
        <v>489</v>
      </c>
      <c r="F215" s="356"/>
      <c r="G215" s="356"/>
      <c r="H215" s="356"/>
      <c r="I215" s="356"/>
      <c r="J215" s="391">
        <f>SUM(J191,J197,J203,J209,J200,J194,J206,J213)</f>
        <v>4131294.11</v>
      </c>
      <c r="K215" s="356"/>
      <c r="L215" s="391">
        <f>SUM(L191,L197,L203,L209,L200,L194,L206,L213)</f>
        <v>0</v>
      </c>
      <c r="M215" s="356"/>
      <c r="N215" s="392">
        <f>SUM(N191,N197,N203,N209,N200,N194,N206,N213)</f>
        <v>0</v>
      </c>
      <c r="O215" s="356"/>
      <c r="P215" s="391">
        <f>SUM(P191,P197,P203,P209,P200,P194,P206,P213)</f>
        <v>4131294.11</v>
      </c>
      <c r="Q215" s="356"/>
      <c r="R215" s="391">
        <f>SUM(R191,R197,R203,R209,R200,R194,R206,R213)</f>
        <v>3848549.3</v>
      </c>
      <c r="S215" s="391">
        <f>SUM(S191,S197,S203,S209,S200,S194,S206,S213)</f>
        <v>3989731.39</v>
      </c>
      <c r="T215" s="391">
        <f>SUM(T191,T197,T203,T209,T200,T194,T206,T213)</f>
        <v>4131294.11</v>
      </c>
      <c r="U215" s="356"/>
      <c r="V215" s="392">
        <f>SUM(V191,V197,V203,V209,V200,V194,V206,V213)</f>
        <v>141562.71999999974</v>
      </c>
      <c r="W215" s="356"/>
      <c r="X215" s="356"/>
      <c r="Y215" s="356"/>
    </row>
    <row r="216" spans="1:25" s="189" customFormat="1" ht="7.5" customHeight="1">
      <c r="A216" s="358"/>
      <c r="B216" s="358"/>
      <c r="C216" s="358"/>
      <c r="D216" s="356"/>
      <c r="E216" s="356"/>
      <c r="F216" s="356"/>
      <c r="G216" s="356"/>
      <c r="H216" s="356"/>
      <c r="I216" s="356"/>
      <c r="J216" s="389"/>
      <c r="K216" s="356"/>
      <c r="L216" s="389"/>
      <c r="M216" s="356"/>
      <c r="N216" s="362"/>
      <c r="O216" s="356"/>
      <c r="P216" s="389"/>
      <c r="Q216" s="356"/>
      <c r="R216" s="389"/>
      <c r="S216" s="389"/>
      <c r="T216" s="389"/>
      <c r="U216" s="356"/>
      <c r="V216" s="362"/>
      <c r="W216" s="356"/>
      <c r="X216" s="356"/>
      <c r="Y216" s="356"/>
    </row>
    <row r="217" spans="1:25" s="189" customFormat="1" ht="13.5" thickBot="1">
      <c r="A217" s="358"/>
      <c r="B217" s="358"/>
      <c r="C217" s="358"/>
      <c r="D217" s="356"/>
      <c r="E217" s="390" t="s">
        <v>490</v>
      </c>
      <c r="F217" s="356"/>
      <c r="G217" s="356"/>
      <c r="H217" s="356"/>
      <c r="I217" s="356"/>
      <c r="J217" s="396">
        <f>+J187+J215</f>
        <v>5180039.5599999996</v>
      </c>
      <c r="K217" s="356"/>
      <c r="L217" s="396">
        <f>+L187+L215</f>
        <v>0</v>
      </c>
      <c r="M217" s="356"/>
      <c r="N217" s="397">
        <f>+N187+N215</f>
        <v>0</v>
      </c>
      <c r="O217" s="356"/>
      <c r="P217" s="396">
        <f>+P187+P215</f>
        <v>5180039.5599999996</v>
      </c>
      <c r="Q217" s="356"/>
      <c r="R217" s="396">
        <f>+R187+R215</f>
        <v>4805716.8899999997</v>
      </c>
      <c r="S217" s="396">
        <f>+S187+S215</f>
        <v>4954303.95</v>
      </c>
      <c r="T217" s="396">
        <f>+T187+T215</f>
        <v>5180039.5599999996</v>
      </c>
      <c r="U217" s="356"/>
      <c r="V217" s="397">
        <f>+V187+V215</f>
        <v>225735.60999999975</v>
      </c>
      <c r="W217" s="356"/>
      <c r="X217" s="356"/>
      <c r="Y217" s="356"/>
    </row>
    <row r="218" spans="1:25" s="189" customFormat="1" ht="7.5" customHeight="1" thickTop="1">
      <c r="A218" s="358"/>
      <c r="B218" s="358"/>
      <c r="C218" s="358"/>
      <c r="D218" s="356"/>
      <c r="E218" s="356"/>
      <c r="F218" s="356"/>
      <c r="G218" s="356"/>
      <c r="H218" s="356"/>
      <c r="I218" s="356"/>
      <c r="J218" s="389"/>
      <c r="K218" s="356"/>
      <c r="L218" s="389"/>
      <c r="M218" s="356"/>
      <c r="N218" s="362"/>
      <c r="O218" s="356"/>
      <c r="P218" s="389"/>
      <c r="Q218" s="356"/>
      <c r="R218" s="389"/>
      <c r="S218" s="389"/>
      <c r="T218" s="389"/>
      <c r="U218" s="356"/>
      <c r="V218" s="362"/>
      <c r="W218" s="356"/>
      <c r="X218" s="356"/>
      <c r="Y218" s="356"/>
    </row>
    <row r="219" spans="1:25" s="208" customFormat="1" ht="12">
      <c r="A219" s="358"/>
      <c r="B219" s="358"/>
      <c r="C219" s="358"/>
      <c r="D219" s="356"/>
      <c r="E219" s="356"/>
      <c r="F219" s="356" t="s">
        <v>491</v>
      </c>
      <c r="G219" s="356"/>
      <c r="H219" s="356"/>
      <c r="I219" s="356"/>
      <c r="J219" s="389">
        <f>J131-J217</f>
        <v>0</v>
      </c>
      <c r="K219" s="356"/>
      <c r="L219" s="389">
        <f>L131-L217</f>
        <v>0</v>
      </c>
      <c r="M219" s="356"/>
      <c r="N219" s="389">
        <f>N131-N217</f>
        <v>0</v>
      </c>
      <c r="O219" s="356"/>
      <c r="P219" s="389">
        <f>P131-P217</f>
        <v>0</v>
      </c>
      <c r="Q219" s="356"/>
      <c r="R219" s="389">
        <f>R131-R217</f>
        <v>0</v>
      </c>
      <c r="S219" s="389">
        <f>S131-S217</f>
        <v>0</v>
      </c>
      <c r="T219" s="389">
        <f>T131-T217</f>
        <v>0</v>
      </c>
      <c r="U219" s="356"/>
      <c r="V219" s="389">
        <f>V131-V217</f>
        <v>-3.4924596548080444E-10</v>
      </c>
      <c r="W219" s="356"/>
      <c r="X219" s="356"/>
      <c r="Y219" s="356"/>
    </row>
    <row r="220" spans="1:25" s="401" customFormat="1" ht="9.75" customHeight="1">
      <c r="A220" s="358"/>
      <c r="B220" s="382"/>
      <c r="C220" s="382"/>
      <c r="D220" s="356"/>
      <c r="E220" s="356"/>
      <c r="F220" s="359"/>
      <c r="G220" s="356"/>
      <c r="H220" s="358"/>
      <c r="I220" s="358"/>
      <c r="J220" s="400"/>
      <c r="K220" s="358"/>
      <c r="L220" s="358"/>
      <c r="M220" s="358"/>
      <c r="N220" s="358"/>
      <c r="O220" s="358"/>
      <c r="P220" s="358"/>
      <c r="Q220" s="358"/>
      <c r="R220" s="358"/>
      <c r="S220" s="358"/>
      <c r="T220" s="358"/>
      <c r="U220" s="358"/>
      <c r="V220" s="358"/>
      <c r="W220" s="358"/>
      <c r="X220" s="358"/>
      <c r="Y220" s="358"/>
    </row>
    <row r="221" spans="1:25" s="189" customFormat="1" outlineLevel="1">
      <c r="A221" s="358"/>
      <c r="B221" s="357" t="s">
        <v>331</v>
      </c>
      <c r="C221" s="358"/>
      <c r="D221" s="359"/>
      <c r="E221" s="359"/>
      <c r="F221" s="360"/>
      <c r="G221" s="360"/>
      <c r="H221" s="356"/>
      <c r="I221" s="356"/>
      <c r="J221" s="361"/>
      <c r="K221" s="356"/>
      <c r="L221" s="361"/>
      <c r="M221" s="356"/>
      <c r="N221" s="362"/>
      <c r="O221" s="356"/>
      <c r="P221" s="361"/>
      <c r="Q221" s="356"/>
      <c r="R221" s="361"/>
      <c r="S221" s="361"/>
      <c r="T221" s="361"/>
      <c r="U221" s="356"/>
      <c r="V221" s="362"/>
      <c r="W221" s="356"/>
      <c r="X221" s="356"/>
      <c r="Y221" s="356"/>
    </row>
    <row r="222" spans="1:25" ht="6" customHeight="1" outlineLevel="1">
      <c r="A222" s="382"/>
      <c r="B222" s="358"/>
      <c r="C222" s="358"/>
      <c r="D222" s="358"/>
      <c r="E222" s="358"/>
      <c r="F222" s="358"/>
      <c r="G222" s="358"/>
      <c r="H222" s="358"/>
      <c r="I222" s="358"/>
      <c r="J222" s="386"/>
      <c r="K222" s="389"/>
      <c r="L222" s="386"/>
      <c r="M222" s="358"/>
      <c r="N222" s="386"/>
      <c r="O222" s="358"/>
      <c r="P222" s="386"/>
      <c r="Q222" s="358"/>
      <c r="R222" s="386"/>
      <c r="S222" s="386"/>
      <c r="T222" s="386"/>
      <c r="U222" s="358"/>
      <c r="V222" s="386"/>
      <c r="W222" s="358"/>
      <c r="X222" s="358"/>
      <c r="Y222" s="358"/>
    </row>
    <row r="223" spans="1:25" s="126" customFormat="1">
      <c r="A223" s="358" t="s">
        <v>331</v>
      </c>
      <c r="B223" s="402"/>
      <c r="C223" s="402"/>
      <c r="D223" s="402"/>
      <c r="E223" s="402" t="s">
        <v>332</v>
      </c>
      <c r="F223" s="402"/>
      <c r="G223" s="402"/>
      <c r="H223" s="402"/>
      <c r="I223" s="402"/>
      <c r="J223" s="403">
        <f>SUM(J221:J222)</f>
        <v>0</v>
      </c>
      <c r="K223" s="404"/>
      <c r="L223" s="403">
        <f>SUM(L221:L222)</f>
        <v>0</v>
      </c>
      <c r="M223" s="404"/>
      <c r="N223" s="403">
        <f>SUM(N221:N222)</f>
        <v>0</v>
      </c>
      <c r="O223" s="404"/>
      <c r="P223" s="403">
        <f>SUM(P221:P222)</f>
        <v>0</v>
      </c>
      <c r="Q223" s="404"/>
      <c r="R223" s="403">
        <f>SUM(R221:R222)</f>
        <v>0</v>
      </c>
      <c r="S223" s="403">
        <f>SUM(S221:S222)</f>
        <v>0</v>
      </c>
      <c r="T223" s="403">
        <f>SUM(T221:T222)</f>
        <v>0</v>
      </c>
      <c r="U223" s="404"/>
      <c r="V223" s="403">
        <f>SUM(V221:V222)</f>
        <v>0</v>
      </c>
      <c r="W223" s="358"/>
      <c r="X223" s="358"/>
      <c r="Y223" s="358"/>
    </row>
    <row r="224" spans="1:25">
      <c r="A224" s="405"/>
      <c r="B224" s="358"/>
      <c r="C224" s="358"/>
      <c r="D224" s="358"/>
      <c r="E224" s="358"/>
      <c r="F224" s="358"/>
      <c r="G224" s="358"/>
      <c r="H224" s="358"/>
      <c r="I224" s="358"/>
      <c r="J224" s="406"/>
      <c r="K224" s="406"/>
      <c r="L224" s="407"/>
      <c r="M224" s="407"/>
      <c r="N224" s="407"/>
      <c r="O224" s="407"/>
      <c r="P224" s="407"/>
      <c r="Q224" s="407"/>
      <c r="R224" s="407"/>
      <c r="S224" s="407"/>
      <c r="T224" s="407"/>
      <c r="U224" s="407"/>
      <c r="V224" s="407"/>
      <c r="W224" s="358"/>
      <c r="X224" s="358"/>
      <c r="Y224" s="358"/>
    </row>
    <row r="225" spans="2:25">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row>
    <row r="226" spans="2:25">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row>
  </sheetData>
  <dataValidations count="1">
    <dataValidation type="list" allowBlank="1" showInputMessage="1" showErrorMessage="1" sqref="V7">
      <formula1>"TRUE,FALSE"</formula1>
    </dataValidation>
  </dataValidations>
  <pageMargins left="0.5" right="0.5" top="0.39" bottom="0.4" header="0.25" footer="0.25"/>
  <pageSetup scale="65" fitToHeight="0" orientation="landscape" errors="blank" r:id="rId1"/>
  <headerFooter alignWithMargins="0">
    <oddHeader>&amp;R&amp;D - &amp;T</oddHeader>
    <oddFooter>&amp;L&amp;F - &amp;A&amp;RPage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I295"/>
  <sheetViews>
    <sheetView showGridLines="0" view="pageBreakPreview" zoomScale="110" zoomScaleNormal="100" zoomScaleSheetLayoutView="110" workbookViewId="0">
      <pane xSplit="2" ySplit="9" topLeftCell="C34" activePane="bottomRight" state="frozen"/>
      <selection activeCell="G20" sqref="G20"/>
      <selection pane="topRight" activeCell="G20" sqref="G20"/>
      <selection pane="bottomLeft" activeCell="G20" sqref="G20"/>
      <selection pane="bottomRight" activeCell="G20" sqref="G20"/>
    </sheetView>
  </sheetViews>
  <sheetFormatPr defaultRowHeight="11.25" outlineLevelCol="1"/>
  <cols>
    <col min="1" max="1" width="6.28515625" style="31" customWidth="1"/>
    <col min="2" max="2" width="28.140625" style="7" bestFit="1" customWidth="1"/>
    <col min="3" max="3" width="14.28515625" style="3" customWidth="1"/>
    <col min="4" max="5" width="14.28515625" style="4" customWidth="1"/>
    <col min="6" max="6" width="14.28515625" style="5" customWidth="1" outlineLevel="1"/>
    <col min="7" max="8" width="14.28515625" style="4" customWidth="1"/>
    <col min="9" max="9" width="5.140625" style="4" hidden="1" customWidth="1"/>
    <col min="10" max="11" width="14.28515625" style="6" customWidth="1"/>
    <col min="12" max="12" width="10.5703125" style="7" customWidth="1" outlineLevel="1"/>
    <col min="13" max="13" width="7.42578125" style="7" bestFit="1" customWidth="1"/>
    <col min="14" max="18" width="14.28515625" style="7" customWidth="1"/>
    <col min="19" max="19" width="11.85546875" style="7" customWidth="1" outlineLevel="1"/>
    <col min="20" max="20" width="10.42578125" style="8" bestFit="1" customWidth="1" outlineLevel="1"/>
    <col min="21" max="21" width="10" style="7" customWidth="1" outlineLevel="1"/>
    <col min="22" max="239" width="9.140625" style="7"/>
    <col min="240" max="240" width="6.28515625" style="7" customWidth="1"/>
    <col min="241" max="241" width="20.7109375" style="7" customWidth="1"/>
    <col min="242" max="242" width="10" style="7" customWidth="1"/>
    <col min="243" max="243" width="1" style="7" customWidth="1"/>
    <col min="244" max="244" width="10" style="7" customWidth="1"/>
    <col min="245" max="245" width="1.28515625" style="7" customWidth="1"/>
    <col min="246" max="246" width="9.7109375" style="7" customWidth="1"/>
    <col min="247" max="247" width="1.140625" style="7" customWidth="1"/>
    <col min="248" max="248" width="12.5703125" style="7" customWidth="1"/>
    <col min="249" max="249" width="4.7109375" style="7" customWidth="1"/>
    <col min="250" max="250" width="10.7109375" style="7" customWidth="1"/>
    <col min="251" max="251" width="4.5703125" style="7" customWidth="1"/>
    <col min="252" max="252" width="12.28515625" style="7" customWidth="1"/>
    <col min="253" max="253" width="1.42578125" style="7" customWidth="1"/>
    <col min="254" max="254" width="14.140625" style="7" customWidth="1"/>
    <col min="255" max="255" width="13.7109375" style="7" customWidth="1"/>
    <col min="256" max="256" width="8" style="7" customWidth="1"/>
    <col min="257" max="257" width="1.42578125" style="7" customWidth="1"/>
    <col min="258" max="258" width="11.28515625" style="7" customWidth="1"/>
    <col min="259" max="259" width="12.85546875" style="7" customWidth="1"/>
    <col min="260" max="260" width="10.5703125" style="7" customWidth="1"/>
    <col min="261" max="261" width="12" style="7" customWidth="1"/>
    <col min="262" max="262" width="11.140625" style="7" customWidth="1"/>
    <col min="263" max="263" width="9.28515625" style="7" customWidth="1"/>
    <col min="264" max="264" width="1.42578125" style="7" customWidth="1"/>
    <col min="265" max="265" width="17.28515625" style="7" customWidth="1"/>
    <col min="266" max="266" width="11.140625" style="7" customWidth="1"/>
    <col min="267" max="267" width="12.42578125" style="7" customWidth="1"/>
    <col min="268" max="269" width="11.28515625" style="7" customWidth="1"/>
    <col min="270" max="270" width="10.5703125" style="7" customWidth="1"/>
    <col min="271" max="271" width="16.42578125" style="7" customWidth="1"/>
    <col min="272" max="272" width="12.140625" style="7" customWidth="1"/>
    <col min="273" max="273" width="10.85546875" style="7" customWidth="1"/>
    <col min="274" max="274" width="11.7109375" style="7" customWidth="1"/>
    <col min="275" max="495" width="9.140625" style="7"/>
    <col min="496" max="496" width="6.28515625" style="7" customWidth="1"/>
    <col min="497" max="497" width="20.7109375" style="7" customWidth="1"/>
    <col min="498" max="498" width="10" style="7" customWidth="1"/>
    <col min="499" max="499" width="1" style="7" customWidth="1"/>
    <col min="500" max="500" width="10" style="7" customWidth="1"/>
    <col min="501" max="501" width="1.28515625" style="7" customWidth="1"/>
    <col min="502" max="502" width="9.7109375" style="7" customWidth="1"/>
    <col min="503" max="503" width="1.140625" style="7" customWidth="1"/>
    <col min="504" max="504" width="12.5703125" style="7" customWidth="1"/>
    <col min="505" max="505" width="4.7109375" style="7" customWidth="1"/>
    <col min="506" max="506" width="10.7109375" style="7" customWidth="1"/>
    <col min="507" max="507" width="4.5703125" style="7" customWidth="1"/>
    <col min="508" max="508" width="12.28515625" style="7" customWidth="1"/>
    <col min="509" max="509" width="1.42578125" style="7" customWidth="1"/>
    <col min="510" max="510" width="14.140625" style="7" customWidth="1"/>
    <col min="511" max="511" width="13.7109375" style="7" customWidth="1"/>
    <col min="512" max="512" width="8" style="7" customWidth="1"/>
    <col min="513" max="513" width="1.42578125" style="7" customWidth="1"/>
    <col min="514" max="514" width="11.28515625" style="7" customWidth="1"/>
    <col min="515" max="515" width="12.85546875" style="7" customWidth="1"/>
    <col min="516" max="516" width="10.5703125" style="7" customWidth="1"/>
    <col min="517" max="517" width="12" style="7" customWidth="1"/>
    <col min="518" max="518" width="11.140625" style="7" customWidth="1"/>
    <col min="519" max="519" width="9.28515625" style="7" customWidth="1"/>
    <col min="520" max="520" width="1.42578125" style="7" customWidth="1"/>
    <col min="521" max="521" width="17.28515625" style="7" customWidth="1"/>
    <col min="522" max="522" width="11.140625" style="7" customWidth="1"/>
    <col min="523" max="523" width="12.42578125" style="7" customWidth="1"/>
    <col min="524" max="525" width="11.28515625" style="7" customWidth="1"/>
    <col min="526" max="526" width="10.5703125" style="7" customWidth="1"/>
    <col min="527" max="527" width="16.42578125" style="7" customWidth="1"/>
    <col min="528" max="528" width="12.140625" style="7" customWidth="1"/>
    <col min="529" max="529" width="10.85546875" style="7" customWidth="1"/>
    <col min="530" max="530" width="11.7109375" style="7" customWidth="1"/>
    <col min="531" max="751" width="9.140625" style="7"/>
    <col min="752" max="752" width="6.28515625" style="7" customWidth="1"/>
    <col min="753" max="753" width="20.7109375" style="7" customWidth="1"/>
    <col min="754" max="754" width="10" style="7" customWidth="1"/>
    <col min="755" max="755" width="1" style="7" customWidth="1"/>
    <col min="756" max="756" width="10" style="7" customWidth="1"/>
    <col min="757" max="757" width="1.28515625" style="7" customWidth="1"/>
    <col min="758" max="758" width="9.7109375" style="7" customWidth="1"/>
    <col min="759" max="759" width="1.140625" style="7" customWidth="1"/>
    <col min="760" max="760" width="12.5703125" style="7" customWidth="1"/>
    <col min="761" max="761" width="4.7109375" style="7" customWidth="1"/>
    <col min="762" max="762" width="10.7109375" style="7" customWidth="1"/>
    <col min="763" max="763" width="4.5703125" style="7" customWidth="1"/>
    <col min="764" max="764" width="12.28515625" style="7" customWidth="1"/>
    <col min="765" max="765" width="1.42578125" style="7" customWidth="1"/>
    <col min="766" max="766" width="14.140625" style="7" customWidth="1"/>
    <col min="767" max="767" width="13.7109375" style="7" customWidth="1"/>
    <col min="768" max="768" width="8" style="7" customWidth="1"/>
    <col min="769" max="769" width="1.42578125" style="7" customWidth="1"/>
    <col min="770" max="770" width="11.28515625" style="7" customWidth="1"/>
    <col min="771" max="771" width="12.85546875" style="7" customWidth="1"/>
    <col min="772" max="772" width="10.5703125" style="7" customWidth="1"/>
    <col min="773" max="773" width="12" style="7" customWidth="1"/>
    <col min="774" max="774" width="11.140625" style="7" customWidth="1"/>
    <col min="775" max="775" width="9.28515625" style="7" customWidth="1"/>
    <col min="776" max="776" width="1.42578125" style="7" customWidth="1"/>
    <col min="777" max="777" width="17.28515625" style="7" customWidth="1"/>
    <col min="778" max="778" width="11.140625" style="7" customWidth="1"/>
    <col min="779" max="779" width="12.42578125" style="7" customWidth="1"/>
    <col min="780" max="781" width="11.28515625" style="7" customWidth="1"/>
    <col min="782" max="782" width="10.5703125" style="7" customWidth="1"/>
    <col min="783" max="783" width="16.42578125" style="7" customWidth="1"/>
    <col min="784" max="784" width="12.140625" style="7" customWidth="1"/>
    <col min="785" max="785" width="10.85546875" style="7" customWidth="1"/>
    <col min="786" max="786" width="11.7109375" style="7" customWidth="1"/>
    <col min="787" max="1007" width="9.140625" style="7"/>
    <col min="1008" max="1008" width="6.28515625" style="7" customWidth="1"/>
    <col min="1009" max="1009" width="20.7109375" style="7" customWidth="1"/>
    <col min="1010" max="1010" width="10" style="7" customWidth="1"/>
    <col min="1011" max="1011" width="1" style="7" customWidth="1"/>
    <col min="1012" max="1012" width="10" style="7" customWidth="1"/>
    <col min="1013" max="1013" width="1.28515625" style="7" customWidth="1"/>
    <col min="1014" max="1014" width="9.7109375" style="7" customWidth="1"/>
    <col min="1015" max="1015" width="1.140625" style="7" customWidth="1"/>
    <col min="1016" max="1016" width="12.5703125" style="7" customWidth="1"/>
    <col min="1017" max="1017" width="4.7109375" style="7" customWidth="1"/>
    <col min="1018" max="1018" width="10.7109375" style="7" customWidth="1"/>
    <col min="1019" max="1019" width="4.5703125" style="7" customWidth="1"/>
    <col min="1020" max="1020" width="12.28515625" style="7" customWidth="1"/>
    <col min="1021" max="1021" width="1.42578125" style="7" customWidth="1"/>
    <col min="1022" max="1022" width="14.140625" style="7" customWidth="1"/>
    <col min="1023" max="1023" width="13.7109375" style="7" customWidth="1"/>
    <col min="1024" max="1024" width="8" style="7" customWidth="1"/>
    <col min="1025" max="1025" width="1.42578125" style="7" customWidth="1"/>
    <col min="1026" max="1026" width="11.28515625" style="7" customWidth="1"/>
    <col min="1027" max="1027" width="12.85546875" style="7" customWidth="1"/>
    <col min="1028" max="1028" width="10.5703125" style="7" customWidth="1"/>
    <col min="1029" max="1029" width="12" style="7" customWidth="1"/>
    <col min="1030" max="1030" width="11.140625" style="7" customWidth="1"/>
    <col min="1031" max="1031" width="9.28515625" style="7" customWidth="1"/>
    <col min="1032" max="1032" width="1.42578125" style="7" customWidth="1"/>
    <col min="1033" max="1033" width="17.28515625" style="7" customWidth="1"/>
    <col min="1034" max="1034" width="11.140625" style="7" customWidth="1"/>
    <col min="1035" max="1035" width="12.42578125" style="7" customWidth="1"/>
    <col min="1036" max="1037" width="11.28515625" style="7" customWidth="1"/>
    <col min="1038" max="1038" width="10.5703125" style="7" customWidth="1"/>
    <col min="1039" max="1039" width="16.42578125" style="7" customWidth="1"/>
    <col min="1040" max="1040" width="12.140625" style="7" customWidth="1"/>
    <col min="1041" max="1041" width="10.85546875" style="7" customWidth="1"/>
    <col min="1042" max="1042" width="11.7109375" style="7" customWidth="1"/>
    <col min="1043" max="1263" width="9.140625" style="7"/>
    <col min="1264" max="1264" width="6.28515625" style="7" customWidth="1"/>
    <col min="1265" max="1265" width="20.7109375" style="7" customWidth="1"/>
    <col min="1266" max="1266" width="10" style="7" customWidth="1"/>
    <col min="1267" max="1267" width="1" style="7" customWidth="1"/>
    <col min="1268" max="1268" width="10" style="7" customWidth="1"/>
    <col min="1269" max="1269" width="1.28515625" style="7" customWidth="1"/>
    <col min="1270" max="1270" width="9.7109375" style="7" customWidth="1"/>
    <col min="1271" max="1271" width="1.140625" style="7" customWidth="1"/>
    <col min="1272" max="1272" width="12.5703125" style="7" customWidth="1"/>
    <col min="1273" max="1273" width="4.7109375" style="7" customWidth="1"/>
    <col min="1274" max="1274" width="10.7109375" style="7" customWidth="1"/>
    <col min="1275" max="1275" width="4.5703125" style="7" customWidth="1"/>
    <col min="1276" max="1276" width="12.28515625" style="7" customWidth="1"/>
    <col min="1277" max="1277" width="1.42578125" style="7" customWidth="1"/>
    <col min="1278" max="1278" width="14.140625" style="7" customWidth="1"/>
    <col min="1279" max="1279" width="13.7109375" style="7" customWidth="1"/>
    <col min="1280" max="1280" width="8" style="7" customWidth="1"/>
    <col min="1281" max="1281" width="1.42578125" style="7" customWidth="1"/>
    <col min="1282" max="1282" width="11.28515625" style="7" customWidth="1"/>
    <col min="1283" max="1283" width="12.85546875" style="7" customWidth="1"/>
    <col min="1284" max="1284" width="10.5703125" style="7" customWidth="1"/>
    <col min="1285" max="1285" width="12" style="7" customWidth="1"/>
    <col min="1286" max="1286" width="11.140625" style="7" customWidth="1"/>
    <col min="1287" max="1287" width="9.28515625" style="7" customWidth="1"/>
    <col min="1288" max="1288" width="1.42578125" style="7" customWidth="1"/>
    <col min="1289" max="1289" width="17.28515625" style="7" customWidth="1"/>
    <col min="1290" max="1290" width="11.140625" style="7" customWidth="1"/>
    <col min="1291" max="1291" width="12.42578125" style="7" customWidth="1"/>
    <col min="1292" max="1293" width="11.28515625" style="7" customWidth="1"/>
    <col min="1294" max="1294" width="10.5703125" style="7" customWidth="1"/>
    <col min="1295" max="1295" width="16.42578125" style="7" customWidth="1"/>
    <col min="1296" max="1296" width="12.140625" style="7" customWidth="1"/>
    <col min="1297" max="1297" width="10.85546875" style="7" customWidth="1"/>
    <col min="1298" max="1298" width="11.7109375" style="7" customWidth="1"/>
    <col min="1299" max="1519" width="9.140625" style="7"/>
    <col min="1520" max="1520" width="6.28515625" style="7" customWidth="1"/>
    <col min="1521" max="1521" width="20.7109375" style="7" customWidth="1"/>
    <col min="1522" max="1522" width="10" style="7" customWidth="1"/>
    <col min="1523" max="1523" width="1" style="7" customWidth="1"/>
    <col min="1524" max="1524" width="10" style="7" customWidth="1"/>
    <col min="1525" max="1525" width="1.28515625" style="7" customWidth="1"/>
    <col min="1526" max="1526" width="9.7109375" style="7" customWidth="1"/>
    <col min="1527" max="1527" width="1.140625" style="7" customWidth="1"/>
    <col min="1528" max="1528" width="12.5703125" style="7" customWidth="1"/>
    <col min="1529" max="1529" width="4.7109375" style="7" customWidth="1"/>
    <col min="1530" max="1530" width="10.7109375" style="7" customWidth="1"/>
    <col min="1531" max="1531" width="4.5703125" style="7" customWidth="1"/>
    <col min="1532" max="1532" width="12.28515625" style="7" customWidth="1"/>
    <col min="1533" max="1533" width="1.42578125" style="7" customWidth="1"/>
    <col min="1534" max="1534" width="14.140625" style="7" customWidth="1"/>
    <col min="1535" max="1535" width="13.7109375" style="7" customWidth="1"/>
    <col min="1536" max="1536" width="8" style="7" customWidth="1"/>
    <col min="1537" max="1537" width="1.42578125" style="7" customWidth="1"/>
    <col min="1538" max="1538" width="11.28515625" style="7" customWidth="1"/>
    <col min="1539" max="1539" width="12.85546875" style="7" customWidth="1"/>
    <col min="1540" max="1540" width="10.5703125" style="7" customWidth="1"/>
    <col min="1541" max="1541" width="12" style="7" customWidth="1"/>
    <col min="1542" max="1542" width="11.140625" style="7" customWidth="1"/>
    <col min="1543" max="1543" width="9.28515625" style="7" customWidth="1"/>
    <col min="1544" max="1544" width="1.42578125" style="7" customWidth="1"/>
    <col min="1545" max="1545" width="17.28515625" style="7" customWidth="1"/>
    <col min="1546" max="1546" width="11.140625" style="7" customWidth="1"/>
    <col min="1547" max="1547" width="12.42578125" style="7" customWidth="1"/>
    <col min="1548" max="1549" width="11.28515625" style="7" customWidth="1"/>
    <col min="1550" max="1550" width="10.5703125" style="7" customWidth="1"/>
    <col min="1551" max="1551" width="16.42578125" style="7" customWidth="1"/>
    <col min="1552" max="1552" width="12.140625" style="7" customWidth="1"/>
    <col min="1553" max="1553" width="10.85546875" style="7" customWidth="1"/>
    <col min="1554" max="1554" width="11.7109375" style="7" customWidth="1"/>
    <col min="1555" max="1775" width="9.140625" style="7"/>
    <col min="1776" max="1776" width="6.28515625" style="7" customWidth="1"/>
    <col min="1777" max="1777" width="20.7109375" style="7" customWidth="1"/>
    <col min="1778" max="1778" width="10" style="7" customWidth="1"/>
    <col min="1779" max="1779" width="1" style="7" customWidth="1"/>
    <col min="1780" max="1780" width="10" style="7" customWidth="1"/>
    <col min="1781" max="1781" width="1.28515625" style="7" customWidth="1"/>
    <col min="1782" max="1782" width="9.7109375" style="7" customWidth="1"/>
    <col min="1783" max="1783" width="1.140625" style="7" customWidth="1"/>
    <col min="1784" max="1784" width="12.5703125" style="7" customWidth="1"/>
    <col min="1785" max="1785" width="4.7109375" style="7" customWidth="1"/>
    <col min="1786" max="1786" width="10.7109375" style="7" customWidth="1"/>
    <col min="1787" max="1787" width="4.5703125" style="7" customWidth="1"/>
    <col min="1788" max="1788" width="12.28515625" style="7" customWidth="1"/>
    <col min="1789" max="1789" width="1.42578125" style="7" customWidth="1"/>
    <col min="1790" max="1790" width="14.140625" style="7" customWidth="1"/>
    <col min="1791" max="1791" width="13.7109375" style="7" customWidth="1"/>
    <col min="1792" max="1792" width="8" style="7" customWidth="1"/>
    <col min="1793" max="1793" width="1.42578125" style="7" customWidth="1"/>
    <col min="1794" max="1794" width="11.28515625" style="7" customWidth="1"/>
    <col min="1795" max="1795" width="12.85546875" style="7" customWidth="1"/>
    <col min="1796" max="1796" width="10.5703125" style="7" customWidth="1"/>
    <col min="1797" max="1797" width="12" style="7" customWidth="1"/>
    <col min="1798" max="1798" width="11.140625" style="7" customWidth="1"/>
    <col min="1799" max="1799" width="9.28515625" style="7" customWidth="1"/>
    <col min="1800" max="1800" width="1.42578125" style="7" customWidth="1"/>
    <col min="1801" max="1801" width="17.28515625" style="7" customWidth="1"/>
    <col min="1802" max="1802" width="11.140625" style="7" customWidth="1"/>
    <col min="1803" max="1803" width="12.42578125" style="7" customWidth="1"/>
    <col min="1804" max="1805" width="11.28515625" style="7" customWidth="1"/>
    <col min="1806" max="1806" width="10.5703125" style="7" customWidth="1"/>
    <col min="1807" max="1807" width="16.42578125" style="7" customWidth="1"/>
    <col min="1808" max="1808" width="12.140625" style="7" customWidth="1"/>
    <col min="1809" max="1809" width="10.85546875" style="7" customWidth="1"/>
    <col min="1810" max="1810" width="11.7109375" style="7" customWidth="1"/>
    <col min="1811" max="2031" width="9.140625" style="7"/>
    <col min="2032" max="2032" width="6.28515625" style="7" customWidth="1"/>
    <col min="2033" max="2033" width="20.7109375" style="7" customWidth="1"/>
    <col min="2034" max="2034" width="10" style="7" customWidth="1"/>
    <col min="2035" max="2035" width="1" style="7" customWidth="1"/>
    <col min="2036" max="2036" width="10" style="7" customWidth="1"/>
    <col min="2037" max="2037" width="1.28515625" style="7" customWidth="1"/>
    <col min="2038" max="2038" width="9.7109375" style="7" customWidth="1"/>
    <col min="2039" max="2039" width="1.140625" style="7" customWidth="1"/>
    <col min="2040" max="2040" width="12.5703125" style="7" customWidth="1"/>
    <col min="2041" max="2041" width="4.7109375" style="7" customWidth="1"/>
    <col min="2042" max="2042" width="10.7109375" style="7" customWidth="1"/>
    <col min="2043" max="2043" width="4.5703125" style="7" customWidth="1"/>
    <col min="2044" max="2044" width="12.28515625" style="7" customWidth="1"/>
    <col min="2045" max="2045" width="1.42578125" style="7" customWidth="1"/>
    <col min="2046" max="2046" width="14.140625" style="7" customWidth="1"/>
    <col min="2047" max="2047" width="13.7109375" style="7" customWidth="1"/>
    <col min="2048" max="2048" width="8" style="7" customWidth="1"/>
    <col min="2049" max="2049" width="1.42578125" style="7" customWidth="1"/>
    <col min="2050" max="2050" width="11.28515625" style="7" customWidth="1"/>
    <col min="2051" max="2051" width="12.85546875" style="7" customWidth="1"/>
    <col min="2052" max="2052" width="10.5703125" style="7" customWidth="1"/>
    <col min="2053" max="2053" width="12" style="7" customWidth="1"/>
    <col min="2054" max="2054" width="11.140625" style="7" customWidth="1"/>
    <col min="2055" max="2055" width="9.28515625" style="7" customWidth="1"/>
    <col min="2056" max="2056" width="1.42578125" style="7" customWidth="1"/>
    <col min="2057" max="2057" width="17.28515625" style="7" customWidth="1"/>
    <col min="2058" max="2058" width="11.140625" style="7" customWidth="1"/>
    <col min="2059" max="2059" width="12.42578125" style="7" customWidth="1"/>
    <col min="2060" max="2061" width="11.28515625" style="7" customWidth="1"/>
    <col min="2062" max="2062" width="10.5703125" style="7" customWidth="1"/>
    <col min="2063" max="2063" width="16.42578125" style="7" customWidth="1"/>
    <col min="2064" max="2064" width="12.140625" style="7" customWidth="1"/>
    <col min="2065" max="2065" width="10.85546875" style="7" customWidth="1"/>
    <col min="2066" max="2066" width="11.7109375" style="7" customWidth="1"/>
    <col min="2067" max="2287" width="9.140625" style="7"/>
    <col min="2288" max="2288" width="6.28515625" style="7" customWidth="1"/>
    <col min="2289" max="2289" width="20.7109375" style="7" customWidth="1"/>
    <col min="2290" max="2290" width="10" style="7" customWidth="1"/>
    <col min="2291" max="2291" width="1" style="7" customWidth="1"/>
    <col min="2292" max="2292" width="10" style="7" customWidth="1"/>
    <col min="2293" max="2293" width="1.28515625" style="7" customWidth="1"/>
    <col min="2294" max="2294" width="9.7109375" style="7" customWidth="1"/>
    <col min="2295" max="2295" width="1.140625" style="7" customWidth="1"/>
    <col min="2296" max="2296" width="12.5703125" style="7" customWidth="1"/>
    <col min="2297" max="2297" width="4.7109375" style="7" customWidth="1"/>
    <col min="2298" max="2298" width="10.7109375" style="7" customWidth="1"/>
    <col min="2299" max="2299" width="4.5703125" style="7" customWidth="1"/>
    <col min="2300" max="2300" width="12.28515625" style="7" customWidth="1"/>
    <col min="2301" max="2301" width="1.42578125" style="7" customWidth="1"/>
    <col min="2302" max="2302" width="14.140625" style="7" customWidth="1"/>
    <col min="2303" max="2303" width="13.7109375" style="7" customWidth="1"/>
    <col min="2304" max="2304" width="8" style="7" customWidth="1"/>
    <col min="2305" max="2305" width="1.42578125" style="7" customWidth="1"/>
    <col min="2306" max="2306" width="11.28515625" style="7" customWidth="1"/>
    <col min="2307" max="2307" width="12.85546875" style="7" customWidth="1"/>
    <col min="2308" max="2308" width="10.5703125" style="7" customWidth="1"/>
    <col min="2309" max="2309" width="12" style="7" customWidth="1"/>
    <col min="2310" max="2310" width="11.140625" style="7" customWidth="1"/>
    <col min="2311" max="2311" width="9.28515625" style="7" customWidth="1"/>
    <col min="2312" max="2312" width="1.42578125" style="7" customWidth="1"/>
    <col min="2313" max="2313" width="17.28515625" style="7" customWidth="1"/>
    <col min="2314" max="2314" width="11.140625" style="7" customWidth="1"/>
    <col min="2315" max="2315" width="12.42578125" style="7" customWidth="1"/>
    <col min="2316" max="2317" width="11.28515625" style="7" customWidth="1"/>
    <col min="2318" max="2318" width="10.5703125" style="7" customWidth="1"/>
    <col min="2319" max="2319" width="16.42578125" style="7" customWidth="1"/>
    <col min="2320" max="2320" width="12.140625" style="7" customWidth="1"/>
    <col min="2321" max="2321" width="10.85546875" style="7" customWidth="1"/>
    <col min="2322" max="2322" width="11.7109375" style="7" customWidth="1"/>
    <col min="2323" max="2543" width="9.140625" style="7"/>
    <col min="2544" max="2544" width="6.28515625" style="7" customWidth="1"/>
    <col min="2545" max="2545" width="20.7109375" style="7" customWidth="1"/>
    <col min="2546" max="2546" width="10" style="7" customWidth="1"/>
    <col min="2547" max="2547" width="1" style="7" customWidth="1"/>
    <col min="2548" max="2548" width="10" style="7" customWidth="1"/>
    <col min="2549" max="2549" width="1.28515625" style="7" customWidth="1"/>
    <col min="2550" max="2550" width="9.7109375" style="7" customWidth="1"/>
    <col min="2551" max="2551" width="1.140625" style="7" customWidth="1"/>
    <col min="2552" max="2552" width="12.5703125" style="7" customWidth="1"/>
    <col min="2553" max="2553" width="4.7109375" style="7" customWidth="1"/>
    <col min="2554" max="2554" width="10.7109375" style="7" customWidth="1"/>
    <col min="2555" max="2555" width="4.5703125" style="7" customWidth="1"/>
    <col min="2556" max="2556" width="12.28515625" style="7" customWidth="1"/>
    <col min="2557" max="2557" width="1.42578125" style="7" customWidth="1"/>
    <col min="2558" max="2558" width="14.140625" style="7" customWidth="1"/>
    <col min="2559" max="2559" width="13.7109375" style="7" customWidth="1"/>
    <col min="2560" max="2560" width="8" style="7" customWidth="1"/>
    <col min="2561" max="2561" width="1.42578125" style="7" customWidth="1"/>
    <col min="2562" max="2562" width="11.28515625" style="7" customWidth="1"/>
    <col min="2563" max="2563" width="12.85546875" style="7" customWidth="1"/>
    <col min="2564" max="2564" width="10.5703125" style="7" customWidth="1"/>
    <col min="2565" max="2565" width="12" style="7" customWidth="1"/>
    <col min="2566" max="2566" width="11.140625" style="7" customWidth="1"/>
    <col min="2567" max="2567" width="9.28515625" style="7" customWidth="1"/>
    <col min="2568" max="2568" width="1.42578125" style="7" customWidth="1"/>
    <col min="2569" max="2569" width="17.28515625" style="7" customWidth="1"/>
    <col min="2570" max="2570" width="11.140625" style="7" customWidth="1"/>
    <col min="2571" max="2571" width="12.42578125" style="7" customWidth="1"/>
    <col min="2572" max="2573" width="11.28515625" style="7" customWidth="1"/>
    <col min="2574" max="2574" width="10.5703125" style="7" customWidth="1"/>
    <col min="2575" max="2575" width="16.42578125" style="7" customWidth="1"/>
    <col min="2576" max="2576" width="12.140625" style="7" customWidth="1"/>
    <col min="2577" max="2577" width="10.85546875" style="7" customWidth="1"/>
    <col min="2578" max="2578" width="11.7109375" style="7" customWidth="1"/>
    <col min="2579" max="2799" width="9.140625" style="7"/>
    <col min="2800" max="2800" width="6.28515625" style="7" customWidth="1"/>
    <col min="2801" max="2801" width="20.7109375" style="7" customWidth="1"/>
    <col min="2802" max="2802" width="10" style="7" customWidth="1"/>
    <col min="2803" max="2803" width="1" style="7" customWidth="1"/>
    <col min="2804" max="2804" width="10" style="7" customWidth="1"/>
    <col min="2805" max="2805" width="1.28515625" style="7" customWidth="1"/>
    <col min="2806" max="2806" width="9.7109375" style="7" customWidth="1"/>
    <col min="2807" max="2807" width="1.140625" style="7" customWidth="1"/>
    <col min="2808" max="2808" width="12.5703125" style="7" customWidth="1"/>
    <col min="2809" max="2809" width="4.7109375" style="7" customWidth="1"/>
    <col min="2810" max="2810" width="10.7109375" style="7" customWidth="1"/>
    <col min="2811" max="2811" width="4.5703125" style="7" customWidth="1"/>
    <col min="2812" max="2812" width="12.28515625" style="7" customWidth="1"/>
    <col min="2813" max="2813" width="1.42578125" style="7" customWidth="1"/>
    <col min="2814" max="2814" width="14.140625" style="7" customWidth="1"/>
    <col min="2815" max="2815" width="13.7109375" style="7" customWidth="1"/>
    <col min="2816" max="2816" width="8" style="7" customWidth="1"/>
    <col min="2817" max="2817" width="1.42578125" style="7" customWidth="1"/>
    <col min="2818" max="2818" width="11.28515625" style="7" customWidth="1"/>
    <col min="2819" max="2819" width="12.85546875" style="7" customWidth="1"/>
    <col min="2820" max="2820" width="10.5703125" style="7" customWidth="1"/>
    <col min="2821" max="2821" width="12" style="7" customWidth="1"/>
    <col min="2822" max="2822" width="11.140625" style="7" customWidth="1"/>
    <col min="2823" max="2823" width="9.28515625" style="7" customWidth="1"/>
    <col min="2824" max="2824" width="1.42578125" style="7" customWidth="1"/>
    <col min="2825" max="2825" width="17.28515625" style="7" customWidth="1"/>
    <col min="2826" max="2826" width="11.140625" style="7" customWidth="1"/>
    <col min="2827" max="2827" width="12.42578125" style="7" customWidth="1"/>
    <col min="2828" max="2829" width="11.28515625" style="7" customWidth="1"/>
    <col min="2830" max="2830" width="10.5703125" style="7" customWidth="1"/>
    <col min="2831" max="2831" width="16.42578125" style="7" customWidth="1"/>
    <col min="2832" max="2832" width="12.140625" style="7" customWidth="1"/>
    <col min="2833" max="2833" width="10.85546875" style="7" customWidth="1"/>
    <col min="2834" max="2834" width="11.7109375" style="7" customWidth="1"/>
    <col min="2835" max="3055" width="9.140625" style="7"/>
    <col min="3056" max="3056" width="6.28515625" style="7" customWidth="1"/>
    <col min="3057" max="3057" width="20.7109375" style="7" customWidth="1"/>
    <col min="3058" max="3058" width="10" style="7" customWidth="1"/>
    <col min="3059" max="3059" width="1" style="7" customWidth="1"/>
    <col min="3060" max="3060" width="10" style="7" customWidth="1"/>
    <col min="3061" max="3061" width="1.28515625" style="7" customWidth="1"/>
    <col min="3062" max="3062" width="9.7109375" style="7" customWidth="1"/>
    <col min="3063" max="3063" width="1.140625" style="7" customWidth="1"/>
    <col min="3064" max="3064" width="12.5703125" style="7" customWidth="1"/>
    <col min="3065" max="3065" width="4.7109375" style="7" customWidth="1"/>
    <col min="3066" max="3066" width="10.7109375" style="7" customWidth="1"/>
    <col min="3067" max="3067" width="4.5703125" style="7" customWidth="1"/>
    <col min="3068" max="3068" width="12.28515625" style="7" customWidth="1"/>
    <col min="3069" max="3069" width="1.42578125" style="7" customWidth="1"/>
    <col min="3070" max="3070" width="14.140625" style="7" customWidth="1"/>
    <col min="3071" max="3071" width="13.7109375" style="7" customWidth="1"/>
    <col min="3072" max="3072" width="8" style="7" customWidth="1"/>
    <col min="3073" max="3073" width="1.42578125" style="7" customWidth="1"/>
    <col min="3074" max="3074" width="11.28515625" style="7" customWidth="1"/>
    <col min="3075" max="3075" width="12.85546875" style="7" customWidth="1"/>
    <col min="3076" max="3076" width="10.5703125" style="7" customWidth="1"/>
    <col min="3077" max="3077" width="12" style="7" customWidth="1"/>
    <col min="3078" max="3078" width="11.140625" style="7" customWidth="1"/>
    <col min="3079" max="3079" width="9.28515625" style="7" customWidth="1"/>
    <col min="3080" max="3080" width="1.42578125" style="7" customWidth="1"/>
    <col min="3081" max="3081" width="17.28515625" style="7" customWidth="1"/>
    <col min="3082" max="3082" width="11.140625" style="7" customWidth="1"/>
    <col min="3083" max="3083" width="12.42578125" style="7" customWidth="1"/>
    <col min="3084" max="3085" width="11.28515625" style="7" customWidth="1"/>
    <col min="3086" max="3086" width="10.5703125" style="7" customWidth="1"/>
    <col min="3087" max="3087" width="16.42578125" style="7" customWidth="1"/>
    <col min="3088" max="3088" width="12.140625" style="7" customWidth="1"/>
    <col min="3089" max="3089" width="10.85546875" style="7" customWidth="1"/>
    <col min="3090" max="3090" width="11.7109375" style="7" customWidth="1"/>
    <col min="3091" max="3311" width="9.140625" style="7"/>
    <col min="3312" max="3312" width="6.28515625" style="7" customWidth="1"/>
    <col min="3313" max="3313" width="20.7109375" style="7" customWidth="1"/>
    <col min="3314" max="3314" width="10" style="7" customWidth="1"/>
    <col min="3315" max="3315" width="1" style="7" customWidth="1"/>
    <col min="3316" max="3316" width="10" style="7" customWidth="1"/>
    <col min="3317" max="3317" width="1.28515625" style="7" customWidth="1"/>
    <col min="3318" max="3318" width="9.7109375" style="7" customWidth="1"/>
    <col min="3319" max="3319" width="1.140625" style="7" customWidth="1"/>
    <col min="3320" max="3320" width="12.5703125" style="7" customWidth="1"/>
    <col min="3321" max="3321" width="4.7109375" style="7" customWidth="1"/>
    <col min="3322" max="3322" width="10.7109375" style="7" customWidth="1"/>
    <col min="3323" max="3323" width="4.5703125" style="7" customWidth="1"/>
    <col min="3324" max="3324" width="12.28515625" style="7" customWidth="1"/>
    <col min="3325" max="3325" width="1.42578125" style="7" customWidth="1"/>
    <col min="3326" max="3326" width="14.140625" style="7" customWidth="1"/>
    <col min="3327" max="3327" width="13.7109375" style="7" customWidth="1"/>
    <col min="3328" max="3328" width="8" style="7" customWidth="1"/>
    <col min="3329" max="3329" width="1.42578125" style="7" customWidth="1"/>
    <col min="3330" max="3330" width="11.28515625" style="7" customWidth="1"/>
    <col min="3331" max="3331" width="12.85546875" style="7" customWidth="1"/>
    <col min="3332" max="3332" width="10.5703125" style="7" customWidth="1"/>
    <col min="3333" max="3333" width="12" style="7" customWidth="1"/>
    <col min="3334" max="3334" width="11.140625" style="7" customWidth="1"/>
    <col min="3335" max="3335" width="9.28515625" style="7" customWidth="1"/>
    <col min="3336" max="3336" width="1.42578125" style="7" customWidth="1"/>
    <col min="3337" max="3337" width="17.28515625" style="7" customWidth="1"/>
    <col min="3338" max="3338" width="11.140625" style="7" customWidth="1"/>
    <col min="3339" max="3339" width="12.42578125" style="7" customWidth="1"/>
    <col min="3340" max="3341" width="11.28515625" style="7" customWidth="1"/>
    <col min="3342" max="3342" width="10.5703125" style="7" customWidth="1"/>
    <col min="3343" max="3343" width="16.42578125" style="7" customWidth="1"/>
    <col min="3344" max="3344" width="12.140625" style="7" customWidth="1"/>
    <col min="3345" max="3345" width="10.85546875" style="7" customWidth="1"/>
    <col min="3346" max="3346" width="11.7109375" style="7" customWidth="1"/>
    <col min="3347" max="3567" width="9.140625" style="7"/>
    <col min="3568" max="3568" width="6.28515625" style="7" customWidth="1"/>
    <col min="3569" max="3569" width="20.7109375" style="7" customWidth="1"/>
    <col min="3570" max="3570" width="10" style="7" customWidth="1"/>
    <col min="3571" max="3571" width="1" style="7" customWidth="1"/>
    <col min="3572" max="3572" width="10" style="7" customWidth="1"/>
    <col min="3573" max="3573" width="1.28515625" style="7" customWidth="1"/>
    <col min="3574" max="3574" width="9.7109375" style="7" customWidth="1"/>
    <col min="3575" max="3575" width="1.140625" style="7" customWidth="1"/>
    <col min="3576" max="3576" width="12.5703125" style="7" customWidth="1"/>
    <col min="3577" max="3577" width="4.7109375" style="7" customWidth="1"/>
    <col min="3578" max="3578" width="10.7109375" style="7" customWidth="1"/>
    <col min="3579" max="3579" width="4.5703125" style="7" customWidth="1"/>
    <col min="3580" max="3580" width="12.28515625" style="7" customWidth="1"/>
    <col min="3581" max="3581" width="1.42578125" style="7" customWidth="1"/>
    <col min="3582" max="3582" width="14.140625" style="7" customWidth="1"/>
    <col min="3583" max="3583" width="13.7109375" style="7" customWidth="1"/>
    <col min="3584" max="3584" width="8" style="7" customWidth="1"/>
    <col min="3585" max="3585" width="1.42578125" style="7" customWidth="1"/>
    <col min="3586" max="3586" width="11.28515625" style="7" customWidth="1"/>
    <col min="3587" max="3587" width="12.85546875" style="7" customWidth="1"/>
    <col min="3588" max="3588" width="10.5703125" style="7" customWidth="1"/>
    <col min="3589" max="3589" width="12" style="7" customWidth="1"/>
    <col min="3590" max="3590" width="11.140625" style="7" customWidth="1"/>
    <col min="3591" max="3591" width="9.28515625" style="7" customWidth="1"/>
    <col min="3592" max="3592" width="1.42578125" style="7" customWidth="1"/>
    <col min="3593" max="3593" width="17.28515625" style="7" customWidth="1"/>
    <col min="3594" max="3594" width="11.140625" style="7" customWidth="1"/>
    <col min="3595" max="3595" width="12.42578125" style="7" customWidth="1"/>
    <col min="3596" max="3597" width="11.28515625" style="7" customWidth="1"/>
    <col min="3598" max="3598" width="10.5703125" style="7" customWidth="1"/>
    <col min="3599" max="3599" width="16.42578125" style="7" customWidth="1"/>
    <col min="3600" max="3600" width="12.140625" style="7" customWidth="1"/>
    <col min="3601" max="3601" width="10.85546875" style="7" customWidth="1"/>
    <col min="3602" max="3602" width="11.7109375" style="7" customWidth="1"/>
    <col min="3603" max="3823" width="9.140625" style="7"/>
    <col min="3824" max="3824" width="6.28515625" style="7" customWidth="1"/>
    <col min="3825" max="3825" width="20.7109375" style="7" customWidth="1"/>
    <col min="3826" max="3826" width="10" style="7" customWidth="1"/>
    <col min="3827" max="3827" width="1" style="7" customWidth="1"/>
    <col min="3828" max="3828" width="10" style="7" customWidth="1"/>
    <col min="3829" max="3829" width="1.28515625" style="7" customWidth="1"/>
    <col min="3830" max="3830" width="9.7109375" style="7" customWidth="1"/>
    <col min="3831" max="3831" width="1.140625" style="7" customWidth="1"/>
    <col min="3832" max="3832" width="12.5703125" style="7" customWidth="1"/>
    <col min="3833" max="3833" width="4.7109375" style="7" customWidth="1"/>
    <col min="3834" max="3834" width="10.7109375" style="7" customWidth="1"/>
    <col min="3835" max="3835" width="4.5703125" style="7" customWidth="1"/>
    <col min="3836" max="3836" width="12.28515625" style="7" customWidth="1"/>
    <col min="3837" max="3837" width="1.42578125" style="7" customWidth="1"/>
    <col min="3838" max="3838" width="14.140625" style="7" customWidth="1"/>
    <col min="3839" max="3839" width="13.7109375" style="7" customWidth="1"/>
    <col min="3840" max="3840" width="8" style="7" customWidth="1"/>
    <col min="3841" max="3841" width="1.42578125" style="7" customWidth="1"/>
    <col min="3842" max="3842" width="11.28515625" style="7" customWidth="1"/>
    <col min="3843" max="3843" width="12.85546875" style="7" customWidth="1"/>
    <col min="3844" max="3844" width="10.5703125" style="7" customWidth="1"/>
    <col min="3845" max="3845" width="12" style="7" customWidth="1"/>
    <col min="3846" max="3846" width="11.140625" style="7" customWidth="1"/>
    <col min="3847" max="3847" width="9.28515625" style="7" customWidth="1"/>
    <col min="3848" max="3848" width="1.42578125" style="7" customWidth="1"/>
    <col min="3849" max="3849" width="17.28515625" style="7" customWidth="1"/>
    <col min="3850" max="3850" width="11.140625" style="7" customWidth="1"/>
    <col min="3851" max="3851" width="12.42578125" style="7" customWidth="1"/>
    <col min="3852" max="3853" width="11.28515625" style="7" customWidth="1"/>
    <col min="3854" max="3854" width="10.5703125" style="7" customWidth="1"/>
    <col min="3855" max="3855" width="16.42578125" style="7" customWidth="1"/>
    <col min="3856" max="3856" width="12.140625" style="7" customWidth="1"/>
    <col min="3857" max="3857" width="10.85546875" style="7" customWidth="1"/>
    <col min="3858" max="3858" width="11.7109375" style="7" customWidth="1"/>
    <col min="3859" max="4079" width="9.140625" style="7"/>
    <col min="4080" max="4080" width="6.28515625" style="7" customWidth="1"/>
    <col min="4081" max="4081" width="20.7109375" style="7" customWidth="1"/>
    <col min="4082" max="4082" width="10" style="7" customWidth="1"/>
    <col min="4083" max="4083" width="1" style="7" customWidth="1"/>
    <col min="4084" max="4084" width="10" style="7" customWidth="1"/>
    <col min="4085" max="4085" width="1.28515625" style="7" customWidth="1"/>
    <col min="4086" max="4086" width="9.7109375" style="7" customWidth="1"/>
    <col min="4087" max="4087" width="1.140625" style="7" customWidth="1"/>
    <col min="4088" max="4088" width="12.5703125" style="7" customWidth="1"/>
    <col min="4089" max="4089" width="4.7109375" style="7" customWidth="1"/>
    <col min="4090" max="4090" width="10.7109375" style="7" customWidth="1"/>
    <col min="4091" max="4091" width="4.5703125" style="7" customWidth="1"/>
    <col min="4092" max="4092" width="12.28515625" style="7" customWidth="1"/>
    <col min="4093" max="4093" width="1.42578125" style="7" customWidth="1"/>
    <col min="4094" max="4094" width="14.140625" style="7" customWidth="1"/>
    <col min="4095" max="4095" width="13.7109375" style="7" customWidth="1"/>
    <col min="4096" max="4096" width="8" style="7" customWidth="1"/>
    <col min="4097" max="4097" width="1.42578125" style="7" customWidth="1"/>
    <col min="4098" max="4098" width="11.28515625" style="7" customWidth="1"/>
    <col min="4099" max="4099" width="12.85546875" style="7" customWidth="1"/>
    <col min="4100" max="4100" width="10.5703125" style="7" customWidth="1"/>
    <col min="4101" max="4101" width="12" style="7" customWidth="1"/>
    <col min="4102" max="4102" width="11.140625" style="7" customWidth="1"/>
    <col min="4103" max="4103" width="9.28515625" style="7" customWidth="1"/>
    <col min="4104" max="4104" width="1.42578125" style="7" customWidth="1"/>
    <col min="4105" max="4105" width="17.28515625" style="7" customWidth="1"/>
    <col min="4106" max="4106" width="11.140625" style="7" customWidth="1"/>
    <col min="4107" max="4107" width="12.42578125" style="7" customWidth="1"/>
    <col min="4108" max="4109" width="11.28515625" style="7" customWidth="1"/>
    <col min="4110" max="4110" width="10.5703125" style="7" customWidth="1"/>
    <col min="4111" max="4111" width="16.42578125" style="7" customWidth="1"/>
    <col min="4112" max="4112" width="12.140625" style="7" customWidth="1"/>
    <col min="4113" max="4113" width="10.85546875" style="7" customWidth="1"/>
    <col min="4114" max="4114" width="11.7109375" style="7" customWidth="1"/>
    <col min="4115" max="4335" width="9.140625" style="7"/>
    <col min="4336" max="4336" width="6.28515625" style="7" customWidth="1"/>
    <col min="4337" max="4337" width="20.7109375" style="7" customWidth="1"/>
    <col min="4338" max="4338" width="10" style="7" customWidth="1"/>
    <col min="4339" max="4339" width="1" style="7" customWidth="1"/>
    <col min="4340" max="4340" width="10" style="7" customWidth="1"/>
    <col min="4341" max="4341" width="1.28515625" style="7" customWidth="1"/>
    <col min="4342" max="4342" width="9.7109375" style="7" customWidth="1"/>
    <col min="4343" max="4343" width="1.140625" style="7" customWidth="1"/>
    <col min="4344" max="4344" width="12.5703125" style="7" customWidth="1"/>
    <col min="4345" max="4345" width="4.7109375" style="7" customWidth="1"/>
    <col min="4346" max="4346" width="10.7109375" style="7" customWidth="1"/>
    <col min="4347" max="4347" width="4.5703125" style="7" customWidth="1"/>
    <col min="4348" max="4348" width="12.28515625" style="7" customWidth="1"/>
    <col min="4349" max="4349" width="1.42578125" style="7" customWidth="1"/>
    <col min="4350" max="4350" width="14.140625" style="7" customWidth="1"/>
    <col min="4351" max="4351" width="13.7109375" style="7" customWidth="1"/>
    <col min="4352" max="4352" width="8" style="7" customWidth="1"/>
    <col min="4353" max="4353" width="1.42578125" style="7" customWidth="1"/>
    <col min="4354" max="4354" width="11.28515625" style="7" customWidth="1"/>
    <col min="4355" max="4355" width="12.85546875" style="7" customWidth="1"/>
    <col min="4356" max="4356" width="10.5703125" style="7" customWidth="1"/>
    <col min="4357" max="4357" width="12" style="7" customWidth="1"/>
    <col min="4358" max="4358" width="11.140625" style="7" customWidth="1"/>
    <col min="4359" max="4359" width="9.28515625" style="7" customWidth="1"/>
    <col min="4360" max="4360" width="1.42578125" style="7" customWidth="1"/>
    <col min="4361" max="4361" width="17.28515625" style="7" customWidth="1"/>
    <col min="4362" max="4362" width="11.140625" style="7" customWidth="1"/>
    <col min="4363" max="4363" width="12.42578125" style="7" customWidth="1"/>
    <col min="4364" max="4365" width="11.28515625" style="7" customWidth="1"/>
    <col min="4366" max="4366" width="10.5703125" style="7" customWidth="1"/>
    <col min="4367" max="4367" width="16.42578125" style="7" customWidth="1"/>
    <col min="4368" max="4368" width="12.140625" style="7" customWidth="1"/>
    <col min="4369" max="4369" width="10.85546875" style="7" customWidth="1"/>
    <col min="4370" max="4370" width="11.7109375" style="7" customWidth="1"/>
    <col min="4371" max="4591" width="9.140625" style="7"/>
    <col min="4592" max="4592" width="6.28515625" style="7" customWidth="1"/>
    <col min="4593" max="4593" width="20.7109375" style="7" customWidth="1"/>
    <col min="4594" max="4594" width="10" style="7" customWidth="1"/>
    <col min="4595" max="4595" width="1" style="7" customWidth="1"/>
    <col min="4596" max="4596" width="10" style="7" customWidth="1"/>
    <col min="4597" max="4597" width="1.28515625" style="7" customWidth="1"/>
    <col min="4598" max="4598" width="9.7109375" style="7" customWidth="1"/>
    <col min="4599" max="4599" width="1.140625" style="7" customWidth="1"/>
    <col min="4600" max="4600" width="12.5703125" style="7" customWidth="1"/>
    <col min="4601" max="4601" width="4.7109375" style="7" customWidth="1"/>
    <col min="4602" max="4602" width="10.7109375" style="7" customWidth="1"/>
    <col min="4603" max="4603" width="4.5703125" style="7" customWidth="1"/>
    <col min="4604" max="4604" width="12.28515625" style="7" customWidth="1"/>
    <col min="4605" max="4605" width="1.42578125" style="7" customWidth="1"/>
    <col min="4606" max="4606" width="14.140625" style="7" customWidth="1"/>
    <col min="4607" max="4607" width="13.7109375" style="7" customWidth="1"/>
    <col min="4608" max="4608" width="8" style="7" customWidth="1"/>
    <col min="4609" max="4609" width="1.42578125" style="7" customWidth="1"/>
    <col min="4610" max="4610" width="11.28515625" style="7" customWidth="1"/>
    <col min="4611" max="4611" width="12.85546875" style="7" customWidth="1"/>
    <col min="4612" max="4612" width="10.5703125" style="7" customWidth="1"/>
    <col min="4613" max="4613" width="12" style="7" customWidth="1"/>
    <col min="4614" max="4614" width="11.140625" style="7" customWidth="1"/>
    <col min="4615" max="4615" width="9.28515625" style="7" customWidth="1"/>
    <col min="4616" max="4616" width="1.42578125" style="7" customWidth="1"/>
    <col min="4617" max="4617" width="17.28515625" style="7" customWidth="1"/>
    <col min="4618" max="4618" width="11.140625" style="7" customWidth="1"/>
    <col min="4619" max="4619" width="12.42578125" style="7" customWidth="1"/>
    <col min="4620" max="4621" width="11.28515625" style="7" customWidth="1"/>
    <col min="4622" max="4622" width="10.5703125" style="7" customWidth="1"/>
    <col min="4623" max="4623" width="16.42578125" style="7" customWidth="1"/>
    <col min="4624" max="4624" width="12.140625" style="7" customWidth="1"/>
    <col min="4625" max="4625" width="10.85546875" style="7" customWidth="1"/>
    <col min="4626" max="4626" width="11.7109375" style="7" customWidth="1"/>
    <col min="4627" max="4847" width="9.140625" style="7"/>
    <col min="4848" max="4848" width="6.28515625" style="7" customWidth="1"/>
    <col min="4849" max="4849" width="20.7109375" style="7" customWidth="1"/>
    <col min="4850" max="4850" width="10" style="7" customWidth="1"/>
    <col min="4851" max="4851" width="1" style="7" customWidth="1"/>
    <col min="4852" max="4852" width="10" style="7" customWidth="1"/>
    <col min="4853" max="4853" width="1.28515625" style="7" customWidth="1"/>
    <col min="4854" max="4854" width="9.7109375" style="7" customWidth="1"/>
    <col min="4855" max="4855" width="1.140625" style="7" customWidth="1"/>
    <col min="4856" max="4856" width="12.5703125" style="7" customWidth="1"/>
    <col min="4857" max="4857" width="4.7109375" style="7" customWidth="1"/>
    <col min="4858" max="4858" width="10.7109375" style="7" customWidth="1"/>
    <col min="4859" max="4859" width="4.5703125" style="7" customWidth="1"/>
    <col min="4860" max="4860" width="12.28515625" style="7" customWidth="1"/>
    <col min="4861" max="4861" width="1.42578125" style="7" customWidth="1"/>
    <col min="4862" max="4862" width="14.140625" style="7" customWidth="1"/>
    <col min="4863" max="4863" width="13.7109375" style="7" customWidth="1"/>
    <col min="4864" max="4864" width="8" style="7" customWidth="1"/>
    <col min="4865" max="4865" width="1.42578125" style="7" customWidth="1"/>
    <col min="4866" max="4866" width="11.28515625" style="7" customWidth="1"/>
    <col min="4867" max="4867" width="12.85546875" style="7" customWidth="1"/>
    <col min="4868" max="4868" width="10.5703125" style="7" customWidth="1"/>
    <col min="4869" max="4869" width="12" style="7" customWidth="1"/>
    <col min="4870" max="4870" width="11.140625" style="7" customWidth="1"/>
    <col min="4871" max="4871" width="9.28515625" style="7" customWidth="1"/>
    <col min="4872" max="4872" width="1.42578125" style="7" customWidth="1"/>
    <col min="4873" max="4873" width="17.28515625" style="7" customWidth="1"/>
    <col min="4874" max="4874" width="11.140625" style="7" customWidth="1"/>
    <col min="4875" max="4875" width="12.42578125" style="7" customWidth="1"/>
    <col min="4876" max="4877" width="11.28515625" style="7" customWidth="1"/>
    <col min="4878" max="4878" width="10.5703125" style="7" customWidth="1"/>
    <col min="4879" max="4879" width="16.42578125" style="7" customWidth="1"/>
    <col min="4880" max="4880" width="12.140625" style="7" customWidth="1"/>
    <col min="4881" max="4881" width="10.85546875" style="7" customWidth="1"/>
    <col min="4882" max="4882" width="11.7109375" style="7" customWidth="1"/>
    <col min="4883" max="5103" width="9.140625" style="7"/>
    <col min="5104" max="5104" width="6.28515625" style="7" customWidth="1"/>
    <col min="5105" max="5105" width="20.7109375" style="7" customWidth="1"/>
    <col min="5106" max="5106" width="10" style="7" customWidth="1"/>
    <col min="5107" max="5107" width="1" style="7" customWidth="1"/>
    <col min="5108" max="5108" width="10" style="7" customWidth="1"/>
    <col min="5109" max="5109" width="1.28515625" style="7" customWidth="1"/>
    <col min="5110" max="5110" width="9.7109375" style="7" customWidth="1"/>
    <col min="5111" max="5111" width="1.140625" style="7" customWidth="1"/>
    <col min="5112" max="5112" width="12.5703125" style="7" customWidth="1"/>
    <col min="5113" max="5113" width="4.7109375" style="7" customWidth="1"/>
    <col min="5114" max="5114" width="10.7109375" style="7" customWidth="1"/>
    <col min="5115" max="5115" width="4.5703125" style="7" customWidth="1"/>
    <col min="5116" max="5116" width="12.28515625" style="7" customWidth="1"/>
    <col min="5117" max="5117" width="1.42578125" style="7" customWidth="1"/>
    <col min="5118" max="5118" width="14.140625" style="7" customWidth="1"/>
    <col min="5119" max="5119" width="13.7109375" style="7" customWidth="1"/>
    <col min="5120" max="5120" width="8" style="7" customWidth="1"/>
    <col min="5121" max="5121" width="1.42578125" style="7" customWidth="1"/>
    <col min="5122" max="5122" width="11.28515625" style="7" customWidth="1"/>
    <col min="5123" max="5123" width="12.85546875" style="7" customWidth="1"/>
    <col min="5124" max="5124" width="10.5703125" style="7" customWidth="1"/>
    <col min="5125" max="5125" width="12" style="7" customWidth="1"/>
    <col min="5126" max="5126" width="11.140625" style="7" customWidth="1"/>
    <col min="5127" max="5127" width="9.28515625" style="7" customWidth="1"/>
    <col min="5128" max="5128" width="1.42578125" style="7" customWidth="1"/>
    <col min="5129" max="5129" width="17.28515625" style="7" customWidth="1"/>
    <col min="5130" max="5130" width="11.140625" style="7" customWidth="1"/>
    <col min="5131" max="5131" width="12.42578125" style="7" customWidth="1"/>
    <col min="5132" max="5133" width="11.28515625" style="7" customWidth="1"/>
    <col min="5134" max="5134" width="10.5703125" style="7" customWidth="1"/>
    <col min="5135" max="5135" width="16.42578125" style="7" customWidth="1"/>
    <col min="5136" max="5136" width="12.140625" style="7" customWidth="1"/>
    <col min="5137" max="5137" width="10.85546875" style="7" customWidth="1"/>
    <col min="5138" max="5138" width="11.7109375" style="7" customWidth="1"/>
    <col min="5139" max="5359" width="9.140625" style="7"/>
    <col min="5360" max="5360" width="6.28515625" style="7" customWidth="1"/>
    <col min="5361" max="5361" width="20.7109375" style="7" customWidth="1"/>
    <col min="5362" max="5362" width="10" style="7" customWidth="1"/>
    <col min="5363" max="5363" width="1" style="7" customWidth="1"/>
    <col min="5364" max="5364" width="10" style="7" customWidth="1"/>
    <col min="5365" max="5365" width="1.28515625" style="7" customWidth="1"/>
    <col min="5366" max="5366" width="9.7109375" style="7" customWidth="1"/>
    <col min="5367" max="5367" width="1.140625" style="7" customWidth="1"/>
    <col min="5368" max="5368" width="12.5703125" style="7" customWidth="1"/>
    <col min="5369" max="5369" width="4.7109375" style="7" customWidth="1"/>
    <col min="5370" max="5370" width="10.7109375" style="7" customWidth="1"/>
    <col min="5371" max="5371" width="4.5703125" style="7" customWidth="1"/>
    <col min="5372" max="5372" width="12.28515625" style="7" customWidth="1"/>
    <col min="5373" max="5373" width="1.42578125" style="7" customWidth="1"/>
    <col min="5374" max="5374" width="14.140625" style="7" customWidth="1"/>
    <col min="5375" max="5375" width="13.7109375" style="7" customWidth="1"/>
    <col min="5376" max="5376" width="8" style="7" customWidth="1"/>
    <col min="5377" max="5377" width="1.42578125" style="7" customWidth="1"/>
    <col min="5378" max="5378" width="11.28515625" style="7" customWidth="1"/>
    <col min="5379" max="5379" width="12.85546875" style="7" customWidth="1"/>
    <col min="5380" max="5380" width="10.5703125" style="7" customWidth="1"/>
    <col min="5381" max="5381" width="12" style="7" customWidth="1"/>
    <col min="5382" max="5382" width="11.140625" style="7" customWidth="1"/>
    <col min="5383" max="5383" width="9.28515625" style="7" customWidth="1"/>
    <col min="5384" max="5384" width="1.42578125" style="7" customWidth="1"/>
    <col min="5385" max="5385" width="17.28515625" style="7" customWidth="1"/>
    <col min="5386" max="5386" width="11.140625" style="7" customWidth="1"/>
    <col min="5387" max="5387" width="12.42578125" style="7" customWidth="1"/>
    <col min="5388" max="5389" width="11.28515625" style="7" customWidth="1"/>
    <col min="5390" max="5390" width="10.5703125" style="7" customWidth="1"/>
    <col min="5391" max="5391" width="16.42578125" style="7" customWidth="1"/>
    <col min="5392" max="5392" width="12.140625" style="7" customWidth="1"/>
    <col min="5393" max="5393" width="10.85546875" style="7" customWidth="1"/>
    <col min="5394" max="5394" width="11.7109375" style="7" customWidth="1"/>
    <col min="5395" max="5615" width="9.140625" style="7"/>
    <col min="5616" max="5616" width="6.28515625" style="7" customWidth="1"/>
    <col min="5617" max="5617" width="20.7109375" style="7" customWidth="1"/>
    <col min="5618" max="5618" width="10" style="7" customWidth="1"/>
    <col min="5619" max="5619" width="1" style="7" customWidth="1"/>
    <col min="5620" max="5620" width="10" style="7" customWidth="1"/>
    <col min="5621" max="5621" width="1.28515625" style="7" customWidth="1"/>
    <col min="5622" max="5622" width="9.7109375" style="7" customWidth="1"/>
    <col min="5623" max="5623" width="1.140625" style="7" customWidth="1"/>
    <col min="5624" max="5624" width="12.5703125" style="7" customWidth="1"/>
    <col min="5625" max="5625" width="4.7109375" style="7" customWidth="1"/>
    <col min="5626" max="5626" width="10.7109375" style="7" customWidth="1"/>
    <col min="5627" max="5627" width="4.5703125" style="7" customWidth="1"/>
    <col min="5628" max="5628" width="12.28515625" style="7" customWidth="1"/>
    <col min="5629" max="5629" width="1.42578125" style="7" customWidth="1"/>
    <col min="5630" max="5630" width="14.140625" style="7" customWidth="1"/>
    <col min="5631" max="5631" width="13.7109375" style="7" customWidth="1"/>
    <col min="5632" max="5632" width="8" style="7" customWidth="1"/>
    <col min="5633" max="5633" width="1.42578125" style="7" customWidth="1"/>
    <col min="5634" max="5634" width="11.28515625" style="7" customWidth="1"/>
    <col min="5635" max="5635" width="12.85546875" style="7" customWidth="1"/>
    <col min="5636" max="5636" width="10.5703125" style="7" customWidth="1"/>
    <col min="5637" max="5637" width="12" style="7" customWidth="1"/>
    <col min="5638" max="5638" width="11.140625" style="7" customWidth="1"/>
    <col min="5639" max="5639" width="9.28515625" style="7" customWidth="1"/>
    <col min="5640" max="5640" width="1.42578125" style="7" customWidth="1"/>
    <col min="5641" max="5641" width="17.28515625" style="7" customWidth="1"/>
    <col min="5642" max="5642" width="11.140625" style="7" customWidth="1"/>
    <col min="5643" max="5643" width="12.42578125" style="7" customWidth="1"/>
    <col min="5644" max="5645" width="11.28515625" style="7" customWidth="1"/>
    <col min="5646" max="5646" width="10.5703125" style="7" customWidth="1"/>
    <col min="5647" max="5647" width="16.42578125" style="7" customWidth="1"/>
    <col min="5648" max="5648" width="12.140625" style="7" customWidth="1"/>
    <col min="5649" max="5649" width="10.85546875" style="7" customWidth="1"/>
    <col min="5650" max="5650" width="11.7109375" style="7" customWidth="1"/>
    <col min="5651" max="5871" width="9.140625" style="7"/>
    <col min="5872" max="5872" width="6.28515625" style="7" customWidth="1"/>
    <col min="5873" max="5873" width="20.7109375" style="7" customWidth="1"/>
    <col min="5874" max="5874" width="10" style="7" customWidth="1"/>
    <col min="5875" max="5875" width="1" style="7" customWidth="1"/>
    <col min="5876" max="5876" width="10" style="7" customWidth="1"/>
    <col min="5877" max="5877" width="1.28515625" style="7" customWidth="1"/>
    <col min="5878" max="5878" width="9.7109375" style="7" customWidth="1"/>
    <col min="5879" max="5879" width="1.140625" style="7" customWidth="1"/>
    <col min="5880" max="5880" width="12.5703125" style="7" customWidth="1"/>
    <col min="5881" max="5881" width="4.7109375" style="7" customWidth="1"/>
    <col min="5882" max="5882" width="10.7109375" style="7" customWidth="1"/>
    <col min="5883" max="5883" width="4.5703125" style="7" customWidth="1"/>
    <col min="5884" max="5884" width="12.28515625" style="7" customWidth="1"/>
    <col min="5885" max="5885" width="1.42578125" style="7" customWidth="1"/>
    <col min="5886" max="5886" width="14.140625" style="7" customWidth="1"/>
    <col min="5887" max="5887" width="13.7109375" style="7" customWidth="1"/>
    <col min="5888" max="5888" width="8" style="7" customWidth="1"/>
    <col min="5889" max="5889" width="1.42578125" style="7" customWidth="1"/>
    <col min="5890" max="5890" width="11.28515625" style="7" customWidth="1"/>
    <col min="5891" max="5891" width="12.85546875" style="7" customWidth="1"/>
    <col min="5892" max="5892" width="10.5703125" style="7" customWidth="1"/>
    <col min="5893" max="5893" width="12" style="7" customWidth="1"/>
    <col min="5894" max="5894" width="11.140625" style="7" customWidth="1"/>
    <col min="5895" max="5895" width="9.28515625" style="7" customWidth="1"/>
    <col min="5896" max="5896" width="1.42578125" style="7" customWidth="1"/>
    <col min="5897" max="5897" width="17.28515625" style="7" customWidth="1"/>
    <col min="5898" max="5898" width="11.140625" style="7" customWidth="1"/>
    <col min="5899" max="5899" width="12.42578125" style="7" customWidth="1"/>
    <col min="5900" max="5901" width="11.28515625" style="7" customWidth="1"/>
    <col min="5902" max="5902" width="10.5703125" style="7" customWidth="1"/>
    <col min="5903" max="5903" width="16.42578125" style="7" customWidth="1"/>
    <col min="5904" max="5904" width="12.140625" style="7" customWidth="1"/>
    <col min="5905" max="5905" width="10.85546875" style="7" customWidth="1"/>
    <col min="5906" max="5906" width="11.7109375" style="7" customWidth="1"/>
    <col min="5907" max="6127" width="9.140625" style="7"/>
    <col min="6128" max="6128" width="6.28515625" style="7" customWidth="1"/>
    <col min="6129" max="6129" width="20.7109375" style="7" customWidth="1"/>
    <col min="6130" max="6130" width="10" style="7" customWidth="1"/>
    <col min="6131" max="6131" width="1" style="7" customWidth="1"/>
    <col min="6132" max="6132" width="10" style="7" customWidth="1"/>
    <col min="6133" max="6133" width="1.28515625" style="7" customWidth="1"/>
    <col min="6134" max="6134" width="9.7109375" style="7" customWidth="1"/>
    <col min="6135" max="6135" width="1.140625" style="7" customWidth="1"/>
    <col min="6136" max="6136" width="12.5703125" style="7" customWidth="1"/>
    <col min="6137" max="6137" width="4.7109375" style="7" customWidth="1"/>
    <col min="6138" max="6138" width="10.7109375" style="7" customWidth="1"/>
    <col min="6139" max="6139" width="4.5703125" style="7" customWidth="1"/>
    <col min="6140" max="6140" width="12.28515625" style="7" customWidth="1"/>
    <col min="6141" max="6141" width="1.42578125" style="7" customWidth="1"/>
    <col min="6142" max="6142" width="14.140625" style="7" customWidth="1"/>
    <col min="6143" max="6143" width="13.7109375" style="7" customWidth="1"/>
    <col min="6144" max="6144" width="8" style="7" customWidth="1"/>
    <col min="6145" max="6145" width="1.42578125" style="7" customWidth="1"/>
    <col min="6146" max="6146" width="11.28515625" style="7" customWidth="1"/>
    <col min="6147" max="6147" width="12.85546875" style="7" customWidth="1"/>
    <col min="6148" max="6148" width="10.5703125" style="7" customWidth="1"/>
    <col min="6149" max="6149" width="12" style="7" customWidth="1"/>
    <col min="6150" max="6150" width="11.140625" style="7" customWidth="1"/>
    <col min="6151" max="6151" width="9.28515625" style="7" customWidth="1"/>
    <col min="6152" max="6152" width="1.42578125" style="7" customWidth="1"/>
    <col min="6153" max="6153" width="17.28515625" style="7" customWidth="1"/>
    <col min="6154" max="6154" width="11.140625" style="7" customWidth="1"/>
    <col min="6155" max="6155" width="12.42578125" style="7" customWidth="1"/>
    <col min="6156" max="6157" width="11.28515625" style="7" customWidth="1"/>
    <col min="6158" max="6158" width="10.5703125" style="7" customWidth="1"/>
    <col min="6159" max="6159" width="16.42578125" style="7" customWidth="1"/>
    <col min="6160" max="6160" width="12.140625" style="7" customWidth="1"/>
    <col min="6161" max="6161" width="10.85546875" style="7" customWidth="1"/>
    <col min="6162" max="6162" width="11.7109375" style="7" customWidth="1"/>
    <col min="6163" max="6383" width="9.140625" style="7"/>
    <col min="6384" max="6384" width="6.28515625" style="7" customWidth="1"/>
    <col min="6385" max="6385" width="20.7109375" style="7" customWidth="1"/>
    <col min="6386" max="6386" width="10" style="7" customWidth="1"/>
    <col min="6387" max="6387" width="1" style="7" customWidth="1"/>
    <col min="6388" max="6388" width="10" style="7" customWidth="1"/>
    <col min="6389" max="6389" width="1.28515625" style="7" customWidth="1"/>
    <col min="6390" max="6390" width="9.7109375" style="7" customWidth="1"/>
    <col min="6391" max="6391" width="1.140625" style="7" customWidth="1"/>
    <col min="6392" max="6392" width="12.5703125" style="7" customWidth="1"/>
    <col min="6393" max="6393" width="4.7109375" style="7" customWidth="1"/>
    <col min="6394" max="6394" width="10.7109375" style="7" customWidth="1"/>
    <col min="6395" max="6395" width="4.5703125" style="7" customWidth="1"/>
    <col min="6396" max="6396" width="12.28515625" style="7" customWidth="1"/>
    <col min="6397" max="6397" width="1.42578125" style="7" customWidth="1"/>
    <col min="6398" max="6398" width="14.140625" style="7" customWidth="1"/>
    <col min="6399" max="6399" width="13.7109375" style="7" customWidth="1"/>
    <col min="6400" max="6400" width="8" style="7" customWidth="1"/>
    <col min="6401" max="6401" width="1.42578125" style="7" customWidth="1"/>
    <col min="6402" max="6402" width="11.28515625" style="7" customWidth="1"/>
    <col min="6403" max="6403" width="12.85546875" style="7" customWidth="1"/>
    <col min="6404" max="6404" width="10.5703125" style="7" customWidth="1"/>
    <col min="6405" max="6405" width="12" style="7" customWidth="1"/>
    <col min="6406" max="6406" width="11.140625" style="7" customWidth="1"/>
    <col min="6407" max="6407" width="9.28515625" style="7" customWidth="1"/>
    <col min="6408" max="6408" width="1.42578125" style="7" customWidth="1"/>
    <col min="6409" max="6409" width="17.28515625" style="7" customWidth="1"/>
    <col min="6410" max="6410" width="11.140625" style="7" customWidth="1"/>
    <col min="6411" max="6411" width="12.42578125" style="7" customWidth="1"/>
    <col min="6412" max="6413" width="11.28515625" style="7" customWidth="1"/>
    <col min="6414" max="6414" width="10.5703125" style="7" customWidth="1"/>
    <col min="6415" max="6415" width="16.42578125" style="7" customWidth="1"/>
    <col min="6416" max="6416" width="12.140625" style="7" customWidth="1"/>
    <col min="6417" max="6417" width="10.85546875" style="7" customWidth="1"/>
    <col min="6418" max="6418" width="11.7109375" style="7" customWidth="1"/>
    <col min="6419" max="6639" width="9.140625" style="7"/>
    <col min="6640" max="6640" width="6.28515625" style="7" customWidth="1"/>
    <col min="6641" max="6641" width="20.7109375" style="7" customWidth="1"/>
    <col min="6642" max="6642" width="10" style="7" customWidth="1"/>
    <col min="6643" max="6643" width="1" style="7" customWidth="1"/>
    <col min="6644" max="6644" width="10" style="7" customWidth="1"/>
    <col min="6645" max="6645" width="1.28515625" style="7" customWidth="1"/>
    <col min="6646" max="6646" width="9.7109375" style="7" customWidth="1"/>
    <col min="6647" max="6647" width="1.140625" style="7" customWidth="1"/>
    <col min="6648" max="6648" width="12.5703125" style="7" customWidth="1"/>
    <col min="6649" max="6649" width="4.7109375" style="7" customWidth="1"/>
    <col min="6650" max="6650" width="10.7109375" style="7" customWidth="1"/>
    <col min="6651" max="6651" width="4.5703125" style="7" customWidth="1"/>
    <col min="6652" max="6652" width="12.28515625" style="7" customWidth="1"/>
    <col min="6653" max="6653" width="1.42578125" style="7" customWidth="1"/>
    <col min="6654" max="6654" width="14.140625" style="7" customWidth="1"/>
    <col min="6655" max="6655" width="13.7109375" style="7" customWidth="1"/>
    <col min="6656" max="6656" width="8" style="7" customWidth="1"/>
    <col min="6657" max="6657" width="1.42578125" style="7" customWidth="1"/>
    <col min="6658" max="6658" width="11.28515625" style="7" customWidth="1"/>
    <col min="6659" max="6659" width="12.85546875" style="7" customWidth="1"/>
    <col min="6660" max="6660" width="10.5703125" style="7" customWidth="1"/>
    <col min="6661" max="6661" width="12" style="7" customWidth="1"/>
    <col min="6662" max="6662" width="11.140625" style="7" customWidth="1"/>
    <col min="6663" max="6663" width="9.28515625" style="7" customWidth="1"/>
    <col min="6664" max="6664" width="1.42578125" style="7" customWidth="1"/>
    <col min="6665" max="6665" width="17.28515625" style="7" customWidth="1"/>
    <col min="6666" max="6666" width="11.140625" style="7" customWidth="1"/>
    <col min="6667" max="6667" width="12.42578125" style="7" customWidth="1"/>
    <col min="6668" max="6669" width="11.28515625" style="7" customWidth="1"/>
    <col min="6670" max="6670" width="10.5703125" style="7" customWidth="1"/>
    <col min="6671" max="6671" width="16.42578125" style="7" customWidth="1"/>
    <col min="6672" max="6672" width="12.140625" style="7" customWidth="1"/>
    <col min="6673" max="6673" width="10.85546875" style="7" customWidth="1"/>
    <col min="6674" max="6674" width="11.7109375" style="7" customWidth="1"/>
    <col min="6675" max="6895" width="9.140625" style="7"/>
    <col min="6896" max="6896" width="6.28515625" style="7" customWidth="1"/>
    <col min="6897" max="6897" width="20.7109375" style="7" customWidth="1"/>
    <col min="6898" max="6898" width="10" style="7" customWidth="1"/>
    <col min="6899" max="6899" width="1" style="7" customWidth="1"/>
    <col min="6900" max="6900" width="10" style="7" customWidth="1"/>
    <col min="6901" max="6901" width="1.28515625" style="7" customWidth="1"/>
    <col min="6902" max="6902" width="9.7109375" style="7" customWidth="1"/>
    <col min="6903" max="6903" width="1.140625" style="7" customWidth="1"/>
    <col min="6904" max="6904" width="12.5703125" style="7" customWidth="1"/>
    <col min="6905" max="6905" width="4.7109375" style="7" customWidth="1"/>
    <col min="6906" max="6906" width="10.7109375" style="7" customWidth="1"/>
    <col min="6907" max="6907" width="4.5703125" style="7" customWidth="1"/>
    <col min="6908" max="6908" width="12.28515625" style="7" customWidth="1"/>
    <col min="6909" max="6909" width="1.42578125" style="7" customWidth="1"/>
    <col min="6910" max="6910" width="14.140625" style="7" customWidth="1"/>
    <col min="6911" max="6911" width="13.7109375" style="7" customWidth="1"/>
    <col min="6912" max="6912" width="8" style="7" customWidth="1"/>
    <col min="6913" max="6913" width="1.42578125" style="7" customWidth="1"/>
    <col min="6914" max="6914" width="11.28515625" style="7" customWidth="1"/>
    <col min="6915" max="6915" width="12.85546875" style="7" customWidth="1"/>
    <col min="6916" max="6916" width="10.5703125" style="7" customWidth="1"/>
    <col min="6917" max="6917" width="12" style="7" customWidth="1"/>
    <col min="6918" max="6918" width="11.140625" style="7" customWidth="1"/>
    <col min="6919" max="6919" width="9.28515625" style="7" customWidth="1"/>
    <col min="6920" max="6920" width="1.42578125" style="7" customWidth="1"/>
    <col min="6921" max="6921" width="17.28515625" style="7" customWidth="1"/>
    <col min="6922" max="6922" width="11.140625" style="7" customWidth="1"/>
    <col min="6923" max="6923" width="12.42578125" style="7" customWidth="1"/>
    <col min="6924" max="6925" width="11.28515625" style="7" customWidth="1"/>
    <col min="6926" max="6926" width="10.5703125" style="7" customWidth="1"/>
    <col min="6927" max="6927" width="16.42578125" style="7" customWidth="1"/>
    <col min="6928" max="6928" width="12.140625" style="7" customWidth="1"/>
    <col min="6929" max="6929" width="10.85546875" style="7" customWidth="1"/>
    <col min="6930" max="6930" width="11.7109375" style="7" customWidth="1"/>
    <col min="6931" max="7151" width="9.140625" style="7"/>
    <col min="7152" max="7152" width="6.28515625" style="7" customWidth="1"/>
    <col min="7153" max="7153" width="20.7109375" style="7" customWidth="1"/>
    <col min="7154" max="7154" width="10" style="7" customWidth="1"/>
    <col min="7155" max="7155" width="1" style="7" customWidth="1"/>
    <col min="7156" max="7156" width="10" style="7" customWidth="1"/>
    <col min="7157" max="7157" width="1.28515625" style="7" customWidth="1"/>
    <col min="7158" max="7158" width="9.7109375" style="7" customWidth="1"/>
    <col min="7159" max="7159" width="1.140625" style="7" customWidth="1"/>
    <col min="7160" max="7160" width="12.5703125" style="7" customWidth="1"/>
    <col min="7161" max="7161" width="4.7109375" style="7" customWidth="1"/>
    <col min="7162" max="7162" width="10.7109375" style="7" customWidth="1"/>
    <col min="7163" max="7163" width="4.5703125" style="7" customWidth="1"/>
    <col min="7164" max="7164" width="12.28515625" style="7" customWidth="1"/>
    <col min="7165" max="7165" width="1.42578125" style="7" customWidth="1"/>
    <col min="7166" max="7166" width="14.140625" style="7" customWidth="1"/>
    <col min="7167" max="7167" width="13.7109375" style="7" customWidth="1"/>
    <col min="7168" max="7168" width="8" style="7" customWidth="1"/>
    <col min="7169" max="7169" width="1.42578125" style="7" customWidth="1"/>
    <col min="7170" max="7170" width="11.28515625" style="7" customWidth="1"/>
    <col min="7171" max="7171" width="12.85546875" style="7" customWidth="1"/>
    <col min="7172" max="7172" width="10.5703125" style="7" customWidth="1"/>
    <col min="7173" max="7173" width="12" style="7" customWidth="1"/>
    <col min="7174" max="7174" width="11.140625" style="7" customWidth="1"/>
    <col min="7175" max="7175" width="9.28515625" style="7" customWidth="1"/>
    <col min="7176" max="7176" width="1.42578125" style="7" customWidth="1"/>
    <col min="7177" max="7177" width="17.28515625" style="7" customWidth="1"/>
    <col min="7178" max="7178" width="11.140625" style="7" customWidth="1"/>
    <col min="7179" max="7179" width="12.42578125" style="7" customWidth="1"/>
    <col min="7180" max="7181" width="11.28515625" style="7" customWidth="1"/>
    <col min="7182" max="7182" width="10.5703125" style="7" customWidth="1"/>
    <col min="7183" max="7183" width="16.42578125" style="7" customWidth="1"/>
    <col min="7184" max="7184" width="12.140625" style="7" customWidth="1"/>
    <col min="7185" max="7185" width="10.85546875" style="7" customWidth="1"/>
    <col min="7186" max="7186" width="11.7109375" style="7" customWidth="1"/>
    <col min="7187" max="7407" width="9.140625" style="7"/>
    <col min="7408" max="7408" width="6.28515625" style="7" customWidth="1"/>
    <col min="7409" max="7409" width="20.7109375" style="7" customWidth="1"/>
    <col min="7410" max="7410" width="10" style="7" customWidth="1"/>
    <col min="7411" max="7411" width="1" style="7" customWidth="1"/>
    <col min="7412" max="7412" width="10" style="7" customWidth="1"/>
    <col min="7413" max="7413" width="1.28515625" style="7" customWidth="1"/>
    <col min="7414" max="7414" width="9.7109375" style="7" customWidth="1"/>
    <col min="7415" max="7415" width="1.140625" style="7" customWidth="1"/>
    <col min="7416" max="7416" width="12.5703125" style="7" customWidth="1"/>
    <col min="7417" max="7417" width="4.7109375" style="7" customWidth="1"/>
    <col min="7418" max="7418" width="10.7109375" style="7" customWidth="1"/>
    <col min="7419" max="7419" width="4.5703125" style="7" customWidth="1"/>
    <col min="7420" max="7420" width="12.28515625" style="7" customWidth="1"/>
    <col min="7421" max="7421" width="1.42578125" style="7" customWidth="1"/>
    <col min="7422" max="7422" width="14.140625" style="7" customWidth="1"/>
    <col min="7423" max="7423" width="13.7109375" style="7" customWidth="1"/>
    <col min="7424" max="7424" width="8" style="7" customWidth="1"/>
    <col min="7425" max="7425" width="1.42578125" style="7" customWidth="1"/>
    <col min="7426" max="7426" width="11.28515625" style="7" customWidth="1"/>
    <col min="7427" max="7427" width="12.85546875" style="7" customWidth="1"/>
    <col min="7428" max="7428" width="10.5703125" style="7" customWidth="1"/>
    <col min="7429" max="7429" width="12" style="7" customWidth="1"/>
    <col min="7430" max="7430" width="11.140625" style="7" customWidth="1"/>
    <col min="7431" max="7431" width="9.28515625" style="7" customWidth="1"/>
    <col min="7432" max="7432" width="1.42578125" style="7" customWidth="1"/>
    <col min="7433" max="7433" width="17.28515625" style="7" customWidth="1"/>
    <col min="7434" max="7434" width="11.140625" style="7" customWidth="1"/>
    <col min="7435" max="7435" width="12.42578125" style="7" customWidth="1"/>
    <col min="7436" max="7437" width="11.28515625" style="7" customWidth="1"/>
    <col min="7438" max="7438" width="10.5703125" style="7" customWidth="1"/>
    <col min="7439" max="7439" width="16.42578125" style="7" customWidth="1"/>
    <col min="7440" max="7440" width="12.140625" style="7" customWidth="1"/>
    <col min="7441" max="7441" width="10.85546875" style="7" customWidth="1"/>
    <col min="7442" max="7442" width="11.7109375" style="7" customWidth="1"/>
    <col min="7443" max="7663" width="9.140625" style="7"/>
    <col min="7664" max="7664" width="6.28515625" style="7" customWidth="1"/>
    <col min="7665" max="7665" width="20.7109375" style="7" customWidth="1"/>
    <col min="7666" max="7666" width="10" style="7" customWidth="1"/>
    <col min="7667" max="7667" width="1" style="7" customWidth="1"/>
    <col min="7668" max="7668" width="10" style="7" customWidth="1"/>
    <col min="7669" max="7669" width="1.28515625" style="7" customWidth="1"/>
    <col min="7670" max="7670" width="9.7109375" style="7" customWidth="1"/>
    <col min="7671" max="7671" width="1.140625" style="7" customWidth="1"/>
    <col min="7672" max="7672" width="12.5703125" style="7" customWidth="1"/>
    <col min="7673" max="7673" width="4.7109375" style="7" customWidth="1"/>
    <col min="7674" max="7674" width="10.7109375" style="7" customWidth="1"/>
    <col min="7675" max="7675" width="4.5703125" style="7" customWidth="1"/>
    <col min="7676" max="7676" width="12.28515625" style="7" customWidth="1"/>
    <col min="7677" max="7677" width="1.42578125" style="7" customWidth="1"/>
    <col min="7678" max="7678" width="14.140625" style="7" customWidth="1"/>
    <col min="7679" max="7679" width="13.7109375" style="7" customWidth="1"/>
    <col min="7680" max="7680" width="8" style="7" customWidth="1"/>
    <col min="7681" max="7681" width="1.42578125" style="7" customWidth="1"/>
    <col min="7682" max="7682" width="11.28515625" style="7" customWidth="1"/>
    <col min="7683" max="7683" width="12.85546875" style="7" customWidth="1"/>
    <col min="7684" max="7684" width="10.5703125" style="7" customWidth="1"/>
    <col min="7685" max="7685" width="12" style="7" customWidth="1"/>
    <col min="7686" max="7686" width="11.140625" style="7" customWidth="1"/>
    <col min="7687" max="7687" width="9.28515625" style="7" customWidth="1"/>
    <col min="7688" max="7688" width="1.42578125" style="7" customWidth="1"/>
    <col min="7689" max="7689" width="17.28515625" style="7" customWidth="1"/>
    <col min="7690" max="7690" width="11.140625" style="7" customWidth="1"/>
    <col min="7691" max="7691" width="12.42578125" style="7" customWidth="1"/>
    <col min="7692" max="7693" width="11.28515625" style="7" customWidth="1"/>
    <col min="7694" max="7694" width="10.5703125" style="7" customWidth="1"/>
    <col min="7695" max="7695" width="16.42578125" style="7" customWidth="1"/>
    <col min="7696" max="7696" width="12.140625" style="7" customWidth="1"/>
    <col min="7697" max="7697" width="10.85546875" style="7" customWidth="1"/>
    <col min="7698" max="7698" width="11.7109375" style="7" customWidth="1"/>
    <col min="7699" max="7919" width="9.140625" style="7"/>
    <col min="7920" max="7920" width="6.28515625" style="7" customWidth="1"/>
    <col min="7921" max="7921" width="20.7109375" style="7" customWidth="1"/>
    <col min="7922" max="7922" width="10" style="7" customWidth="1"/>
    <col min="7923" max="7923" width="1" style="7" customWidth="1"/>
    <col min="7924" max="7924" width="10" style="7" customWidth="1"/>
    <col min="7925" max="7925" width="1.28515625" style="7" customWidth="1"/>
    <col min="7926" max="7926" width="9.7109375" style="7" customWidth="1"/>
    <col min="7927" max="7927" width="1.140625" style="7" customWidth="1"/>
    <col min="7928" max="7928" width="12.5703125" style="7" customWidth="1"/>
    <col min="7929" max="7929" width="4.7109375" style="7" customWidth="1"/>
    <col min="7930" max="7930" width="10.7109375" style="7" customWidth="1"/>
    <col min="7931" max="7931" width="4.5703125" style="7" customWidth="1"/>
    <col min="7932" max="7932" width="12.28515625" style="7" customWidth="1"/>
    <col min="7933" max="7933" width="1.42578125" style="7" customWidth="1"/>
    <col min="7934" max="7934" width="14.140625" style="7" customWidth="1"/>
    <col min="7935" max="7935" width="13.7109375" style="7" customWidth="1"/>
    <col min="7936" max="7936" width="8" style="7" customWidth="1"/>
    <col min="7937" max="7937" width="1.42578125" style="7" customWidth="1"/>
    <col min="7938" max="7938" width="11.28515625" style="7" customWidth="1"/>
    <col min="7939" max="7939" width="12.85546875" style="7" customWidth="1"/>
    <col min="7940" max="7940" width="10.5703125" style="7" customWidth="1"/>
    <col min="7941" max="7941" width="12" style="7" customWidth="1"/>
    <col min="7942" max="7942" width="11.140625" style="7" customWidth="1"/>
    <col min="7943" max="7943" width="9.28515625" style="7" customWidth="1"/>
    <col min="7944" max="7944" width="1.42578125" style="7" customWidth="1"/>
    <col min="7945" max="7945" width="17.28515625" style="7" customWidth="1"/>
    <col min="7946" max="7946" width="11.140625" style="7" customWidth="1"/>
    <col min="7947" max="7947" width="12.42578125" style="7" customWidth="1"/>
    <col min="7948" max="7949" width="11.28515625" style="7" customWidth="1"/>
    <col min="7950" max="7950" width="10.5703125" style="7" customWidth="1"/>
    <col min="7951" max="7951" width="16.42578125" style="7" customWidth="1"/>
    <col min="7952" max="7952" width="12.140625" style="7" customWidth="1"/>
    <col min="7953" max="7953" width="10.85546875" style="7" customWidth="1"/>
    <col min="7954" max="7954" width="11.7109375" style="7" customWidth="1"/>
    <col min="7955" max="8175" width="9.140625" style="7"/>
    <col min="8176" max="8176" width="6.28515625" style="7" customWidth="1"/>
    <col min="8177" max="8177" width="20.7109375" style="7" customWidth="1"/>
    <col min="8178" max="8178" width="10" style="7" customWidth="1"/>
    <col min="8179" max="8179" width="1" style="7" customWidth="1"/>
    <col min="8180" max="8180" width="10" style="7" customWidth="1"/>
    <col min="8181" max="8181" width="1.28515625" style="7" customWidth="1"/>
    <col min="8182" max="8182" width="9.7109375" style="7" customWidth="1"/>
    <col min="8183" max="8183" width="1.140625" style="7" customWidth="1"/>
    <col min="8184" max="8184" width="12.5703125" style="7" customWidth="1"/>
    <col min="8185" max="8185" width="4.7109375" style="7" customWidth="1"/>
    <col min="8186" max="8186" width="10.7109375" style="7" customWidth="1"/>
    <col min="8187" max="8187" width="4.5703125" style="7" customWidth="1"/>
    <col min="8188" max="8188" width="12.28515625" style="7" customWidth="1"/>
    <col min="8189" max="8189" width="1.42578125" style="7" customWidth="1"/>
    <col min="8190" max="8190" width="14.140625" style="7" customWidth="1"/>
    <col min="8191" max="8191" width="13.7109375" style="7" customWidth="1"/>
    <col min="8192" max="8192" width="8" style="7" customWidth="1"/>
    <col min="8193" max="8193" width="1.42578125" style="7" customWidth="1"/>
    <col min="8194" max="8194" width="11.28515625" style="7" customWidth="1"/>
    <col min="8195" max="8195" width="12.85546875" style="7" customWidth="1"/>
    <col min="8196" max="8196" width="10.5703125" style="7" customWidth="1"/>
    <col min="8197" max="8197" width="12" style="7" customWidth="1"/>
    <col min="8198" max="8198" width="11.140625" style="7" customWidth="1"/>
    <col min="8199" max="8199" width="9.28515625" style="7" customWidth="1"/>
    <col min="8200" max="8200" width="1.42578125" style="7" customWidth="1"/>
    <col min="8201" max="8201" width="17.28515625" style="7" customWidth="1"/>
    <col min="8202" max="8202" width="11.140625" style="7" customWidth="1"/>
    <col min="8203" max="8203" width="12.42578125" style="7" customWidth="1"/>
    <col min="8204" max="8205" width="11.28515625" style="7" customWidth="1"/>
    <col min="8206" max="8206" width="10.5703125" style="7" customWidth="1"/>
    <col min="8207" max="8207" width="16.42578125" style="7" customWidth="1"/>
    <col min="8208" max="8208" width="12.140625" style="7" customWidth="1"/>
    <col min="8209" max="8209" width="10.85546875" style="7" customWidth="1"/>
    <col min="8210" max="8210" width="11.7109375" style="7" customWidth="1"/>
    <col min="8211" max="8431" width="9.140625" style="7"/>
    <col min="8432" max="8432" width="6.28515625" style="7" customWidth="1"/>
    <col min="8433" max="8433" width="20.7109375" style="7" customWidth="1"/>
    <col min="8434" max="8434" width="10" style="7" customWidth="1"/>
    <col min="8435" max="8435" width="1" style="7" customWidth="1"/>
    <col min="8436" max="8436" width="10" style="7" customWidth="1"/>
    <col min="8437" max="8437" width="1.28515625" style="7" customWidth="1"/>
    <col min="8438" max="8438" width="9.7109375" style="7" customWidth="1"/>
    <col min="8439" max="8439" width="1.140625" style="7" customWidth="1"/>
    <col min="8440" max="8440" width="12.5703125" style="7" customWidth="1"/>
    <col min="8441" max="8441" width="4.7109375" style="7" customWidth="1"/>
    <col min="8442" max="8442" width="10.7109375" style="7" customWidth="1"/>
    <col min="8443" max="8443" width="4.5703125" style="7" customWidth="1"/>
    <col min="8444" max="8444" width="12.28515625" style="7" customWidth="1"/>
    <col min="8445" max="8445" width="1.42578125" style="7" customWidth="1"/>
    <col min="8446" max="8446" width="14.140625" style="7" customWidth="1"/>
    <col min="8447" max="8447" width="13.7109375" style="7" customWidth="1"/>
    <col min="8448" max="8448" width="8" style="7" customWidth="1"/>
    <col min="8449" max="8449" width="1.42578125" style="7" customWidth="1"/>
    <col min="8450" max="8450" width="11.28515625" style="7" customWidth="1"/>
    <col min="8451" max="8451" width="12.85546875" style="7" customWidth="1"/>
    <col min="8452" max="8452" width="10.5703125" style="7" customWidth="1"/>
    <col min="8453" max="8453" width="12" style="7" customWidth="1"/>
    <col min="8454" max="8454" width="11.140625" style="7" customWidth="1"/>
    <col min="8455" max="8455" width="9.28515625" style="7" customWidth="1"/>
    <col min="8456" max="8456" width="1.42578125" style="7" customWidth="1"/>
    <col min="8457" max="8457" width="17.28515625" style="7" customWidth="1"/>
    <col min="8458" max="8458" width="11.140625" style="7" customWidth="1"/>
    <col min="8459" max="8459" width="12.42578125" style="7" customWidth="1"/>
    <col min="8460" max="8461" width="11.28515625" style="7" customWidth="1"/>
    <col min="8462" max="8462" width="10.5703125" style="7" customWidth="1"/>
    <col min="8463" max="8463" width="16.42578125" style="7" customWidth="1"/>
    <col min="8464" max="8464" width="12.140625" style="7" customWidth="1"/>
    <col min="8465" max="8465" width="10.85546875" style="7" customWidth="1"/>
    <col min="8466" max="8466" width="11.7109375" style="7" customWidth="1"/>
    <col min="8467" max="8687" width="9.140625" style="7"/>
    <col min="8688" max="8688" width="6.28515625" style="7" customWidth="1"/>
    <col min="8689" max="8689" width="20.7109375" style="7" customWidth="1"/>
    <col min="8690" max="8690" width="10" style="7" customWidth="1"/>
    <col min="8691" max="8691" width="1" style="7" customWidth="1"/>
    <col min="8692" max="8692" width="10" style="7" customWidth="1"/>
    <col min="8693" max="8693" width="1.28515625" style="7" customWidth="1"/>
    <col min="8694" max="8694" width="9.7109375" style="7" customWidth="1"/>
    <col min="8695" max="8695" width="1.140625" style="7" customWidth="1"/>
    <col min="8696" max="8696" width="12.5703125" style="7" customWidth="1"/>
    <col min="8697" max="8697" width="4.7109375" style="7" customWidth="1"/>
    <col min="8698" max="8698" width="10.7109375" style="7" customWidth="1"/>
    <col min="8699" max="8699" width="4.5703125" style="7" customWidth="1"/>
    <col min="8700" max="8700" width="12.28515625" style="7" customWidth="1"/>
    <col min="8701" max="8701" width="1.42578125" style="7" customWidth="1"/>
    <col min="8702" max="8702" width="14.140625" style="7" customWidth="1"/>
    <col min="8703" max="8703" width="13.7109375" style="7" customWidth="1"/>
    <col min="8704" max="8704" width="8" style="7" customWidth="1"/>
    <col min="8705" max="8705" width="1.42578125" style="7" customWidth="1"/>
    <col min="8706" max="8706" width="11.28515625" style="7" customWidth="1"/>
    <col min="8707" max="8707" width="12.85546875" style="7" customWidth="1"/>
    <col min="8708" max="8708" width="10.5703125" style="7" customWidth="1"/>
    <col min="8709" max="8709" width="12" style="7" customWidth="1"/>
    <col min="8710" max="8710" width="11.140625" style="7" customWidth="1"/>
    <col min="8711" max="8711" width="9.28515625" style="7" customWidth="1"/>
    <col min="8712" max="8712" width="1.42578125" style="7" customWidth="1"/>
    <col min="8713" max="8713" width="17.28515625" style="7" customWidth="1"/>
    <col min="8714" max="8714" width="11.140625" style="7" customWidth="1"/>
    <col min="8715" max="8715" width="12.42578125" style="7" customWidth="1"/>
    <col min="8716" max="8717" width="11.28515625" style="7" customWidth="1"/>
    <col min="8718" max="8718" width="10.5703125" style="7" customWidth="1"/>
    <col min="8719" max="8719" width="16.42578125" style="7" customWidth="1"/>
    <col min="8720" max="8720" width="12.140625" style="7" customWidth="1"/>
    <col min="8721" max="8721" width="10.85546875" style="7" customWidth="1"/>
    <col min="8722" max="8722" width="11.7109375" style="7" customWidth="1"/>
    <col min="8723" max="8943" width="9.140625" style="7"/>
    <col min="8944" max="8944" width="6.28515625" style="7" customWidth="1"/>
    <col min="8945" max="8945" width="20.7109375" style="7" customWidth="1"/>
    <col min="8946" max="8946" width="10" style="7" customWidth="1"/>
    <col min="8947" max="8947" width="1" style="7" customWidth="1"/>
    <col min="8948" max="8948" width="10" style="7" customWidth="1"/>
    <col min="8949" max="8949" width="1.28515625" style="7" customWidth="1"/>
    <col min="8950" max="8950" width="9.7109375" style="7" customWidth="1"/>
    <col min="8951" max="8951" width="1.140625" style="7" customWidth="1"/>
    <col min="8952" max="8952" width="12.5703125" style="7" customWidth="1"/>
    <col min="8953" max="8953" width="4.7109375" style="7" customWidth="1"/>
    <col min="8954" max="8954" width="10.7109375" style="7" customWidth="1"/>
    <col min="8955" max="8955" width="4.5703125" style="7" customWidth="1"/>
    <col min="8956" max="8956" width="12.28515625" style="7" customWidth="1"/>
    <col min="8957" max="8957" width="1.42578125" style="7" customWidth="1"/>
    <col min="8958" max="8958" width="14.140625" style="7" customWidth="1"/>
    <col min="8959" max="8959" width="13.7109375" style="7" customWidth="1"/>
    <col min="8960" max="8960" width="8" style="7" customWidth="1"/>
    <col min="8961" max="8961" width="1.42578125" style="7" customWidth="1"/>
    <col min="8962" max="8962" width="11.28515625" style="7" customWidth="1"/>
    <col min="8963" max="8963" width="12.85546875" style="7" customWidth="1"/>
    <col min="8964" max="8964" width="10.5703125" style="7" customWidth="1"/>
    <col min="8965" max="8965" width="12" style="7" customWidth="1"/>
    <col min="8966" max="8966" width="11.140625" style="7" customWidth="1"/>
    <col min="8967" max="8967" width="9.28515625" style="7" customWidth="1"/>
    <col min="8968" max="8968" width="1.42578125" style="7" customWidth="1"/>
    <col min="8969" max="8969" width="17.28515625" style="7" customWidth="1"/>
    <col min="8970" max="8970" width="11.140625" style="7" customWidth="1"/>
    <col min="8971" max="8971" width="12.42578125" style="7" customWidth="1"/>
    <col min="8972" max="8973" width="11.28515625" style="7" customWidth="1"/>
    <col min="8974" max="8974" width="10.5703125" style="7" customWidth="1"/>
    <col min="8975" max="8975" width="16.42578125" style="7" customWidth="1"/>
    <col min="8976" max="8976" width="12.140625" style="7" customWidth="1"/>
    <col min="8977" max="8977" width="10.85546875" style="7" customWidth="1"/>
    <col min="8978" max="8978" width="11.7109375" style="7" customWidth="1"/>
    <col min="8979" max="9199" width="9.140625" style="7"/>
    <col min="9200" max="9200" width="6.28515625" style="7" customWidth="1"/>
    <col min="9201" max="9201" width="20.7109375" style="7" customWidth="1"/>
    <col min="9202" max="9202" width="10" style="7" customWidth="1"/>
    <col min="9203" max="9203" width="1" style="7" customWidth="1"/>
    <col min="9204" max="9204" width="10" style="7" customWidth="1"/>
    <col min="9205" max="9205" width="1.28515625" style="7" customWidth="1"/>
    <col min="9206" max="9206" width="9.7109375" style="7" customWidth="1"/>
    <col min="9207" max="9207" width="1.140625" style="7" customWidth="1"/>
    <col min="9208" max="9208" width="12.5703125" style="7" customWidth="1"/>
    <col min="9209" max="9209" width="4.7109375" style="7" customWidth="1"/>
    <col min="9210" max="9210" width="10.7109375" style="7" customWidth="1"/>
    <col min="9211" max="9211" width="4.5703125" style="7" customWidth="1"/>
    <col min="9212" max="9212" width="12.28515625" style="7" customWidth="1"/>
    <col min="9213" max="9213" width="1.42578125" style="7" customWidth="1"/>
    <col min="9214" max="9214" width="14.140625" style="7" customWidth="1"/>
    <col min="9215" max="9215" width="13.7109375" style="7" customWidth="1"/>
    <col min="9216" max="9216" width="8" style="7" customWidth="1"/>
    <col min="9217" max="9217" width="1.42578125" style="7" customWidth="1"/>
    <col min="9218" max="9218" width="11.28515625" style="7" customWidth="1"/>
    <col min="9219" max="9219" width="12.85546875" style="7" customWidth="1"/>
    <col min="9220" max="9220" width="10.5703125" style="7" customWidth="1"/>
    <col min="9221" max="9221" width="12" style="7" customWidth="1"/>
    <col min="9222" max="9222" width="11.140625" style="7" customWidth="1"/>
    <col min="9223" max="9223" width="9.28515625" style="7" customWidth="1"/>
    <col min="9224" max="9224" width="1.42578125" style="7" customWidth="1"/>
    <col min="9225" max="9225" width="17.28515625" style="7" customWidth="1"/>
    <col min="9226" max="9226" width="11.140625" style="7" customWidth="1"/>
    <col min="9227" max="9227" width="12.42578125" style="7" customWidth="1"/>
    <col min="9228" max="9229" width="11.28515625" style="7" customWidth="1"/>
    <col min="9230" max="9230" width="10.5703125" style="7" customWidth="1"/>
    <col min="9231" max="9231" width="16.42578125" style="7" customWidth="1"/>
    <col min="9232" max="9232" width="12.140625" style="7" customWidth="1"/>
    <col min="9233" max="9233" width="10.85546875" style="7" customWidth="1"/>
    <col min="9234" max="9234" width="11.7109375" style="7" customWidth="1"/>
    <col min="9235" max="9455" width="9.140625" style="7"/>
    <col min="9456" max="9456" width="6.28515625" style="7" customWidth="1"/>
    <col min="9457" max="9457" width="20.7109375" style="7" customWidth="1"/>
    <col min="9458" max="9458" width="10" style="7" customWidth="1"/>
    <col min="9459" max="9459" width="1" style="7" customWidth="1"/>
    <col min="9460" max="9460" width="10" style="7" customWidth="1"/>
    <col min="9461" max="9461" width="1.28515625" style="7" customWidth="1"/>
    <col min="9462" max="9462" width="9.7109375" style="7" customWidth="1"/>
    <col min="9463" max="9463" width="1.140625" style="7" customWidth="1"/>
    <col min="9464" max="9464" width="12.5703125" style="7" customWidth="1"/>
    <col min="9465" max="9465" width="4.7109375" style="7" customWidth="1"/>
    <col min="9466" max="9466" width="10.7109375" style="7" customWidth="1"/>
    <col min="9467" max="9467" width="4.5703125" style="7" customWidth="1"/>
    <col min="9468" max="9468" width="12.28515625" style="7" customWidth="1"/>
    <col min="9469" max="9469" width="1.42578125" style="7" customWidth="1"/>
    <col min="9470" max="9470" width="14.140625" style="7" customWidth="1"/>
    <col min="9471" max="9471" width="13.7109375" style="7" customWidth="1"/>
    <col min="9472" max="9472" width="8" style="7" customWidth="1"/>
    <col min="9473" max="9473" width="1.42578125" style="7" customWidth="1"/>
    <col min="9474" max="9474" width="11.28515625" style="7" customWidth="1"/>
    <col min="9475" max="9475" width="12.85546875" style="7" customWidth="1"/>
    <col min="9476" max="9476" width="10.5703125" style="7" customWidth="1"/>
    <col min="9477" max="9477" width="12" style="7" customWidth="1"/>
    <col min="9478" max="9478" width="11.140625" style="7" customWidth="1"/>
    <col min="9479" max="9479" width="9.28515625" style="7" customWidth="1"/>
    <col min="9480" max="9480" width="1.42578125" style="7" customWidth="1"/>
    <col min="9481" max="9481" width="17.28515625" style="7" customWidth="1"/>
    <col min="9482" max="9482" width="11.140625" style="7" customWidth="1"/>
    <col min="9483" max="9483" width="12.42578125" style="7" customWidth="1"/>
    <col min="9484" max="9485" width="11.28515625" style="7" customWidth="1"/>
    <col min="9486" max="9486" width="10.5703125" style="7" customWidth="1"/>
    <col min="9487" max="9487" width="16.42578125" style="7" customWidth="1"/>
    <col min="9488" max="9488" width="12.140625" style="7" customWidth="1"/>
    <col min="9489" max="9489" width="10.85546875" style="7" customWidth="1"/>
    <col min="9490" max="9490" width="11.7109375" style="7" customWidth="1"/>
    <col min="9491" max="9711" width="9.140625" style="7"/>
    <col min="9712" max="9712" width="6.28515625" style="7" customWidth="1"/>
    <col min="9713" max="9713" width="20.7109375" style="7" customWidth="1"/>
    <col min="9714" max="9714" width="10" style="7" customWidth="1"/>
    <col min="9715" max="9715" width="1" style="7" customWidth="1"/>
    <col min="9716" max="9716" width="10" style="7" customWidth="1"/>
    <col min="9717" max="9717" width="1.28515625" style="7" customWidth="1"/>
    <col min="9718" max="9718" width="9.7109375" style="7" customWidth="1"/>
    <col min="9719" max="9719" width="1.140625" style="7" customWidth="1"/>
    <col min="9720" max="9720" width="12.5703125" style="7" customWidth="1"/>
    <col min="9721" max="9721" width="4.7109375" style="7" customWidth="1"/>
    <col min="9722" max="9722" width="10.7109375" style="7" customWidth="1"/>
    <col min="9723" max="9723" width="4.5703125" style="7" customWidth="1"/>
    <col min="9724" max="9724" width="12.28515625" style="7" customWidth="1"/>
    <col min="9725" max="9725" width="1.42578125" style="7" customWidth="1"/>
    <col min="9726" max="9726" width="14.140625" style="7" customWidth="1"/>
    <col min="9727" max="9727" width="13.7109375" style="7" customWidth="1"/>
    <col min="9728" max="9728" width="8" style="7" customWidth="1"/>
    <col min="9729" max="9729" width="1.42578125" style="7" customWidth="1"/>
    <col min="9730" max="9730" width="11.28515625" style="7" customWidth="1"/>
    <col min="9731" max="9731" width="12.85546875" style="7" customWidth="1"/>
    <col min="9732" max="9732" width="10.5703125" style="7" customWidth="1"/>
    <col min="9733" max="9733" width="12" style="7" customWidth="1"/>
    <col min="9734" max="9734" width="11.140625" style="7" customWidth="1"/>
    <col min="9735" max="9735" width="9.28515625" style="7" customWidth="1"/>
    <col min="9736" max="9736" width="1.42578125" style="7" customWidth="1"/>
    <col min="9737" max="9737" width="17.28515625" style="7" customWidth="1"/>
    <col min="9738" max="9738" width="11.140625" style="7" customWidth="1"/>
    <col min="9739" max="9739" width="12.42578125" style="7" customWidth="1"/>
    <col min="9740" max="9741" width="11.28515625" style="7" customWidth="1"/>
    <col min="9742" max="9742" width="10.5703125" style="7" customWidth="1"/>
    <col min="9743" max="9743" width="16.42578125" style="7" customWidth="1"/>
    <col min="9744" max="9744" width="12.140625" style="7" customWidth="1"/>
    <col min="9745" max="9745" width="10.85546875" style="7" customWidth="1"/>
    <col min="9746" max="9746" width="11.7109375" style="7" customWidth="1"/>
    <col min="9747" max="9967" width="9.140625" style="7"/>
    <col min="9968" max="9968" width="6.28515625" style="7" customWidth="1"/>
    <col min="9969" max="9969" width="20.7109375" style="7" customWidth="1"/>
    <col min="9970" max="9970" width="10" style="7" customWidth="1"/>
    <col min="9971" max="9971" width="1" style="7" customWidth="1"/>
    <col min="9972" max="9972" width="10" style="7" customWidth="1"/>
    <col min="9973" max="9973" width="1.28515625" style="7" customWidth="1"/>
    <col min="9974" max="9974" width="9.7109375" style="7" customWidth="1"/>
    <col min="9975" max="9975" width="1.140625" style="7" customWidth="1"/>
    <col min="9976" max="9976" width="12.5703125" style="7" customWidth="1"/>
    <col min="9977" max="9977" width="4.7109375" style="7" customWidth="1"/>
    <col min="9978" max="9978" width="10.7109375" style="7" customWidth="1"/>
    <col min="9979" max="9979" width="4.5703125" style="7" customWidth="1"/>
    <col min="9980" max="9980" width="12.28515625" style="7" customWidth="1"/>
    <col min="9981" max="9981" width="1.42578125" style="7" customWidth="1"/>
    <col min="9982" max="9982" width="14.140625" style="7" customWidth="1"/>
    <col min="9983" max="9983" width="13.7109375" style="7" customWidth="1"/>
    <col min="9984" max="9984" width="8" style="7" customWidth="1"/>
    <col min="9985" max="9985" width="1.42578125" style="7" customWidth="1"/>
    <col min="9986" max="9986" width="11.28515625" style="7" customWidth="1"/>
    <col min="9987" max="9987" width="12.85546875" style="7" customWidth="1"/>
    <col min="9988" max="9988" width="10.5703125" style="7" customWidth="1"/>
    <col min="9989" max="9989" width="12" style="7" customWidth="1"/>
    <col min="9990" max="9990" width="11.140625" style="7" customWidth="1"/>
    <col min="9991" max="9991" width="9.28515625" style="7" customWidth="1"/>
    <col min="9992" max="9992" width="1.42578125" style="7" customWidth="1"/>
    <col min="9993" max="9993" width="17.28515625" style="7" customWidth="1"/>
    <col min="9994" max="9994" width="11.140625" style="7" customWidth="1"/>
    <col min="9995" max="9995" width="12.42578125" style="7" customWidth="1"/>
    <col min="9996" max="9997" width="11.28515625" style="7" customWidth="1"/>
    <col min="9998" max="9998" width="10.5703125" style="7" customWidth="1"/>
    <col min="9999" max="9999" width="16.42578125" style="7" customWidth="1"/>
    <col min="10000" max="10000" width="12.140625" style="7" customWidth="1"/>
    <col min="10001" max="10001" width="10.85546875" style="7" customWidth="1"/>
    <col min="10002" max="10002" width="11.7109375" style="7" customWidth="1"/>
    <col min="10003" max="10223" width="9.140625" style="7"/>
    <col min="10224" max="10224" width="6.28515625" style="7" customWidth="1"/>
    <col min="10225" max="10225" width="20.7109375" style="7" customWidth="1"/>
    <col min="10226" max="10226" width="10" style="7" customWidth="1"/>
    <col min="10227" max="10227" width="1" style="7" customWidth="1"/>
    <col min="10228" max="10228" width="10" style="7" customWidth="1"/>
    <col min="10229" max="10229" width="1.28515625" style="7" customWidth="1"/>
    <col min="10230" max="10230" width="9.7109375" style="7" customWidth="1"/>
    <col min="10231" max="10231" width="1.140625" style="7" customWidth="1"/>
    <col min="10232" max="10232" width="12.5703125" style="7" customWidth="1"/>
    <col min="10233" max="10233" width="4.7109375" style="7" customWidth="1"/>
    <col min="10234" max="10234" width="10.7109375" style="7" customWidth="1"/>
    <col min="10235" max="10235" width="4.5703125" style="7" customWidth="1"/>
    <col min="10236" max="10236" width="12.28515625" style="7" customWidth="1"/>
    <col min="10237" max="10237" width="1.42578125" style="7" customWidth="1"/>
    <col min="10238" max="10238" width="14.140625" style="7" customWidth="1"/>
    <col min="10239" max="10239" width="13.7109375" style="7" customWidth="1"/>
    <col min="10240" max="10240" width="8" style="7" customWidth="1"/>
    <col min="10241" max="10241" width="1.42578125" style="7" customWidth="1"/>
    <col min="10242" max="10242" width="11.28515625" style="7" customWidth="1"/>
    <col min="10243" max="10243" width="12.85546875" style="7" customWidth="1"/>
    <col min="10244" max="10244" width="10.5703125" style="7" customWidth="1"/>
    <col min="10245" max="10245" width="12" style="7" customWidth="1"/>
    <col min="10246" max="10246" width="11.140625" style="7" customWidth="1"/>
    <col min="10247" max="10247" width="9.28515625" style="7" customWidth="1"/>
    <col min="10248" max="10248" width="1.42578125" style="7" customWidth="1"/>
    <col min="10249" max="10249" width="17.28515625" style="7" customWidth="1"/>
    <col min="10250" max="10250" width="11.140625" style="7" customWidth="1"/>
    <col min="10251" max="10251" width="12.42578125" style="7" customWidth="1"/>
    <col min="10252" max="10253" width="11.28515625" style="7" customWidth="1"/>
    <col min="10254" max="10254" width="10.5703125" style="7" customWidth="1"/>
    <col min="10255" max="10255" width="16.42578125" style="7" customWidth="1"/>
    <col min="10256" max="10256" width="12.140625" style="7" customWidth="1"/>
    <col min="10257" max="10257" width="10.85546875" style="7" customWidth="1"/>
    <col min="10258" max="10258" width="11.7109375" style="7" customWidth="1"/>
    <col min="10259" max="10479" width="9.140625" style="7"/>
    <col min="10480" max="10480" width="6.28515625" style="7" customWidth="1"/>
    <col min="10481" max="10481" width="20.7109375" style="7" customWidth="1"/>
    <col min="10482" max="10482" width="10" style="7" customWidth="1"/>
    <col min="10483" max="10483" width="1" style="7" customWidth="1"/>
    <col min="10484" max="10484" width="10" style="7" customWidth="1"/>
    <col min="10485" max="10485" width="1.28515625" style="7" customWidth="1"/>
    <col min="10486" max="10486" width="9.7109375" style="7" customWidth="1"/>
    <col min="10487" max="10487" width="1.140625" style="7" customWidth="1"/>
    <col min="10488" max="10488" width="12.5703125" style="7" customWidth="1"/>
    <col min="10489" max="10489" width="4.7109375" style="7" customWidth="1"/>
    <col min="10490" max="10490" width="10.7109375" style="7" customWidth="1"/>
    <col min="10491" max="10491" width="4.5703125" style="7" customWidth="1"/>
    <col min="10492" max="10492" width="12.28515625" style="7" customWidth="1"/>
    <col min="10493" max="10493" width="1.42578125" style="7" customWidth="1"/>
    <col min="10494" max="10494" width="14.140625" style="7" customWidth="1"/>
    <col min="10495" max="10495" width="13.7109375" style="7" customWidth="1"/>
    <col min="10496" max="10496" width="8" style="7" customWidth="1"/>
    <col min="10497" max="10497" width="1.42578125" style="7" customWidth="1"/>
    <col min="10498" max="10498" width="11.28515625" style="7" customWidth="1"/>
    <col min="10499" max="10499" width="12.85546875" style="7" customWidth="1"/>
    <col min="10500" max="10500" width="10.5703125" style="7" customWidth="1"/>
    <col min="10501" max="10501" width="12" style="7" customWidth="1"/>
    <col min="10502" max="10502" width="11.140625" style="7" customWidth="1"/>
    <col min="10503" max="10503" width="9.28515625" style="7" customWidth="1"/>
    <col min="10504" max="10504" width="1.42578125" style="7" customWidth="1"/>
    <col min="10505" max="10505" width="17.28515625" style="7" customWidth="1"/>
    <col min="10506" max="10506" width="11.140625" style="7" customWidth="1"/>
    <col min="10507" max="10507" width="12.42578125" style="7" customWidth="1"/>
    <col min="10508" max="10509" width="11.28515625" style="7" customWidth="1"/>
    <col min="10510" max="10510" width="10.5703125" style="7" customWidth="1"/>
    <col min="10511" max="10511" width="16.42578125" style="7" customWidth="1"/>
    <col min="10512" max="10512" width="12.140625" style="7" customWidth="1"/>
    <col min="10513" max="10513" width="10.85546875" style="7" customWidth="1"/>
    <col min="10514" max="10514" width="11.7109375" style="7" customWidth="1"/>
    <col min="10515" max="10735" width="9.140625" style="7"/>
    <col min="10736" max="10736" width="6.28515625" style="7" customWidth="1"/>
    <col min="10737" max="10737" width="20.7109375" style="7" customWidth="1"/>
    <col min="10738" max="10738" width="10" style="7" customWidth="1"/>
    <col min="10739" max="10739" width="1" style="7" customWidth="1"/>
    <col min="10740" max="10740" width="10" style="7" customWidth="1"/>
    <col min="10741" max="10741" width="1.28515625" style="7" customWidth="1"/>
    <col min="10742" max="10742" width="9.7109375" style="7" customWidth="1"/>
    <col min="10743" max="10743" width="1.140625" style="7" customWidth="1"/>
    <col min="10744" max="10744" width="12.5703125" style="7" customWidth="1"/>
    <col min="10745" max="10745" width="4.7109375" style="7" customWidth="1"/>
    <col min="10746" max="10746" width="10.7109375" style="7" customWidth="1"/>
    <col min="10747" max="10747" width="4.5703125" style="7" customWidth="1"/>
    <col min="10748" max="10748" width="12.28515625" style="7" customWidth="1"/>
    <col min="10749" max="10749" width="1.42578125" style="7" customWidth="1"/>
    <col min="10750" max="10750" width="14.140625" style="7" customWidth="1"/>
    <col min="10751" max="10751" width="13.7109375" style="7" customWidth="1"/>
    <col min="10752" max="10752" width="8" style="7" customWidth="1"/>
    <col min="10753" max="10753" width="1.42578125" style="7" customWidth="1"/>
    <col min="10754" max="10754" width="11.28515625" style="7" customWidth="1"/>
    <col min="10755" max="10755" width="12.85546875" style="7" customWidth="1"/>
    <col min="10756" max="10756" width="10.5703125" style="7" customWidth="1"/>
    <col min="10757" max="10757" width="12" style="7" customWidth="1"/>
    <col min="10758" max="10758" width="11.140625" style="7" customWidth="1"/>
    <col min="10759" max="10759" width="9.28515625" style="7" customWidth="1"/>
    <col min="10760" max="10760" width="1.42578125" style="7" customWidth="1"/>
    <col min="10761" max="10761" width="17.28515625" style="7" customWidth="1"/>
    <col min="10762" max="10762" width="11.140625" style="7" customWidth="1"/>
    <col min="10763" max="10763" width="12.42578125" style="7" customWidth="1"/>
    <col min="10764" max="10765" width="11.28515625" style="7" customWidth="1"/>
    <col min="10766" max="10766" width="10.5703125" style="7" customWidth="1"/>
    <col min="10767" max="10767" width="16.42578125" style="7" customWidth="1"/>
    <col min="10768" max="10768" width="12.140625" style="7" customWidth="1"/>
    <col min="10769" max="10769" width="10.85546875" style="7" customWidth="1"/>
    <col min="10770" max="10770" width="11.7109375" style="7" customWidth="1"/>
    <col min="10771" max="10991" width="9.140625" style="7"/>
    <col min="10992" max="10992" width="6.28515625" style="7" customWidth="1"/>
    <col min="10993" max="10993" width="20.7109375" style="7" customWidth="1"/>
    <col min="10994" max="10994" width="10" style="7" customWidth="1"/>
    <col min="10995" max="10995" width="1" style="7" customWidth="1"/>
    <col min="10996" max="10996" width="10" style="7" customWidth="1"/>
    <col min="10997" max="10997" width="1.28515625" style="7" customWidth="1"/>
    <col min="10998" max="10998" width="9.7109375" style="7" customWidth="1"/>
    <col min="10999" max="10999" width="1.140625" style="7" customWidth="1"/>
    <col min="11000" max="11000" width="12.5703125" style="7" customWidth="1"/>
    <col min="11001" max="11001" width="4.7109375" style="7" customWidth="1"/>
    <col min="11002" max="11002" width="10.7109375" style="7" customWidth="1"/>
    <col min="11003" max="11003" width="4.5703125" style="7" customWidth="1"/>
    <col min="11004" max="11004" width="12.28515625" style="7" customWidth="1"/>
    <col min="11005" max="11005" width="1.42578125" style="7" customWidth="1"/>
    <col min="11006" max="11006" width="14.140625" style="7" customWidth="1"/>
    <col min="11007" max="11007" width="13.7109375" style="7" customWidth="1"/>
    <col min="11008" max="11008" width="8" style="7" customWidth="1"/>
    <col min="11009" max="11009" width="1.42578125" style="7" customWidth="1"/>
    <col min="11010" max="11010" width="11.28515625" style="7" customWidth="1"/>
    <col min="11011" max="11011" width="12.85546875" style="7" customWidth="1"/>
    <col min="11012" max="11012" width="10.5703125" style="7" customWidth="1"/>
    <col min="11013" max="11013" width="12" style="7" customWidth="1"/>
    <col min="11014" max="11014" width="11.140625" style="7" customWidth="1"/>
    <col min="11015" max="11015" width="9.28515625" style="7" customWidth="1"/>
    <col min="11016" max="11016" width="1.42578125" style="7" customWidth="1"/>
    <col min="11017" max="11017" width="17.28515625" style="7" customWidth="1"/>
    <col min="11018" max="11018" width="11.140625" style="7" customWidth="1"/>
    <col min="11019" max="11019" width="12.42578125" style="7" customWidth="1"/>
    <col min="11020" max="11021" width="11.28515625" style="7" customWidth="1"/>
    <col min="11022" max="11022" width="10.5703125" style="7" customWidth="1"/>
    <col min="11023" max="11023" width="16.42578125" style="7" customWidth="1"/>
    <col min="11024" max="11024" width="12.140625" style="7" customWidth="1"/>
    <col min="11025" max="11025" width="10.85546875" style="7" customWidth="1"/>
    <col min="11026" max="11026" width="11.7109375" style="7" customWidth="1"/>
    <col min="11027" max="11247" width="9.140625" style="7"/>
    <col min="11248" max="11248" width="6.28515625" style="7" customWidth="1"/>
    <col min="11249" max="11249" width="20.7109375" style="7" customWidth="1"/>
    <col min="11250" max="11250" width="10" style="7" customWidth="1"/>
    <col min="11251" max="11251" width="1" style="7" customWidth="1"/>
    <col min="11252" max="11252" width="10" style="7" customWidth="1"/>
    <col min="11253" max="11253" width="1.28515625" style="7" customWidth="1"/>
    <col min="11254" max="11254" width="9.7109375" style="7" customWidth="1"/>
    <col min="11255" max="11255" width="1.140625" style="7" customWidth="1"/>
    <col min="11256" max="11256" width="12.5703125" style="7" customWidth="1"/>
    <col min="11257" max="11257" width="4.7109375" style="7" customWidth="1"/>
    <col min="11258" max="11258" width="10.7109375" style="7" customWidth="1"/>
    <col min="11259" max="11259" width="4.5703125" style="7" customWidth="1"/>
    <col min="11260" max="11260" width="12.28515625" style="7" customWidth="1"/>
    <col min="11261" max="11261" width="1.42578125" style="7" customWidth="1"/>
    <col min="11262" max="11262" width="14.140625" style="7" customWidth="1"/>
    <col min="11263" max="11263" width="13.7109375" style="7" customWidth="1"/>
    <col min="11264" max="11264" width="8" style="7" customWidth="1"/>
    <col min="11265" max="11265" width="1.42578125" style="7" customWidth="1"/>
    <col min="11266" max="11266" width="11.28515625" style="7" customWidth="1"/>
    <col min="11267" max="11267" width="12.85546875" style="7" customWidth="1"/>
    <col min="11268" max="11268" width="10.5703125" style="7" customWidth="1"/>
    <col min="11269" max="11269" width="12" style="7" customWidth="1"/>
    <col min="11270" max="11270" width="11.140625" style="7" customWidth="1"/>
    <col min="11271" max="11271" width="9.28515625" style="7" customWidth="1"/>
    <col min="11272" max="11272" width="1.42578125" style="7" customWidth="1"/>
    <col min="11273" max="11273" width="17.28515625" style="7" customWidth="1"/>
    <col min="11274" max="11274" width="11.140625" style="7" customWidth="1"/>
    <col min="11275" max="11275" width="12.42578125" style="7" customWidth="1"/>
    <col min="11276" max="11277" width="11.28515625" style="7" customWidth="1"/>
    <col min="11278" max="11278" width="10.5703125" style="7" customWidth="1"/>
    <col min="11279" max="11279" width="16.42578125" style="7" customWidth="1"/>
    <col min="11280" max="11280" width="12.140625" style="7" customWidth="1"/>
    <col min="11281" max="11281" width="10.85546875" style="7" customWidth="1"/>
    <col min="11282" max="11282" width="11.7109375" style="7" customWidth="1"/>
    <col min="11283" max="11503" width="9.140625" style="7"/>
    <col min="11504" max="11504" width="6.28515625" style="7" customWidth="1"/>
    <col min="11505" max="11505" width="20.7109375" style="7" customWidth="1"/>
    <col min="11506" max="11506" width="10" style="7" customWidth="1"/>
    <col min="11507" max="11507" width="1" style="7" customWidth="1"/>
    <col min="11508" max="11508" width="10" style="7" customWidth="1"/>
    <col min="11509" max="11509" width="1.28515625" style="7" customWidth="1"/>
    <col min="11510" max="11510" width="9.7109375" style="7" customWidth="1"/>
    <col min="11511" max="11511" width="1.140625" style="7" customWidth="1"/>
    <col min="11512" max="11512" width="12.5703125" style="7" customWidth="1"/>
    <col min="11513" max="11513" width="4.7109375" style="7" customWidth="1"/>
    <col min="11514" max="11514" width="10.7109375" style="7" customWidth="1"/>
    <col min="11515" max="11515" width="4.5703125" style="7" customWidth="1"/>
    <col min="11516" max="11516" width="12.28515625" style="7" customWidth="1"/>
    <col min="11517" max="11517" width="1.42578125" style="7" customWidth="1"/>
    <col min="11518" max="11518" width="14.140625" style="7" customWidth="1"/>
    <col min="11519" max="11519" width="13.7109375" style="7" customWidth="1"/>
    <col min="11520" max="11520" width="8" style="7" customWidth="1"/>
    <col min="11521" max="11521" width="1.42578125" style="7" customWidth="1"/>
    <col min="11522" max="11522" width="11.28515625" style="7" customWidth="1"/>
    <col min="11523" max="11523" width="12.85546875" style="7" customWidth="1"/>
    <col min="11524" max="11524" width="10.5703125" style="7" customWidth="1"/>
    <col min="11525" max="11525" width="12" style="7" customWidth="1"/>
    <col min="11526" max="11526" width="11.140625" style="7" customWidth="1"/>
    <col min="11527" max="11527" width="9.28515625" style="7" customWidth="1"/>
    <col min="11528" max="11528" width="1.42578125" style="7" customWidth="1"/>
    <col min="11529" max="11529" width="17.28515625" style="7" customWidth="1"/>
    <col min="11530" max="11530" width="11.140625" style="7" customWidth="1"/>
    <col min="11531" max="11531" width="12.42578125" style="7" customWidth="1"/>
    <col min="11532" max="11533" width="11.28515625" style="7" customWidth="1"/>
    <col min="11534" max="11534" width="10.5703125" style="7" customWidth="1"/>
    <col min="11535" max="11535" width="16.42578125" style="7" customWidth="1"/>
    <col min="11536" max="11536" width="12.140625" style="7" customWidth="1"/>
    <col min="11537" max="11537" width="10.85546875" style="7" customWidth="1"/>
    <col min="11538" max="11538" width="11.7109375" style="7" customWidth="1"/>
    <col min="11539" max="11759" width="9.140625" style="7"/>
    <col min="11760" max="11760" width="6.28515625" style="7" customWidth="1"/>
    <col min="11761" max="11761" width="20.7109375" style="7" customWidth="1"/>
    <col min="11762" max="11762" width="10" style="7" customWidth="1"/>
    <col min="11763" max="11763" width="1" style="7" customWidth="1"/>
    <col min="11764" max="11764" width="10" style="7" customWidth="1"/>
    <col min="11765" max="11765" width="1.28515625" style="7" customWidth="1"/>
    <col min="11766" max="11766" width="9.7109375" style="7" customWidth="1"/>
    <col min="11767" max="11767" width="1.140625" style="7" customWidth="1"/>
    <col min="11768" max="11768" width="12.5703125" style="7" customWidth="1"/>
    <col min="11769" max="11769" width="4.7109375" style="7" customWidth="1"/>
    <col min="11770" max="11770" width="10.7109375" style="7" customWidth="1"/>
    <col min="11771" max="11771" width="4.5703125" style="7" customWidth="1"/>
    <col min="11772" max="11772" width="12.28515625" style="7" customWidth="1"/>
    <col min="11773" max="11773" width="1.42578125" style="7" customWidth="1"/>
    <col min="11774" max="11774" width="14.140625" style="7" customWidth="1"/>
    <col min="11775" max="11775" width="13.7109375" style="7" customWidth="1"/>
    <col min="11776" max="11776" width="8" style="7" customWidth="1"/>
    <col min="11777" max="11777" width="1.42578125" style="7" customWidth="1"/>
    <col min="11778" max="11778" width="11.28515625" style="7" customWidth="1"/>
    <col min="11779" max="11779" width="12.85546875" style="7" customWidth="1"/>
    <col min="11780" max="11780" width="10.5703125" style="7" customWidth="1"/>
    <col min="11781" max="11781" width="12" style="7" customWidth="1"/>
    <col min="11782" max="11782" width="11.140625" style="7" customWidth="1"/>
    <col min="11783" max="11783" width="9.28515625" style="7" customWidth="1"/>
    <col min="11784" max="11784" width="1.42578125" style="7" customWidth="1"/>
    <col min="11785" max="11785" width="17.28515625" style="7" customWidth="1"/>
    <col min="11786" max="11786" width="11.140625" style="7" customWidth="1"/>
    <col min="11787" max="11787" width="12.42578125" style="7" customWidth="1"/>
    <col min="11788" max="11789" width="11.28515625" style="7" customWidth="1"/>
    <col min="11790" max="11790" width="10.5703125" style="7" customWidth="1"/>
    <col min="11791" max="11791" width="16.42578125" style="7" customWidth="1"/>
    <col min="11792" max="11792" width="12.140625" style="7" customWidth="1"/>
    <col min="11793" max="11793" width="10.85546875" style="7" customWidth="1"/>
    <col min="11794" max="11794" width="11.7109375" style="7" customWidth="1"/>
    <col min="11795" max="12015" width="9.140625" style="7"/>
    <col min="12016" max="12016" width="6.28515625" style="7" customWidth="1"/>
    <col min="12017" max="12017" width="20.7109375" style="7" customWidth="1"/>
    <col min="12018" max="12018" width="10" style="7" customWidth="1"/>
    <col min="12019" max="12019" width="1" style="7" customWidth="1"/>
    <col min="12020" max="12020" width="10" style="7" customWidth="1"/>
    <col min="12021" max="12021" width="1.28515625" style="7" customWidth="1"/>
    <col min="12022" max="12022" width="9.7109375" style="7" customWidth="1"/>
    <col min="12023" max="12023" width="1.140625" style="7" customWidth="1"/>
    <col min="12024" max="12024" width="12.5703125" style="7" customWidth="1"/>
    <col min="12025" max="12025" width="4.7109375" style="7" customWidth="1"/>
    <col min="12026" max="12026" width="10.7109375" style="7" customWidth="1"/>
    <col min="12027" max="12027" width="4.5703125" style="7" customWidth="1"/>
    <col min="12028" max="12028" width="12.28515625" style="7" customWidth="1"/>
    <col min="12029" max="12029" width="1.42578125" style="7" customWidth="1"/>
    <col min="12030" max="12030" width="14.140625" style="7" customWidth="1"/>
    <col min="12031" max="12031" width="13.7109375" style="7" customWidth="1"/>
    <col min="12032" max="12032" width="8" style="7" customWidth="1"/>
    <col min="12033" max="12033" width="1.42578125" style="7" customWidth="1"/>
    <col min="12034" max="12034" width="11.28515625" style="7" customWidth="1"/>
    <col min="12035" max="12035" width="12.85546875" style="7" customWidth="1"/>
    <col min="12036" max="12036" width="10.5703125" style="7" customWidth="1"/>
    <col min="12037" max="12037" width="12" style="7" customWidth="1"/>
    <col min="12038" max="12038" width="11.140625" style="7" customWidth="1"/>
    <col min="12039" max="12039" width="9.28515625" style="7" customWidth="1"/>
    <col min="12040" max="12040" width="1.42578125" style="7" customWidth="1"/>
    <col min="12041" max="12041" width="17.28515625" style="7" customWidth="1"/>
    <col min="12042" max="12042" width="11.140625" style="7" customWidth="1"/>
    <col min="12043" max="12043" width="12.42578125" style="7" customWidth="1"/>
    <col min="12044" max="12045" width="11.28515625" style="7" customWidth="1"/>
    <col min="12046" max="12046" width="10.5703125" style="7" customWidth="1"/>
    <col min="12047" max="12047" width="16.42578125" style="7" customWidth="1"/>
    <col min="12048" max="12048" width="12.140625" style="7" customWidth="1"/>
    <col min="12049" max="12049" width="10.85546875" style="7" customWidth="1"/>
    <col min="12050" max="12050" width="11.7109375" style="7" customWidth="1"/>
    <col min="12051" max="12271" width="9.140625" style="7"/>
    <col min="12272" max="12272" width="6.28515625" style="7" customWidth="1"/>
    <col min="12273" max="12273" width="20.7109375" style="7" customWidth="1"/>
    <col min="12274" max="12274" width="10" style="7" customWidth="1"/>
    <col min="12275" max="12275" width="1" style="7" customWidth="1"/>
    <col min="12276" max="12276" width="10" style="7" customWidth="1"/>
    <col min="12277" max="12277" width="1.28515625" style="7" customWidth="1"/>
    <col min="12278" max="12278" width="9.7109375" style="7" customWidth="1"/>
    <col min="12279" max="12279" width="1.140625" style="7" customWidth="1"/>
    <col min="12280" max="12280" width="12.5703125" style="7" customWidth="1"/>
    <col min="12281" max="12281" width="4.7109375" style="7" customWidth="1"/>
    <col min="12282" max="12282" width="10.7109375" style="7" customWidth="1"/>
    <col min="12283" max="12283" width="4.5703125" style="7" customWidth="1"/>
    <col min="12284" max="12284" width="12.28515625" style="7" customWidth="1"/>
    <col min="12285" max="12285" width="1.42578125" style="7" customWidth="1"/>
    <col min="12286" max="12286" width="14.140625" style="7" customWidth="1"/>
    <col min="12287" max="12287" width="13.7109375" style="7" customWidth="1"/>
    <col min="12288" max="12288" width="8" style="7" customWidth="1"/>
    <col min="12289" max="12289" width="1.42578125" style="7" customWidth="1"/>
    <col min="12290" max="12290" width="11.28515625" style="7" customWidth="1"/>
    <col min="12291" max="12291" width="12.85546875" style="7" customWidth="1"/>
    <col min="12292" max="12292" width="10.5703125" style="7" customWidth="1"/>
    <col min="12293" max="12293" width="12" style="7" customWidth="1"/>
    <col min="12294" max="12294" width="11.140625" style="7" customWidth="1"/>
    <col min="12295" max="12295" width="9.28515625" style="7" customWidth="1"/>
    <col min="12296" max="12296" width="1.42578125" style="7" customWidth="1"/>
    <col min="12297" max="12297" width="17.28515625" style="7" customWidth="1"/>
    <col min="12298" max="12298" width="11.140625" style="7" customWidth="1"/>
    <col min="12299" max="12299" width="12.42578125" style="7" customWidth="1"/>
    <col min="12300" max="12301" width="11.28515625" style="7" customWidth="1"/>
    <col min="12302" max="12302" width="10.5703125" style="7" customWidth="1"/>
    <col min="12303" max="12303" width="16.42578125" style="7" customWidth="1"/>
    <col min="12304" max="12304" width="12.140625" style="7" customWidth="1"/>
    <col min="12305" max="12305" width="10.85546875" style="7" customWidth="1"/>
    <col min="12306" max="12306" width="11.7109375" style="7" customWidth="1"/>
    <col min="12307" max="12527" width="9.140625" style="7"/>
    <col min="12528" max="12528" width="6.28515625" style="7" customWidth="1"/>
    <col min="12529" max="12529" width="20.7109375" style="7" customWidth="1"/>
    <col min="12530" max="12530" width="10" style="7" customWidth="1"/>
    <col min="12531" max="12531" width="1" style="7" customWidth="1"/>
    <col min="12532" max="12532" width="10" style="7" customWidth="1"/>
    <col min="12533" max="12533" width="1.28515625" style="7" customWidth="1"/>
    <col min="12534" max="12534" width="9.7109375" style="7" customWidth="1"/>
    <col min="12535" max="12535" width="1.140625" style="7" customWidth="1"/>
    <col min="12536" max="12536" width="12.5703125" style="7" customWidth="1"/>
    <col min="12537" max="12537" width="4.7109375" style="7" customWidth="1"/>
    <col min="12538" max="12538" width="10.7109375" style="7" customWidth="1"/>
    <col min="12539" max="12539" width="4.5703125" style="7" customWidth="1"/>
    <col min="12540" max="12540" width="12.28515625" style="7" customWidth="1"/>
    <col min="12541" max="12541" width="1.42578125" style="7" customWidth="1"/>
    <col min="12542" max="12542" width="14.140625" style="7" customWidth="1"/>
    <col min="12543" max="12543" width="13.7109375" style="7" customWidth="1"/>
    <col min="12544" max="12544" width="8" style="7" customWidth="1"/>
    <col min="12545" max="12545" width="1.42578125" style="7" customWidth="1"/>
    <col min="12546" max="12546" width="11.28515625" style="7" customWidth="1"/>
    <col min="12547" max="12547" width="12.85546875" style="7" customWidth="1"/>
    <col min="12548" max="12548" width="10.5703125" style="7" customWidth="1"/>
    <col min="12549" max="12549" width="12" style="7" customWidth="1"/>
    <col min="12550" max="12550" width="11.140625" style="7" customWidth="1"/>
    <col min="12551" max="12551" width="9.28515625" style="7" customWidth="1"/>
    <col min="12552" max="12552" width="1.42578125" style="7" customWidth="1"/>
    <col min="12553" max="12553" width="17.28515625" style="7" customWidth="1"/>
    <col min="12554" max="12554" width="11.140625" style="7" customWidth="1"/>
    <col min="12555" max="12555" width="12.42578125" style="7" customWidth="1"/>
    <col min="12556" max="12557" width="11.28515625" style="7" customWidth="1"/>
    <col min="12558" max="12558" width="10.5703125" style="7" customWidth="1"/>
    <col min="12559" max="12559" width="16.42578125" style="7" customWidth="1"/>
    <col min="12560" max="12560" width="12.140625" style="7" customWidth="1"/>
    <col min="12561" max="12561" width="10.85546875" style="7" customWidth="1"/>
    <col min="12562" max="12562" width="11.7109375" style="7" customWidth="1"/>
    <col min="12563" max="12783" width="9.140625" style="7"/>
    <col min="12784" max="12784" width="6.28515625" style="7" customWidth="1"/>
    <col min="12785" max="12785" width="20.7109375" style="7" customWidth="1"/>
    <col min="12786" max="12786" width="10" style="7" customWidth="1"/>
    <col min="12787" max="12787" width="1" style="7" customWidth="1"/>
    <col min="12788" max="12788" width="10" style="7" customWidth="1"/>
    <col min="12789" max="12789" width="1.28515625" style="7" customWidth="1"/>
    <col min="12790" max="12790" width="9.7109375" style="7" customWidth="1"/>
    <col min="12791" max="12791" width="1.140625" style="7" customWidth="1"/>
    <col min="12792" max="12792" width="12.5703125" style="7" customWidth="1"/>
    <col min="12793" max="12793" width="4.7109375" style="7" customWidth="1"/>
    <col min="12794" max="12794" width="10.7109375" style="7" customWidth="1"/>
    <col min="12795" max="12795" width="4.5703125" style="7" customWidth="1"/>
    <col min="12796" max="12796" width="12.28515625" style="7" customWidth="1"/>
    <col min="12797" max="12797" width="1.42578125" style="7" customWidth="1"/>
    <col min="12798" max="12798" width="14.140625" style="7" customWidth="1"/>
    <col min="12799" max="12799" width="13.7109375" style="7" customWidth="1"/>
    <col min="12800" max="12800" width="8" style="7" customWidth="1"/>
    <col min="12801" max="12801" width="1.42578125" style="7" customWidth="1"/>
    <col min="12802" max="12802" width="11.28515625" style="7" customWidth="1"/>
    <col min="12803" max="12803" width="12.85546875" style="7" customWidth="1"/>
    <col min="12804" max="12804" width="10.5703125" style="7" customWidth="1"/>
    <col min="12805" max="12805" width="12" style="7" customWidth="1"/>
    <col min="12806" max="12806" width="11.140625" style="7" customWidth="1"/>
    <col min="12807" max="12807" width="9.28515625" style="7" customWidth="1"/>
    <col min="12808" max="12808" width="1.42578125" style="7" customWidth="1"/>
    <col min="12809" max="12809" width="17.28515625" style="7" customWidth="1"/>
    <col min="12810" max="12810" width="11.140625" style="7" customWidth="1"/>
    <col min="12811" max="12811" width="12.42578125" style="7" customWidth="1"/>
    <col min="12812" max="12813" width="11.28515625" style="7" customWidth="1"/>
    <col min="12814" max="12814" width="10.5703125" style="7" customWidth="1"/>
    <col min="12815" max="12815" width="16.42578125" style="7" customWidth="1"/>
    <col min="12816" max="12816" width="12.140625" style="7" customWidth="1"/>
    <col min="12817" max="12817" width="10.85546875" style="7" customWidth="1"/>
    <col min="12818" max="12818" width="11.7109375" style="7" customWidth="1"/>
    <col min="12819" max="13039" width="9.140625" style="7"/>
    <col min="13040" max="13040" width="6.28515625" style="7" customWidth="1"/>
    <col min="13041" max="13041" width="20.7109375" style="7" customWidth="1"/>
    <col min="13042" max="13042" width="10" style="7" customWidth="1"/>
    <col min="13043" max="13043" width="1" style="7" customWidth="1"/>
    <col min="13044" max="13044" width="10" style="7" customWidth="1"/>
    <col min="13045" max="13045" width="1.28515625" style="7" customWidth="1"/>
    <col min="13046" max="13046" width="9.7109375" style="7" customWidth="1"/>
    <col min="13047" max="13047" width="1.140625" style="7" customWidth="1"/>
    <col min="13048" max="13048" width="12.5703125" style="7" customWidth="1"/>
    <col min="13049" max="13049" width="4.7109375" style="7" customWidth="1"/>
    <col min="13050" max="13050" width="10.7109375" style="7" customWidth="1"/>
    <col min="13051" max="13051" width="4.5703125" style="7" customWidth="1"/>
    <col min="13052" max="13052" width="12.28515625" style="7" customWidth="1"/>
    <col min="13053" max="13053" width="1.42578125" style="7" customWidth="1"/>
    <col min="13054" max="13054" width="14.140625" style="7" customWidth="1"/>
    <col min="13055" max="13055" width="13.7109375" style="7" customWidth="1"/>
    <col min="13056" max="13056" width="8" style="7" customWidth="1"/>
    <col min="13057" max="13057" width="1.42578125" style="7" customWidth="1"/>
    <col min="13058" max="13058" width="11.28515625" style="7" customWidth="1"/>
    <col min="13059" max="13059" width="12.85546875" style="7" customWidth="1"/>
    <col min="13060" max="13060" width="10.5703125" style="7" customWidth="1"/>
    <col min="13061" max="13061" width="12" style="7" customWidth="1"/>
    <col min="13062" max="13062" width="11.140625" style="7" customWidth="1"/>
    <col min="13063" max="13063" width="9.28515625" style="7" customWidth="1"/>
    <col min="13064" max="13064" width="1.42578125" style="7" customWidth="1"/>
    <col min="13065" max="13065" width="17.28515625" style="7" customWidth="1"/>
    <col min="13066" max="13066" width="11.140625" style="7" customWidth="1"/>
    <col min="13067" max="13067" width="12.42578125" style="7" customWidth="1"/>
    <col min="13068" max="13069" width="11.28515625" style="7" customWidth="1"/>
    <col min="13070" max="13070" width="10.5703125" style="7" customWidth="1"/>
    <col min="13071" max="13071" width="16.42578125" style="7" customWidth="1"/>
    <col min="13072" max="13072" width="12.140625" style="7" customWidth="1"/>
    <col min="13073" max="13073" width="10.85546875" style="7" customWidth="1"/>
    <col min="13074" max="13074" width="11.7109375" style="7" customWidth="1"/>
    <col min="13075" max="13295" width="9.140625" style="7"/>
    <col min="13296" max="13296" width="6.28515625" style="7" customWidth="1"/>
    <col min="13297" max="13297" width="20.7109375" style="7" customWidth="1"/>
    <col min="13298" max="13298" width="10" style="7" customWidth="1"/>
    <col min="13299" max="13299" width="1" style="7" customWidth="1"/>
    <col min="13300" max="13300" width="10" style="7" customWidth="1"/>
    <col min="13301" max="13301" width="1.28515625" style="7" customWidth="1"/>
    <col min="13302" max="13302" width="9.7109375" style="7" customWidth="1"/>
    <col min="13303" max="13303" width="1.140625" style="7" customWidth="1"/>
    <col min="13304" max="13304" width="12.5703125" style="7" customWidth="1"/>
    <col min="13305" max="13305" width="4.7109375" style="7" customWidth="1"/>
    <col min="13306" max="13306" width="10.7109375" style="7" customWidth="1"/>
    <col min="13307" max="13307" width="4.5703125" style="7" customWidth="1"/>
    <col min="13308" max="13308" width="12.28515625" style="7" customWidth="1"/>
    <col min="13309" max="13309" width="1.42578125" style="7" customWidth="1"/>
    <col min="13310" max="13310" width="14.140625" style="7" customWidth="1"/>
    <col min="13311" max="13311" width="13.7109375" style="7" customWidth="1"/>
    <col min="13312" max="13312" width="8" style="7" customWidth="1"/>
    <col min="13313" max="13313" width="1.42578125" style="7" customWidth="1"/>
    <col min="13314" max="13314" width="11.28515625" style="7" customWidth="1"/>
    <col min="13315" max="13315" width="12.85546875" style="7" customWidth="1"/>
    <col min="13316" max="13316" width="10.5703125" style="7" customWidth="1"/>
    <col min="13317" max="13317" width="12" style="7" customWidth="1"/>
    <col min="13318" max="13318" width="11.140625" style="7" customWidth="1"/>
    <col min="13319" max="13319" width="9.28515625" style="7" customWidth="1"/>
    <col min="13320" max="13320" width="1.42578125" style="7" customWidth="1"/>
    <col min="13321" max="13321" width="17.28515625" style="7" customWidth="1"/>
    <col min="13322" max="13322" width="11.140625" style="7" customWidth="1"/>
    <col min="13323" max="13323" width="12.42578125" style="7" customWidth="1"/>
    <col min="13324" max="13325" width="11.28515625" style="7" customWidth="1"/>
    <col min="13326" max="13326" width="10.5703125" style="7" customWidth="1"/>
    <col min="13327" max="13327" width="16.42578125" style="7" customWidth="1"/>
    <col min="13328" max="13328" width="12.140625" style="7" customWidth="1"/>
    <col min="13329" max="13329" width="10.85546875" style="7" customWidth="1"/>
    <col min="13330" max="13330" width="11.7109375" style="7" customWidth="1"/>
    <col min="13331" max="13551" width="9.140625" style="7"/>
    <col min="13552" max="13552" width="6.28515625" style="7" customWidth="1"/>
    <col min="13553" max="13553" width="20.7109375" style="7" customWidth="1"/>
    <col min="13554" max="13554" width="10" style="7" customWidth="1"/>
    <col min="13555" max="13555" width="1" style="7" customWidth="1"/>
    <col min="13556" max="13556" width="10" style="7" customWidth="1"/>
    <col min="13557" max="13557" width="1.28515625" style="7" customWidth="1"/>
    <col min="13558" max="13558" width="9.7109375" style="7" customWidth="1"/>
    <col min="13559" max="13559" width="1.140625" style="7" customWidth="1"/>
    <col min="13560" max="13560" width="12.5703125" style="7" customWidth="1"/>
    <col min="13561" max="13561" width="4.7109375" style="7" customWidth="1"/>
    <col min="13562" max="13562" width="10.7109375" style="7" customWidth="1"/>
    <col min="13563" max="13563" width="4.5703125" style="7" customWidth="1"/>
    <col min="13564" max="13564" width="12.28515625" style="7" customWidth="1"/>
    <col min="13565" max="13565" width="1.42578125" style="7" customWidth="1"/>
    <col min="13566" max="13566" width="14.140625" style="7" customWidth="1"/>
    <col min="13567" max="13567" width="13.7109375" style="7" customWidth="1"/>
    <col min="13568" max="13568" width="8" style="7" customWidth="1"/>
    <col min="13569" max="13569" width="1.42578125" style="7" customWidth="1"/>
    <col min="13570" max="13570" width="11.28515625" style="7" customWidth="1"/>
    <col min="13571" max="13571" width="12.85546875" style="7" customWidth="1"/>
    <col min="13572" max="13572" width="10.5703125" style="7" customWidth="1"/>
    <col min="13573" max="13573" width="12" style="7" customWidth="1"/>
    <col min="13574" max="13574" width="11.140625" style="7" customWidth="1"/>
    <col min="13575" max="13575" width="9.28515625" style="7" customWidth="1"/>
    <col min="13576" max="13576" width="1.42578125" style="7" customWidth="1"/>
    <col min="13577" max="13577" width="17.28515625" style="7" customWidth="1"/>
    <col min="13578" max="13578" width="11.140625" style="7" customWidth="1"/>
    <col min="13579" max="13579" width="12.42578125" style="7" customWidth="1"/>
    <col min="13580" max="13581" width="11.28515625" style="7" customWidth="1"/>
    <col min="13582" max="13582" width="10.5703125" style="7" customWidth="1"/>
    <col min="13583" max="13583" width="16.42578125" style="7" customWidth="1"/>
    <col min="13584" max="13584" width="12.140625" style="7" customWidth="1"/>
    <col min="13585" max="13585" width="10.85546875" style="7" customWidth="1"/>
    <col min="13586" max="13586" width="11.7109375" style="7" customWidth="1"/>
    <col min="13587" max="13807" width="9.140625" style="7"/>
    <col min="13808" max="13808" width="6.28515625" style="7" customWidth="1"/>
    <col min="13809" max="13809" width="20.7109375" style="7" customWidth="1"/>
    <col min="13810" max="13810" width="10" style="7" customWidth="1"/>
    <col min="13811" max="13811" width="1" style="7" customWidth="1"/>
    <col min="13812" max="13812" width="10" style="7" customWidth="1"/>
    <col min="13813" max="13813" width="1.28515625" style="7" customWidth="1"/>
    <col min="13814" max="13814" width="9.7109375" style="7" customWidth="1"/>
    <col min="13815" max="13815" width="1.140625" style="7" customWidth="1"/>
    <col min="13816" max="13816" width="12.5703125" style="7" customWidth="1"/>
    <col min="13817" max="13817" width="4.7109375" style="7" customWidth="1"/>
    <col min="13818" max="13818" width="10.7109375" style="7" customWidth="1"/>
    <col min="13819" max="13819" width="4.5703125" style="7" customWidth="1"/>
    <col min="13820" max="13820" width="12.28515625" style="7" customWidth="1"/>
    <col min="13821" max="13821" width="1.42578125" style="7" customWidth="1"/>
    <col min="13822" max="13822" width="14.140625" style="7" customWidth="1"/>
    <col min="13823" max="13823" width="13.7109375" style="7" customWidth="1"/>
    <col min="13824" max="13824" width="8" style="7" customWidth="1"/>
    <col min="13825" max="13825" width="1.42578125" style="7" customWidth="1"/>
    <col min="13826" max="13826" width="11.28515625" style="7" customWidth="1"/>
    <col min="13827" max="13827" width="12.85546875" style="7" customWidth="1"/>
    <col min="13828" max="13828" width="10.5703125" style="7" customWidth="1"/>
    <col min="13829" max="13829" width="12" style="7" customWidth="1"/>
    <col min="13830" max="13830" width="11.140625" style="7" customWidth="1"/>
    <col min="13831" max="13831" width="9.28515625" style="7" customWidth="1"/>
    <col min="13832" max="13832" width="1.42578125" style="7" customWidth="1"/>
    <col min="13833" max="13833" width="17.28515625" style="7" customWidth="1"/>
    <col min="13834" max="13834" width="11.140625" style="7" customWidth="1"/>
    <col min="13835" max="13835" width="12.42578125" style="7" customWidth="1"/>
    <col min="13836" max="13837" width="11.28515625" style="7" customWidth="1"/>
    <col min="13838" max="13838" width="10.5703125" style="7" customWidth="1"/>
    <col min="13839" max="13839" width="16.42578125" style="7" customWidth="1"/>
    <col min="13840" max="13840" width="12.140625" style="7" customWidth="1"/>
    <col min="13841" max="13841" width="10.85546875" style="7" customWidth="1"/>
    <col min="13842" max="13842" width="11.7109375" style="7" customWidth="1"/>
    <col min="13843" max="14063" width="9.140625" style="7"/>
    <col min="14064" max="14064" width="6.28515625" style="7" customWidth="1"/>
    <col min="14065" max="14065" width="20.7109375" style="7" customWidth="1"/>
    <col min="14066" max="14066" width="10" style="7" customWidth="1"/>
    <col min="14067" max="14067" width="1" style="7" customWidth="1"/>
    <col min="14068" max="14068" width="10" style="7" customWidth="1"/>
    <col min="14069" max="14069" width="1.28515625" style="7" customWidth="1"/>
    <col min="14070" max="14070" width="9.7109375" style="7" customWidth="1"/>
    <col min="14071" max="14071" width="1.140625" style="7" customWidth="1"/>
    <col min="14072" max="14072" width="12.5703125" style="7" customWidth="1"/>
    <col min="14073" max="14073" width="4.7109375" style="7" customWidth="1"/>
    <col min="14074" max="14074" width="10.7109375" style="7" customWidth="1"/>
    <col min="14075" max="14075" width="4.5703125" style="7" customWidth="1"/>
    <col min="14076" max="14076" width="12.28515625" style="7" customWidth="1"/>
    <col min="14077" max="14077" width="1.42578125" style="7" customWidth="1"/>
    <col min="14078" max="14078" width="14.140625" style="7" customWidth="1"/>
    <col min="14079" max="14079" width="13.7109375" style="7" customWidth="1"/>
    <col min="14080" max="14080" width="8" style="7" customWidth="1"/>
    <col min="14081" max="14081" width="1.42578125" style="7" customWidth="1"/>
    <col min="14082" max="14082" width="11.28515625" style="7" customWidth="1"/>
    <col min="14083" max="14083" width="12.85546875" style="7" customWidth="1"/>
    <col min="14084" max="14084" width="10.5703125" style="7" customWidth="1"/>
    <col min="14085" max="14085" width="12" style="7" customWidth="1"/>
    <col min="14086" max="14086" width="11.140625" style="7" customWidth="1"/>
    <col min="14087" max="14087" width="9.28515625" style="7" customWidth="1"/>
    <col min="14088" max="14088" width="1.42578125" style="7" customWidth="1"/>
    <col min="14089" max="14089" width="17.28515625" style="7" customWidth="1"/>
    <col min="14090" max="14090" width="11.140625" style="7" customWidth="1"/>
    <col min="14091" max="14091" width="12.42578125" style="7" customWidth="1"/>
    <col min="14092" max="14093" width="11.28515625" style="7" customWidth="1"/>
    <col min="14094" max="14094" width="10.5703125" style="7" customWidth="1"/>
    <col min="14095" max="14095" width="16.42578125" style="7" customWidth="1"/>
    <col min="14096" max="14096" width="12.140625" style="7" customWidth="1"/>
    <col min="14097" max="14097" width="10.85546875" style="7" customWidth="1"/>
    <col min="14098" max="14098" width="11.7109375" style="7" customWidth="1"/>
    <col min="14099" max="14319" width="9.140625" style="7"/>
    <col min="14320" max="14320" width="6.28515625" style="7" customWidth="1"/>
    <col min="14321" max="14321" width="20.7109375" style="7" customWidth="1"/>
    <col min="14322" max="14322" width="10" style="7" customWidth="1"/>
    <col min="14323" max="14323" width="1" style="7" customWidth="1"/>
    <col min="14324" max="14324" width="10" style="7" customWidth="1"/>
    <col min="14325" max="14325" width="1.28515625" style="7" customWidth="1"/>
    <col min="14326" max="14326" width="9.7109375" style="7" customWidth="1"/>
    <col min="14327" max="14327" width="1.140625" style="7" customWidth="1"/>
    <col min="14328" max="14328" width="12.5703125" style="7" customWidth="1"/>
    <col min="14329" max="14329" width="4.7109375" style="7" customWidth="1"/>
    <col min="14330" max="14330" width="10.7109375" style="7" customWidth="1"/>
    <col min="14331" max="14331" width="4.5703125" style="7" customWidth="1"/>
    <col min="14332" max="14332" width="12.28515625" style="7" customWidth="1"/>
    <col min="14333" max="14333" width="1.42578125" style="7" customWidth="1"/>
    <col min="14334" max="14334" width="14.140625" style="7" customWidth="1"/>
    <col min="14335" max="14335" width="13.7109375" style="7" customWidth="1"/>
    <col min="14336" max="14336" width="8" style="7" customWidth="1"/>
    <col min="14337" max="14337" width="1.42578125" style="7" customWidth="1"/>
    <col min="14338" max="14338" width="11.28515625" style="7" customWidth="1"/>
    <col min="14339" max="14339" width="12.85546875" style="7" customWidth="1"/>
    <col min="14340" max="14340" width="10.5703125" style="7" customWidth="1"/>
    <col min="14341" max="14341" width="12" style="7" customWidth="1"/>
    <col min="14342" max="14342" width="11.140625" style="7" customWidth="1"/>
    <col min="14343" max="14343" width="9.28515625" style="7" customWidth="1"/>
    <col min="14344" max="14344" width="1.42578125" style="7" customWidth="1"/>
    <col min="14345" max="14345" width="17.28515625" style="7" customWidth="1"/>
    <col min="14346" max="14346" width="11.140625" style="7" customWidth="1"/>
    <col min="14347" max="14347" width="12.42578125" style="7" customWidth="1"/>
    <col min="14348" max="14349" width="11.28515625" style="7" customWidth="1"/>
    <col min="14350" max="14350" width="10.5703125" style="7" customWidth="1"/>
    <col min="14351" max="14351" width="16.42578125" style="7" customWidth="1"/>
    <col min="14352" max="14352" width="12.140625" style="7" customWidth="1"/>
    <col min="14353" max="14353" width="10.85546875" style="7" customWidth="1"/>
    <col min="14354" max="14354" width="11.7109375" style="7" customWidth="1"/>
    <col min="14355" max="14575" width="9.140625" style="7"/>
    <col min="14576" max="14576" width="6.28515625" style="7" customWidth="1"/>
    <col min="14577" max="14577" width="20.7109375" style="7" customWidth="1"/>
    <col min="14578" max="14578" width="10" style="7" customWidth="1"/>
    <col min="14579" max="14579" width="1" style="7" customWidth="1"/>
    <col min="14580" max="14580" width="10" style="7" customWidth="1"/>
    <col min="14581" max="14581" width="1.28515625" style="7" customWidth="1"/>
    <col min="14582" max="14582" width="9.7109375" style="7" customWidth="1"/>
    <col min="14583" max="14583" width="1.140625" style="7" customWidth="1"/>
    <col min="14584" max="14584" width="12.5703125" style="7" customWidth="1"/>
    <col min="14585" max="14585" width="4.7109375" style="7" customWidth="1"/>
    <col min="14586" max="14586" width="10.7109375" style="7" customWidth="1"/>
    <col min="14587" max="14587" width="4.5703125" style="7" customWidth="1"/>
    <col min="14588" max="14588" width="12.28515625" style="7" customWidth="1"/>
    <col min="14589" max="14589" width="1.42578125" style="7" customWidth="1"/>
    <col min="14590" max="14590" width="14.140625" style="7" customWidth="1"/>
    <col min="14591" max="14591" width="13.7109375" style="7" customWidth="1"/>
    <col min="14592" max="14592" width="8" style="7" customWidth="1"/>
    <col min="14593" max="14593" width="1.42578125" style="7" customWidth="1"/>
    <col min="14594" max="14594" width="11.28515625" style="7" customWidth="1"/>
    <col min="14595" max="14595" width="12.85546875" style="7" customWidth="1"/>
    <col min="14596" max="14596" width="10.5703125" style="7" customWidth="1"/>
    <col min="14597" max="14597" width="12" style="7" customWidth="1"/>
    <col min="14598" max="14598" width="11.140625" style="7" customWidth="1"/>
    <col min="14599" max="14599" width="9.28515625" style="7" customWidth="1"/>
    <col min="14600" max="14600" width="1.42578125" style="7" customWidth="1"/>
    <col min="14601" max="14601" width="17.28515625" style="7" customWidth="1"/>
    <col min="14602" max="14602" width="11.140625" style="7" customWidth="1"/>
    <col min="14603" max="14603" width="12.42578125" style="7" customWidth="1"/>
    <col min="14604" max="14605" width="11.28515625" style="7" customWidth="1"/>
    <col min="14606" max="14606" width="10.5703125" style="7" customWidth="1"/>
    <col min="14607" max="14607" width="16.42578125" style="7" customWidth="1"/>
    <col min="14608" max="14608" width="12.140625" style="7" customWidth="1"/>
    <col min="14609" max="14609" width="10.85546875" style="7" customWidth="1"/>
    <col min="14610" max="14610" width="11.7109375" style="7" customWidth="1"/>
    <col min="14611" max="14831" width="9.140625" style="7"/>
    <col min="14832" max="14832" width="6.28515625" style="7" customWidth="1"/>
    <col min="14833" max="14833" width="20.7109375" style="7" customWidth="1"/>
    <col min="14834" max="14834" width="10" style="7" customWidth="1"/>
    <col min="14835" max="14835" width="1" style="7" customWidth="1"/>
    <col min="14836" max="14836" width="10" style="7" customWidth="1"/>
    <col min="14837" max="14837" width="1.28515625" style="7" customWidth="1"/>
    <col min="14838" max="14838" width="9.7109375" style="7" customWidth="1"/>
    <col min="14839" max="14839" width="1.140625" style="7" customWidth="1"/>
    <col min="14840" max="14840" width="12.5703125" style="7" customWidth="1"/>
    <col min="14841" max="14841" width="4.7109375" style="7" customWidth="1"/>
    <col min="14842" max="14842" width="10.7109375" style="7" customWidth="1"/>
    <col min="14843" max="14843" width="4.5703125" style="7" customWidth="1"/>
    <col min="14844" max="14844" width="12.28515625" style="7" customWidth="1"/>
    <col min="14845" max="14845" width="1.42578125" style="7" customWidth="1"/>
    <col min="14846" max="14846" width="14.140625" style="7" customWidth="1"/>
    <col min="14847" max="14847" width="13.7109375" style="7" customWidth="1"/>
    <col min="14848" max="14848" width="8" style="7" customWidth="1"/>
    <col min="14849" max="14849" width="1.42578125" style="7" customWidth="1"/>
    <col min="14850" max="14850" width="11.28515625" style="7" customWidth="1"/>
    <col min="14851" max="14851" width="12.85546875" style="7" customWidth="1"/>
    <col min="14852" max="14852" width="10.5703125" style="7" customWidth="1"/>
    <col min="14853" max="14853" width="12" style="7" customWidth="1"/>
    <col min="14854" max="14854" width="11.140625" style="7" customWidth="1"/>
    <col min="14855" max="14855" width="9.28515625" style="7" customWidth="1"/>
    <col min="14856" max="14856" width="1.42578125" style="7" customWidth="1"/>
    <col min="14857" max="14857" width="17.28515625" style="7" customWidth="1"/>
    <col min="14858" max="14858" width="11.140625" style="7" customWidth="1"/>
    <col min="14859" max="14859" width="12.42578125" style="7" customWidth="1"/>
    <col min="14860" max="14861" width="11.28515625" style="7" customWidth="1"/>
    <col min="14862" max="14862" width="10.5703125" style="7" customWidth="1"/>
    <col min="14863" max="14863" width="16.42578125" style="7" customWidth="1"/>
    <col min="14864" max="14864" width="12.140625" style="7" customWidth="1"/>
    <col min="14865" max="14865" width="10.85546875" style="7" customWidth="1"/>
    <col min="14866" max="14866" width="11.7109375" style="7" customWidth="1"/>
    <col min="14867" max="15087" width="9.140625" style="7"/>
    <col min="15088" max="15088" width="6.28515625" style="7" customWidth="1"/>
    <col min="15089" max="15089" width="20.7109375" style="7" customWidth="1"/>
    <col min="15090" max="15090" width="10" style="7" customWidth="1"/>
    <col min="15091" max="15091" width="1" style="7" customWidth="1"/>
    <col min="15092" max="15092" width="10" style="7" customWidth="1"/>
    <col min="15093" max="15093" width="1.28515625" style="7" customWidth="1"/>
    <col min="15094" max="15094" width="9.7109375" style="7" customWidth="1"/>
    <col min="15095" max="15095" width="1.140625" style="7" customWidth="1"/>
    <col min="15096" max="15096" width="12.5703125" style="7" customWidth="1"/>
    <col min="15097" max="15097" width="4.7109375" style="7" customWidth="1"/>
    <col min="15098" max="15098" width="10.7109375" style="7" customWidth="1"/>
    <col min="15099" max="15099" width="4.5703125" style="7" customWidth="1"/>
    <col min="15100" max="15100" width="12.28515625" style="7" customWidth="1"/>
    <col min="15101" max="15101" width="1.42578125" style="7" customWidth="1"/>
    <col min="15102" max="15102" width="14.140625" style="7" customWidth="1"/>
    <col min="15103" max="15103" width="13.7109375" style="7" customWidth="1"/>
    <col min="15104" max="15104" width="8" style="7" customWidth="1"/>
    <col min="15105" max="15105" width="1.42578125" style="7" customWidth="1"/>
    <col min="15106" max="15106" width="11.28515625" style="7" customWidth="1"/>
    <col min="15107" max="15107" width="12.85546875" style="7" customWidth="1"/>
    <col min="15108" max="15108" width="10.5703125" style="7" customWidth="1"/>
    <col min="15109" max="15109" width="12" style="7" customWidth="1"/>
    <col min="15110" max="15110" width="11.140625" style="7" customWidth="1"/>
    <col min="15111" max="15111" width="9.28515625" style="7" customWidth="1"/>
    <col min="15112" max="15112" width="1.42578125" style="7" customWidth="1"/>
    <col min="15113" max="15113" width="17.28515625" style="7" customWidth="1"/>
    <col min="15114" max="15114" width="11.140625" style="7" customWidth="1"/>
    <col min="15115" max="15115" width="12.42578125" style="7" customWidth="1"/>
    <col min="15116" max="15117" width="11.28515625" style="7" customWidth="1"/>
    <col min="15118" max="15118" width="10.5703125" style="7" customWidth="1"/>
    <col min="15119" max="15119" width="16.42578125" style="7" customWidth="1"/>
    <col min="15120" max="15120" width="12.140625" style="7" customWidth="1"/>
    <col min="15121" max="15121" width="10.85546875" style="7" customWidth="1"/>
    <col min="15122" max="15122" width="11.7109375" style="7" customWidth="1"/>
    <col min="15123" max="15343" width="9.140625" style="7"/>
    <col min="15344" max="15344" width="6.28515625" style="7" customWidth="1"/>
    <col min="15345" max="15345" width="20.7109375" style="7" customWidth="1"/>
    <col min="15346" max="15346" width="10" style="7" customWidth="1"/>
    <col min="15347" max="15347" width="1" style="7" customWidth="1"/>
    <col min="15348" max="15348" width="10" style="7" customWidth="1"/>
    <col min="15349" max="15349" width="1.28515625" style="7" customWidth="1"/>
    <col min="15350" max="15350" width="9.7109375" style="7" customWidth="1"/>
    <col min="15351" max="15351" width="1.140625" style="7" customWidth="1"/>
    <col min="15352" max="15352" width="12.5703125" style="7" customWidth="1"/>
    <col min="15353" max="15353" width="4.7109375" style="7" customWidth="1"/>
    <col min="15354" max="15354" width="10.7109375" style="7" customWidth="1"/>
    <col min="15355" max="15355" width="4.5703125" style="7" customWidth="1"/>
    <col min="15356" max="15356" width="12.28515625" style="7" customWidth="1"/>
    <col min="15357" max="15357" width="1.42578125" style="7" customWidth="1"/>
    <col min="15358" max="15358" width="14.140625" style="7" customWidth="1"/>
    <col min="15359" max="15359" width="13.7109375" style="7" customWidth="1"/>
    <col min="15360" max="15360" width="8" style="7" customWidth="1"/>
    <col min="15361" max="15361" width="1.42578125" style="7" customWidth="1"/>
    <col min="15362" max="15362" width="11.28515625" style="7" customWidth="1"/>
    <col min="15363" max="15363" width="12.85546875" style="7" customWidth="1"/>
    <col min="15364" max="15364" width="10.5703125" style="7" customWidth="1"/>
    <col min="15365" max="15365" width="12" style="7" customWidth="1"/>
    <col min="15366" max="15366" width="11.140625" style="7" customWidth="1"/>
    <col min="15367" max="15367" width="9.28515625" style="7" customWidth="1"/>
    <col min="15368" max="15368" width="1.42578125" style="7" customWidth="1"/>
    <col min="15369" max="15369" width="17.28515625" style="7" customWidth="1"/>
    <col min="15370" max="15370" width="11.140625" style="7" customWidth="1"/>
    <col min="15371" max="15371" width="12.42578125" style="7" customWidth="1"/>
    <col min="15372" max="15373" width="11.28515625" style="7" customWidth="1"/>
    <col min="15374" max="15374" width="10.5703125" style="7" customWidth="1"/>
    <col min="15375" max="15375" width="16.42578125" style="7" customWidth="1"/>
    <col min="15376" max="15376" width="12.140625" style="7" customWidth="1"/>
    <col min="15377" max="15377" width="10.85546875" style="7" customWidth="1"/>
    <col min="15378" max="15378" width="11.7109375" style="7" customWidth="1"/>
    <col min="15379" max="15599" width="9.140625" style="7"/>
    <col min="15600" max="15600" width="6.28515625" style="7" customWidth="1"/>
    <col min="15601" max="15601" width="20.7109375" style="7" customWidth="1"/>
    <col min="15602" max="15602" width="10" style="7" customWidth="1"/>
    <col min="15603" max="15603" width="1" style="7" customWidth="1"/>
    <col min="15604" max="15604" width="10" style="7" customWidth="1"/>
    <col min="15605" max="15605" width="1.28515625" style="7" customWidth="1"/>
    <col min="15606" max="15606" width="9.7109375" style="7" customWidth="1"/>
    <col min="15607" max="15607" width="1.140625" style="7" customWidth="1"/>
    <col min="15608" max="15608" width="12.5703125" style="7" customWidth="1"/>
    <col min="15609" max="15609" width="4.7109375" style="7" customWidth="1"/>
    <col min="15610" max="15610" width="10.7109375" style="7" customWidth="1"/>
    <col min="15611" max="15611" width="4.5703125" style="7" customWidth="1"/>
    <col min="15612" max="15612" width="12.28515625" style="7" customWidth="1"/>
    <col min="15613" max="15613" width="1.42578125" style="7" customWidth="1"/>
    <col min="15614" max="15614" width="14.140625" style="7" customWidth="1"/>
    <col min="15615" max="15615" width="13.7109375" style="7" customWidth="1"/>
    <col min="15616" max="15616" width="8" style="7" customWidth="1"/>
    <col min="15617" max="15617" width="1.42578125" style="7" customWidth="1"/>
    <col min="15618" max="15618" width="11.28515625" style="7" customWidth="1"/>
    <col min="15619" max="15619" width="12.85546875" style="7" customWidth="1"/>
    <col min="15620" max="15620" width="10.5703125" style="7" customWidth="1"/>
    <col min="15621" max="15621" width="12" style="7" customWidth="1"/>
    <col min="15622" max="15622" width="11.140625" style="7" customWidth="1"/>
    <col min="15623" max="15623" width="9.28515625" style="7" customWidth="1"/>
    <col min="15624" max="15624" width="1.42578125" style="7" customWidth="1"/>
    <col min="15625" max="15625" width="17.28515625" style="7" customWidth="1"/>
    <col min="15626" max="15626" width="11.140625" style="7" customWidth="1"/>
    <col min="15627" max="15627" width="12.42578125" style="7" customWidth="1"/>
    <col min="15628" max="15629" width="11.28515625" style="7" customWidth="1"/>
    <col min="15630" max="15630" width="10.5703125" style="7" customWidth="1"/>
    <col min="15631" max="15631" width="16.42578125" style="7" customWidth="1"/>
    <col min="15632" max="15632" width="12.140625" style="7" customWidth="1"/>
    <col min="15633" max="15633" width="10.85546875" style="7" customWidth="1"/>
    <col min="15634" max="15634" width="11.7109375" style="7" customWidth="1"/>
    <col min="15635" max="15855" width="9.140625" style="7"/>
    <col min="15856" max="15856" width="6.28515625" style="7" customWidth="1"/>
    <col min="15857" max="15857" width="20.7109375" style="7" customWidth="1"/>
    <col min="15858" max="15858" width="10" style="7" customWidth="1"/>
    <col min="15859" max="15859" width="1" style="7" customWidth="1"/>
    <col min="15860" max="15860" width="10" style="7" customWidth="1"/>
    <col min="15861" max="15861" width="1.28515625" style="7" customWidth="1"/>
    <col min="15862" max="15862" width="9.7109375" style="7" customWidth="1"/>
    <col min="15863" max="15863" width="1.140625" style="7" customWidth="1"/>
    <col min="15864" max="15864" width="12.5703125" style="7" customWidth="1"/>
    <col min="15865" max="15865" width="4.7109375" style="7" customWidth="1"/>
    <col min="15866" max="15866" width="10.7109375" style="7" customWidth="1"/>
    <col min="15867" max="15867" width="4.5703125" style="7" customWidth="1"/>
    <col min="15868" max="15868" width="12.28515625" style="7" customWidth="1"/>
    <col min="15869" max="15869" width="1.42578125" style="7" customWidth="1"/>
    <col min="15870" max="15870" width="14.140625" style="7" customWidth="1"/>
    <col min="15871" max="15871" width="13.7109375" style="7" customWidth="1"/>
    <col min="15872" max="15872" width="8" style="7" customWidth="1"/>
    <col min="15873" max="15873" width="1.42578125" style="7" customWidth="1"/>
    <col min="15874" max="15874" width="11.28515625" style="7" customWidth="1"/>
    <col min="15875" max="15875" width="12.85546875" style="7" customWidth="1"/>
    <col min="15876" max="15876" width="10.5703125" style="7" customWidth="1"/>
    <col min="15877" max="15877" width="12" style="7" customWidth="1"/>
    <col min="15878" max="15878" width="11.140625" style="7" customWidth="1"/>
    <col min="15879" max="15879" width="9.28515625" style="7" customWidth="1"/>
    <col min="15880" max="15880" width="1.42578125" style="7" customWidth="1"/>
    <col min="15881" max="15881" width="17.28515625" style="7" customWidth="1"/>
    <col min="15882" max="15882" width="11.140625" style="7" customWidth="1"/>
    <col min="15883" max="15883" width="12.42578125" style="7" customWidth="1"/>
    <col min="15884" max="15885" width="11.28515625" style="7" customWidth="1"/>
    <col min="15886" max="15886" width="10.5703125" style="7" customWidth="1"/>
    <col min="15887" max="15887" width="16.42578125" style="7" customWidth="1"/>
    <col min="15888" max="15888" width="12.140625" style="7" customWidth="1"/>
    <col min="15889" max="15889" width="10.85546875" style="7" customWidth="1"/>
    <col min="15890" max="15890" width="11.7109375" style="7" customWidth="1"/>
    <col min="15891" max="16111" width="9.140625" style="7"/>
    <col min="16112" max="16112" width="6.28515625" style="7" customWidth="1"/>
    <col min="16113" max="16113" width="20.7109375" style="7" customWidth="1"/>
    <col min="16114" max="16114" width="10" style="7" customWidth="1"/>
    <col min="16115" max="16115" width="1" style="7" customWidth="1"/>
    <col min="16116" max="16116" width="10" style="7" customWidth="1"/>
    <col min="16117" max="16117" width="1.28515625" style="7" customWidth="1"/>
    <col min="16118" max="16118" width="9.7109375" style="7" customWidth="1"/>
    <col min="16119" max="16119" width="1.140625" style="7" customWidth="1"/>
    <col min="16120" max="16120" width="12.5703125" style="7" customWidth="1"/>
    <col min="16121" max="16121" width="4.7109375" style="7" customWidth="1"/>
    <col min="16122" max="16122" width="10.7109375" style="7" customWidth="1"/>
    <col min="16123" max="16123" width="4.5703125" style="7" customWidth="1"/>
    <col min="16124" max="16124" width="12.28515625" style="7" customWidth="1"/>
    <col min="16125" max="16125" width="1.42578125" style="7" customWidth="1"/>
    <col min="16126" max="16126" width="14.140625" style="7" customWidth="1"/>
    <col min="16127" max="16127" width="13.7109375" style="7" customWidth="1"/>
    <col min="16128" max="16128" width="8" style="7" customWidth="1"/>
    <col min="16129" max="16129" width="1.42578125" style="7" customWidth="1"/>
    <col min="16130" max="16130" width="11.28515625" style="7" customWidth="1"/>
    <col min="16131" max="16131" width="12.85546875" style="7" customWidth="1"/>
    <col min="16132" max="16132" width="10.5703125" style="7" customWidth="1"/>
    <col min="16133" max="16133" width="12" style="7" customWidth="1"/>
    <col min="16134" max="16134" width="11.140625" style="7" customWidth="1"/>
    <col min="16135" max="16135" width="9.28515625" style="7" customWidth="1"/>
    <col min="16136" max="16136" width="1.42578125" style="7" customWidth="1"/>
    <col min="16137" max="16137" width="17.28515625" style="7" customWidth="1"/>
    <col min="16138" max="16138" width="11.140625" style="7" customWidth="1"/>
    <col min="16139" max="16139" width="12.42578125" style="7" customWidth="1"/>
    <col min="16140" max="16141" width="11.28515625" style="7" customWidth="1"/>
    <col min="16142" max="16142" width="10.5703125" style="7" customWidth="1"/>
    <col min="16143" max="16143" width="16.42578125" style="7" customWidth="1"/>
    <col min="16144" max="16144" width="12.140625" style="7" customWidth="1"/>
    <col min="16145" max="16145" width="10.85546875" style="7" customWidth="1"/>
    <col min="16146" max="16146" width="11.7109375" style="7" customWidth="1"/>
    <col min="16147" max="16384" width="9.140625" style="7"/>
  </cols>
  <sheetData>
    <row r="1" spans="1:22">
      <c r="A1" s="1" t="s">
        <v>0</v>
      </c>
      <c r="B1" s="2"/>
    </row>
    <row r="2" spans="1:22">
      <c r="A2" s="1" t="s">
        <v>1</v>
      </c>
      <c r="B2" s="2"/>
    </row>
    <row r="3" spans="1:22">
      <c r="A3" s="1" t="s">
        <v>2172</v>
      </c>
      <c r="B3" s="9"/>
      <c r="H3" s="10"/>
      <c r="I3" s="10"/>
      <c r="J3" s="11"/>
      <c r="N3" s="12"/>
    </row>
    <row r="4" spans="1:22">
      <c r="A4" s="1"/>
      <c r="B4" s="9"/>
      <c r="C4" s="42"/>
      <c r="H4" s="10"/>
      <c r="I4" s="10"/>
      <c r="J4" s="11"/>
      <c r="N4" s="12"/>
    </row>
    <row r="5" spans="1:22">
      <c r="A5" s="1"/>
      <c r="B5" s="9"/>
      <c r="H5" s="10"/>
      <c r="I5" s="10"/>
      <c r="J5" s="11"/>
      <c r="N5" s="12"/>
    </row>
    <row r="6" spans="1:22" ht="12" thickBot="1">
      <c r="A6" s="1"/>
      <c r="B6" s="2"/>
      <c r="H6" s="10"/>
      <c r="I6" s="10"/>
      <c r="J6" s="11"/>
      <c r="L6" s="5"/>
      <c r="M6" s="5"/>
    </row>
    <row r="7" spans="1:22">
      <c r="A7" s="106"/>
      <c r="B7" s="107"/>
      <c r="C7" s="108" t="s">
        <v>2</v>
      </c>
      <c r="D7" s="109" t="s">
        <v>3</v>
      </c>
      <c r="E7" s="110" t="s">
        <v>4</v>
      </c>
      <c r="F7" s="109"/>
      <c r="G7" s="109" t="s">
        <v>5</v>
      </c>
      <c r="H7" s="111" t="s">
        <v>6</v>
      </c>
      <c r="I7" s="102"/>
      <c r="J7" s="117" t="s">
        <v>7</v>
      </c>
      <c r="K7" s="118" t="s">
        <v>7</v>
      </c>
      <c r="L7" s="13"/>
      <c r="M7" s="104"/>
      <c r="N7" s="121" t="s">
        <v>8</v>
      </c>
      <c r="O7" s="109" t="s">
        <v>9</v>
      </c>
      <c r="P7" s="109" t="s">
        <v>9</v>
      </c>
      <c r="Q7" s="109" t="s">
        <v>9</v>
      </c>
      <c r="R7" s="118" t="s">
        <v>10</v>
      </c>
      <c r="S7" s="14"/>
      <c r="T7" s="15"/>
      <c r="U7" s="16"/>
    </row>
    <row r="8" spans="1:22">
      <c r="A8" s="112"/>
      <c r="B8" s="113"/>
      <c r="C8" s="114" t="s">
        <v>212</v>
      </c>
      <c r="D8" s="115" t="s">
        <v>11</v>
      </c>
      <c r="E8" s="115" t="s">
        <v>8</v>
      </c>
      <c r="F8" s="115" t="s">
        <v>12</v>
      </c>
      <c r="G8" s="115" t="s">
        <v>11</v>
      </c>
      <c r="H8" s="116" t="s">
        <v>8</v>
      </c>
      <c r="I8" s="103"/>
      <c r="J8" s="119" t="s">
        <v>9</v>
      </c>
      <c r="K8" s="120" t="s">
        <v>13</v>
      </c>
      <c r="L8" s="17" t="s">
        <v>14</v>
      </c>
      <c r="M8" s="105"/>
      <c r="N8" s="122" t="s">
        <v>9</v>
      </c>
      <c r="O8" s="115" t="s">
        <v>15</v>
      </c>
      <c r="P8" s="115" t="s">
        <v>16</v>
      </c>
      <c r="Q8" s="115" t="s">
        <v>17</v>
      </c>
      <c r="R8" s="120" t="s">
        <v>18</v>
      </c>
      <c r="S8" s="18" t="s">
        <v>14</v>
      </c>
      <c r="T8" s="19" t="s">
        <v>19</v>
      </c>
      <c r="U8" s="20" t="s">
        <v>20</v>
      </c>
    </row>
    <row r="9" spans="1:22">
      <c r="A9" s="21" t="s">
        <v>21</v>
      </c>
      <c r="B9" s="22"/>
      <c r="C9" s="23"/>
      <c r="D9" s="24"/>
      <c r="E9" s="24"/>
      <c r="F9" s="25"/>
      <c r="G9" s="24"/>
      <c r="H9" s="24"/>
      <c r="I9" s="24"/>
      <c r="J9" s="26"/>
      <c r="K9" s="26"/>
      <c r="L9" s="27"/>
      <c r="M9" s="27"/>
      <c r="N9" s="27"/>
      <c r="O9" s="27"/>
      <c r="P9" s="27"/>
      <c r="Q9" s="28"/>
      <c r="R9" s="28"/>
      <c r="S9" s="27"/>
      <c r="T9" s="29"/>
      <c r="U9" s="30"/>
    </row>
    <row r="10" spans="1:22">
      <c r="A10" s="31">
        <v>32000</v>
      </c>
      <c r="B10" s="7" t="s">
        <v>22</v>
      </c>
      <c r="C10" s="32">
        <f>+SUM('Yakima IS'!AF15:AF16)</f>
        <v>3102733.8400000003</v>
      </c>
      <c r="D10" s="33">
        <f>'Restating Adj''s'!P9</f>
        <v>1041.7899999995716</v>
      </c>
      <c r="E10" s="33">
        <f t="shared" ref="E10:E19" si="0">SUM(C10:D10)</f>
        <v>3103775.63</v>
      </c>
      <c r="F10" s="1253" t="s">
        <v>23</v>
      </c>
      <c r="G10" s="33"/>
      <c r="H10" s="33">
        <f t="shared" ref="H10:H19" si="1">C10+D10+G10</f>
        <v>3103775.63</v>
      </c>
      <c r="I10" s="33"/>
      <c r="J10" s="32">
        <f>'Restating Adj''s'!B9</f>
        <v>1612539.2500000002</v>
      </c>
      <c r="K10" s="32">
        <f>'Restating Adj''s'!C9</f>
        <v>1491236.3799999997</v>
      </c>
      <c r="L10" s="32" t="s">
        <v>24</v>
      </c>
      <c r="M10" s="8">
        <f>H10-J10-K10</f>
        <v>0</v>
      </c>
      <c r="N10" s="32">
        <f>J10</f>
        <v>1612539.2500000002</v>
      </c>
      <c r="O10" s="32">
        <f>J10</f>
        <v>1612539.2500000002</v>
      </c>
      <c r="P10" s="32"/>
      <c r="Q10" s="32"/>
      <c r="R10" s="32"/>
      <c r="S10" s="34" t="s">
        <v>24</v>
      </c>
      <c r="T10" s="34">
        <f>SUM(O10:R10)-N10</f>
        <v>0</v>
      </c>
      <c r="U10" s="34"/>
      <c r="V10" s="34"/>
    </row>
    <row r="11" spans="1:22">
      <c r="A11" s="31">
        <v>32100</v>
      </c>
      <c r="B11" s="7" t="s">
        <v>25</v>
      </c>
      <c r="C11" s="34">
        <f>+'Yakima IS'!AF17</f>
        <v>304631.67999999999</v>
      </c>
      <c r="D11" s="35">
        <f>'Restating Adj''s'!P10</f>
        <v>417.01000000000931</v>
      </c>
      <c r="E11" s="35">
        <f t="shared" si="0"/>
        <v>305048.69</v>
      </c>
      <c r="F11" s="1253" t="s">
        <v>23</v>
      </c>
      <c r="G11" s="35"/>
      <c r="H11" s="35">
        <f t="shared" si="1"/>
        <v>305048.69</v>
      </c>
      <c r="I11" s="35"/>
      <c r="J11" s="34">
        <f>'Restating Adj''s'!B10</f>
        <v>305048.69</v>
      </c>
      <c r="K11" s="34">
        <f>'Restating Adj''s'!C10</f>
        <v>0</v>
      </c>
      <c r="L11" s="34" t="s">
        <v>24</v>
      </c>
      <c r="M11" s="8">
        <f t="shared" ref="M11:M19" si="2">H11-J11-K11</f>
        <v>0</v>
      </c>
      <c r="N11" s="34">
        <f t="shared" ref="N11:N19" si="3">J11</f>
        <v>305048.69</v>
      </c>
      <c r="O11" s="34"/>
      <c r="P11" s="34"/>
      <c r="Q11" s="34">
        <f>N11</f>
        <v>305048.69</v>
      </c>
      <c r="R11" s="34"/>
      <c r="S11" s="34" t="s">
        <v>24</v>
      </c>
      <c r="T11" s="34">
        <f t="shared" ref="T11:T86" si="4">SUM(O11:R11)-N11</f>
        <v>0</v>
      </c>
      <c r="U11" s="34"/>
      <c r="V11" s="34"/>
    </row>
    <row r="12" spans="1:22">
      <c r="A12" s="31">
        <v>32110</v>
      </c>
      <c r="B12" s="7" t="s">
        <v>26</v>
      </c>
      <c r="C12" s="34">
        <f>+'Yakima IS'!AF18</f>
        <v>104254.82999999999</v>
      </c>
      <c r="D12" s="35">
        <f>'Restating Adj''s'!P11</f>
        <v>-123.47999999998137</v>
      </c>
      <c r="E12" s="35">
        <f t="shared" si="0"/>
        <v>104131.35</v>
      </c>
      <c r="F12" s="1253" t="s">
        <v>23</v>
      </c>
      <c r="G12" s="35"/>
      <c r="H12" s="35">
        <f t="shared" si="1"/>
        <v>104131.35</v>
      </c>
      <c r="I12" s="35"/>
      <c r="J12" s="34">
        <f>'Restating Adj''s'!B11</f>
        <v>71649.56</v>
      </c>
      <c r="K12" s="34">
        <f>'Restating Adj''s'!C11</f>
        <v>32481.79</v>
      </c>
      <c r="L12" s="34" t="s">
        <v>24</v>
      </c>
      <c r="M12" s="8">
        <f t="shared" si="2"/>
        <v>0</v>
      </c>
      <c r="N12" s="34">
        <f t="shared" si="3"/>
        <v>71649.56</v>
      </c>
      <c r="O12" s="34"/>
      <c r="P12" s="34"/>
      <c r="Q12" s="34"/>
      <c r="R12" s="34">
        <f>N12</f>
        <v>71649.56</v>
      </c>
      <c r="S12" s="34" t="s">
        <v>24</v>
      </c>
      <c r="T12" s="34">
        <f t="shared" si="4"/>
        <v>0</v>
      </c>
      <c r="U12" s="34"/>
      <c r="V12" s="34"/>
    </row>
    <row r="13" spans="1:22">
      <c r="A13" s="31">
        <v>31110</v>
      </c>
      <c r="B13" s="7" t="s">
        <v>27</v>
      </c>
      <c r="C13" s="34">
        <f>+'Yakima IS'!AF19+'Yakima IS'!AF20+'Yakima IS'!AF21</f>
        <v>6390168.6900000004</v>
      </c>
      <c r="D13" s="35">
        <f>'Restating Adj''s'!P12</f>
        <v>-5769.5099999997765</v>
      </c>
      <c r="E13" s="35">
        <f t="shared" si="0"/>
        <v>6384399.1800000006</v>
      </c>
      <c r="F13" s="1253" t="s">
        <v>23</v>
      </c>
      <c r="G13" s="35"/>
      <c r="H13" s="35">
        <f t="shared" si="1"/>
        <v>6384399.1800000006</v>
      </c>
      <c r="I13" s="35"/>
      <c r="J13" s="34">
        <f>'Restating Adj''s'!B12</f>
        <v>4971775.3100000005</v>
      </c>
      <c r="K13" s="34">
        <f>'Restating Adj''s'!C12</f>
        <v>1412623.8699999999</v>
      </c>
      <c r="L13" s="34" t="s">
        <v>24</v>
      </c>
      <c r="M13" s="8">
        <f t="shared" si="2"/>
        <v>0</v>
      </c>
      <c r="N13" s="34">
        <f t="shared" si="3"/>
        <v>4971775.3100000005</v>
      </c>
      <c r="O13" s="34">
        <f>J13</f>
        <v>4971775.3100000005</v>
      </c>
      <c r="P13" s="34"/>
      <c r="Q13" s="34"/>
      <c r="R13" s="34"/>
      <c r="S13" s="34" t="s">
        <v>24</v>
      </c>
      <c r="T13" s="34">
        <f t="shared" si="4"/>
        <v>0</v>
      </c>
      <c r="U13" s="34"/>
      <c r="V13" s="34"/>
    </row>
    <row r="14" spans="1:22">
      <c r="A14" s="31">
        <v>31000</v>
      </c>
      <c r="B14" s="7" t="s">
        <v>28</v>
      </c>
      <c r="C14" s="34">
        <f>+'Yakima IS'!AF11+'Yakima IS'!AF12+'Yakima IS'!AF14</f>
        <v>2814414.32</v>
      </c>
      <c r="D14" s="35">
        <f>'Restating Adj''s'!P13</f>
        <v>-65782.239999999758</v>
      </c>
      <c r="E14" s="35">
        <f t="shared" si="0"/>
        <v>2748632.08</v>
      </c>
      <c r="F14" s="1253" t="s">
        <v>23</v>
      </c>
      <c r="G14" s="35"/>
      <c r="H14" s="35">
        <f t="shared" si="1"/>
        <v>2748632.08</v>
      </c>
      <c r="I14" s="35"/>
      <c r="J14" s="34">
        <f>'Restating Adj''s'!B13</f>
        <v>1896879.29</v>
      </c>
      <c r="K14" s="34">
        <f>'Restating Adj''s'!C13</f>
        <v>851752.7899999998</v>
      </c>
      <c r="L14" s="34" t="s">
        <v>24</v>
      </c>
      <c r="M14" s="8">
        <f t="shared" si="2"/>
        <v>0</v>
      </c>
      <c r="N14" s="34">
        <f t="shared" si="3"/>
        <v>1896879.29</v>
      </c>
      <c r="O14" s="34"/>
      <c r="P14" s="34">
        <f>N14</f>
        <v>1896879.29</v>
      </c>
      <c r="Q14" s="34"/>
      <c r="R14" s="34"/>
      <c r="S14" s="34" t="s">
        <v>24</v>
      </c>
      <c r="T14" s="34">
        <f t="shared" si="4"/>
        <v>0</v>
      </c>
      <c r="U14" s="34"/>
      <c r="V14" s="34"/>
    </row>
    <row r="15" spans="1:22">
      <c r="A15" s="31">
        <v>31005</v>
      </c>
      <c r="B15" s="7" t="s">
        <v>29</v>
      </c>
      <c r="C15" s="34">
        <f>+'Yakima IS'!AF13</f>
        <v>1880442.79</v>
      </c>
      <c r="D15" s="35">
        <f>'Restating Adj''s'!P14</f>
        <v>-10211.790000000037</v>
      </c>
      <c r="E15" s="35">
        <f t="shared" si="0"/>
        <v>1870231</v>
      </c>
      <c r="F15" s="1253" t="s">
        <v>23</v>
      </c>
      <c r="G15" s="35"/>
      <c r="H15" s="35">
        <f t="shared" si="1"/>
        <v>1870231</v>
      </c>
      <c r="I15" s="35"/>
      <c r="J15" s="34">
        <f>'Restating Adj''s'!B14</f>
        <v>1383866.5</v>
      </c>
      <c r="K15" s="34">
        <f>'Restating Adj''s'!C14</f>
        <v>486364.50000000006</v>
      </c>
      <c r="L15" s="34" t="s">
        <v>24</v>
      </c>
      <c r="M15" s="8">
        <f t="shared" si="2"/>
        <v>0</v>
      </c>
      <c r="N15" s="34">
        <f t="shared" si="3"/>
        <v>1383866.5</v>
      </c>
      <c r="O15" s="34"/>
      <c r="P15" s="34">
        <f>N15</f>
        <v>1383866.5</v>
      </c>
      <c r="Q15" s="34"/>
      <c r="R15" s="34"/>
      <c r="S15" s="34" t="s">
        <v>24</v>
      </c>
      <c r="T15" s="34">
        <f t="shared" si="4"/>
        <v>0</v>
      </c>
      <c r="U15" s="34"/>
      <c r="V15" s="34"/>
    </row>
    <row r="16" spans="1:22">
      <c r="A16" s="31">
        <v>33020</v>
      </c>
      <c r="B16" s="7" t="s">
        <v>30</v>
      </c>
      <c r="C16" s="34">
        <f>+'Yakima IS'!AF22</f>
        <v>564365.23</v>
      </c>
      <c r="D16" s="35">
        <f>'Restating Adj''s'!P15</f>
        <v>52430.050000000163</v>
      </c>
      <c r="E16" s="35">
        <f t="shared" si="0"/>
        <v>616795.28000000014</v>
      </c>
      <c r="F16" s="1253" t="s">
        <v>23</v>
      </c>
      <c r="G16" s="35"/>
      <c r="H16" s="35">
        <f t="shared" si="1"/>
        <v>616795.28000000014</v>
      </c>
      <c r="I16" s="35"/>
      <c r="J16" s="34">
        <f>'Restating Adj''s'!B15</f>
        <v>0</v>
      </c>
      <c r="K16" s="34">
        <f>'Restating Adj''s'!C15</f>
        <v>616795.28000000014</v>
      </c>
      <c r="L16" s="34" t="s">
        <v>24</v>
      </c>
      <c r="M16" s="8">
        <f t="shared" si="2"/>
        <v>0</v>
      </c>
      <c r="N16" s="34">
        <f t="shared" si="3"/>
        <v>0</v>
      </c>
      <c r="O16" s="34"/>
      <c r="P16" s="34"/>
      <c r="Q16" s="34"/>
      <c r="R16" s="34"/>
      <c r="S16" s="34" t="s">
        <v>24</v>
      </c>
      <c r="T16" s="34">
        <f t="shared" si="4"/>
        <v>0</v>
      </c>
      <c r="U16" s="34"/>
      <c r="V16" s="34"/>
    </row>
    <row r="17" spans="1:26">
      <c r="A17" s="31">
        <v>35500</v>
      </c>
      <c r="B17" s="7" t="s">
        <v>31</v>
      </c>
      <c r="C17" s="34">
        <f>+'Yakima IS'!AF35</f>
        <v>286445.49</v>
      </c>
      <c r="D17" s="35">
        <f>'Restating Adj''s'!P16</f>
        <v>0</v>
      </c>
      <c r="E17" s="35">
        <f t="shared" si="0"/>
        <v>286445.49</v>
      </c>
      <c r="F17" s="1253" t="s">
        <v>23</v>
      </c>
      <c r="G17" s="35"/>
      <c r="H17" s="35">
        <f t="shared" si="1"/>
        <v>286445.49</v>
      </c>
      <c r="I17" s="35"/>
      <c r="J17" s="34">
        <f>H17*Ratios!$E$80</f>
        <v>36286.930604047615</v>
      </c>
      <c r="K17" s="34">
        <f>H17-J17</f>
        <v>250158.55939595238</v>
      </c>
      <c r="L17" s="34" t="s">
        <v>2173</v>
      </c>
      <c r="M17" s="8">
        <f t="shared" si="2"/>
        <v>0</v>
      </c>
      <c r="N17" s="34">
        <f t="shared" si="3"/>
        <v>36286.930604047615</v>
      </c>
      <c r="O17" s="34"/>
      <c r="P17" s="34"/>
      <c r="Q17" s="34">
        <f>J17</f>
        <v>36286.930604047615</v>
      </c>
      <c r="R17" s="34"/>
      <c r="S17" s="34" t="s">
        <v>24</v>
      </c>
      <c r="T17" s="34">
        <f t="shared" si="4"/>
        <v>0</v>
      </c>
      <c r="U17" s="34"/>
      <c r="V17" s="34"/>
    </row>
    <row r="18" spans="1:26">
      <c r="A18" s="31">
        <v>38000</v>
      </c>
      <c r="B18" s="7" t="s">
        <v>32</v>
      </c>
      <c r="C18" s="34">
        <f>+'Yakima IS'!AF47</f>
        <v>39452.600000000006</v>
      </c>
      <c r="D18" s="35">
        <f>'Restating Adj''s'!P17</f>
        <v>605.69999999999709</v>
      </c>
      <c r="E18" s="35">
        <f t="shared" si="0"/>
        <v>40058.300000000003</v>
      </c>
      <c r="F18" s="1253" t="s">
        <v>23</v>
      </c>
      <c r="G18" s="35"/>
      <c r="H18" s="35">
        <f t="shared" si="1"/>
        <v>40058.300000000003</v>
      </c>
      <c r="I18" s="35"/>
      <c r="J18" s="34">
        <f>'Restating Adj''s'!B17</f>
        <v>27927.900000000005</v>
      </c>
      <c r="K18" s="34">
        <f>'Restating Adj''s'!C17</f>
        <v>12130.4</v>
      </c>
      <c r="L18" s="34" t="s">
        <v>24</v>
      </c>
      <c r="M18" s="8">
        <f t="shared" si="2"/>
        <v>0</v>
      </c>
      <c r="N18" s="34">
        <f t="shared" si="3"/>
        <v>27927.900000000005</v>
      </c>
      <c r="O18" s="86">
        <f>+'Restating Adj''s'!I9</f>
        <v>17954.541381225681</v>
      </c>
      <c r="P18" s="86">
        <f>+'Restating Adj''s'!I10</f>
        <v>8946.153090206697</v>
      </c>
      <c r="Q18" s="86">
        <f>+'Restating Adj''s'!I11</f>
        <v>831.82680262069448</v>
      </c>
      <c r="R18" s="86">
        <f>+'Restating Adj''s'!I12</f>
        <v>195.37872594692868</v>
      </c>
      <c r="S18" s="34" t="s">
        <v>2174</v>
      </c>
      <c r="T18" s="34">
        <f t="shared" si="4"/>
        <v>0</v>
      </c>
      <c r="U18" s="34"/>
      <c r="V18" s="34"/>
    </row>
    <row r="19" spans="1:26">
      <c r="A19" s="31">
        <v>38001</v>
      </c>
      <c r="B19" s="7" t="s">
        <v>33</v>
      </c>
      <c r="C19" s="34">
        <f>+'Yakima IS'!AF48</f>
        <v>15730.259999999998</v>
      </c>
      <c r="D19" s="35">
        <f>'Restating Adj''s'!P18</f>
        <v>-15730.259999999998</v>
      </c>
      <c r="E19" s="35">
        <f t="shared" si="0"/>
        <v>0</v>
      </c>
      <c r="F19" s="1253" t="s">
        <v>23</v>
      </c>
      <c r="G19" s="37"/>
      <c r="H19" s="35">
        <f t="shared" si="1"/>
        <v>0</v>
      </c>
      <c r="I19" s="35"/>
      <c r="J19" s="34"/>
      <c r="K19" s="34"/>
      <c r="L19" s="34" t="s">
        <v>24</v>
      </c>
      <c r="M19" s="8">
        <f t="shared" si="2"/>
        <v>0</v>
      </c>
      <c r="N19" s="34">
        <f t="shared" si="3"/>
        <v>0</v>
      </c>
      <c r="O19" s="34"/>
      <c r="P19" s="34"/>
      <c r="Q19" s="34"/>
      <c r="R19" s="34"/>
      <c r="S19" s="34"/>
      <c r="T19" s="34">
        <f t="shared" si="4"/>
        <v>0</v>
      </c>
      <c r="U19" s="34"/>
      <c r="V19" s="34"/>
    </row>
    <row r="20" spans="1:26">
      <c r="B20" s="2" t="s">
        <v>34</v>
      </c>
      <c r="C20" s="38">
        <f>SUM(C10:C19)</f>
        <v>15502639.730000002</v>
      </c>
      <c r="D20" s="38">
        <f>SUM(D10:D19)</f>
        <v>-43122.729999999807</v>
      </c>
      <c r="E20" s="38">
        <f>SUM(E10:E19)</f>
        <v>15459517.000000002</v>
      </c>
      <c r="F20" s="39"/>
      <c r="G20" s="38">
        <f>SUM(G10:G19)</f>
        <v>0</v>
      </c>
      <c r="H20" s="38">
        <f>SUM(H10:H19)</f>
        <v>15459517.000000002</v>
      </c>
      <c r="I20" s="38"/>
      <c r="J20" s="38">
        <f>SUM(J10:J19)</f>
        <v>10305973.43060405</v>
      </c>
      <c r="K20" s="38">
        <f>SUM(K9:K19)</f>
        <v>5153543.5693959519</v>
      </c>
      <c r="L20" s="40"/>
      <c r="M20" s="40"/>
      <c r="N20" s="38">
        <f>SUM(N10:N19)</f>
        <v>10305973.43060405</v>
      </c>
      <c r="O20" s="38">
        <f>SUM(O10:O19)</f>
        <v>6602269.1013812264</v>
      </c>
      <c r="P20" s="38">
        <f>SUM(P10:P19)</f>
        <v>3289691.9430902069</v>
      </c>
      <c r="Q20" s="38">
        <f>SUM(Q10:Q19)</f>
        <v>342167.44740666833</v>
      </c>
      <c r="R20" s="38">
        <f>SUM(R10:R19)</f>
        <v>71844.938725946922</v>
      </c>
      <c r="S20" s="40"/>
      <c r="T20" s="40">
        <f t="shared" si="4"/>
        <v>0</v>
      </c>
      <c r="U20" s="40">
        <f>C20+D20+G20-J20-K20</f>
        <v>0</v>
      </c>
      <c r="V20" s="34"/>
    </row>
    <row r="21" spans="1:26">
      <c r="C21" s="34">
        <f>+'Yakima IS'!AF52-C20</f>
        <v>0</v>
      </c>
      <c r="D21" s="37"/>
      <c r="E21" s="37"/>
      <c r="G21" s="37"/>
      <c r="H21" s="37"/>
      <c r="I21" s="37"/>
      <c r="J21" s="41">
        <f>J20/H20</f>
        <v>0.66664265323451233</v>
      </c>
      <c r="K21" s="41">
        <f>K20/H20</f>
        <v>0.33335734676548767</v>
      </c>
      <c r="N21" s="34"/>
      <c r="O21" s="42">
        <f>O20/N20</f>
        <v>0.64062547277440984</v>
      </c>
      <c r="P21" s="42">
        <f>P20/N20</f>
        <v>0.31920244751663335</v>
      </c>
      <c r="Q21" s="42">
        <f>Q20/N20</f>
        <v>3.320088584651177E-2</v>
      </c>
      <c r="R21" s="42">
        <f>R20/N20</f>
        <v>6.9711938624448765E-3</v>
      </c>
      <c r="T21" s="8">
        <f t="shared" si="4"/>
        <v>0.99999999999999978</v>
      </c>
      <c r="U21" s="43">
        <f>C21+D21+G21-J21-K21</f>
        <v>-1</v>
      </c>
    </row>
    <row r="22" spans="1:26">
      <c r="C22" s="34"/>
      <c r="D22" s="37"/>
      <c r="E22" s="37"/>
      <c r="G22" s="37"/>
      <c r="H22" s="37"/>
      <c r="I22" s="37"/>
      <c r="J22" s="37"/>
      <c r="K22" s="37"/>
      <c r="N22" s="37"/>
      <c r="O22" s="34"/>
      <c r="P22" s="34"/>
      <c r="Q22" s="34"/>
      <c r="R22" s="34"/>
      <c r="U22" s="43"/>
      <c r="W22" s="43"/>
    </row>
    <row r="23" spans="1:26">
      <c r="C23" s="34"/>
      <c r="D23" s="37"/>
      <c r="E23" s="37"/>
      <c r="G23" s="37"/>
      <c r="H23" s="37"/>
      <c r="I23" s="37"/>
      <c r="J23" s="37"/>
      <c r="K23" s="37"/>
      <c r="L23" s="6"/>
      <c r="N23" s="37"/>
      <c r="O23" s="34"/>
      <c r="P23" s="34"/>
      <c r="Q23" s="37"/>
      <c r="R23" s="37"/>
      <c r="U23" s="43"/>
    </row>
    <row r="24" spans="1:26">
      <c r="A24" s="21" t="s">
        <v>35</v>
      </c>
      <c r="B24" s="22"/>
      <c r="C24" s="44"/>
      <c r="D24" s="45"/>
      <c r="E24" s="45"/>
      <c r="F24" s="25"/>
      <c r="G24" s="45"/>
      <c r="H24" s="45"/>
      <c r="I24" s="45"/>
      <c r="J24" s="45"/>
      <c r="K24" s="45"/>
      <c r="L24" s="27"/>
      <c r="M24" s="27"/>
      <c r="N24" s="45"/>
      <c r="O24" s="44"/>
      <c r="P24" s="44"/>
      <c r="Q24" s="45"/>
      <c r="R24" s="45"/>
      <c r="S24" s="27"/>
      <c r="T24" s="46"/>
      <c r="U24" s="47"/>
    </row>
    <row r="25" spans="1:26">
      <c r="A25" s="48">
        <v>41200</v>
      </c>
      <c r="B25" s="49"/>
      <c r="C25" s="50"/>
      <c r="D25" s="51"/>
      <c r="E25" s="51"/>
      <c r="F25" s="52"/>
      <c r="G25" s="51"/>
      <c r="H25" s="51"/>
      <c r="I25" s="51"/>
      <c r="J25" s="51"/>
      <c r="K25" s="51"/>
      <c r="L25" s="53"/>
      <c r="M25" s="53"/>
      <c r="N25" s="51"/>
      <c r="O25" s="50"/>
      <c r="P25" s="50"/>
      <c r="Q25" s="51"/>
      <c r="R25" s="51"/>
      <c r="S25" s="53"/>
      <c r="T25" s="54"/>
      <c r="U25" s="55"/>
    </row>
    <row r="26" spans="1:26">
      <c r="A26" s="56">
        <v>57125</v>
      </c>
      <c r="B26" s="57" t="s">
        <v>36</v>
      </c>
      <c r="C26" s="34">
        <f>IFERROR(VLOOKUP(A26,'Yakima IS'!$B$55:$AF$290,31,FALSE),0)</f>
        <v>190.57999999999998</v>
      </c>
      <c r="D26" s="37"/>
      <c r="E26" s="35">
        <f>SUM(C26:D26)</f>
        <v>190.57999999999998</v>
      </c>
      <c r="F26" s="36"/>
      <c r="G26" s="37"/>
      <c r="H26" s="35">
        <f>C26+D26+G26</f>
        <v>190.57999999999998</v>
      </c>
      <c r="I26" s="35"/>
      <c r="J26" s="34">
        <f>H26*Ratios!$C$70</f>
        <v>129.70803717332998</v>
      </c>
      <c r="K26" s="34">
        <f>H26*Ratios!$D$70</f>
        <v>60.871962826669986</v>
      </c>
      <c r="L26" s="34" t="s">
        <v>37</v>
      </c>
      <c r="M26" s="8">
        <f t="shared" ref="M26:M27" si="5">H26-J26-K26</f>
        <v>0</v>
      </c>
      <c r="N26" s="34">
        <f t="shared" ref="N26:N27" si="6">J26</f>
        <v>129.70803717332998</v>
      </c>
      <c r="O26" s="34">
        <f>N26*Ratios!$D$159</f>
        <v>85.620142206698674</v>
      </c>
      <c r="P26" s="34">
        <f>N26*Ratios!$D$160</f>
        <v>39.844331067173947</v>
      </c>
      <c r="Q26" s="34">
        <f>N26*Ratios!$D$161</f>
        <v>3.3282854113391127</v>
      </c>
      <c r="R26" s="34">
        <f>N26*Ratios!$D$162</f>
        <v>0.91527848811825596</v>
      </c>
      <c r="S26" s="34" t="s">
        <v>38</v>
      </c>
      <c r="T26" s="8">
        <f t="shared" si="4"/>
        <v>0</v>
      </c>
      <c r="U26" s="43">
        <f>C26+D26+G26-J26-K26</f>
        <v>0</v>
      </c>
      <c r="V26" s="42"/>
      <c r="W26" s="42"/>
      <c r="X26" s="42"/>
      <c r="Y26" s="42"/>
      <c r="Z26" s="42"/>
    </row>
    <row r="27" spans="1:26">
      <c r="A27" s="56">
        <v>57147</v>
      </c>
      <c r="B27" s="57" t="s">
        <v>39</v>
      </c>
      <c r="C27" s="34">
        <f>IFERROR(VLOOKUP(A27,'Yakima IS'!$B$55:$AF$290,31,FALSE),0)</f>
        <v>54277.36</v>
      </c>
      <c r="D27" s="36"/>
      <c r="E27" s="35">
        <f>SUM(C27:D27)</f>
        <v>54277.36</v>
      </c>
      <c r="F27" s="36"/>
      <c r="G27" s="36">
        <f>'Pro-forma Adj''s'!B49</f>
        <v>9616.6666666666661</v>
      </c>
      <c r="H27" s="35">
        <f>C27+D27+G27</f>
        <v>63894.026666666665</v>
      </c>
      <c r="I27" s="35"/>
      <c r="J27" s="34">
        <f>H27*Ratios!$C$70</f>
        <v>43486.036236928005</v>
      </c>
      <c r="K27" s="34">
        <f>H27*Ratios!$D$70</f>
        <v>20407.990429738664</v>
      </c>
      <c r="L27" s="34" t="s">
        <v>37</v>
      </c>
      <c r="M27" s="8">
        <f t="shared" si="5"/>
        <v>0</v>
      </c>
      <c r="N27" s="34">
        <f t="shared" si="6"/>
        <v>43486.036236928005</v>
      </c>
      <c r="O27" s="34">
        <f>N27*Ratios!$D$159</f>
        <v>28705.087886234644</v>
      </c>
      <c r="P27" s="34">
        <f>N27*Ratios!$D$160</f>
        <v>13358.247201812928</v>
      </c>
      <c r="Q27" s="34">
        <f>N27*Ratios!$D$161</f>
        <v>1115.8440383375955</v>
      </c>
      <c r="R27" s="34">
        <f>N27*Ratios!$D$162</f>
        <v>306.85711054283871</v>
      </c>
      <c r="S27" s="34" t="s">
        <v>38</v>
      </c>
      <c r="T27" s="8">
        <f t="shared" si="4"/>
        <v>0</v>
      </c>
      <c r="U27" s="43">
        <f>C27+D27+G27-J27-K27</f>
        <v>0</v>
      </c>
      <c r="V27" s="42"/>
      <c r="W27" s="42"/>
      <c r="X27" s="42"/>
      <c r="Y27" s="42"/>
      <c r="Z27" s="42"/>
    </row>
    <row r="28" spans="1:26" ht="10.5" customHeight="1">
      <c r="A28" s="58">
        <v>41200</v>
      </c>
      <c r="B28" s="2" t="s">
        <v>34</v>
      </c>
      <c r="C28" s="38">
        <f>SUM(C26:C27)</f>
        <v>54467.94</v>
      </c>
      <c r="D28" s="38">
        <f>SUM(D26:D27)</f>
        <v>0</v>
      </c>
      <c r="E28" s="38">
        <f>SUM(E26:E27)</f>
        <v>54467.94</v>
      </c>
      <c r="F28" s="39"/>
      <c r="G28" s="38">
        <f>SUM(G26:G27)</f>
        <v>9616.6666666666661</v>
      </c>
      <c r="H28" s="38">
        <f>SUM(H26:H27)</f>
        <v>64084.606666666667</v>
      </c>
      <c r="I28" s="38"/>
      <c r="J28" s="38">
        <f>SUM(J26:J27)</f>
        <v>43615.744274101336</v>
      </c>
      <c r="K28" s="38">
        <f>SUM(K26:K27)</f>
        <v>20468.862392565334</v>
      </c>
      <c r="L28" s="40"/>
      <c r="M28" s="40"/>
      <c r="N28" s="38">
        <f>SUM(N26:N27)</f>
        <v>43615.744274101336</v>
      </c>
      <c r="O28" s="38">
        <f>SUM(O26:O27)</f>
        <v>28790.708028441342</v>
      </c>
      <c r="P28" s="38">
        <f>SUM(P26:P27)</f>
        <v>13398.091532880102</v>
      </c>
      <c r="Q28" s="38">
        <f>SUM(Q26:Q27)</f>
        <v>1119.1723237489346</v>
      </c>
      <c r="R28" s="38">
        <f>SUM(R26:R27)</f>
        <v>307.77238903095696</v>
      </c>
      <c r="S28" s="40"/>
      <c r="T28" s="59">
        <f t="shared" si="4"/>
        <v>0</v>
      </c>
      <c r="U28" s="60">
        <f>C28+D28+G28-J28-K28</f>
        <v>0</v>
      </c>
    </row>
    <row r="29" spans="1:26" ht="10.5" customHeight="1">
      <c r="A29" s="58"/>
      <c r="B29" s="2"/>
      <c r="C29" s="61"/>
      <c r="D29" s="61"/>
      <c r="E29" s="61"/>
      <c r="F29" s="62"/>
      <c r="G29" s="61"/>
      <c r="H29" s="61"/>
      <c r="I29" s="61"/>
      <c r="J29" s="61"/>
      <c r="K29" s="61"/>
      <c r="L29" s="3"/>
      <c r="M29" s="3"/>
      <c r="N29" s="61"/>
      <c r="O29" s="61"/>
      <c r="P29" s="61"/>
      <c r="Q29" s="61"/>
      <c r="R29" s="61"/>
      <c r="U29" s="43"/>
    </row>
    <row r="30" spans="1:26">
      <c r="A30" s="63">
        <v>41310</v>
      </c>
      <c r="B30" s="48" t="s">
        <v>40</v>
      </c>
      <c r="C30" s="50"/>
      <c r="D30" s="51"/>
      <c r="E30" s="51"/>
      <c r="F30" s="52"/>
      <c r="G30" s="51"/>
      <c r="H30" s="51"/>
      <c r="I30" s="51"/>
      <c r="J30" s="50"/>
      <c r="K30" s="50"/>
      <c r="L30" s="53"/>
      <c r="M30" s="53"/>
      <c r="N30" s="50"/>
      <c r="O30" s="50"/>
      <c r="P30" s="50"/>
      <c r="Q30" s="50"/>
      <c r="R30" s="50"/>
      <c r="S30" s="53"/>
      <c r="T30" s="54"/>
      <c r="U30" s="55"/>
    </row>
    <row r="31" spans="1:26">
      <c r="A31" s="64">
        <v>52010</v>
      </c>
      <c r="B31" s="7" t="s">
        <v>41</v>
      </c>
      <c r="C31" s="34">
        <f>IFERROR(VLOOKUP(A31,'Yakima IS'!$B$55:$AF$290,31,FALSE),0)</f>
        <v>78033.449999999983</v>
      </c>
      <c r="D31" s="35"/>
      <c r="E31" s="35">
        <f t="shared" ref="E31:E37" si="7">SUM(C31:D31)</f>
        <v>78033.449999999983</v>
      </c>
      <c r="F31" s="36"/>
      <c r="G31" s="35"/>
      <c r="H31" s="35">
        <f t="shared" ref="H31:H37" si="8">C31+D31+G31</f>
        <v>78033.449999999983</v>
      </c>
      <c r="I31" s="35"/>
      <c r="J31" s="34">
        <f>H31*Ratios!$C$70</f>
        <v>53109.275020270681</v>
      </c>
      <c r="K31" s="34">
        <f>H31*Ratios!$D$70</f>
        <v>24924.174979729301</v>
      </c>
      <c r="L31" s="34" t="s">
        <v>37</v>
      </c>
      <c r="M31" s="8">
        <f t="shared" ref="M31:M37" si="9">H31-J31-K31</f>
        <v>0</v>
      </c>
      <c r="N31" s="34">
        <f t="shared" ref="N31:N37" si="10">J31</f>
        <v>53109.275020270681</v>
      </c>
      <c r="O31" s="34">
        <f>N31*Ratios!$D$159</f>
        <v>35057.377929894588</v>
      </c>
      <c r="P31" s="34">
        <f>N31*Ratios!$D$160</f>
        <v>16314.359408719512</v>
      </c>
      <c r="Q31" s="34">
        <f>N31*Ratios!$D$161</f>
        <v>1362.7746522796731</v>
      </c>
      <c r="R31" s="34">
        <f>N31*Ratios!$D$162</f>
        <v>374.76302937691003</v>
      </c>
      <c r="S31" s="7" t="s">
        <v>38</v>
      </c>
      <c r="T31" s="8">
        <f t="shared" si="4"/>
        <v>0</v>
      </c>
      <c r="U31" s="43">
        <f t="shared" ref="U31:U38" si="11">C31+D31+G31-J31-K31</f>
        <v>0</v>
      </c>
      <c r="V31" s="42"/>
      <c r="W31" s="42"/>
      <c r="X31" s="42"/>
      <c r="Y31" s="42"/>
      <c r="Z31" s="42"/>
    </row>
    <row r="32" spans="1:26">
      <c r="A32" s="64">
        <v>52020</v>
      </c>
      <c r="B32" s="57" t="s">
        <v>42</v>
      </c>
      <c r="C32" s="34">
        <f>IFERROR(VLOOKUP(A32,'Yakima IS'!$B$55:$AF$290,31,FALSE),0)</f>
        <v>283839.60000000003</v>
      </c>
      <c r="D32" s="35">
        <f>'Restating Adj''s'!X25+'Restating Adj''s'!T25</f>
        <v>8928.7216041509892</v>
      </c>
      <c r="E32" s="35">
        <f t="shared" si="7"/>
        <v>292768.32160415105</v>
      </c>
      <c r="F32" s="1253" t="s">
        <v>153</v>
      </c>
      <c r="G32" s="35">
        <f>'Pro-forma Adj''s'!B10</f>
        <v>25888.809985913063</v>
      </c>
      <c r="H32" s="35">
        <f t="shared" si="8"/>
        <v>318657.13159006409</v>
      </c>
      <c r="I32" s="35"/>
      <c r="J32" s="34">
        <f>H32*Ratios!$C$70</f>
        <v>216876.85523051079</v>
      </c>
      <c r="K32" s="34">
        <f>H32*Ratios!$D$70</f>
        <v>101780.2763595533</v>
      </c>
      <c r="L32" s="34" t="s">
        <v>37</v>
      </c>
      <c r="M32" s="8">
        <f t="shared" si="9"/>
        <v>0</v>
      </c>
      <c r="N32" s="34">
        <f t="shared" si="10"/>
        <v>216876.85523051079</v>
      </c>
      <c r="O32" s="34">
        <f>N32*Ratios!$D$159</f>
        <v>143160.18953678239</v>
      </c>
      <c r="P32" s="34">
        <f>N32*Ratios!$D$160</f>
        <v>66621.26271377127</v>
      </c>
      <c r="Q32" s="34">
        <f>N32*Ratios!$D$161</f>
        <v>5565.0219450644263</v>
      </c>
      <c r="R32" s="34">
        <f>N32*Ratios!$D$162</f>
        <v>1530.3810348927173</v>
      </c>
      <c r="S32" s="7" t="s">
        <v>38</v>
      </c>
      <c r="T32" s="8">
        <f t="shared" si="4"/>
        <v>0</v>
      </c>
      <c r="U32" s="43">
        <f t="shared" si="11"/>
        <v>0</v>
      </c>
      <c r="V32" s="42"/>
      <c r="W32" s="42"/>
      <c r="X32" s="42"/>
      <c r="Y32" s="42"/>
      <c r="Z32" s="42"/>
    </row>
    <row r="33" spans="1:26">
      <c r="A33" s="64">
        <v>52025</v>
      </c>
      <c r="B33" s="7" t="s">
        <v>44</v>
      </c>
      <c r="C33" s="34">
        <f>IFERROR(VLOOKUP(A33,'Yakima IS'!$B$55:$AF$290,31,FALSE),0)</f>
        <v>95162.37999999999</v>
      </c>
      <c r="D33" s="35"/>
      <c r="E33" s="35">
        <f t="shared" si="7"/>
        <v>95162.37999999999</v>
      </c>
      <c r="F33" s="36"/>
      <c r="G33" s="35"/>
      <c r="H33" s="35">
        <f t="shared" si="8"/>
        <v>95162.37999999999</v>
      </c>
      <c r="I33" s="35"/>
      <c r="J33" s="34">
        <f>H33*Ratios!$C$70</f>
        <v>64767.160890662999</v>
      </c>
      <c r="K33" s="34">
        <f>H33*Ratios!$D$70</f>
        <v>30395.219109336987</v>
      </c>
      <c r="L33" s="34" t="s">
        <v>37</v>
      </c>
      <c r="M33" s="8">
        <f t="shared" si="9"/>
        <v>0</v>
      </c>
      <c r="N33" s="34">
        <f t="shared" si="10"/>
        <v>64767.160890662999</v>
      </c>
      <c r="O33" s="34">
        <f>N33*Ratios!$D$159</f>
        <v>42752.736427368553</v>
      </c>
      <c r="P33" s="34">
        <f>N33*Ratios!$D$160</f>
        <v>19895.484173891346</v>
      </c>
      <c r="Q33" s="34">
        <f>N33*Ratios!$D$161</f>
        <v>1661.9139524730242</v>
      </c>
      <c r="R33" s="34">
        <f>N33*Ratios!$D$162</f>
        <v>457.02633693008164</v>
      </c>
      <c r="S33" s="7" t="s">
        <v>38</v>
      </c>
      <c r="T33" s="8">
        <f t="shared" si="4"/>
        <v>0</v>
      </c>
      <c r="U33" s="43">
        <f t="shared" si="11"/>
        <v>0</v>
      </c>
      <c r="V33" s="42"/>
      <c r="W33" s="42"/>
      <c r="X33" s="42"/>
      <c r="Y33" s="42"/>
      <c r="Z33" s="42"/>
    </row>
    <row r="34" spans="1:26">
      <c r="A34" s="64">
        <v>52035</v>
      </c>
      <c r="B34" s="7" t="s">
        <v>45</v>
      </c>
      <c r="C34" s="34">
        <f>IFERROR(VLOOKUP(A34,'Yakima IS'!$B$55:$AF$290,31,FALSE),0)</f>
        <v>8000</v>
      </c>
      <c r="D34" s="35"/>
      <c r="E34" s="35">
        <f t="shared" si="7"/>
        <v>8000</v>
      </c>
      <c r="F34" s="36"/>
      <c r="G34" s="35"/>
      <c r="H34" s="35">
        <f t="shared" si="8"/>
        <v>8000</v>
      </c>
      <c r="I34" s="35"/>
      <c r="J34" s="34">
        <f>H34*Ratios!$C$70</f>
        <v>5444.77016154182</v>
      </c>
      <c r="K34" s="34">
        <f>H34*Ratios!$D$70</f>
        <v>2555.22983845818</v>
      </c>
      <c r="L34" s="34" t="s">
        <v>37</v>
      </c>
      <c r="M34" s="8">
        <f t="shared" si="9"/>
        <v>0</v>
      </c>
      <c r="N34" s="34">
        <f t="shared" si="10"/>
        <v>5444.77016154182</v>
      </c>
      <c r="O34" s="34">
        <f>N34*Ratios!$D$159</f>
        <v>3594.0871951599829</v>
      </c>
      <c r="P34" s="34">
        <f>N34*Ratios!$D$160</f>
        <v>1672.5503648724507</v>
      </c>
      <c r="Q34" s="34">
        <f>N34*Ratios!$D$161</f>
        <v>139.71184432108777</v>
      </c>
      <c r="R34" s="34">
        <f>N34*Ratios!$D$162</f>
        <v>38.420757188299135</v>
      </c>
      <c r="S34" s="7" t="s">
        <v>38</v>
      </c>
      <c r="T34" s="8">
        <f t="shared" si="4"/>
        <v>0</v>
      </c>
      <c r="U34" s="43">
        <f t="shared" si="11"/>
        <v>0</v>
      </c>
      <c r="V34" s="42"/>
      <c r="W34" s="42"/>
      <c r="X34" s="42"/>
      <c r="Y34" s="42"/>
      <c r="Z34" s="42"/>
    </row>
    <row r="35" spans="1:26">
      <c r="A35" s="64">
        <v>52036</v>
      </c>
      <c r="B35" s="7" t="s">
        <v>46</v>
      </c>
      <c r="C35" s="34">
        <f>IFERROR(VLOOKUP(A35,'Yakima IS'!$B$55:$AF$290,31,FALSE),0)</f>
        <v>937.94</v>
      </c>
      <c r="D35" s="35"/>
      <c r="E35" s="35">
        <f t="shared" si="7"/>
        <v>937.94</v>
      </c>
      <c r="F35" s="36"/>
      <c r="G35" s="65"/>
      <c r="H35" s="35">
        <f t="shared" si="8"/>
        <v>937.94</v>
      </c>
      <c r="I35" s="35"/>
      <c r="J35" s="34">
        <f>H35*Ratios!$C$70</f>
        <v>638.35846566456689</v>
      </c>
      <c r="K35" s="34">
        <f>H35*Ratios!$D$70</f>
        <v>299.58153433543316</v>
      </c>
      <c r="L35" s="34" t="s">
        <v>37</v>
      </c>
      <c r="M35" s="8">
        <f t="shared" si="9"/>
        <v>0</v>
      </c>
      <c r="N35" s="34">
        <f t="shared" si="10"/>
        <v>638.35846566456689</v>
      </c>
      <c r="O35" s="34">
        <f>N35*Ratios!$D$159</f>
        <v>421.37976797854435</v>
      </c>
      <c r="P35" s="34">
        <f>N35*Ratios!$D$160</f>
        <v>196.09398615355832</v>
      </c>
      <c r="Q35" s="34">
        <f>N35*Ratios!$D$161</f>
        <v>16.380165907815133</v>
      </c>
      <c r="R35" s="34">
        <f>N35*Ratios!$D$162</f>
        <v>4.5045456246491611</v>
      </c>
      <c r="S35" s="7" t="s">
        <v>38</v>
      </c>
      <c r="T35" s="8">
        <f t="shared" si="4"/>
        <v>0</v>
      </c>
      <c r="U35" s="43">
        <f t="shared" si="11"/>
        <v>0</v>
      </c>
      <c r="V35" s="42"/>
      <c r="W35" s="42"/>
      <c r="X35" s="42"/>
      <c r="Y35" s="42"/>
      <c r="Z35" s="42"/>
    </row>
    <row r="36" spans="1:26">
      <c r="A36" s="31">
        <v>52065</v>
      </c>
      <c r="B36" s="7" t="s">
        <v>47</v>
      </c>
      <c r="C36" s="34">
        <f>IFERROR(VLOOKUP(A36,'Yakima IS'!$B$55:$AF$290,31,FALSE),0)</f>
        <v>17229.87</v>
      </c>
      <c r="D36" s="35"/>
      <c r="E36" s="35">
        <f t="shared" si="7"/>
        <v>17229.87</v>
      </c>
      <c r="F36" s="36"/>
      <c r="G36" s="65"/>
      <c r="H36" s="35">
        <f t="shared" si="8"/>
        <v>17229.87</v>
      </c>
      <c r="I36" s="35"/>
      <c r="J36" s="34">
        <f>H36*Ratios!$C$70</f>
        <v>11726.58525790557</v>
      </c>
      <c r="K36" s="34">
        <f>H36*Ratios!$D$70</f>
        <v>5503.2847420944299</v>
      </c>
      <c r="L36" s="34" t="s">
        <v>37</v>
      </c>
      <c r="M36" s="8">
        <f t="shared" si="9"/>
        <v>0</v>
      </c>
      <c r="N36" s="34">
        <f t="shared" si="10"/>
        <v>11726.58525790557</v>
      </c>
      <c r="O36" s="34">
        <f>N36*Ratios!$D$159</f>
        <v>7740.7068926588918</v>
      </c>
      <c r="P36" s="34">
        <f>N36*Ratios!$D$160</f>
        <v>3602.2281694006115</v>
      </c>
      <c r="Q36" s="34">
        <f>N36*Ratios!$D$161</f>
        <v>300.90211438907255</v>
      </c>
      <c r="R36" s="34">
        <f>N36*Ratios!$D$162</f>
        <v>82.748081456994953</v>
      </c>
      <c r="S36" s="7" t="s">
        <v>38</v>
      </c>
      <c r="T36" s="8">
        <f t="shared" si="4"/>
        <v>0</v>
      </c>
      <c r="U36" s="43">
        <f t="shared" si="11"/>
        <v>0</v>
      </c>
      <c r="V36" s="42"/>
      <c r="W36" s="42"/>
      <c r="X36" s="42"/>
      <c r="Y36" s="42"/>
      <c r="Z36" s="42"/>
    </row>
    <row r="37" spans="1:26">
      <c r="A37" s="31">
        <v>52070</v>
      </c>
      <c r="B37" s="7" t="s">
        <v>48</v>
      </c>
      <c r="C37" s="34">
        <f>IFERROR(VLOOKUP(A37,'Yakima IS'!$B$55:$AF$290,31,FALSE),0)</f>
        <v>2880.37</v>
      </c>
      <c r="D37" s="35"/>
      <c r="E37" s="35">
        <f t="shared" si="7"/>
        <v>2880.37</v>
      </c>
      <c r="F37" s="36"/>
      <c r="G37" s="65"/>
      <c r="H37" s="35">
        <f t="shared" si="8"/>
        <v>2880.37</v>
      </c>
      <c r="I37" s="35"/>
      <c r="J37" s="34">
        <f>H37*Ratios!$C$70</f>
        <v>1960.3690787750265</v>
      </c>
      <c r="K37" s="34">
        <f>H37*Ratios!$D$70</f>
        <v>920.00092122497347</v>
      </c>
      <c r="L37" s="34" t="s">
        <v>37</v>
      </c>
      <c r="M37" s="8">
        <f t="shared" si="9"/>
        <v>0</v>
      </c>
      <c r="N37" s="34">
        <f t="shared" si="10"/>
        <v>1960.3690787750265</v>
      </c>
      <c r="O37" s="34">
        <f>N37*Ratios!$D$159</f>
        <v>1294.0376167903701</v>
      </c>
      <c r="P37" s="34">
        <f>N37*Ratios!$D$160</f>
        <v>602.19548680845753</v>
      </c>
      <c r="Q37" s="34">
        <f>N37*Ratios!$D$161</f>
        <v>50.30272562839145</v>
      </c>
      <c r="R37" s="34">
        <f>N37*Ratios!$D$162</f>
        <v>13.833249547807647</v>
      </c>
      <c r="S37" s="7" t="s">
        <v>38</v>
      </c>
      <c r="T37" s="8">
        <f t="shared" si="4"/>
        <v>0</v>
      </c>
      <c r="U37" s="43">
        <f t="shared" si="11"/>
        <v>0</v>
      </c>
      <c r="V37" s="42"/>
      <c r="W37" s="42"/>
      <c r="X37" s="42"/>
      <c r="Y37" s="42"/>
      <c r="Z37" s="42"/>
    </row>
    <row r="38" spans="1:26" ht="12" customHeight="1">
      <c r="A38" s="66">
        <v>41310</v>
      </c>
      <c r="B38" s="2" t="s">
        <v>40</v>
      </c>
      <c r="C38" s="38">
        <f>SUM(C31:C37)</f>
        <v>486083.61000000004</v>
      </c>
      <c r="D38" s="67">
        <f>SUM(D31:D37)</f>
        <v>8928.7216041509892</v>
      </c>
      <c r="E38" s="38">
        <f>SUM(E31:E37)</f>
        <v>495012.331604151</v>
      </c>
      <c r="F38" s="39"/>
      <c r="G38" s="67">
        <f>SUM(G31:G37)</f>
        <v>25888.809985913063</v>
      </c>
      <c r="H38" s="38">
        <f>SUM(H31:H37)</f>
        <v>520901.1415900641</v>
      </c>
      <c r="I38" s="38"/>
      <c r="J38" s="38">
        <f>SUM(J31:J37)</f>
        <v>354523.37410533149</v>
      </c>
      <c r="K38" s="38">
        <f>SUM(K31:K37)</f>
        <v>166377.76748473258</v>
      </c>
      <c r="L38" s="40"/>
      <c r="M38" s="40"/>
      <c r="N38" s="38">
        <f>SUM(N31:N37)</f>
        <v>354523.37410533149</v>
      </c>
      <c r="O38" s="38">
        <f>SUM(O31:O37)</f>
        <v>234020.51536663331</v>
      </c>
      <c r="P38" s="38">
        <f>SUM(P31:P37)</f>
        <v>108904.1743036172</v>
      </c>
      <c r="Q38" s="38">
        <f>SUM(Q31:Q37)</f>
        <v>9097.0074000634904</v>
      </c>
      <c r="R38" s="38">
        <f>SUM(R31:R37)</f>
        <v>2501.6770350174597</v>
      </c>
      <c r="S38" s="60"/>
      <c r="T38" s="59">
        <f t="shared" si="4"/>
        <v>0</v>
      </c>
      <c r="U38" s="60">
        <f t="shared" si="11"/>
        <v>0</v>
      </c>
    </row>
    <row r="39" spans="1:26">
      <c r="A39" s="66"/>
      <c r="B39" s="2"/>
      <c r="C39" s="61"/>
      <c r="D39" s="35"/>
      <c r="E39" s="37"/>
      <c r="G39" s="65"/>
      <c r="H39" s="37"/>
      <c r="I39" s="37"/>
      <c r="J39" s="61"/>
      <c r="K39" s="61"/>
      <c r="N39" s="61"/>
      <c r="O39" s="61"/>
      <c r="P39" s="34"/>
      <c r="Q39" s="61"/>
      <c r="R39" s="61"/>
      <c r="U39" s="43"/>
    </row>
    <row r="40" spans="1:26">
      <c r="A40" s="63">
        <v>41311</v>
      </c>
      <c r="B40" s="48" t="s">
        <v>49</v>
      </c>
      <c r="C40" s="68"/>
      <c r="D40" s="69"/>
      <c r="E40" s="51"/>
      <c r="F40" s="52"/>
      <c r="G40" s="70"/>
      <c r="H40" s="51"/>
      <c r="I40" s="51"/>
      <c r="J40" s="68"/>
      <c r="K40" s="68"/>
      <c r="L40" s="53"/>
      <c r="M40" s="53"/>
      <c r="N40" s="68"/>
      <c r="O40" s="68"/>
      <c r="P40" s="50"/>
      <c r="Q40" s="68"/>
      <c r="R40" s="68"/>
      <c r="S40" s="53"/>
      <c r="T40" s="54"/>
      <c r="U40" s="55"/>
    </row>
    <row r="41" spans="1:26" ht="10.5" customHeight="1">
      <c r="A41" s="31">
        <v>55020</v>
      </c>
      <c r="B41" s="7" t="s">
        <v>50</v>
      </c>
      <c r="C41" s="34">
        <f>IFERROR(VLOOKUP(A41,'Yakima IS'!$B$55:$AF$290,31,FALSE),0)</f>
        <v>38490.500000000007</v>
      </c>
      <c r="D41" s="35"/>
      <c r="E41" s="35">
        <f t="shared" ref="E41:E45" si="12">SUM(C41:D41)</f>
        <v>38490.500000000007</v>
      </c>
      <c r="F41" s="36"/>
      <c r="G41" s="35"/>
      <c r="H41" s="35">
        <f t="shared" ref="H41:H45" si="13">C41+D41+G41</f>
        <v>38490.500000000007</v>
      </c>
      <c r="I41" s="35"/>
      <c r="J41" s="34">
        <f>H41*Ratios!$C$70</f>
        <v>26196.490737853183</v>
      </c>
      <c r="K41" s="34">
        <f>H41*Ratios!$D$70</f>
        <v>12294.009262146825</v>
      </c>
      <c r="L41" s="34" t="s">
        <v>37</v>
      </c>
      <c r="M41" s="8">
        <f t="shared" ref="M41:M45" si="14">H41-J41-K41</f>
        <v>0</v>
      </c>
      <c r="N41" s="34">
        <f t="shared" ref="N41:N45" si="15">J41</f>
        <v>26196.490737853183</v>
      </c>
      <c r="O41" s="34">
        <f>N41*Ratios!$D$159</f>
        <v>17292.27664816317</v>
      </c>
      <c r="P41" s="34">
        <f>N41*Ratios!$D$160</f>
        <v>8047.1624773903841</v>
      </c>
      <c r="Q41" s="34">
        <f>N41*Ratios!$D$161</f>
        <v>672.19734298010371</v>
      </c>
      <c r="R41" s="34">
        <f>N41*Ratios!$D$162</f>
        <v>184.8542693195285</v>
      </c>
      <c r="S41" s="7" t="s">
        <v>38</v>
      </c>
      <c r="T41" s="8">
        <f t="shared" si="4"/>
        <v>0</v>
      </c>
      <c r="U41" s="43">
        <f t="shared" ref="U41:U46" si="16">C41+D41+G41-J41-K41</f>
        <v>0</v>
      </c>
      <c r="V41" s="42"/>
      <c r="W41" s="42"/>
      <c r="X41" s="42"/>
      <c r="Y41" s="42"/>
      <c r="Z41" s="42"/>
    </row>
    <row r="42" spans="1:26">
      <c r="A42" s="31">
        <v>55025</v>
      </c>
      <c r="B42" s="7" t="s">
        <v>51</v>
      </c>
      <c r="C42" s="34">
        <f>IFERROR(VLOOKUP(A42,'Yakima IS'!$B$55:$AF$290,31,FALSE),0)</f>
        <v>5564.91</v>
      </c>
      <c r="D42" s="35"/>
      <c r="E42" s="35">
        <f t="shared" si="12"/>
        <v>5564.91</v>
      </c>
      <c r="F42" s="36"/>
      <c r="G42" s="35"/>
      <c r="H42" s="35">
        <f t="shared" si="13"/>
        <v>5564.91</v>
      </c>
      <c r="I42" s="35"/>
      <c r="J42" s="34">
        <f>H42*Ratios!$C$70</f>
        <v>3787.4569899582111</v>
      </c>
      <c r="K42" s="34">
        <f>H42*Ratios!$D$70</f>
        <v>1777.4530100417887</v>
      </c>
      <c r="L42" s="34" t="s">
        <v>37</v>
      </c>
      <c r="M42" s="8">
        <f t="shared" si="14"/>
        <v>0</v>
      </c>
      <c r="N42" s="34">
        <f t="shared" si="15"/>
        <v>3787.4569899582111</v>
      </c>
      <c r="O42" s="34">
        <f>N42*Ratios!$D$159</f>
        <v>2500.0964716522176</v>
      </c>
      <c r="P42" s="34">
        <f>N42*Ratios!$D$160</f>
        <v>1163.4490313727936</v>
      </c>
      <c r="Q42" s="34">
        <f>N42*Ratios!$D$161</f>
        <v>97.185479947608059</v>
      </c>
      <c r="R42" s="34">
        <f>N42*Ratios!$D$162</f>
        <v>26.726006985592214</v>
      </c>
      <c r="S42" s="7" t="s">
        <v>38</v>
      </c>
      <c r="T42" s="8">
        <f t="shared" si="4"/>
        <v>0</v>
      </c>
      <c r="U42" s="43">
        <f t="shared" si="16"/>
        <v>0</v>
      </c>
      <c r="V42" s="42"/>
      <c r="W42" s="42"/>
      <c r="X42" s="42"/>
      <c r="Y42" s="42"/>
      <c r="Z42" s="42"/>
    </row>
    <row r="43" spans="1:26">
      <c r="A43" s="31">
        <v>55036</v>
      </c>
      <c r="B43" s="7" t="s">
        <v>77</v>
      </c>
      <c r="C43" s="34">
        <f>IFERROR(VLOOKUP(A43,'Yakima IS'!$B$55:$AF$290,31,FALSE),0)</f>
        <v>37.130000000000003</v>
      </c>
      <c r="D43" s="35"/>
      <c r="E43" s="35">
        <f t="shared" si="12"/>
        <v>37.130000000000003</v>
      </c>
      <c r="F43" s="36"/>
      <c r="G43" s="35"/>
      <c r="H43" s="35">
        <f t="shared" si="13"/>
        <v>37.130000000000003</v>
      </c>
      <c r="I43" s="35"/>
      <c r="J43" s="34">
        <f>H43*Ratios!$C$70</f>
        <v>25.270539512255976</v>
      </c>
      <c r="K43" s="34">
        <f>H43*Ratios!$D$70</f>
        <v>11.859460487744029</v>
      </c>
      <c r="L43" s="34" t="s">
        <v>37</v>
      </c>
      <c r="M43" s="8">
        <f t="shared" si="14"/>
        <v>0</v>
      </c>
      <c r="N43" s="34">
        <f t="shared" ref="N43" si="17">J43</f>
        <v>25.270539512255976</v>
      </c>
      <c r="O43" s="34">
        <f>N43*Ratios!$D$159</f>
        <v>16.681057194536272</v>
      </c>
      <c r="P43" s="34">
        <f>N43*Ratios!$D$160</f>
        <v>7.7627243809642623</v>
      </c>
      <c r="Q43" s="34">
        <f>N43*Ratios!$D$161</f>
        <v>0.64843759745524865</v>
      </c>
      <c r="R43" s="34">
        <f>N43*Ratios!$D$162</f>
        <v>0.17832033930019336</v>
      </c>
      <c r="S43" s="7" t="s">
        <v>38</v>
      </c>
      <c r="T43" s="8">
        <f t="shared" ref="T43" si="18">SUM(O43:R43)-N43</f>
        <v>0</v>
      </c>
      <c r="U43" s="43">
        <f t="shared" si="16"/>
        <v>0</v>
      </c>
      <c r="V43" s="42"/>
      <c r="W43" s="42"/>
      <c r="X43" s="42"/>
      <c r="Y43" s="42"/>
      <c r="Z43" s="42"/>
    </row>
    <row r="44" spans="1:26">
      <c r="A44" s="31">
        <v>55065</v>
      </c>
      <c r="B44" s="7" t="s">
        <v>47</v>
      </c>
      <c r="C44" s="34">
        <f>IFERROR(VLOOKUP(A44,'Yakima IS'!$B$55:$AF$290,31,FALSE),0)</f>
        <v>1416.72</v>
      </c>
      <c r="D44" s="35"/>
      <c r="E44" s="35">
        <f t="shared" si="12"/>
        <v>1416.72</v>
      </c>
      <c r="F44" s="36"/>
      <c r="G44" s="35"/>
      <c r="H44" s="35">
        <f t="shared" si="13"/>
        <v>1416.72</v>
      </c>
      <c r="I44" s="35"/>
      <c r="J44" s="34">
        <f>H44*Ratios!$C$70</f>
        <v>964.21434790744092</v>
      </c>
      <c r="K44" s="34">
        <f>H44*Ratios!$D$70</f>
        <v>452.5056520925591</v>
      </c>
      <c r="L44" s="34" t="s">
        <v>37</v>
      </c>
      <c r="M44" s="8">
        <f t="shared" si="14"/>
        <v>0</v>
      </c>
      <c r="N44" s="34">
        <f t="shared" si="15"/>
        <v>964.21434790744092</v>
      </c>
      <c r="O44" s="34">
        <f>N44*Ratios!$D$159</f>
        <v>636.47690139088138</v>
      </c>
      <c r="P44" s="34">
        <f>N44*Ratios!$D$160</f>
        <v>296.19194411526229</v>
      </c>
      <c r="Q44" s="34">
        <f>N44*Ratios!$D$161</f>
        <v>24.741570510821433</v>
      </c>
      <c r="R44" s="34">
        <f>N44*Ratios!$D$162</f>
        <v>6.8039318904758934</v>
      </c>
      <c r="S44" s="7" t="s">
        <v>38</v>
      </c>
      <c r="T44" s="8">
        <f t="shared" si="4"/>
        <v>0</v>
      </c>
      <c r="U44" s="43">
        <f t="shared" si="16"/>
        <v>0</v>
      </c>
      <c r="V44" s="42"/>
      <c r="W44" s="42"/>
      <c r="X44" s="42"/>
      <c r="Y44" s="42"/>
      <c r="Z44" s="42"/>
    </row>
    <row r="45" spans="1:26">
      <c r="A45" s="31">
        <v>55070</v>
      </c>
      <c r="B45" s="7" t="s">
        <v>52</v>
      </c>
      <c r="C45" s="34">
        <f>IFERROR(VLOOKUP(A45,'Yakima IS'!$B$55:$AF$290,31,FALSE),0)</f>
        <v>1576</v>
      </c>
      <c r="D45" s="35"/>
      <c r="E45" s="35">
        <f t="shared" si="12"/>
        <v>1576</v>
      </c>
      <c r="F45" s="36"/>
      <c r="G45" s="35"/>
      <c r="H45" s="35">
        <f t="shared" si="13"/>
        <v>1576</v>
      </c>
      <c r="I45" s="35"/>
      <c r="J45" s="34">
        <f>H45*Ratios!$C$70</f>
        <v>1072.6197218237385</v>
      </c>
      <c r="K45" s="34">
        <f>H45*Ratios!$D$70</f>
        <v>503.38027817626147</v>
      </c>
      <c r="L45" s="34" t="s">
        <v>37</v>
      </c>
      <c r="M45" s="8">
        <f t="shared" si="14"/>
        <v>0</v>
      </c>
      <c r="N45" s="34">
        <f t="shared" si="15"/>
        <v>1072.6197218237385</v>
      </c>
      <c r="O45" s="34">
        <f>N45*Ratios!$D$159</f>
        <v>708.03517744651663</v>
      </c>
      <c r="P45" s="34">
        <f>N45*Ratios!$D$160</f>
        <v>329.49242187987272</v>
      </c>
      <c r="Q45" s="34">
        <f>N45*Ratios!$D$161</f>
        <v>27.523233331254289</v>
      </c>
      <c r="R45" s="34">
        <f>N45*Ratios!$D$162</f>
        <v>7.5688891660949285</v>
      </c>
      <c r="S45" s="7" t="s">
        <v>38</v>
      </c>
      <c r="T45" s="8">
        <f t="shared" ref="T45" si="19">SUM(O45:R45)-N45</f>
        <v>0</v>
      </c>
      <c r="U45" s="43">
        <f t="shared" si="16"/>
        <v>0</v>
      </c>
      <c r="V45" s="42"/>
      <c r="W45" s="42"/>
      <c r="X45" s="42"/>
      <c r="Y45" s="42"/>
      <c r="Z45" s="42"/>
    </row>
    <row r="46" spans="1:26">
      <c r="A46" s="66">
        <v>41311</v>
      </c>
      <c r="B46" s="2" t="s">
        <v>49</v>
      </c>
      <c r="C46" s="38">
        <f>SUM(C41:C45)</f>
        <v>47085.26</v>
      </c>
      <c r="D46" s="38">
        <f>SUM(D41:D45)</f>
        <v>0</v>
      </c>
      <c r="E46" s="38">
        <f>SUM(E41:E45)</f>
        <v>47085.26</v>
      </c>
      <c r="F46" s="39"/>
      <c r="G46" s="38">
        <f>SUM(G41:G45)</f>
        <v>0</v>
      </c>
      <c r="H46" s="38">
        <f>SUM(H41:H45)</f>
        <v>47085.26</v>
      </c>
      <c r="I46" s="38"/>
      <c r="J46" s="38">
        <f>SUM(J41:J45)</f>
        <v>32046.052337054829</v>
      </c>
      <c r="K46" s="38">
        <f>SUM(K41:K45)</f>
        <v>15039.207662945177</v>
      </c>
      <c r="L46" s="40"/>
      <c r="M46" s="40"/>
      <c r="N46" s="38">
        <f>SUM(N41:N45)</f>
        <v>32046.052337054829</v>
      </c>
      <c r="O46" s="38">
        <f>SUM(O41:O45)</f>
        <v>21153.56625584732</v>
      </c>
      <c r="P46" s="38">
        <f>SUM(P41:P45)</f>
        <v>9844.0585991392763</v>
      </c>
      <c r="Q46" s="38">
        <f>SUM(Q41:Q45)</f>
        <v>822.29606436724271</v>
      </c>
      <c r="R46" s="38">
        <f>SUM(R41:R45)</f>
        <v>226.13141770099173</v>
      </c>
      <c r="S46" s="71"/>
      <c r="T46" s="59">
        <f t="shared" si="4"/>
        <v>0</v>
      </c>
      <c r="U46" s="60">
        <f t="shared" si="16"/>
        <v>0</v>
      </c>
    </row>
    <row r="47" spans="1:26">
      <c r="C47" s="61"/>
      <c r="D47" s="37"/>
      <c r="E47" s="37"/>
      <c r="G47" s="37"/>
      <c r="H47" s="37"/>
      <c r="I47" s="37"/>
      <c r="J47" s="61"/>
      <c r="K47" s="61"/>
      <c r="N47" s="61"/>
      <c r="O47" s="61"/>
      <c r="P47" s="34"/>
      <c r="Q47" s="61"/>
      <c r="R47" s="61"/>
      <c r="U47" s="43"/>
    </row>
    <row r="48" spans="1:26">
      <c r="A48" s="63">
        <v>41320</v>
      </c>
      <c r="B48" s="48" t="s">
        <v>53</v>
      </c>
      <c r="C48" s="68"/>
      <c r="D48" s="51"/>
      <c r="E48" s="51"/>
      <c r="F48" s="52"/>
      <c r="G48" s="51"/>
      <c r="H48" s="51"/>
      <c r="I48" s="51"/>
      <c r="J48" s="68"/>
      <c r="K48" s="68"/>
      <c r="L48" s="53"/>
      <c r="M48" s="53"/>
      <c r="N48" s="68"/>
      <c r="O48" s="68"/>
      <c r="P48" s="50"/>
      <c r="Q48" s="68"/>
      <c r="R48" s="68"/>
      <c r="S48" s="53"/>
      <c r="T48" s="54"/>
      <c r="U48" s="55"/>
    </row>
    <row r="49" spans="1:26">
      <c r="A49" s="64">
        <v>52120</v>
      </c>
      <c r="B49" s="7" t="s">
        <v>53</v>
      </c>
      <c r="C49" s="34">
        <f>IFERROR(VLOOKUP(A49,'Yakima IS'!$B$55:$AF$290,31,FALSE),0)</f>
        <v>507762.99</v>
      </c>
      <c r="D49" s="35">
        <f>D19</f>
        <v>-15730.259999999998</v>
      </c>
      <c r="E49" s="35">
        <f>SUM(C49:D49)</f>
        <v>492032.73</v>
      </c>
      <c r="F49" s="1253" t="s">
        <v>23</v>
      </c>
      <c r="G49" s="37"/>
      <c r="H49" s="35">
        <f>C49+D49+G49</f>
        <v>492032.73</v>
      </c>
      <c r="I49" s="35"/>
      <c r="J49" s="34">
        <f>H49*Ratios!$C$70</f>
        <v>334875.64085074532</v>
      </c>
      <c r="K49" s="34">
        <f>H49*Ratios!$D$70</f>
        <v>157157.08914925467</v>
      </c>
      <c r="L49" s="34" t="s">
        <v>37</v>
      </c>
      <c r="M49" s="8">
        <f t="shared" ref="M49:M53" si="20">H49-J49-K49</f>
        <v>0</v>
      </c>
      <c r="N49" s="34">
        <f t="shared" ref="N49:N53" si="21">J49</f>
        <v>334875.64085074532</v>
      </c>
      <c r="O49" s="34">
        <f>N49*Ratios!$D$159</f>
        <v>221051.06681157614</v>
      </c>
      <c r="P49" s="34">
        <f>N49*Ratios!$D$160</f>
        <v>102868.69026133599</v>
      </c>
      <c r="Q49" s="34">
        <f>N49*Ratios!$D$161</f>
        <v>8592.850021829976</v>
      </c>
      <c r="R49" s="34">
        <f>N49*Ratios!$D$162</f>
        <v>2363.0337560032431</v>
      </c>
      <c r="S49" s="34" t="s">
        <v>38</v>
      </c>
      <c r="T49" s="8">
        <f t="shared" si="4"/>
        <v>0</v>
      </c>
      <c r="U49" s="43">
        <f t="shared" ref="U49:U54" si="22">C49+D49+G49-J49-K49</f>
        <v>0</v>
      </c>
      <c r="V49" s="42"/>
      <c r="W49" s="42"/>
      <c r="X49" s="42"/>
      <c r="Y49" s="42"/>
      <c r="Z49" s="42"/>
    </row>
    <row r="50" spans="1:26">
      <c r="A50" s="64">
        <v>52125</v>
      </c>
      <c r="B50" s="7" t="s">
        <v>54</v>
      </c>
      <c r="C50" s="34">
        <f>IFERROR(VLOOKUP(A50,'Yakima IS'!$B$55:$AF$290,31,FALSE),0)</f>
        <v>43230.74</v>
      </c>
      <c r="D50" s="35"/>
      <c r="E50" s="35">
        <f>SUM(C50:D50)</f>
        <v>43230.74</v>
      </c>
      <c r="F50" s="36"/>
      <c r="G50" s="37"/>
      <c r="H50" s="35">
        <f>C50+D50+G50</f>
        <v>43230.74</v>
      </c>
      <c r="I50" s="35"/>
      <c r="J50" s="34">
        <f>H50*Ratios!$C$70</f>
        <v>29422.68040167155</v>
      </c>
      <c r="K50" s="34">
        <f>H50*Ratios!$D$70</f>
        <v>13808.059598328447</v>
      </c>
      <c r="L50" s="34" t="s">
        <v>37</v>
      </c>
      <c r="M50" s="8">
        <f t="shared" si="20"/>
        <v>0</v>
      </c>
      <c r="N50" s="34">
        <f t="shared" si="21"/>
        <v>29422.68040167155</v>
      </c>
      <c r="O50" s="34">
        <f>N50*Ratios!$D$159</f>
        <v>19421.881133911309</v>
      </c>
      <c r="P50" s="34">
        <f>N50*Ratios!$D$160</f>
        <v>9038.1987450882552</v>
      </c>
      <c r="Q50" s="34">
        <f>N50*Ratios!$D$161</f>
        <v>754.98080209567763</v>
      </c>
      <c r="R50" s="34">
        <f>N50*Ratios!$D$162</f>
        <v>207.61972057631135</v>
      </c>
      <c r="S50" s="34" t="s">
        <v>38</v>
      </c>
      <c r="T50" s="8">
        <f t="shared" si="4"/>
        <v>0</v>
      </c>
      <c r="U50" s="43">
        <f t="shared" si="22"/>
        <v>0</v>
      </c>
      <c r="V50" s="42"/>
      <c r="W50" s="42"/>
      <c r="X50" s="42"/>
      <c r="Y50" s="42"/>
      <c r="Z50" s="42"/>
    </row>
    <row r="51" spans="1:26">
      <c r="A51" s="64">
        <v>52135</v>
      </c>
      <c r="B51" s="7" t="s">
        <v>55</v>
      </c>
      <c r="C51" s="34">
        <f>IFERROR(VLOOKUP(A51,'Yakima IS'!$B$55:$AF$290,31,FALSE),0)</f>
        <v>58445.13</v>
      </c>
      <c r="D51" s="37"/>
      <c r="E51" s="35">
        <f>SUM(C51:D51)</f>
        <v>58445.13</v>
      </c>
      <c r="F51" s="36"/>
      <c r="G51" s="37"/>
      <c r="H51" s="35">
        <f>C51+D51+G51</f>
        <v>58445.13</v>
      </c>
      <c r="I51" s="35"/>
      <c r="J51" s="34">
        <f>H51*Ratios!$C$70</f>
        <v>39777.537488929083</v>
      </c>
      <c r="K51" s="34">
        <f>H51*Ratios!$D$70</f>
        <v>18667.592511070914</v>
      </c>
      <c r="L51" s="34" t="s">
        <v>37</v>
      </c>
      <c r="M51" s="8">
        <f t="shared" si="20"/>
        <v>0</v>
      </c>
      <c r="N51" s="34">
        <f t="shared" si="21"/>
        <v>39777.537488929083</v>
      </c>
      <c r="O51" s="34">
        <f>N51*Ratios!$D$159</f>
        <v>26257.111669057569</v>
      </c>
      <c r="P51" s="34">
        <f>N51*Ratios!$D$160</f>
        <v>12219.052938314726</v>
      </c>
      <c r="Q51" s="34">
        <f>N51*Ratios!$D$161</f>
        <v>1020.684612985717</v>
      </c>
      <c r="R51" s="34">
        <f>N51*Ratios!$D$162</f>
        <v>280.68826857107217</v>
      </c>
      <c r="S51" s="34" t="s">
        <v>38</v>
      </c>
      <c r="T51" s="8">
        <f t="shared" si="4"/>
        <v>0</v>
      </c>
      <c r="U51" s="43">
        <f t="shared" si="22"/>
        <v>0</v>
      </c>
      <c r="V51" s="42"/>
      <c r="W51" s="42"/>
      <c r="X51" s="42"/>
      <c r="Y51" s="42"/>
      <c r="Z51" s="42"/>
    </row>
    <row r="52" spans="1:26">
      <c r="A52" s="64">
        <v>55120</v>
      </c>
      <c r="B52" s="7" t="s">
        <v>53</v>
      </c>
      <c r="C52" s="34">
        <f>IFERROR(VLOOKUP(A52,'Yakima IS'!$B$55:$AF$290,31,FALSE),0)</f>
        <v>89025.989999999991</v>
      </c>
      <c r="D52" s="37"/>
      <c r="E52" s="35">
        <f>SUM(C52:D52)</f>
        <v>89025.989999999991</v>
      </c>
      <c r="F52" s="36"/>
      <c r="G52" s="37"/>
      <c r="H52" s="35">
        <f>C52+D52+G52</f>
        <v>89025.989999999991</v>
      </c>
      <c r="I52" s="35"/>
      <c r="J52" s="34">
        <f>H52*Ratios!$C$70</f>
        <v>60590.756744215054</v>
      </c>
      <c r="K52" s="34">
        <f>H52*Ratios!$D$70</f>
        <v>28435.23325578494</v>
      </c>
      <c r="L52" s="34" t="s">
        <v>37</v>
      </c>
      <c r="M52" s="8">
        <f t="shared" si="20"/>
        <v>0</v>
      </c>
      <c r="N52" s="34">
        <f t="shared" si="21"/>
        <v>60590.756744215054</v>
      </c>
      <c r="O52" s="34">
        <f>N52*Ratios!$D$159</f>
        <v>39995.896336930084</v>
      </c>
      <c r="P52" s="34">
        <f>N52*Ratios!$D$160</f>
        <v>18612.556507203892</v>
      </c>
      <c r="Q52" s="34">
        <f>N52*Ratios!$D$161</f>
        <v>1554.7481569263396</v>
      </c>
      <c r="R52" s="34">
        <f>N52*Ratios!$D$162</f>
        <v>427.55574315474331</v>
      </c>
      <c r="S52" s="34" t="s">
        <v>38</v>
      </c>
      <c r="T52" s="8">
        <f t="shared" si="4"/>
        <v>0</v>
      </c>
      <c r="U52" s="43">
        <f t="shared" si="22"/>
        <v>0</v>
      </c>
      <c r="V52" s="42"/>
      <c r="W52" s="42"/>
      <c r="X52" s="42"/>
      <c r="Y52" s="42"/>
      <c r="Z52" s="42"/>
    </row>
    <row r="53" spans="1:26">
      <c r="A53" s="64">
        <v>55125</v>
      </c>
      <c r="B53" s="7" t="s">
        <v>54</v>
      </c>
      <c r="C53" s="34">
        <f>IFERROR(VLOOKUP(A53,'Yakima IS'!$B$55:$AF$290,31,FALSE),0)</f>
        <v>23252.829999999998</v>
      </c>
      <c r="D53" s="37"/>
      <c r="E53" s="35">
        <f>SUM(C53:D53)</f>
        <v>23252.829999999998</v>
      </c>
      <c r="F53" s="36"/>
      <c r="G53" s="37"/>
      <c r="H53" s="35">
        <f>C53+D53+G53</f>
        <v>23252.829999999998</v>
      </c>
      <c r="I53" s="35"/>
      <c r="J53" s="34">
        <f>H53*Ratios!$C$70</f>
        <v>15825.789369425558</v>
      </c>
      <c r="K53" s="34">
        <f>H53*Ratios!$D$70</f>
        <v>7427.0406305744391</v>
      </c>
      <c r="L53" s="34" t="s">
        <v>37</v>
      </c>
      <c r="M53" s="8">
        <f t="shared" si="20"/>
        <v>0</v>
      </c>
      <c r="N53" s="34">
        <f t="shared" si="21"/>
        <v>15825.789369425558</v>
      </c>
      <c r="O53" s="34">
        <f>N53*Ratios!$D$159</f>
        <v>10446.587319278988</v>
      </c>
      <c r="P53" s="34">
        <f>N53*Ratios!$D$160</f>
        <v>4861.4411626021329</v>
      </c>
      <c r="Q53" s="34">
        <f>N53*Ratios!$D$161</f>
        <v>406.08697062308988</v>
      </c>
      <c r="R53" s="34">
        <f>N53*Ratios!$D$162</f>
        <v>111.6739169213497</v>
      </c>
      <c r="S53" s="34" t="s">
        <v>38</v>
      </c>
      <c r="T53" s="8">
        <f t="shared" si="4"/>
        <v>0</v>
      </c>
      <c r="U53" s="43">
        <f t="shared" si="22"/>
        <v>0</v>
      </c>
      <c r="V53" s="42"/>
      <c r="W53" s="42"/>
      <c r="X53" s="42"/>
      <c r="Y53" s="42"/>
      <c r="Z53" s="42"/>
    </row>
    <row r="54" spans="1:26">
      <c r="A54" s="66">
        <v>41320</v>
      </c>
      <c r="B54" s="2" t="s">
        <v>56</v>
      </c>
      <c r="C54" s="38">
        <f>SUM(C49:C53)</f>
        <v>721717.67999999993</v>
      </c>
      <c r="D54" s="38">
        <f>SUM(D49:D53)</f>
        <v>-15730.259999999998</v>
      </c>
      <c r="E54" s="38">
        <f>SUM(E49:E53)</f>
        <v>705987.41999999993</v>
      </c>
      <c r="F54" s="39"/>
      <c r="G54" s="38">
        <f>SUM(G49:G53)</f>
        <v>0</v>
      </c>
      <c r="H54" s="38">
        <f>SUM(H49:H53)</f>
        <v>705987.41999999993</v>
      </c>
      <c r="I54" s="38"/>
      <c r="J54" s="38">
        <f>SUM(J49:J53)</f>
        <v>480492.40485498653</v>
      </c>
      <c r="K54" s="38">
        <f>SUM(K49:K53)</f>
        <v>225495.0151450134</v>
      </c>
      <c r="L54" s="40"/>
      <c r="M54" s="40"/>
      <c r="N54" s="38">
        <f>SUM(N49:N53)</f>
        <v>480492.40485498653</v>
      </c>
      <c r="O54" s="38">
        <f>SUM(O49:O53)</f>
        <v>317172.5432707541</v>
      </c>
      <c r="P54" s="38">
        <f>SUM(P49:P53)</f>
        <v>147599.939614545</v>
      </c>
      <c r="Q54" s="38">
        <f>SUM(Q49:Q53)</f>
        <v>12329.350564460799</v>
      </c>
      <c r="R54" s="38">
        <f>SUM(R49:R53)</f>
        <v>3390.5714052267194</v>
      </c>
      <c r="S54" s="40"/>
      <c r="T54" s="59">
        <f t="shared" si="4"/>
        <v>0</v>
      </c>
      <c r="U54" s="60">
        <f t="shared" si="22"/>
        <v>0</v>
      </c>
    </row>
    <row r="55" spans="1:26">
      <c r="A55" s="66"/>
      <c r="B55" s="2"/>
      <c r="C55" s="61"/>
      <c r="D55" s="61"/>
      <c r="E55" s="61"/>
      <c r="F55" s="62"/>
      <c r="G55" s="61"/>
      <c r="H55" s="61"/>
      <c r="I55" s="61"/>
      <c r="J55" s="61"/>
      <c r="K55" s="61"/>
      <c r="L55" s="3"/>
      <c r="M55" s="3"/>
      <c r="N55" s="61"/>
      <c r="O55" s="61"/>
      <c r="P55" s="61"/>
      <c r="Q55" s="61"/>
      <c r="R55" s="61"/>
      <c r="U55" s="43"/>
    </row>
    <row r="56" spans="1:26">
      <c r="A56" s="49">
        <v>41330</v>
      </c>
      <c r="B56" s="49"/>
      <c r="C56" s="50"/>
      <c r="D56" s="51"/>
      <c r="E56" s="51"/>
      <c r="F56" s="52"/>
      <c r="G56" s="51"/>
      <c r="H56" s="51"/>
      <c r="I56" s="51"/>
      <c r="J56" s="50"/>
      <c r="K56" s="50"/>
      <c r="L56" s="53"/>
      <c r="M56" s="53"/>
      <c r="N56" s="50"/>
      <c r="O56" s="50"/>
      <c r="P56" s="50"/>
      <c r="Q56" s="50"/>
      <c r="R56" s="50"/>
      <c r="S56" s="53"/>
      <c r="T56" s="54"/>
      <c r="U56" s="55"/>
    </row>
    <row r="57" spans="1:26">
      <c r="A57" s="31">
        <v>52147</v>
      </c>
      <c r="B57" s="7" t="s">
        <v>57</v>
      </c>
      <c r="C57" s="34">
        <f>IFERROR(VLOOKUP(A57,'Yakima IS'!$B$55:$AF$290,31,FALSE),0)</f>
        <v>180561.47</v>
      </c>
      <c r="D57" s="37"/>
      <c r="E57" s="35">
        <f>SUM(C57:D57)</f>
        <v>180561.47</v>
      </c>
      <c r="F57" s="36"/>
      <c r="G57" s="37"/>
      <c r="H57" s="35">
        <f>C57+D57+G57</f>
        <v>180561.47</v>
      </c>
      <c r="I57" s="35"/>
      <c r="J57" s="34">
        <f>H57*Ratios!$C$70</f>
        <v>122889.46302251607</v>
      </c>
      <c r="K57" s="34">
        <f>H57*Ratios!$D$70</f>
        <v>57672.006977483936</v>
      </c>
      <c r="L57" s="34" t="s">
        <v>37</v>
      </c>
      <c r="M57" s="8">
        <f t="shared" ref="M57" si="23">H57-J57-K57</f>
        <v>0</v>
      </c>
      <c r="N57" s="34">
        <f t="shared" ref="N57" si="24">J57</f>
        <v>122889.46302251607</v>
      </c>
      <c r="O57" s="34">
        <f>N57*Ratios!$D$159</f>
        <v>81119.208408282924</v>
      </c>
      <c r="P57" s="34">
        <f>N57*Ratios!$D$160</f>
        <v>37749.76906630076</v>
      </c>
      <c r="Q57" s="34">
        <f>N57*Ratios!$D$161</f>
        <v>3153.3219983783451</v>
      </c>
      <c r="R57" s="34">
        <f>N57*Ratios!$D$162</f>
        <v>867.16354955404483</v>
      </c>
      <c r="S57" s="7" t="s">
        <v>38</v>
      </c>
      <c r="T57" s="8">
        <f t="shared" si="4"/>
        <v>0</v>
      </c>
      <c r="U57" s="43">
        <f>C57+D57+G57-J57-K57</f>
        <v>0</v>
      </c>
      <c r="V57" s="42"/>
      <c r="W57" s="42"/>
      <c r="X57" s="42"/>
      <c r="Y57" s="42"/>
      <c r="Z57" s="42"/>
    </row>
    <row r="58" spans="1:26">
      <c r="A58" s="66">
        <v>41330</v>
      </c>
      <c r="B58" s="2" t="s">
        <v>34</v>
      </c>
      <c r="C58" s="38">
        <f>SUM(C57:C57)</f>
        <v>180561.47</v>
      </c>
      <c r="D58" s="38">
        <f>SUM(D57:D57)</f>
        <v>0</v>
      </c>
      <c r="E58" s="38">
        <f>SUM(E57:E57)</f>
        <v>180561.47</v>
      </c>
      <c r="F58" s="39"/>
      <c r="G58" s="38">
        <f>SUM(G57:G57)</f>
        <v>0</v>
      </c>
      <c r="H58" s="38">
        <f>SUM(H57:H57)</f>
        <v>180561.47</v>
      </c>
      <c r="I58" s="38"/>
      <c r="J58" s="38">
        <f>SUM(J57:J57)</f>
        <v>122889.46302251607</v>
      </c>
      <c r="K58" s="38">
        <f>SUM(K57:K57)</f>
        <v>57672.006977483936</v>
      </c>
      <c r="L58" s="40"/>
      <c r="M58" s="40"/>
      <c r="N58" s="38">
        <f>SUM(N57:N57)</f>
        <v>122889.46302251607</v>
      </c>
      <c r="O58" s="38">
        <f>SUM(O57:O57)</f>
        <v>81119.208408282924</v>
      </c>
      <c r="P58" s="38">
        <f>SUM(P57:P57)</f>
        <v>37749.76906630076</v>
      </c>
      <c r="Q58" s="38">
        <f>SUM(Q57:Q57)</f>
        <v>3153.3219983783451</v>
      </c>
      <c r="R58" s="38">
        <f>SUM(R57:R57)</f>
        <v>867.16354955404483</v>
      </c>
      <c r="S58" s="71"/>
      <c r="T58" s="59">
        <f t="shared" si="4"/>
        <v>0</v>
      </c>
      <c r="U58" s="60">
        <f>C58+D58+G58-J58-K58</f>
        <v>0</v>
      </c>
    </row>
    <row r="59" spans="1:26">
      <c r="A59" s="66"/>
      <c r="B59" s="2"/>
      <c r="C59" s="61"/>
      <c r="D59" s="61"/>
      <c r="E59" s="61"/>
      <c r="F59" s="62"/>
      <c r="G59" s="61"/>
      <c r="H59" s="61"/>
      <c r="I59" s="61"/>
      <c r="J59" s="61"/>
      <c r="K59" s="61"/>
      <c r="L59" s="3"/>
      <c r="M59" s="3"/>
      <c r="N59" s="61"/>
      <c r="O59" s="61"/>
      <c r="P59" s="61"/>
      <c r="Q59" s="61"/>
      <c r="R59" s="61"/>
      <c r="U59" s="43"/>
    </row>
    <row r="60" spans="1:26">
      <c r="A60" s="63">
        <v>41340</v>
      </c>
      <c r="B60" s="48" t="s">
        <v>58</v>
      </c>
      <c r="C60" s="50"/>
      <c r="D60" s="51"/>
      <c r="E60" s="51"/>
      <c r="F60" s="52"/>
      <c r="G60" s="51"/>
      <c r="H60" s="51"/>
      <c r="I60" s="51"/>
      <c r="J60" s="50"/>
      <c r="K60" s="50"/>
      <c r="L60" s="53"/>
      <c r="M60" s="53"/>
      <c r="N60" s="50"/>
      <c r="O60" s="50"/>
      <c r="P60" s="50"/>
      <c r="Q60" s="50"/>
      <c r="R60" s="50"/>
      <c r="S60" s="53"/>
      <c r="T60" s="54"/>
      <c r="U60" s="55"/>
    </row>
    <row r="61" spans="1:26">
      <c r="A61" s="31">
        <v>59400</v>
      </c>
      <c r="B61" s="7" t="s">
        <v>59</v>
      </c>
      <c r="C61" s="34">
        <f>IFERROR(VLOOKUP(A61,'Yakima IS'!$B$55:$AF$290,31,FALSE),0)</f>
        <v>32991.4</v>
      </c>
      <c r="D61" s="37"/>
      <c r="E61" s="35">
        <f>SUM(C61:D61)</f>
        <v>32991.4</v>
      </c>
      <c r="F61" s="36"/>
      <c r="G61" s="37"/>
      <c r="H61" s="35">
        <f>C61+D61+G61</f>
        <v>32991.4</v>
      </c>
      <c r="I61" s="35"/>
      <c r="J61" s="34">
        <f>H61*Ratios!$C$70</f>
        <v>22453.823788436352</v>
      </c>
      <c r="K61" s="34">
        <f>H61*Ratios!$D$70</f>
        <v>10537.57621156365</v>
      </c>
      <c r="L61" s="34" t="s">
        <v>37</v>
      </c>
      <c r="M61" s="8">
        <f t="shared" ref="M61:M62" si="25">H61-J61-K61</f>
        <v>0</v>
      </c>
      <c r="N61" s="34">
        <f t="shared" ref="N61:N62" si="26">J61</f>
        <v>22453.823788436352</v>
      </c>
      <c r="O61" s="34">
        <f>N61*Ratios!$D$159</f>
        <v>14821.746036300134</v>
      </c>
      <c r="P61" s="34">
        <f>N61*Ratios!$D$160</f>
        <v>6897.4722634566215</v>
      </c>
      <c r="Q61" s="34">
        <f>N61*Ratios!$D$161</f>
        <v>576.16116759184195</v>
      </c>
      <c r="R61" s="34">
        <f>N61*Ratios!$D$162</f>
        <v>158.44432108775652</v>
      </c>
      <c r="S61" s="7" t="s">
        <v>38</v>
      </c>
      <c r="T61" s="8">
        <f t="shared" si="4"/>
        <v>0</v>
      </c>
      <c r="U61" s="43">
        <f>C61+D61+G61-J61-K61</f>
        <v>0</v>
      </c>
      <c r="V61" s="42"/>
      <c r="W61" s="42"/>
      <c r="X61" s="42"/>
      <c r="Y61" s="42"/>
      <c r="Z61" s="42"/>
    </row>
    <row r="62" spans="1:26">
      <c r="A62" s="31">
        <v>59401</v>
      </c>
      <c r="B62" s="7" t="s">
        <v>60</v>
      </c>
      <c r="C62" s="34">
        <f>IFERROR(VLOOKUP(A62,'Yakima IS'!$B$55:$AF$290,31,FALSE),0)</f>
        <v>14154.990000000002</v>
      </c>
      <c r="D62" s="37"/>
      <c r="E62" s="35">
        <f>SUM(C62:D62)</f>
        <v>14154.990000000002</v>
      </c>
      <c r="F62" s="36"/>
      <c r="G62" s="37"/>
      <c r="H62" s="35">
        <f>C62+D62+G62</f>
        <v>14154.990000000002</v>
      </c>
      <c r="I62" s="35"/>
      <c r="J62" s="34">
        <f>H62*Ratios!$C$70</f>
        <v>9633.8333986153575</v>
      </c>
      <c r="K62" s="34">
        <f>H62*Ratios!$D$70</f>
        <v>4521.156601384645</v>
      </c>
      <c r="L62" s="34" t="s">
        <v>37</v>
      </c>
      <c r="M62" s="8">
        <f t="shared" si="25"/>
        <v>0</v>
      </c>
      <c r="N62" s="34">
        <f t="shared" si="26"/>
        <v>9633.8333986153575</v>
      </c>
      <c r="O62" s="34">
        <f>N62*Ratios!$D$159</f>
        <v>6359.2835383272013</v>
      </c>
      <c r="P62" s="34">
        <f>N62*Ratios!$D$160</f>
        <v>2959.3667111582367</v>
      </c>
      <c r="Q62" s="34">
        <f>N62*Ratios!$D$161</f>
        <v>247.2024699058193</v>
      </c>
      <c r="R62" s="34">
        <f>N62*Ratios!$D$162</f>
        <v>67.9806792241003</v>
      </c>
      <c r="S62" s="7" t="s">
        <v>38</v>
      </c>
      <c r="T62" s="8">
        <f t="shared" si="4"/>
        <v>0</v>
      </c>
      <c r="U62" s="43">
        <f>C62+D62+G62-J62-K62</f>
        <v>0</v>
      </c>
      <c r="V62" s="42"/>
      <c r="W62" s="42"/>
      <c r="X62" s="42"/>
      <c r="Y62" s="42"/>
      <c r="Z62" s="42"/>
    </row>
    <row r="63" spans="1:26">
      <c r="A63" s="66">
        <v>41340</v>
      </c>
      <c r="B63" s="2" t="s">
        <v>58</v>
      </c>
      <c r="C63" s="38">
        <f>SUM(C61:C62)</f>
        <v>47146.39</v>
      </c>
      <c r="D63" s="38">
        <f>SUM(D61:D62)</f>
        <v>0</v>
      </c>
      <c r="E63" s="38">
        <f>SUM(E61:E62)</f>
        <v>47146.39</v>
      </c>
      <c r="F63" s="39"/>
      <c r="G63" s="38">
        <f>SUM(G61:G62)</f>
        <v>0</v>
      </c>
      <c r="H63" s="38">
        <f>SUM(H61:H62)</f>
        <v>47146.39</v>
      </c>
      <c r="I63" s="38"/>
      <c r="J63" s="38">
        <f>SUM(J61:J62)</f>
        <v>32087.657187051707</v>
      </c>
      <c r="K63" s="38">
        <f>SUM(K61:K62)</f>
        <v>15058.732812948296</v>
      </c>
      <c r="L63" s="40"/>
      <c r="M63" s="40"/>
      <c r="N63" s="38">
        <f>SUM(N61:N62)</f>
        <v>32087.657187051707</v>
      </c>
      <c r="O63" s="38">
        <f>SUM(O61:O62)</f>
        <v>21181.029574627333</v>
      </c>
      <c r="P63" s="38">
        <f>SUM(P61:P62)</f>
        <v>9856.8389746148587</v>
      </c>
      <c r="Q63" s="38">
        <f>SUM(Q61:Q62)</f>
        <v>823.36363749766122</v>
      </c>
      <c r="R63" s="38">
        <f>SUM(R61:R62)</f>
        <v>226.42500031185682</v>
      </c>
      <c r="S63" s="71"/>
      <c r="T63" s="59">
        <f t="shared" si="4"/>
        <v>0</v>
      </c>
      <c r="U63" s="60">
        <f>C63+D63+G63-J63-K63</f>
        <v>0</v>
      </c>
    </row>
    <row r="64" spans="1:26">
      <c r="A64" s="66"/>
      <c r="B64" s="2"/>
      <c r="C64" s="61"/>
      <c r="D64" s="61"/>
      <c r="E64" s="61"/>
      <c r="F64" s="62"/>
      <c r="G64" s="61"/>
      <c r="H64" s="61"/>
      <c r="I64" s="61"/>
      <c r="J64" s="61"/>
      <c r="K64" s="61"/>
      <c r="L64" s="3"/>
      <c r="M64" s="3"/>
      <c r="N64" s="61"/>
      <c r="O64" s="61"/>
      <c r="P64" s="61"/>
      <c r="Q64" s="61"/>
      <c r="R64" s="61"/>
      <c r="U64" s="43"/>
    </row>
    <row r="65" spans="1:26">
      <c r="A65" s="63">
        <v>41600</v>
      </c>
      <c r="B65" s="49"/>
      <c r="C65" s="50"/>
      <c r="D65" s="51"/>
      <c r="E65" s="51"/>
      <c r="F65" s="52"/>
      <c r="G65" s="51"/>
      <c r="H65" s="51"/>
      <c r="I65" s="51"/>
      <c r="J65" s="50"/>
      <c r="K65" s="50"/>
      <c r="L65" s="53"/>
      <c r="M65" s="53"/>
      <c r="N65" s="50"/>
      <c r="O65" s="50"/>
      <c r="P65" s="50"/>
      <c r="Q65" s="50"/>
      <c r="R65" s="50"/>
      <c r="S65" s="53"/>
      <c r="T65" s="54"/>
      <c r="U65" s="55"/>
    </row>
    <row r="66" spans="1:26">
      <c r="A66" s="31">
        <v>52140</v>
      </c>
      <c r="B66" s="7" t="s">
        <v>61</v>
      </c>
      <c r="C66" s="34">
        <f>IFERROR(VLOOKUP(A66,'Yakima IS'!$B$55:$AF$290,31,FALSE),0)</f>
        <v>286246.12</v>
      </c>
      <c r="D66" s="37"/>
      <c r="E66" s="35">
        <f>SUM(C66:D66)</f>
        <v>286246.12</v>
      </c>
      <c r="F66" s="36"/>
      <c r="G66" s="37"/>
      <c r="H66" s="35">
        <f>C66+D66+G66</f>
        <v>286246.12</v>
      </c>
      <c r="I66" s="35"/>
      <c r="J66" s="34">
        <f>H66*Ratios!$C$70</f>
        <v>194818.04162913989</v>
      </c>
      <c r="K66" s="34">
        <f>H66*Ratios!$D$70</f>
        <v>91428.078370860094</v>
      </c>
      <c r="L66" s="34" t="s">
        <v>37</v>
      </c>
      <c r="M66" s="8">
        <f t="shared" ref="M66" si="27">H66-J66-K66</f>
        <v>0</v>
      </c>
      <c r="N66" s="34">
        <f t="shared" ref="N66" si="28">J66</f>
        <v>194818.04162913989</v>
      </c>
      <c r="O66" s="34">
        <f>N66*Ratios!$D$159</f>
        <v>128599.18931952848</v>
      </c>
      <c r="P66" s="34">
        <f>N66*Ratios!$D$160</f>
        <v>59845.131556165405</v>
      </c>
      <c r="Q66" s="34">
        <f>N66*Ratios!$D$161</f>
        <v>4998.9966693694259</v>
      </c>
      <c r="R66" s="34">
        <f>N66*Ratios!$D$162</f>
        <v>1374.7240840765919</v>
      </c>
      <c r="S66" s="7" t="s">
        <v>38</v>
      </c>
      <c r="T66" s="8">
        <f t="shared" si="4"/>
        <v>0</v>
      </c>
      <c r="U66" s="43">
        <f>C66+D66+G66-J66-K66</f>
        <v>0</v>
      </c>
      <c r="V66" s="42"/>
      <c r="W66" s="42"/>
      <c r="X66" s="42"/>
      <c r="Y66" s="42"/>
      <c r="Z66" s="42"/>
    </row>
    <row r="67" spans="1:26">
      <c r="A67" s="66">
        <v>41600</v>
      </c>
      <c r="B67" s="2" t="s">
        <v>34</v>
      </c>
      <c r="C67" s="38">
        <f>SUM(C66)</f>
        <v>286246.12</v>
      </c>
      <c r="D67" s="38">
        <f>SUM(D66:D66)</f>
        <v>0</v>
      </c>
      <c r="E67" s="38">
        <f>SUM(E66)</f>
        <v>286246.12</v>
      </c>
      <c r="F67" s="39"/>
      <c r="G67" s="38">
        <f>SUM(G66:G66)</f>
        <v>0</v>
      </c>
      <c r="H67" s="38">
        <f>SUM(H66:H66)</f>
        <v>286246.12</v>
      </c>
      <c r="I67" s="38"/>
      <c r="J67" s="38">
        <f>SUM(J66:J66)</f>
        <v>194818.04162913989</v>
      </c>
      <c r="K67" s="38">
        <f>SUM(K66:K66)</f>
        <v>91428.078370860094</v>
      </c>
      <c r="L67" s="40"/>
      <c r="M67" s="40"/>
      <c r="N67" s="38">
        <f>SUM(N66:N66)</f>
        <v>194818.04162913989</v>
      </c>
      <c r="O67" s="38">
        <f>SUM(O66:O66)</f>
        <v>128599.18931952848</v>
      </c>
      <c r="P67" s="38">
        <f>SUM(P66:P66)</f>
        <v>59845.131556165405</v>
      </c>
      <c r="Q67" s="38">
        <f>SUM(Q66:Q66)</f>
        <v>4998.9966693694259</v>
      </c>
      <c r="R67" s="38">
        <f>SUM(R66:R66)</f>
        <v>1374.7240840765919</v>
      </c>
      <c r="S67" s="71"/>
      <c r="T67" s="59">
        <f t="shared" si="4"/>
        <v>0</v>
      </c>
      <c r="U67" s="60">
        <f>C67+D67+G67-J67-K67</f>
        <v>0</v>
      </c>
    </row>
    <row r="68" spans="1:26">
      <c r="A68" s="66"/>
      <c r="B68" s="2"/>
      <c r="C68" s="61"/>
      <c r="D68" s="61"/>
      <c r="E68" s="61"/>
      <c r="F68" s="62"/>
      <c r="G68" s="61"/>
      <c r="H68" s="61"/>
      <c r="I68" s="61"/>
      <c r="J68" s="61"/>
      <c r="K68" s="61"/>
      <c r="L68" s="3"/>
      <c r="M68" s="3"/>
      <c r="N68" s="61"/>
      <c r="O68" s="61"/>
      <c r="P68" s="61"/>
      <c r="Q68" s="61"/>
      <c r="R68" s="61"/>
      <c r="U68" s="43"/>
    </row>
    <row r="69" spans="1:26">
      <c r="A69" s="63">
        <v>41800</v>
      </c>
      <c r="B69" s="48" t="s">
        <v>62</v>
      </c>
      <c r="C69" s="68"/>
      <c r="D69" s="51"/>
      <c r="E69" s="51"/>
      <c r="F69" s="52"/>
      <c r="G69" s="51"/>
      <c r="H69" s="51"/>
      <c r="I69" s="51"/>
      <c r="J69" s="68"/>
      <c r="K69" s="68"/>
      <c r="L69" s="53"/>
      <c r="M69" s="53"/>
      <c r="N69" s="68"/>
      <c r="O69" s="68"/>
      <c r="P69" s="50"/>
      <c r="Q69" s="68"/>
      <c r="R69" s="68"/>
      <c r="S69" s="53"/>
      <c r="T69" s="54"/>
      <c r="U69" s="55"/>
    </row>
    <row r="70" spans="1:26">
      <c r="A70" s="64">
        <v>52090</v>
      </c>
      <c r="B70" s="7" t="s">
        <v>64</v>
      </c>
      <c r="C70" s="34">
        <f>IFERROR(VLOOKUP(A70,'Yakima IS'!$B$55:$AF$290,31,FALSE),0)</f>
        <v>3927.6299999999997</v>
      </c>
      <c r="D70" s="37"/>
      <c r="E70" s="35">
        <f t="shared" ref="E70:E79" si="29">SUM(C70:D70)</f>
        <v>3927.6299999999997</v>
      </c>
      <c r="F70" s="36"/>
      <c r="G70" s="37"/>
      <c r="H70" s="35">
        <f t="shared" ref="H70:H79" si="30">C70+D70+G70</f>
        <v>3927.6299999999997</v>
      </c>
      <c r="I70" s="35"/>
      <c r="J70" s="34">
        <f>H70*Ratios!$C$70</f>
        <v>2673.1303286970619</v>
      </c>
      <c r="K70" s="34">
        <f>H70*Ratios!$D$70</f>
        <v>1254.4996713029375</v>
      </c>
      <c r="L70" s="34" t="s">
        <v>37</v>
      </c>
      <c r="M70" s="8">
        <f t="shared" ref="M70:M79" si="31">H70-J70-K70</f>
        <v>0</v>
      </c>
      <c r="N70" s="34">
        <f t="shared" ref="N70:N79" si="32">J70</f>
        <v>2673.1303286970619</v>
      </c>
      <c r="O70" s="34">
        <f>N70*Ratios!$D$159</f>
        <v>1764.5305862907751</v>
      </c>
      <c r="P70" s="34">
        <f>N70*Ratios!$D$160</f>
        <v>821.14487369799781</v>
      </c>
      <c r="Q70" s="34">
        <f>N70*Ratios!$D$161</f>
        <v>68.592053888854238</v>
      </c>
      <c r="R70" s="34">
        <f>N70*Ratios!$D$162</f>
        <v>18.862814819434913</v>
      </c>
      <c r="S70" s="7" t="s">
        <v>38</v>
      </c>
      <c r="T70" s="8">
        <f t="shared" si="4"/>
        <v>0</v>
      </c>
      <c r="U70" s="43">
        <f t="shared" ref="U70:U80" si="33">C70+D70+G70-J70-K70</f>
        <v>0</v>
      </c>
      <c r="V70" s="42"/>
      <c r="W70" s="42"/>
      <c r="X70" s="42"/>
      <c r="Y70" s="42"/>
      <c r="Z70" s="42"/>
    </row>
    <row r="71" spans="1:26">
      <c r="A71" s="64">
        <v>52165</v>
      </c>
      <c r="B71" s="7" t="s">
        <v>65</v>
      </c>
      <c r="C71" s="34">
        <f>IFERROR(VLOOKUP(A71,'Yakima IS'!$B$55:$AF$290,31,FALSE),0)</f>
        <v>4410.4400000000005</v>
      </c>
      <c r="D71" s="37"/>
      <c r="E71" s="35">
        <f t="shared" si="29"/>
        <v>4410.4400000000005</v>
      </c>
      <c r="F71" s="36"/>
      <c r="G71" s="37"/>
      <c r="H71" s="35">
        <f t="shared" si="30"/>
        <v>4410.4400000000005</v>
      </c>
      <c r="I71" s="35"/>
      <c r="J71" s="34">
        <f>H71*Ratios!$C$70</f>
        <v>3001.7290139088136</v>
      </c>
      <c r="K71" s="34">
        <f>H71*Ratios!$D$70</f>
        <v>1408.7109860911871</v>
      </c>
      <c r="L71" s="34" t="s">
        <v>37</v>
      </c>
      <c r="M71" s="8">
        <f t="shared" si="31"/>
        <v>0</v>
      </c>
      <c r="N71" s="34">
        <f t="shared" si="32"/>
        <v>3001.7290139088136</v>
      </c>
      <c r="O71" s="34">
        <f>N71*Ratios!$D$159</f>
        <v>1981.4382411276747</v>
      </c>
      <c r="P71" s="34">
        <f>N71*Ratios!$D$160</f>
        <v>922.08537890600655</v>
      </c>
      <c r="Q71" s="34">
        <f>N71*Ratios!$D$161</f>
        <v>77.023838333437297</v>
      </c>
      <c r="R71" s="34">
        <f>N71*Ratios!$D$162</f>
        <v>21.181555541695257</v>
      </c>
      <c r="S71" s="7" t="s">
        <v>38</v>
      </c>
      <c r="T71" s="8">
        <f t="shared" ref="T71:T72" si="34">SUM(O71:R71)-N71</f>
        <v>0</v>
      </c>
      <c r="U71" s="43">
        <f t="shared" si="33"/>
        <v>0</v>
      </c>
      <c r="V71" s="42"/>
      <c r="W71" s="42"/>
      <c r="X71" s="42"/>
      <c r="Y71" s="42"/>
      <c r="Z71" s="42"/>
    </row>
    <row r="72" spans="1:26">
      <c r="A72" s="64">
        <v>52175</v>
      </c>
      <c r="B72" s="7" t="s">
        <v>66</v>
      </c>
      <c r="C72" s="34">
        <f>IFERROR(VLOOKUP(A72,'Yakima IS'!$B$55:$AF$290,31,FALSE),0)</f>
        <v>6987.7699999999995</v>
      </c>
      <c r="D72" s="37"/>
      <c r="E72" s="35">
        <f t="shared" si="29"/>
        <v>6987.7699999999995</v>
      </c>
      <c r="F72" s="36"/>
      <c r="G72" s="37"/>
      <c r="H72" s="35">
        <f t="shared" si="30"/>
        <v>6987.7699999999995</v>
      </c>
      <c r="I72" s="35"/>
      <c r="J72" s="34">
        <f>H72*Ratios!$C$70</f>
        <v>4755.8501989646347</v>
      </c>
      <c r="K72" s="34">
        <f>H72*Ratios!$D$70</f>
        <v>2231.9198010353643</v>
      </c>
      <c r="L72" s="34" t="s">
        <v>37</v>
      </c>
      <c r="M72" s="8">
        <f t="shared" si="31"/>
        <v>0</v>
      </c>
      <c r="N72" s="34">
        <f t="shared" si="32"/>
        <v>4755.8501989646347</v>
      </c>
      <c r="O72" s="34">
        <f>N72*Ratios!$D$159</f>
        <v>3139.3318349653837</v>
      </c>
      <c r="P72" s="34">
        <f>N72*Ratios!$D$160</f>
        <v>1460.9246578930954</v>
      </c>
      <c r="Q72" s="34">
        <f>N72*Ratios!$D$161</f>
        <v>122.03427929894592</v>
      </c>
      <c r="R72" s="34">
        <f>N72*Ratios!$D$162</f>
        <v>33.559426807210123</v>
      </c>
      <c r="S72" s="7" t="s">
        <v>38</v>
      </c>
      <c r="T72" s="8">
        <f t="shared" si="34"/>
        <v>0</v>
      </c>
      <c r="U72" s="43">
        <f t="shared" si="33"/>
        <v>0</v>
      </c>
      <c r="V72" s="42"/>
      <c r="W72" s="42"/>
      <c r="X72" s="42"/>
      <c r="Y72" s="42"/>
      <c r="Z72" s="42"/>
    </row>
    <row r="73" spans="1:26">
      <c r="A73" s="64">
        <v>52182</v>
      </c>
      <c r="B73" s="7" t="s">
        <v>67</v>
      </c>
      <c r="C73" s="34">
        <f>IFERROR(VLOOKUP(A73,'Yakima IS'!$B$55:$AF$290,31,FALSE),0)</f>
        <v>19477.489999999998</v>
      </c>
      <c r="D73" s="37"/>
      <c r="E73" s="35">
        <f t="shared" si="29"/>
        <v>19477.489999999998</v>
      </c>
      <c r="F73" s="36"/>
      <c r="G73" s="37"/>
      <c r="H73" s="35">
        <f t="shared" si="30"/>
        <v>19477.489999999998</v>
      </c>
      <c r="I73" s="35"/>
      <c r="J73" s="34">
        <f>H73*Ratios!$C$70</f>
        <v>13256.307046716147</v>
      </c>
      <c r="K73" s="34">
        <f>H73*Ratios!$D$70</f>
        <v>6221.182953283851</v>
      </c>
      <c r="L73" s="34" t="s">
        <v>37</v>
      </c>
      <c r="M73" s="8">
        <f t="shared" si="31"/>
        <v>0</v>
      </c>
      <c r="N73" s="34">
        <f t="shared" si="32"/>
        <v>13256.307046716147</v>
      </c>
      <c r="O73" s="34">
        <f>N73*Ratios!$D$159</f>
        <v>8750.4746753570762</v>
      </c>
      <c r="P73" s="34">
        <f>N73*Ratios!$D$160</f>
        <v>4072.1353757874381</v>
      </c>
      <c r="Q73" s="34">
        <f>N73*Ratios!$D$161</f>
        <v>340.15450633069293</v>
      </c>
      <c r="R73" s="34">
        <f>N73*Ratios!$D$162</f>
        <v>93.542489240940554</v>
      </c>
      <c r="S73" s="7" t="s">
        <v>38</v>
      </c>
      <c r="T73" s="8">
        <f t="shared" si="4"/>
        <v>0</v>
      </c>
      <c r="U73" s="43">
        <f t="shared" si="33"/>
        <v>0</v>
      </c>
      <c r="V73" s="42"/>
      <c r="W73" s="42"/>
      <c r="X73" s="42"/>
      <c r="Y73" s="42"/>
      <c r="Z73" s="42"/>
    </row>
    <row r="74" spans="1:26">
      <c r="A74" s="64">
        <v>52185</v>
      </c>
      <c r="B74" s="7" t="s">
        <v>170</v>
      </c>
      <c r="C74" s="34">
        <f>IFERROR(VLOOKUP(A74,'Yakima IS'!$B$55:$AF$290,31,FALSE),0)</f>
        <v>8.86</v>
      </c>
      <c r="D74" s="37"/>
      <c r="E74" s="35">
        <f t="shared" ref="E74" si="35">SUM(C74:D74)</f>
        <v>8.86</v>
      </c>
      <c r="F74" s="36"/>
      <c r="G74" s="37"/>
      <c r="H74" s="35">
        <f t="shared" ref="H74" si="36">C74+D74+G74</f>
        <v>8.86</v>
      </c>
      <c r="I74" s="35"/>
      <c r="J74" s="34">
        <f>H74*Ratios!$C$70</f>
        <v>6.0300829539075655</v>
      </c>
      <c r="K74" s="34">
        <f>H74*Ratios!$D$70</f>
        <v>2.8299170460924343</v>
      </c>
      <c r="L74" s="34" t="s">
        <v>37</v>
      </c>
      <c r="M74" s="8">
        <f t="shared" si="31"/>
        <v>0</v>
      </c>
      <c r="N74" s="34">
        <f t="shared" ref="N74" si="37">J74</f>
        <v>6.0300829539075655</v>
      </c>
      <c r="O74" s="34">
        <f>N74*Ratios!$D$159</f>
        <v>3.9804515686396811</v>
      </c>
      <c r="P74" s="34">
        <f>N74*Ratios!$D$160</f>
        <v>1.8523495290962391</v>
      </c>
      <c r="Q74" s="34">
        <f>N74*Ratios!$D$161</f>
        <v>0.1547308675856047</v>
      </c>
      <c r="R74" s="34">
        <f>N74*Ratios!$D$162</f>
        <v>4.255098858604129E-2</v>
      </c>
      <c r="S74" s="7" t="s">
        <v>38</v>
      </c>
      <c r="T74" s="8">
        <f t="shared" ref="T74" si="38">SUM(O74:R74)-N74</f>
        <v>0</v>
      </c>
      <c r="U74" s="43">
        <f t="shared" ref="U74" si="39">C74+D74+G74-J74-K74</f>
        <v>0</v>
      </c>
      <c r="V74" s="42"/>
      <c r="W74" s="42"/>
      <c r="X74" s="42"/>
      <c r="Y74" s="42"/>
      <c r="Z74" s="42"/>
    </row>
    <row r="75" spans="1:26">
      <c r="A75" s="64">
        <v>52335</v>
      </c>
      <c r="B75" s="7" t="s">
        <v>68</v>
      </c>
      <c r="C75" s="34">
        <f>IFERROR(VLOOKUP(A75,'Yakima IS'!$B$55:$AF$290,31,FALSE),0)</f>
        <v>2467</v>
      </c>
      <c r="D75" s="35"/>
      <c r="E75" s="35">
        <f t="shared" si="29"/>
        <v>2467</v>
      </c>
      <c r="F75" s="36"/>
      <c r="G75" s="37"/>
      <c r="H75" s="35">
        <f t="shared" si="30"/>
        <v>2467</v>
      </c>
      <c r="I75" s="35"/>
      <c r="J75" s="34">
        <f>H75*Ratios!$C$70</f>
        <v>1679.0309985654587</v>
      </c>
      <c r="K75" s="34">
        <f>H75*Ratios!$D$70</f>
        <v>787.96900143454127</v>
      </c>
      <c r="L75" s="34" t="s">
        <v>37</v>
      </c>
      <c r="M75" s="8">
        <f t="shared" si="31"/>
        <v>0</v>
      </c>
      <c r="N75" s="34">
        <f t="shared" si="32"/>
        <v>1679.0309985654587</v>
      </c>
      <c r="O75" s="34">
        <f>N75*Ratios!$D$159</f>
        <v>1108.3266388074596</v>
      </c>
      <c r="P75" s="34">
        <f>N75*Ratios!$D$160</f>
        <v>515.77271876754196</v>
      </c>
      <c r="Q75" s="34">
        <f>N75*Ratios!$D$161</f>
        <v>43.083639992515437</v>
      </c>
      <c r="R75" s="34">
        <f>N75*Ratios!$D$162</f>
        <v>11.848000997941744</v>
      </c>
      <c r="S75" s="7" t="s">
        <v>38</v>
      </c>
      <c r="T75" s="8">
        <f t="shared" si="4"/>
        <v>0</v>
      </c>
      <c r="U75" s="43">
        <f t="shared" si="33"/>
        <v>0</v>
      </c>
      <c r="V75" s="42"/>
      <c r="W75" s="42"/>
      <c r="X75" s="42"/>
      <c r="Y75" s="42"/>
      <c r="Z75" s="42"/>
    </row>
    <row r="76" spans="1:26">
      <c r="A76" s="64">
        <v>55086</v>
      </c>
      <c r="B76" s="7" t="s">
        <v>69</v>
      </c>
      <c r="C76" s="34">
        <f>IFERROR(VLOOKUP(A76,'Yakima IS'!$B$55:$AF$290,31,FALSE),0)</f>
        <v>765.61</v>
      </c>
      <c r="D76" s="35"/>
      <c r="E76" s="35">
        <f t="shared" si="29"/>
        <v>765.61</v>
      </c>
      <c r="F76" s="36"/>
      <c r="G76" s="37"/>
      <c r="H76" s="35">
        <f t="shared" si="30"/>
        <v>765.61</v>
      </c>
      <c r="I76" s="35"/>
      <c r="J76" s="34">
        <f>H76*Ratios!$C$70</f>
        <v>521.0713104222541</v>
      </c>
      <c r="K76" s="34">
        <f>H76*Ratios!$D$70</f>
        <v>244.53868957774591</v>
      </c>
      <c r="L76" s="34" t="s">
        <v>37</v>
      </c>
      <c r="M76" s="8">
        <f t="shared" si="31"/>
        <v>0</v>
      </c>
      <c r="N76" s="34">
        <f t="shared" si="32"/>
        <v>521.0713104222541</v>
      </c>
      <c r="O76" s="34">
        <f>N76*Ratios!$D$159</f>
        <v>343.95863718580432</v>
      </c>
      <c r="P76" s="34">
        <f>N76*Ratios!$D$160</f>
        <v>160.06516060624961</v>
      </c>
      <c r="Q76" s="34">
        <f>N76*Ratios!$D$161</f>
        <v>13.370598141333501</v>
      </c>
      <c r="R76" s="34">
        <f>N76*Ratios!$D$162</f>
        <v>3.6769144888667125</v>
      </c>
      <c r="S76" s="7" t="s">
        <v>38</v>
      </c>
      <c r="T76" s="8">
        <f t="shared" ref="T76" si="40">SUM(O76:R76)-N76</f>
        <v>0</v>
      </c>
      <c r="U76" s="43">
        <f t="shared" si="33"/>
        <v>0</v>
      </c>
      <c r="V76" s="42"/>
      <c r="W76" s="42"/>
      <c r="X76" s="42"/>
      <c r="Y76" s="42"/>
      <c r="Z76" s="42"/>
    </row>
    <row r="77" spans="1:26">
      <c r="A77" s="64">
        <v>55135</v>
      </c>
      <c r="B77" s="7" t="s">
        <v>70</v>
      </c>
      <c r="C77" s="34">
        <f>IFERROR(VLOOKUP(A77,'Yakima IS'!$B$55:$AF$290,31,FALSE),0)</f>
        <v>941.71</v>
      </c>
      <c r="D77" s="37"/>
      <c r="E77" s="35">
        <f t="shared" si="29"/>
        <v>941.71</v>
      </c>
      <c r="F77" s="36"/>
      <c r="G77" s="37"/>
      <c r="H77" s="35">
        <f t="shared" si="30"/>
        <v>941.71</v>
      </c>
      <c r="I77" s="35"/>
      <c r="J77" s="34">
        <f>H77*Ratios!$C$70</f>
        <v>640.92431360319347</v>
      </c>
      <c r="K77" s="34">
        <f>H77*Ratios!$D$70</f>
        <v>300.78568639680657</v>
      </c>
      <c r="L77" s="34" t="s">
        <v>37</v>
      </c>
      <c r="M77" s="8">
        <f t="shared" si="31"/>
        <v>0</v>
      </c>
      <c r="N77" s="34">
        <f t="shared" si="32"/>
        <v>640.92431360319347</v>
      </c>
      <c r="O77" s="34">
        <f>N77*Ratios!$D$159</f>
        <v>423.07348156926344</v>
      </c>
      <c r="P77" s="34">
        <f>N77*Ratios!$D$160</f>
        <v>196.88217551300446</v>
      </c>
      <c r="Q77" s="34">
        <f>N77*Ratios!$D$161</f>
        <v>16.446005114451445</v>
      </c>
      <c r="R77" s="34">
        <f>N77*Ratios!$D$162</f>
        <v>4.5226514064741474</v>
      </c>
      <c r="S77" s="7" t="s">
        <v>38</v>
      </c>
      <c r="T77" s="8">
        <f t="shared" si="4"/>
        <v>0</v>
      </c>
      <c r="U77" s="43">
        <f t="shared" si="33"/>
        <v>0</v>
      </c>
      <c r="V77" s="42"/>
      <c r="W77" s="42"/>
      <c r="X77" s="42"/>
      <c r="Y77" s="42"/>
      <c r="Z77" s="42"/>
    </row>
    <row r="78" spans="1:26">
      <c r="A78" s="64">
        <v>55147</v>
      </c>
      <c r="B78" s="7" t="s">
        <v>71</v>
      </c>
      <c r="C78" s="34">
        <f>IFERROR(VLOOKUP(A78,'Yakima IS'!$B$55:$AF$290,31,FALSE),0)</f>
        <v>13702.54</v>
      </c>
      <c r="D78" s="37"/>
      <c r="E78" s="35">
        <f t="shared" si="29"/>
        <v>13702.54</v>
      </c>
      <c r="F78" s="36"/>
      <c r="G78" s="37"/>
      <c r="H78" s="35">
        <f t="shared" si="30"/>
        <v>13702.54</v>
      </c>
      <c r="I78" s="35"/>
      <c r="J78" s="34">
        <f>H78*Ratios!$C$70</f>
        <v>9325.8976161666578</v>
      </c>
      <c r="K78" s="34">
        <f>H78*Ratios!$D$70</f>
        <v>4376.642383833344</v>
      </c>
      <c r="L78" s="34" t="s">
        <v>37</v>
      </c>
      <c r="M78" s="8">
        <f t="shared" si="31"/>
        <v>0</v>
      </c>
      <c r="N78" s="34">
        <f t="shared" si="32"/>
        <v>9325.8976161666578</v>
      </c>
      <c r="O78" s="34">
        <f>N78*Ratios!$D$159</f>
        <v>6156.0154443959345</v>
      </c>
      <c r="P78" s="34">
        <f>N78*Ratios!$D$160</f>
        <v>2864.7735345849192</v>
      </c>
      <c r="Q78" s="34">
        <f>N78*Ratios!$D$161</f>
        <v>239.30089191043479</v>
      </c>
      <c r="R78" s="34">
        <f>N78*Ratios!$D$162</f>
        <v>65.807745275369555</v>
      </c>
      <c r="S78" s="7" t="s">
        <v>38</v>
      </c>
      <c r="T78" s="8">
        <f t="shared" si="4"/>
        <v>0</v>
      </c>
      <c r="U78" s="43">
        <f t="shared" si="33"/>
        <v>0</v>
      </c>
      <c r="V78" s="42"/>
      <c r="W78" s="42"/>
      <c r="X78" s="42"/>
      <c r="Y78" s="42"/>
      <c r="Z78" s="42"/>
    </row>
    <row r="79" spans="1:26">
      <c r="A79" s="64">
        <v>57254</v>
      </c>
      <c r="B79" s="7" t="s">
        <v>74</v>
      </c>
      <c r="C79" s="34">
        <f>IFERROR(VLOOKUP(A79,'Yakima IS'!$B$55:$AF$290,31,FALSE),0)</f>
        <v>38558.43</v>
      </c>
      <c r="D79" s="37"/>
      <c r="E79" s="35">
        <f t="shared" si="29"/>
        <v>38558.43</v>
      </c>
      <c r="F79" s="36"/>
      <c r="G79" s="37"/>
      <c r="H79" s="35">
        <f t="shared" si="30"/>
        <v>38558.43</v>
      </c>
      <c r="I79" s="35"/>
      <c r="J79" s="34">
        <f>H79*Ratios!$C$70</f>
        <v>26242.72364248737</v>
      </c>
      <c r="K79" s="34">
        <f>H79*Ratios!$D$70</f>
        <v>12315.70635751263</v>
      </c>
      <c r="L79" s="34" t="s">
        <v>37</v>
      </c>
      <c r="M79" s="8">
        <f t="shared" si="31"/>
        <v>0</v>
      </c>
      <c r="N79" s="34">
        <f t="shared" si="32"/>
        <v>26242.72364248737</v>
      </c>
      <c r="O79" s="34">
        <f>N79*Ratios!$D$159</f>
        <v>17322.794941059066</v>
      </c>
      <c r="P79" s="34">
        <f>N79*Ratios!$D$160</f>
        <v>8061.3645206761057</v>
      </c>
      <c r="Q79" s="34">
        <f>N79*Ratios!$D$161</f>
        <v>673.38367117819507</v>
      </c>
      <c r="R79" s="34">
        <f>N79*Ratios!$D$162</f>
        <v>185.18050957400362</v>
      </c>
      <c r="S79" s="7" t="s">
        <v>38</v>
      </c>
      <c r="T79" s="8">
        <f t="shared" si="4"/>
        <v>0</v>
      </c>
      <c r="U79" s="43">
        <f t="shared" si="33"/>
        <v>0</v>
      </c>
      <c r="V79" s="42"/>
      <c r="W79" s="42"/>
      <c r="X79" s="42"/>
      <c r="Y79" s="42"/>
      <c r="Z79" s="42"/>
    </row>
    <row r="80" spans="1:26">
      <c r="A80" s="66">
        <v>41800</v>
      </c>
      <c r="B80" s="2" t="s">
        <v>62</v>
      </c>
      <c r="C80" s="38">
        <f>SUM(C70:C79)</f>
        <v>91247.48000000001</v>
      </c>
      <c r="D80" s="38">
        <f>SUM(D70:D79)</f>
        <v>0</v>
      </c>
      <c r="E80" s="38">
        <f>SUM(E70:E79)</f>
        <v>91247.48000000001</v>
      </c>
      <c r="F80" s="39"/>
      <c r="G80" s="38">
        <f>SUM(G70:G79)</f>
        <v>0</v>
      </c>
      <c r="H80" s="38">
        <f>SUM(H70:H79)</f>
        <v>91247.48000000001</v>
      </c>
      <c r="I80" s="38"/>
      <c r="J80" s="38">
        <f>SUM(J70:J79)</f>
        <v>62102.694552485504</v>
      </c>
      <c r="K80" s="38">
        <f>SUM(K70:K79)</f>
        <v>29144.7854475145</v>
      </c>
      <c r="L80" s="40"/>
      <c r="M80" s="40"/>
      <c r="N80" s="38">
        <f>SUM(N70:N79)</f>
        <v>62102.694552485504</v>
      </c>
      <c r="O80" s="38">
        <f>SUM(O70:O79)</f>
        <v>40993.924932327078</v>
      </c>
      <c r="P80" s="38">
        <f>SUM(P70:P79)</f>
        <v>19077.000745961457</v>
      </c>
      <c r="Q80" s="38">
        <f>SUM(Q70:Q79)</f>
        <v>1593.5442150564463</v>
      </c>
      <c r="R80" s="38">
        <f>SUM(R70:R79)</f>
        <v>438.22465914052265</v>
      </c>
      <c r="S80" s="71"/>
      <c r="T80" s="59">
        <f t="shared" si="4"/>
        <v>0</v>
      </c>
      <c r="U80" s="60">
        <f t="shared" si="33"/>
        <v>0</v>
      </c>
    </row>
    <row r="81" spans="1:26">
      <c r="C81" s="34"/>
      <c r="D81" s="37"/>
      <c r="E81" s="37"/>
      <c r="G81" s="37"/>
      <c r="H81" s="37"/>
      <c r="I81" s="37"/>
      <c r="J81" s="34"/>
      <c r="K81" s="34"/>
      <c r="N81" s="34"/>
      <c r="O81" s="34"/>
      <c r="P81" s="34"/>
      <c r="Q81" s="34"/>
      <c r="R81" s="34"/>
      <c r="U81" s="43"/>
    </row>
    <row r="82" spans="1:26">
      <c r="A82" s="63">
        <v>42100</v>
      </c>
      <c r="B82" s="48" t="s">
        <v>75</v>
      </c>
      <c r="C82" s="50"/>
      <c r="D82" s="51"/>
      <c r="E82" s="51"/>
      <c r="F82" s="52"/>
      <c r="G82" s="51"/>
      <c r="H82" s="51"/>
      <c r="I82" s="51"/>
      <c r="J82" s="50"/>
      <c r="K82" s="50"/>
      <c r="L82" s="53"/>
      <c r="M82" s="53"/>
      <c r="N82" s="50"/>
      <c r="O82" s="50"/>
      <c r="P82" s="50"/>
      <c r="Q82" s="50"/>
      <c r="R82" s="50"/>
      <c r="S82" s="53"/>
      <c r="T82" s="54"/>
      <c r="U82" s="55"/>
    </row>
    <row r="83" spans="1:26">
      <c r="A83" s="31">
        <v>56010</v>
      </c>
      <c r="B83" s="7" t="s">
        <v>76</v>
      </c>
      <c r="C83" s="34">
        <f>IFERROR(VLOOKUP(A83,'Yakima IS'!$B$55:$AF$290,31,FALSE),0)</f>
        <v>134643.66999999998</v>
      </c>
      <c r="D83" s="35">
        <f>'Restating Adj''s'!T32</f>
        <v>1091.55877869863</v>
      </c>
      <c r="E83" s="35">
        <f>SUM(C83:D83)</f>
        <v>135735.22877869863</v>
      </c>
      <c r="F83" s="1253" t="s">
        <v>43</v>
      </c>
      <c r="G83" s="35">
        <f>'Pro-forma Adj''s'!B11</f>
        <v>2492.6463955739723</v>
      </c>
      <c r="H83" s="35">
        <f>C83+D83+G83</f>
        <v>138227.8751742726</v>
      </c>
      <c r="I83" s="35"/>
      <c r="J83" s="34">
        <f>H83*Ratios!$C$70</f>
        <v>94077.376280275843</v>
      </c>
      <c r="K83" s="34">
        <f>H83*Ratios!$D$70</f>
        <v>44150.498893996759</v>
      </c>
      <c r="L83" s="34" t="s">
        <v>37</v>
      </c>
      <c r="M83" s="8">
        <f t="shared" ref="M83:M85" si="41">H83-J83-K83</f>
        <v>0</v>
      </c>
      <c r="N83" s="34">
        <f t="shared" ref="N83:N85" si="42">J83</f>
        <v>94077.376280275843</v>
      </c>
      <c r="O83" s="34">
        <f>N83*Ratios!$D$159</f>
        <v>62100.379522253206</v>
      </c>
      <c r="P83" s="34">
        <f>N83*Ratios!$D$160</f>
        <v>28899.135382284148</v>
      </c>
      <c r="Q83" s="34">
        <f>N83*Ratios!$D$161</f>
        <v>2414.0089221478406</v>
      </c>
      <c r="R83" s="34">
        <f>N83*Ratios!$D$162</f>
        <v>663.85245359065618</v>
      </c>
      <c r="S83" s="34" t="s">
        <v>38</v>
      </c>
      <c r="T83" s="8">
        <f t="shared" si="4"/>
        <v>0</v>
      </c>
      <c r="U83" s="43">
        <f>C83+D83+G83-J83-K83</f>
        <v>0</v>
      </c>
      <c r="V83" s="42"/>
      <c r="W83" s="42"/>
      <c r="X83" s="42"/>
      <c r="Y83" s="42"/>
      <c r="Z83" s="42"/>
    </row>
    <row r="84" spans="1:26">
      <c r="A84" s="31">
        <v>56036</v>
      </c>
      <c r="B84" s="7" t="s">
        <v>77</v>
      </c>
      <c r="C84" s="34">
        <f>IFERROR(VLOOKUP(A84,'Yakima IS'!$B$55:$AF$290,31,FALSE),0)</f>
        <v>74.23</v>
      </c>
      <c r="D84" s="35"/>
      <c r="E84" s="35"/>
      <c r="F84" s="36"/>
      <c r="G84" s="35"/>
      <c r="H84" s="35">
        <f>C84+D84+G84</f>
        <v>74.23</v>
      </c>
      <c r="I84" s="35"/>
      <c r="J84" s="34">
        <f>H84*Ratios!$C$70</f>
        <v>50.520661136406169</v>
      </c>
      <c r="K84" s="34">
        <f>H84*Ratios!$D$70</f>
        <v>23.709338863593839</v>
      </c>
      <c r="L84" s="34" t="s">
        <v>37</v>
      </c>
      <c r="M84" s="8">
        <f t="shared" si="41"/>
        <v>0</v>
      </c>
      <c r="N84" s="34">
        <f t="shared" si="42"/>
        <v>50.520661136406169</v>
      </c>
      <c r="O84" s="34">
        <f>N84*Ratios!$D$159</f>
        <v>33.348636562090697</v>
      </c>
      <c r="P84" s="34">
        <f>N84*Ratios!$D$160</f>
        <v>15.519176698060253</v>
      </c>
      <c r="Q84" s="34">
        <f>N84*Ratios!$D$161</f>
        <v>1.2963512754942932</v>
      </c>
      <c r="R84" s="34">
        <f>N84*Ratios!$D$162</f>
        <v>0.35649660076093059</v>
      </c>
      <c r="S84" s="34" t="s">
        <v>38</v>
      </c>
      <c r="T84" s="8">
        <f t="shared" ref="T84" si="43">SUM(O84:R84)-N84</f>
        <v>0</v>
      </c>
      <c r="U84" s="43">
        <f>C84+D84+G84-J84-K84</f>
        <v>0</v>
      </c>
      <c r="V84" s="42"/>
      <c r="W84" s="42"/>
      <c r="X84" s="42"/>
      <c r="Y84" s="42"/>
      <c r="Z84" s="42"/>
    </row>
    <row r="85" spans="1:26">
      <c r="A85" s="31">
        <v>56065</v>
      </c>
      <c r="B85" s="7" t="s">
        <v>47</v>
      </c>
      <c r="C85" s="34">
        <f>IFERROR(VLOOKUP(A85,'Yakima IS'!$B$55:$AF$290,31,FALSE),0)</f>
        <v>7188.8899999999994</v>
      </c>
      <c r="D85" s="35"/>
      <c r="E85" s="35">
        <f>SUM(C85:D85)</f>
        <v>7188.8899999999994</v>
      </c>
      <c r="F85" s="36"/>
      <c r="G85" s="35"/>
      <c r="H85" s="35">
        <f>C85+D85+G85</f>
        <v>7188.8899999999994</v>
      </c>
      <c r="I85" s="35"/>
      <c r="J85" s="34">
        <f>H85*Ratios!$C$70</f>
        <v>4892.7317208257964</v>
      </c>
      <c r="K85" s="34">
        <f>H85*Ratios!$D$70</f>
        <v>2296.158279174203</v>
      </c>
      <c r="L85" s="34" t="s">
        <v>37</v>
      </c>
      <c r="M85" s="8">
        <f t="shared" si="41"/>
        <v>0</v>
      </c>
      <c r="N85" s="34">
        <f t="shared" si="42"/>
        <v>4892.7317208257964</v>
      </c>
      <c r="O85" s="34">
        <f>N85*Ratios!$D$159</f>
        <v>3229.6871870517057</v>
      </c>
      <c r="P85" s="34">
        <f>N85*Ratios!$D$160</f>
        <v>1502.9725740659887</v>
      </c>
      <c r="Q85" s="34">
        <f>N85*Ratios!$D$161</f>
        <v>125.54663506517807</v>
      </c>
      <c r="R85" s="34">
        <f>N85*Ratios!$D$162</f>
        <v>34.525324642923962</v>
      </c>
      <c r="S85" s="34" t="s">
        <v>38</v>
      </c>
      <c r="T85" s="8">
        <f t="shared" si="4"/>
        <v>0</v>
      </c>
      <c r="U85" s="43">
        <f>C85+D85+G85-J85-K85</f>
        <v>0</v>
      </c>
      <c r="V85" s="42"/>
      <c r="W85" s="42"/>
      <c r="X85" s="42"/>
      <c r="Y85" s="42"/>
      <c r="Z85" s="42"/>
    </row>
    <row r="86" spans="1:26">
      <c r="A86" s="58">
        <v>42100</v>
      </c>
      <c r="B86" s="72" t="s">
        <v>75</v>
      </c>
      <c r="C86" s="38">
        <f>SUM(C83:C85)</f>
        <v>141906.78999999998</v>
      </c>
      <c r="D86" s="38">
        <f>SUM(D83:D85)</f>
        <v>1091.55877869863</v>
      </c>
      <c r="E86" s="38">
        <f>SUM(E83:E85)</f>
        <v>142924.11877869861</v>
      </c>
      <c r="F86" s="39"/>
      <c r="G86" s="38">
        <f>SUM(G83:G85)</f>
        <v>2492.6463955739723</v>
      </c>
      <c r="H86" s="38">
        <f>SUM(H83:H85)</f>
        <v>145490.99517427263</v>
      </c>
      <c r="I86" s="38"/>
      <c r="J86" s="38">
        <f>SUM(J83:J85)</f>
        <v>99020.628662238058</v>
      </c>
      <c r="K86" s="38">
        <f>SUM(K83:K85)</f>
        <v>46470.366512034554</v>
      </c>
      <c r="L86" s="40"/>
      <c r="M86" s="40"/>
      <c r="N86" s="38">
        <f>SUM(N83:N85)</f>
        <v>99020.628662238058</v>
      </c>
      <c r="O86" s="38">
        <f>SUM(O83:O85)</f>
        <v>65363.415345867004</v>
      </c>
      <c r="P86" s="38">
        <f>SUM(P83:P85)</f>
        <v>30417.627133048198</v>
      </c>
      <c r="Q86" s="38">
        <f>SUM(Q83:Q85)</f>
        <v>2540.8519084885129</v>
      </c>
      <c r="R86" s="38">
        <f>SUM(R83:R85)</f>
        <v>698.73427483434102</v>
      </c>
      <c r="S86" s="40"/>
      <c r="T86" s="59">
        <f t="shared" si="4"/>
        <v>0</v>
      </c>
      <c r="U86" s="60">
        <f>C86+D86+G86-J86-K86</f>
        <v>0</v>
      </c>
    </row>
    <row r="87" spans="1:26">
      <c r="A87" s="58"/>
      <c r="B87" s="72"/>
      <c r="C87" s="61"/>
      <c r="D87" s="61"/>
      <c r="E87" s="61"/>
      <c r="F87" s="62"/>
      <c r="G87" s="61"/>
      <c r="H87" s="61"/>
      <c r="I87" s="61"/>
      <c r="J87" s="61"/>
      <c r="K87" s="61"/>
      <c r="L87" s="3"/>
      <c r="M87" s="3"/>
      <c r="N87" s="61"/>
      <c r="O87" s="61"/>
      <c r="P87" s="61"/>
      <c r="Q87" s="61"/>
      <c r="R87" s="61"/>
      <c r="U87" s="43"/>
    </row>
    <row r="88" spans="1:26" ht="12" customHeight="1">
      <c r="A88" s="63">
        <v>42300</v>
      </c>
      <c r="B88" s="48" t="s">
        <v>78</v>
      </c>
      <c r="C88" s="50"/>
      <c r="D88" s="51"/>
      <c r="E88" s="51"/>
      <c r="F88" s="52"/>
      <c r="G88" s="51"/>
      <c r="H88" s="51"/>
      <c r="I88" s="51"/>
      <c r="J88" s="50"/>
      <c r="K88" s="50"/>
      <c r="L88" s="53"/>
      <c r="M88" s="53"/>
      <c r="N88" s="50"/>
      <c r="O88" s="50"/>
      <c r="P88" s="50"/>
      <c r="Q88" s="50"/>
      <c r="R88" s="50"/>
      <c r="S88" s="53"/>
      <c r="T88" s="54"/>
      <c r="U88" s="55"/>
    </row>
    <row r="89" spans="1:26">
      <c r="A89" s="64">
        <v>50020</v>
      </c>
      <c r="B89" s="7" t="s">
        <v>50</v>
      </c>
      <c r="C89" s="34">
        <f>IFERROR(VLOOKUP(A89,'Yakima IS'!$B$55:$AF$290,31,FALSE),0)</f>
        <v>1904821.8</v>
      </c>
      <c r="D89" s="35">
        <f>-D95+'Restating Adj''s'!T33</f>
        <v>-33764.466724883008</v>
      </c>
      <c r="E89" s="35">
        <f t="shared" ref="E89:E95" si="44">SUM(C89:D89)</f>
        <v>1871057.333275117</v>
      </c>
      <c r="F89" s="1253" t="s">
        <v>43</v>
      </c>
      <c r="G89" s="35">
        <f>'Pro-forma Adj''s'!B8</f>
        <v>39497.889248855761</v>
      </c>
      <c r="H89" s="35">
        <f t="shared" ref="H89:H95" si="45">C89+D89+G89</f>
        <v>1910555.2225239729</v>
      </c>
      <c r="I89" s="35"/>
      <c r="J89" s="34">
        <f>H89*Ratios!$C$70</f>
        <v>1300316.7584470524</v>
      </c>
      <c r="K89" s="34">
        <f>H89*Ratios!$D$70</f>
        <v>610238.46407692041</v>
      </c>
      <c r="L89" s="34" t="s">
        <v>37</v>
      </c>
      <c r="M89" s="8">
        <f t="shared" ref="M89:M95" si="46">H89-J89-K89</f>
        <v>0</v>
      </c>
      <c r="N89" s="34">
        <f t="shared" ref="N89:N95" si="47">J89</f>
        <v>1300316.7584470524</v>
      </c>
      <c r="O89" s="34">
        <f>N89*Ratios!$D$159</f>
        <v>858337.75761493028</v>
      </c>
      <c r="P89" s="34">
        <f>N89*Ratios!$D$160</f>
        <v>399437.47931767959</v>
      </c>
      <c r="Q89" s="34">
        <f>N89*Ratios!$D$161</f>
        <v>33365.899227013811</v>
      </c>
      <c r="R89" s="34">
        <f>N89*Ratios!$D$162</f>
        <v>9175.6222874287978</v>
      </c>
      <c r="S89" s="7" t="s">
        <v>38</v>
      </c>
      <c r="T89" s="8">
        <f t="shared" ref="T89:T145" si="48">SUM(O89:R89)-N89</f>
        <v>0</v>
      </c>
      <c r="U89" s="43">
        <f t="shared" ref="U89:U96" si="49">C89+D89+G89-J89-K89</f>
        <v>0</v>
      </c>
      <c r="V89" s="42"/>
      <c r="W89" s="42"/>
      <c r="X89" s="42"/>
      <c r="Y89" s="42"/>
      <c r="Z89" s="42"/>
    </row>
    <row r="90" spans="1:26">
      <c r="A90" s="64">
        <v>50025</v>
      </c>
      <c r="B90" s="7" t="s">
        <v>79</v>
      </c>
      <c r="C90" s="34">
        <f>IFERROR(VLOOKUP(A90,'Yakima IS'!$B$55:$AF$290,31,FALSE),0)</f>
        <v>510063.83999999997</v>
      </c>
      <c r="D90" s="65"/>
      <c r="E90" s="35">
        <f t="shared" si="44"/>
        <v>510063.83999999997</v>
      </c>
      <c r="F90" s="1253"/>
      <c r="G90" s="37"/>
      <c r="H90" s="35">
        <f t="shared" si="45"/>
        <v>510063.83999999997</v>
      </c>
      <c r="I90" s="35"/>
      <c r="J90" s="34">
        <f>H90*Ratios!$C$70</f>
        <v>347147.54706418014</v>
      </c>
      <c r="K90" s="34">
        <f>H90*Ratios!$D$70</f>
        <v>162916.29293581986</v>
      </c>
      <c r="L90" s="34" t="s">
        <v>37</v>
      </c>
      <c r="M90" s="8">
        <f t="shared" si="46"/>
        <v>0</v>
      </c>
      <c r="N90" s="34">
        <f t="shared" si="47"/>
        <v>347147.54706418014</v>
      </c>
      <c r="O90" s="34">
        <f>N90*Ratios!$D$159</f>
        <v>229151.73950726629</v>
      </c>
      <c r="P90" s="34">
        <f>N90*Ratios!$D$160</f>
        <v>106638.43271253041</v>
      </c>
      <c r="Q90" s="34">
        <f>N90*Ratios!$D$161</f>
        <v>8907.7449759870269</v>
      </c>
      <c r="R90" s="34">
        <f>N90*Ratios!$D$162</f>
        <v>2449.6298683964324</v>
      </c>
      <c r="S90" s="7" t="s">
        <v>38</v>
      </c>
      <c r="T90" s="8">
        <f t="shared" si="48"/>
        <v>0</v>
      </c>
      <c r="U90" s="43">
        <f t="shared" si="49"/>
        <v>0</v>
      </c>
      <c r="V90" s="42"/>
      <c r="W90" s="42"/>
      <c r="X90" s="42"/>
      <c r="Y90" s="42"/>
      <c r="Z90" s="42"/>
    </row>
    <row r="91" spans="1:26">
      <c r="A91" s="73">
        <v>50035</v>
      </c>
      <c r="B91" s="7" t="s">
        <v>45</v>
      </c>
      <c r="C91" s="34">
        <f>IFERROR(VLOOKUP(A91,'Yakima IS'!$B$55:$AF$290,31,FALSE),0)</f>
        <v>29945.100000000002</v>
      </c>
      <c r="D91" s="37"/>
      <c r="E91" s="35">
        <f t="shared" si="44"/>
        <v>29945.100000000002</v>
      </c>
      <c r="F91" s="1253"/>
      <c r="G91" s="37"/>
      <c r="H91" s="35">
        <f t="shared" si="45"/>
        <v>29945.100000000002</v>
      </c>
      <c r="I91" s="35"/>
      <c r="J91" s="34">
        <f>H91*Ratios!$C$70</f>
        <v>20380.523370548246</v>
      </c>
      <c r="K91" s="34">
        <f>H91*Ratios!$D$70</f>
        <v>9564.5766294517562</v>
      </c>
      <c r="L91" s="34" t="s">
        <v>37</v>
      </c>
      <c r="M91" s="8">
        <f t="shared" si="46"/>
        <v>0</v>
      </c>
      <c r="N91" s="34">
        <f t="shared" si="47"/>
        <v>20380.523370548246</v>
      </c>
      <c r="O91" s="34">
        <f>N91*Ratios!$D$159</f>
        <v>13453.162558473152</v>
      </c>
      <c r="P91" s="34">
        <f>N91*Ratios!$D$160</f>
        <v>6260.5859913927534</v>
      </c>
      <c r="Q91" s="34">
        <f>N91*Ratios!$D$161</f>
        <v>522.9606436724257</v>
      </c>
      <c r="R91" s="34">
        <f>N91*Ratios!$D$162</f>
        <v>143.81417700991705</v>
      </c>
      <c r="S91" s="7" t="s">
        <v>38</v>
      </c>
      <c r="T91" s="8">
        <f t="shared" si="48"/>
        <v>0</v>
      </c>
      <c r="U91" s="43">
        <f t="shared" si="49"/>
        <v>0</v>
      </c>
      <c r="V91" s="42"/>
      <c r="W91" s="42"/>
      <c r="X91" s="42"/>
      <c r="Y91" s="42"/>
      <c r="Z91" s="42"/>
    </row>
    <row r="92" spans="1:26">
      <c r="A92" s="73">
        <v>50036</v>
      </c>
      <c r="B92" s="7" t="s">
        <v>46</v>
      </c>
      <c r="C92" s="34">
        <f>IFERROR(VLOOKUP(A92,'Yakima IS'!$B$55:$AF$290,31,FALSE),0)</f>
        <v>2374.71</v>
      </c>
      <c r="D92" s="37"/>
      <c r="E92" s="35">
        <f t="shared" si="44"/>
        <v>2374.71</v>
      </c>
      <c r="F92" s="36"/>
      <c r="G92" s="37"/>
      <c r="H92" s="35">
        <f t="shared" si="45"/>
        <v>2374.71</v>
      </c>
      <c r="I92" s="35"/>
      <c r="J92" s="34">
        <f>H92*Ratios!$C$70</f>
        <v>1616.218768789372</v>
      </c>
      <c r="K92" s="34">
        <f>H92*Ratios!$D$70</f>
        <v>758.49123121062803</v>
      </c>
      <c r="L92" s="34" t="s">
        <v>37</v>
      </c>
      <c r="M92" s="8">
        <f t="shared" si="46"/>
        <v>0</v>
      </c>
      <c r="N92" s="34">
        <f t="shared" si="47"/>
        <v>1616.218768789372</v>
      </c>
      <c r="O92" s="34">
        <f>N92*Ratios!$D$159</f>
        <v>1066.8643504022955</v>
      </c>
      <c r="P92" s="34">
        <f>N92*Ratios!$D$160</f>
        <v>496.47775962078219</v>
      </c>
      <c r="Q92" s="34">
        <f>N92*Ratios!$D$161</f>
        <v>41.471889228466296</v>
      </c>
      <c r="R92" s="34">
        <f>N92*Ratios!$D$162</f>
        <v>11.40476953782823</v>
      </c>
      <c r="S92" s="7" t="s">
        <v>38</v>
      </c>
      <c r="T92" s="8">
        <f t="shared" si="48"/>
        <v>0</v>
      </c>
      <c r="U92" s="43">
        <f t="shared" si="49"/>
        <v>0</v>
      </c>
      <c r="V92" s="42"/>
      <c r="W92" s="42"/>
      <c r="X92" s="42"/>
      <c r="Y92" s="42"/>
      <c r="Z92" s="42"/>
    </row>
    <row r="93" spans="1:26">
      <c r="A93" s="64">
        <v>50065</v>
      </c>
      <c r="B93" s="7" t="s">
        <v>47</v>
      </c>
      <c r="C93" s="34">
        <f>IFERROR(VLOOKUP(A93,'Yakima IS'!$B$55:$AF$290,31,FALSE),0)</f>
        <v>110516.81</v>
      </c>
      <c r="D93" s="37"/>
      <c r="E93" s="35">
        <f t="shared" si="44"/>
        <v>110516.81</v>
      </c>
      <c r="F93" s="36"/>
      <c r="G93" s="37"/>
      <c r="H93" s="35">
        <f t="shared" si="45"/>
        <v>110516.81</v>
      </c>
      <c r="I93" s="35"/>
      <c r="J93" s="34">
        <f>H93*Ratios!$C$70</f>
        <v>75217.328679598329</v>
      </c>
      <c r="K93" s="34">
        <f>H93*Ratios!$D$70</f>
        <v>35299.481320401668</v>
      </c>
      <c r="L93" s="34" t="s">
        <v>37</v>
      </c>
      <c r="M93" s="8">
        <f t="shared" si="46"/>
        <v>0</v>
      </c>
      <c r="N93" s="34">
        <f t="shared" si="47"/>
        <v>75217.328679598329</v>
      </c>
      <c r="O93" s="34">
        <f>N93*Ratios!$D$159</f>
        <v>49650.88145886609</v>
      </c>
      <c r="P93" s="34">
        <f>N93*Ratios!$D$160</f>
        <v>23105.616361254913</v>
      </c>
      <c r="Q93" s="34">
        <f>N93*Ratios!$D$161</f>
        <v>1930.0634191979045</v>
      </c>
      <c r="R93" s="34">
        <f>N93*Ratios!$D$162</f>
        <v>530.76744027942368</v>
      </c>
      <c r="S93" s="7" t="s">
        <v>38</v>
      </c>
      <c r="T93" s="8">
        <f t="shared" si="48"/>
        <v>0</v>
      </c>
      <c r="U93" s="43">
        <f t="shared" si="49"/>
        <v>0</v>
      </c>
      <c r="V93" s="42"/>
      <c r="W93" s="42"/>
      <c r="X93" s="42"/>
      <c r="Y93" s="42"/>
      <c r="Z93" s="42"/>
    </row>
    <row r="94" spans="1:26">
      <c r="A94" s="64">
        <v>50070</v>
      </c>
      <c r="B94" s="7" t="s">
        <v>48</v>
      </c>
      <c r="C94" s="34">
        <f>IFERROR(VLOOKUP(A94,'Yakima IS'!$B$55:$AF$290,31,FALSE),0)</f>
        <v>30850.020000000004</v>
      </c>
      <c r="D94" s="37"/>
      <c r="E94" s="35">
        <f t="shared" si="44"/>
        <v>30850.020000000004</v>
      </c>
      <c r="F94" s="36"/>
      <c r="G94" s="37"/>
      <c r="H94" s="35">
        <f t="shared" si="45"/>
        <v>30850.020000000004</v>
      </c>
      <c r="I94" s="35"/>
      <c r="J94" s="34">
        <f>H94*Ratios!$C$70</f>
        <v>20996.408547371051</v>
      </c>
      <c r="K94" s="34">
        <f>H94*Ratios!$D$70</f>
        <v>9853.6114526289548</v>
      </c>
      <c r="L94" s="34" t="s">
        <v>37</v>
      </c>
      <c r="M94" s="8">
        <f t="shared" si="46"/>
        <v>0</v>
      </c>
      <c r="N94" s="34">
        <f t="shared" si="47"/>
        <v>20996.408547371051</v>
      </c>
      <c r="O94" s="34">
        <f>N94*Ratios!$D$159</f>
        <v>13859.707731553674</v>
      </c>
      <c r="P94" s="34">
        <f>N94*Ratios!$D$160</f>
        <v>6449.7765259153011</v>
      </c>
      <c r="Q94" s="34">
        <f>N94*Ratios!$D$161</f>
        <v>538.7641489428056</v>
      </c>
      <c r="R94" s="34">
        <f>N94*Ratios!$D$162</f>
        <v>148.16014095927153</v>
      </c>
      <c r="S94" s="7" t="s">
        <v>38</v>
      </c>
      <c r="T94" s="8">
        <f t="shared" si="48"/>
        <v>0</v>
      </c>
      <c r="U94" s="43">
        <f t="shared" si="49"/>
        <v>0</v>
      </c>
      <c r="V94" s="42"/>
      <c r="W94" s="42"/>
      <c r="X94" s="42"/>
      <c r="Y94" s="42"/>
      <c r="Z94" s="42"/>
    </row>
    <row r="95" spans="1:26">
      <c r="A95" s="64"/>
      <c r="B95" s="7" t="s">
        <v>80</v>
      </c>
      <c r="C95" s="34">
        <f>IFERROR(VLOOKUP(A95,'Yakima IS'!$B$55:$AF$290,31,FALSE),0)</f>
        <v>0</v>
      </c>
      <c r="D95" s="85">
        <f>'Yakima Payroll'!P106</f>
        <v>56923.7</v>
      </c>
      <c r="E95" s="35">
        <f t="shared" si="44"/>
        <v>56923.7</v>
      </c>
      <c r="F95" s="36"/>
      <c r="G95" s="35">
        <f>'Pro-forma Adj''s'!B9</f>
        <v>1008.8245738849315</v>
      </c>
      <c r="H95" s="35">
        <f t="shared" si="45"/>
        <v>57932.524573884926</v>
      </c>
      <c r="I95" s="35"/>
      <c r="J95" s="34">
        <f>H95*Ratios!$E$80</f>
        <v>7338.8954349738424</v>
      </c>
      <c r="K95" s="34">
        <f>H95-J95</f>
        <v>50593.629138911085</v>
      </c>
      <c r="L95" s="34" t="s">
        <v>81</v>
      </c>
      <c r="M95" s="8">
        <f t="shared" si="46"/>
        <v>0</v>
      </c>
      <c r="N95" s="34">
        <f t="shared" si="47"/>
        <v>7338.8954349738424</v>
      </c>
      <c r="O95" s="34"/>
      <c r="P95" s="34"/>
      <c r="Q95" s="34">
        <f>N95</f>
        <v>7338.8954349738424</v>
      </c>
      <c r="R95" s="34"/>
      <c r="S95" s="7" t="s">
        <v>81</v>
      </c>
      <c r="T95" s="8">
        <f t="shared" si="48"/>
        <v>0</v>
      </c>
      <c r="U95" s="43">
        <f t="shared" si="49"/>
        <v>0</v>
      </c>
      <c r="V95" s="42"/>
      <c r="W95" s="42"/>
      <c r="X95" s="42"/>
      <c r="Y95" s="42"/>
      <c r="Z95" s="42"/>
    </row>
    <row r="96" spans="1:26">
      <c r="A96" s="58">
        <v>42300</v>
      </c>
      <c r="B96" s="2" t="s">
        <v>82</v>
      </c>
      <c r="C96" s="38">
        <f>SUM(C89:C95)</f>
        <v>2588572.2800000003</v>
      </c>
      <c r="D96" s="38">
        <f>SUM(D89:D95)</f>
        <v>23159.233275116989</v>
      </c>
      <c r="E96" s="38">
        <f>SUM(E89:E95)</f>
        <v>2611731.5132751171</v>
      </c>
      <c r="F96" s="39"/>
      <c r="G96" s="38">
        <f>SUM(G89:G95)</f>
        <v>40506.71382274069</v>
      </c>
      <c r="H96" s="38">
        <f>SUM(H89:H95)</f>
        <v>2652238.2270978577</v>
      </c>
      <c r="I96" s="38"/>
      <c r="J96" s="38">
        <f>SUM(J89:J95)</f>
        <v>1773013.6803125134</v>
      </c>
      <c r="K96" s="38">
        <f>SUM(K89:K95)</f>
        <v>879224.54678534437</v>
      </c>
      <c r="L96" s="40"/>
      <c r="M96" s="40"/>
      <c r="N96" s="38">
        <f>SUM(N89:N95)</f>
        <v>1773013.6803125134</v>
      </c>
      <c r="O96" s="38">
        <f>SUM(O89:O95)</f>
        <v>1165520.1132214917</v>
      </c>
      <c r="P96" s="38">
        <f>SUM(P89:P95)</f>
        <v>542388.3686683937</v>
      </c>
      <c r="Q96" s="38">
        <f>SUM(Q89:Q95)</f>
        <v>52645.799739016285</v>
      </c>
      <c r="R96" s="38">
        <f>SUM(R89:R95)</f>
        <v>12459.398683611671</v>
      </c>
      <c r="S96" s="71"/>
      <c r="T96" s="59">
        <f t="shared" si="48"/>
        <v>0</v>
      </c>
      <c r="U96" s="60">
        <f t="shared" si="49"/>
        <v>0</v>
      </c>
      <c r="V96" s="74"/>
      <c r="W96" s="42"/>
      <c r="X96" s="42"/>
      <c r="Y96" s="42"/>
      <c r="Z96" s="42"/>
    </row>
    <row r="97" spans="1:26">
      <c r="A97" s="58"/>
      <c r="B97" s="2"/>
      <c r="C97" s="61"/>
      <c r="D97" s="61"/>
      <c r="E97" s="61"/>
      <c r="F97" s="62"/>
      <c r="G97" s="61"/>
      <c r="H97" s="61"/>
      <c r="I97" s="61"/>
      <c r="J97" s="61"/>
      <c r="K97" s="61"/>
      <c r="L97" s="3"/>
      <c r="M97" s="3"/>
      <c r="N97" s="61"/>
      <c r="O97" s="61"/>
      <c r="P97" s="61"/>
      <c r="Q97" s="61"/>
      <c r="R97" s="61"/>
      <c r="U97" s="43"/>
      <c r="V97" s="74"/>
      <c r="W97" s="42"/>
      <c r="X97" s="42"/>
      <c r="Y97" s="42"/>
      <c r="Z97" s="42"/>
    </row>
    <row r="98" spans="1:26">
      <c r="A98" s="63">
        <v>42400</v>
      </c>
      <c r="B98" s="48" t="s">
        <v>83</v>
      </c>
      <c r="C98" s="50"/>
      <c r="D98" s="51"/>
      <c r="E98" s="51"/>
      <c r="F98" s="52"/>
      <c r="G98" s="51"/>
      <c r="H98" s="51"/>
      <c r="I98" s="51"/>
      <c r="J98" s="50"/>
      <c r="K98" s="50"/>
      <c r="L98" s="53"/>
      <c r="M98" s="53"/>
      <c r="N98" s="50"/>
      <c r="O98" s="50"/>
      <c r="P98" s="50"/>
      <c r="Q98" s="50"/>
      <c r="R98" s="50"/>
      <c r="S98" s="53"/>
      <c r="T98" s="54"/>
      <c r="U98" s="55"/>
    </row>
    <row r="99" spans="1:26">
      <c r="A99" s="64">
        <v>52142</v>
      </c>
      <c r="B99" s="7" t="s">
        <v>84</v>
      </c>
      <c r="C99" s="34">
        <f>IFERROR(VLOOKUP(A99,'Yakima IS'!$B$55:$AF$290,31,FALSE),0)</f>
        <v>795900.23</v>
      </c>
      <c r="D99" s="35"/>
      <c r="E99" s="35">
        <f>SUM(C99:D99)</f>
        <v>795900.23</v>
      </c>
      <c r="F99" s="36"/>
      <c r="G99" s="35">
        <f>'Pro-forma Adj''s'!B42</f>
        <v>2349.7995013614564</v>
      </c>
      <c r="H99" s="35">
        <f>C99+D99+G99</f>
        <v>798250.02950136142</v>
      </c>
      <c r="I99" s="35"/>
      <c r="J99" s="34">
        <f>H99*Ratios!$C$70</f>
        <v>543285.99275986128</v>
      </c>
      <c r="K99" s="34">
        <f>H99*Ratios!$D$70</f>
        <v>254964.03674150014</v>
      </c>
      <c r="L99" s="34" t="s">
        <v>37</v>
      </c>
      <c r="M99" s="8">
        <f t="shared" ref="M99:M102" si="50">H99-J99-K99</f>
        <v>0</v>
      </c>
      <c r="N99" s="34">
        <f t="shared" ref="N99:N102" si="51">J99</f>
        <v>543285.99275986128</v>
      </c>
      <c r="O99" s="34">
        <f>N99*Ratios!$D$159</f>
        <v>358622.52619586518</v>
      </c>
      <c r="P99" s="34">
        <f>N99*Ratios!$D$160</f>
        <v>166889.17226274332</v>
      </c>
      <c r="Q99" s="34">
        <f>N99*Ratios!$D$161</f>
        <v>13940.622981374741</v>
      </c>
      <c r="R99" s="34">
        <f>N99*Ratios!$D$162</f>
        <v>3833.6713198780535</v>
      </c>
      <c r="S99" s="7" t="s">
        <v>38</v>
      </c>
      <c r="T99" s="8">
        <f t="shared" si="48"/>
        <v>0</v>
      </c>
      <c r="U99" s="43">
        <f t="shared" ref="U99:U103" si="52">C99+D99+G99-J99-K99</f>
        <v>0</v>
      </c>
      <c r="V99" s="42"/>
      <c r="W99" s="42"/>
      <c r="X99" s="42"/>
      <c r="Y99" s="42"/>
      <c r="Z99" s="42"/>
    </row>
    <row r="100" spans="1:26">
      <c r="A100" s="64">
        <v>52144</v>
      </c>
      <c r="B100" s="7" t="s">
        <v>85</v>
      </c>
      <c r="C100" s="34">
        <f>IFERROR(VLOOKUP(A100,'Yakima IS'!$B$55:$AF$290,31,FALSE),0)</f>
        <v>2466.0099999999998</v>
      </c>
      <c r="D100" s="35"/>
      <c r="E100" s="35">
        <f>SUM(C100:D100)</f>
        <v>2466.0099999999998</v>
      </c>
      <c r="F100" s="36"/>
      <c r="G100" s="35"/>
      <c r="H100" s="35">
        <f>C100+D100+G100</f>
        <v>2466.0099999999998</v>
      </c>
      <c r="I100" s="35"/>
      <c r="J100" s="34">
        <f>H100*Ratios!$C$70</f>
        <v>1678.3572082579678</v>
      </c>
      <c r="K100" s="34">
        <f>H100*Ratios!$D$70</f>
        <v>787.65279174203192</v>
      </c>
      <c r="L100" s="34" t="s">
        <v>37</v>
      </c>
      <c r="M100" s="8">
        <f t="shared" si="50"/>
        <v>0</v>
      </c>
      <c r="N100" s="34">
        <f t="shared" si="51"/>
        <v>1678.3572082579678</v>
      </c>
      <c r="O100" s="34">
        <f>N100*Ratios!$D$159</f>
        <v>1107.8818705170586</v>
      </c>
      <c r="P100" s="34">
        <f>N100*Ratios!$D$160</f>
        <v>515.565740659889</v>
      </c>
      <c r="Q100" s="34">
        <f>N100*Ratios!$D$161</f>
        <v>43.066350651780702</v>
      </c>
      <c r="R100" s="34">
        <f>N100*Ratios!$D$162</f>
        <v>11.843246429239692</v>
      </c>
      <c r="S100" s="7" t="s">
        <v>38</v>
      </c>
      <c r="T100" s="8">
        <f t="shared" si="48"/>
        <v>0</v>
      </c>
      <c r="U100" s="43">
        <f t="shared" si="52"/>
        <v>0</v>
      </c>
      <c r="V100" s="42"/>
      <c r="W100" s="42"/>
      <c r="X100" s="42"/>
      <c r="Y100" s="42"/>
      <c r="Z100" s="42"/>
    </row>
    <row r="101" spans="1:26">
      <c r="A101" s="64">
        <v>52146</v>
      </c>
      <c r="B101" s="7" t="s">
        <v>86</v>
      </c>
      <c r="C101" s="34">
        <f>IFERROR(VLOOKUP(A101,'Yakima IS'!$B$55:$AF$290,31,FALSE),0)</f>
        <v>76723.55</v>
      </c>
      <c r="D101" s="37"/>
      <c r="E101" s="35">
        <f>SUM(C101:D101)</f>
        <v>76723.55</v>
      </c>
      <c r="F101" s="36"/>
      <c r="G101" s="37"/>
      <c r="H101" s="35">
        <f>C101+D101+G101</f>
        <v>76723.55</v>
      </c>
      <c r="I101" s="35"/>
      <c r="J101" s="34">
        <f>H101*Ratios!$C$70</f>
        <v>52217.761965945239</v>
      </c>
      <c r="K101" s="34">
        <f>H101*Ratios!$D$70</f>
        <v>24505.788034054764</v>
      </c>
      <c r="L101" s="34" t="s">
        <v>37</v>
      </c>
      <c r="M101" s="8">
        <f t="shared" si="50"/>
        <v>0</v>
      </c>
      <c r="N101" s="34">
        <f t="shared" si="51"/>
        <v>52217.761965945239</v>
      </c>
      <c r="O101" s="34">
        <f>N101*Ratios!$D$159</f>
        <v>34468.891077777087</v>
      </c>
      <c r="P101" s="34">
        <f>N101*Ratios!$D$160</f>
        <v>16040.500193351214</v>
      </c>
      <c r="Q101" s="34">
        <f>N101*Ratios!$D$161</f>
        <v>1339.8985841701492</v>
      </c>
      <c r="R101" s="34">
        <f>N101*Ratios!$D$162</f>
        <v>368.47211064679101</v>
      </c>
      <c r="S101" s="7" t="s">
        <v>38</v>
      </c>
      <c r="T101" s="8">
        <f t="shared" si="48"/>
        <v>0</v>
      </c>
      <c r="U101" s="43">
        <f t="shared" si="52"/>
        <v>0</v>
      </c>
      <c r="V101" s="42"/>
      <c r="W101" s="42"/>
      <c r="X101" s="42"/>
      <c r="Y101" s="42"/>
      <c r="Z101" s="42"/>
    </row>
    <row r="102" spans="1:26">
      <c r="A102" s="64">
        <v>55142</v>
      </c>
      <c r="B102" s="7" t="s">
        <v>84</v>
      </c>
      <c r="C102" s="34">
        <f>IFERROR(VLOOKUP(A102,'Yakima IS'!$B$55:$AF$290,31,FALSE),0)</f>
        <v>9.9600000000000009</v>
      </c>
      <c r="D102" s="37"/>
      <c r="E102" s="35">
        <f>SUM(C102:D102)</f>
        <v>9.9600000000000009</v>
      </c>
      <c r="F102" s="36"/>
      <c r="G102" s="37"/>
      <c r="H102" s="35">
        <f>C102+D102+G102</f>
        <v>9.9600000000000009</v>
      </c>
      <c r="I102" s="35"/>
      <c r="J102" s="34">
        <f>H102*Ratios!$C$70</f>
        <v>6.7787388511195665</v>
      </c>
      <c r="K102" s="34">
        <f>H102*Ratios!$D$70</f>
        <v>3.1812611488804343</v>
      </c>
      <c r="L102" s="34" t="s">
        <v>37</v>
      </c>
      <c r="M102" s="8">
        <f t="shared" si="50"/>
        <v>0</v>
      </c>
      <c r="N102" s="34">
        <f t="shared" si="51"/>
        <v>6.7787388511195665</v>
      </c>
      <c r="O102" s="34">
        <f>N102*Ratios!$D$159</f>
        <v>4.4746385579741794</v>
      </c>
      <c r="P102" s="34">
        <f>N102*Ratios!$D$160</f>
        <v>2.0823252042662013</v>
      </c>
      <c r="Q102" s="34">
        <f>N102*Ratios!$D$161</f>
        <v>0.17394124617975429</v>
      </c>
      <c r="R102" s="34">
        <f>N102*Ratios!$D$162</f>
        <v>4.7833842699432423E-2</v>
      </c>
      <c r="S102" s="7" t="s">
        <v>38</v>
      </c>
      <c r="T102" s="8">
        <f t="shared" si="48"/>
        <v>0</v>
      </c>
      <c r="U102" s="43">
        <f t="shared" si="52"/>
        <v>0</v>
      </c>
      <c r="V102" s="42"/>
      <c r="W102" s="42"/>
      <c r="X102" s="42"/>
      <c r="Y102" s="42"/>
      <c r="Z102" s="42"/>
    </row>
    <row r="103" spans="1:26">
      <c r="A103" s="58">
        <v>42400</v>
      </c>
      <c r="B103" s="2" t="s">
        <v>87</v>
      </c>
      <c r="C103" s="38">
        <f>SUM(C99:C102)</f>
        <v>875099.75</v>
      </c>
      <c r="D103" s="38">
        <f>SUM(D99:D102)</f>
        <v>0</v>
      </c>
      <c r="E103" s="38">
        <f>SUM(E99:E102)</f>
        <v>875099.75</v>
      </c>
      <c r="F103" s="39"/>
      <c r="G103" s="38">
        <f>SUM(G99:G102)</f>
        <v>2349.7995013614564</v>
      </c>
      <c r="H103" s="38">
        <f>SUM(H99:H102)</f>
        <v>877449.54950136144</v>
      </c>
      <c r="I103" s="38"/>
      <c r="J103" s="38">
        <f>SUM(J99:J102)</f>
        <v>597188.89067291562</v>
      </c>
      <c r="K103" s="38">
        <f>SUM(K99:K102)</f>
        <v>280260.65882844583</v>
      </c>
      <c r="L103" s="40"/>
      <c r="M103" s="40"/>
      <c r="N103" s="38">
        <f>SUM(N99:N102)</f>
        <v>597188.89067291562</v>
      </c>
      <c r="O103" s="38">
        <f>SUM(O99:O102)</f>
        <v>394203.7737827173</v>
      </c>
      <c r="P103" s="38">
        <f>SUM(P99:P102)</f>
        <v>183447.3205219587</v>
      </c>
      <c r="Q103" s="38">
        <f>SUM(Q99:Q102)</f>
        <v>15323.761857442851</v>
      </c>
      <c r="R103" s="38">
        <f>SUM(R99:R102)</f>
        <v>4214.0345107967833</v>
      </c>
      <c r="S103" s="71"/>
      <c r="T103" s="59">
        <f t="shared" si="48"/>
        <v>0</v>
      </c>
      <c r="U103" s="60">
        <f t="shared" si="52"/>
        <v>0</v>
      </c>
    </row>
    <row r="104" spans="1:26">
      <c r="A104" s="58"/>
      <c r="B104" s="2"/>
      <c r="C104" s="61"/>
      <c r="D104" s="61"/>
      <c r="E104" s="61"/>
      <c r="F104" s="62"/>
      <c r="G104" s="61"/>
      <c r="H104" s="61"/>
      <c r="I104" s="61"/>
      <c r="J104" s="61"/>
      <c r="K104" s="61"/>
      <c r="L104" s="3"/>
      <c r="M104" s="3"/>
      <c r="N104" s="61"/>
      <c r="O104" s="61"/>
      <c r="P104" s="61"/>
      <c r="Q104" s="61"/>
      <c r="R104" s="61"/>
      <c r="U104" s="43"/>
    </row>
    <row r="105" spans="1:26">
      <c r="A105" s="75"/>
      <c r="B105" s="48" t="s">
        <v>88</v>
      </c>
      <c r="C105" s="50"/>
      <c r="D105" s="51"/>
      <c r="E105" s="51"/>
      <c r="F105" s="52"/>
      <c r="G105" s="51"/>
      <c r="H105" s="51"/>
      <c r="I105" s="51"/>
      <c r="J105" s="50"/>
      <c r="K105" s="50"/>
      <c r="L105" s="53"/>
      <c r="M105" s="53"/>
      <c r="N105" s="50"/>
      <c r="O105" s="50"/>
      <c r="P105" s="50"/>
      <c r="Q105" s="50"/>
      <c r="R105" s="50"/>
      <c r="S105" s="53"/>
      <c r="T105" s="54"/>
      <c r="U105" s="55"/>
    </row>
    <row r="106" spans="1:26">
      <c r="A106" s="80">
        <v>41121</v>
      </c>
      <c r="B106" s="81" t="s">
        <v>89</v>
      </c>
      <c r="C106" s="86">
        <f>IFERROR(VLOOKUP(A106,'Yakima IS'!$B$55:$AF$290,31,FALSE),0)</f>
        <v>154125</v>
      </c>
      <c r="D106" s="85"/>
      <c r="E106" s="85">
        <f t="shared" ref="E106:E117" si="53">SUM(C106:D106)</f>
        <v>154125</v>
      </c>
      <c r="F106" s="815"/>
      <c r="G106" s="454"/>
      <c r="H106" s="85">
        <f t="shared" ref="H106:H117" si="54">C106+D106+G106</f>
        <v>154125</v>
      </c>
      <c r="I106" s="85"/>
      <c r="J106" s="86">
        <f>H106*Ratios!$E$80</f>
        <v>19524.563571759634</v>
      </c>
      <c r="K106" s="86">
        <f>H106-J106</f>
        <v>134600.43642824035</v>
      </c>
      <c r="L106" s="86" t="s">
        <v>81</v>
      </c>
      <c r="M106" s="8">
        <f t="shared" ref="M106:M117" si="55">H106-J106-K106</f>
        <v>0</v>
      </c>
      <c r="N106" s="34">
        <f t="shared" ref="N106:N117" si="56">J106</f>
        <v>19524.563571759634</v>
      </c>
      <c r="O106" s="34">
        <v>0</v>
      </c>
      <c r="P106" s="34">
        <v>0</v>
      </c>
      <c r="Q106" s="34">
        <f>N106</f>
        <v>19524.563571759634</v>
      </c>
      <c r="R106" s="34">
        <v>0</v>
      </c>
      <c r="S106" s="7" t="s">
        <v>24</v>
      </c>
      <c r="T106" s="8">
        <f t="shared" si="48"/>
        <v>0</v>
      </c>
      <c r="U106" s="43">
        <f t="shared" ref="U106:U118" si="57">C106+D106+G106-J106-K106</f>
        <v>0</v>
      </c>
      <c r="V106" s="42">
        <f>J106/C106</f>
        <v>0.12668005561563428</v>
      </c>
    </row>
    <row r="107" spans="1:26">
      <c r="A107" s="31">
        <v>41129</v>
      </c>
      <c r="B107" s="7" t="s">
        <v>90</v>
      </c>
      <c r="C107" s="34">
        <f>IFERROR(VLOOKUP(A107,'Yakima IS'!$B$55:$AF$290,31,FALSE),0)</f>
        <v>20442.449999999997</v>
      </c>
      <c r="D107" s="35"/>
      <c r="E107" s="35">
        <f t="shared" si="53"/>
        <v>20442.449999999997</v>
      </c>
      <c r="F107" s="36"/>
      <c r="G107" s="37"/>
      <c r="H107" s="35">
        <f t="shared" si="54"/>
        <v>20442.449999999997</v>
      </c>
      <c r="I107" s="35"/>
      <c r="J107" s="86">
        <f>H107*Ratios!$E$80</f>
        <v>2589.6507029198228</v>
      </c>
      <c r="K107" s="86">
        <f>H107-J107</f>
        <v>17852.799297080175</v>
      </c>
      <c r="L107" s="34" t="s">
        <v>81</v>
      </c>
      <c r="M107" s="8">
        <f t="shared" si="55"/>
        <v>0</v>
      </c>
      <c r="N107" s="34">
        <f t="shared" si="56"/>
        <v>2589.6507029198228</v>
      </c>
      <c r="O107" s="34">
        <v>0</v>
      </c>
      <c r="P107" s="34">
        <v>0</v>
      </c>
      <c r="Q107" s="34">
        <f>N107</f>
        <v>2589.6507029198228</v>
      </c>
      <c r="R107" s="34">
        <v>0</v>
      </c>
      <c r="S107" s="7" t="s">
        <v>24</v>
      </c>
      <c r="T107" s="8">
        <f t="shared" ref="T107" si="58">SUM(O107:R107)-N107</f>
        <v>0</v>
      </c>
      <c r="U107" s="43">
        <f t="shared" si="57"/>
        <v>0</v>
      </c>
      <c r="V107" s="42"/>
    </row>
    <row r="108" spans="1:26">
      <c r="A108" s="31">
        <v>50335</v>
      </c>
      <c r="B108" s="7" t="s">
        <v>91</v>
      </c>
      <c r="C108" s="34">
        <f>IFERROR(VLOOKUP(A108,'Yakima IS'!$B$55:$AF$290,31,FALSE),0)</f>
        <v>228.67</v>
      </c>
      <c r="D108" s="37"/>
      <c r="E108" s="35">
        <f t="shared" si="53"/>
        <v>228.67</v>
      </c>
      <c r="F108" s="36"/>
      <c r="G108" s="37"/>
      <c r="H108" s="35">
        <f t="shared" si="54"/>
        <v>228.67</v>
      </c>
      <c r="I108" s="35"/>
      <c r="J108" s="34">
        <f>H108*Ratios!$C$70</f>
        <v>155.631949104971</v>
      </c>
      <c r="K108" s="34">
        <f>H108*Ratios!$D$70</f>
        <v>73.038050895029002</v>
      </c>
      <c r="L108" s="34" t="s">
        <v>37</v>
      </c>
      <c r="M108" s="8">
        <f t="shared" si="55"/>
        <v>0</v>
      </c>
      <c r="N108" s="34">
        <f t="shared" si="56"/>
        <v>155.631949104971</v>
      </c>
      <c r="O108" s="34">
        <f>N108*Ratios!$D$159</f>
        <v>102.73248986465416</v>
      </c>
      <c r="P108" s="34">
        <f>N108*Ratios!$D$160</f>
        <v>47.807761491922911</v>
      </c>
      <c r="Q108" s="34">
        <f>N108*Ratios!$D$161</f>
        <v>3.9934884301128926</v>
      </c>
      <c r="R108" s="34">
        <f>N108*Ratios!$D$162</f>
        <v>1.0982093182810453</v>
      </c>
      <c r="S108" s="7" t="s">
        <v>38</v>
      </c>
      <c r="T108" s="8">
        <f t="shared" ref="T108" si="59">SUM(O108:R108)-N108</f>
        <v>0</v>
      </c>
      <c r="U108" s="43">
        <f t="shared" si="57"/>
        <v>0</v>
      </c>
      <c r="V108" s="42"/>
    </row>
    <row r="109" spans="1:26">
      <c r="A109" s="64">
        <v>50086</v>
      </c>
      <c r="B109" s="7" t="s">
        <v>69</v>
      </c>
      <c r="C109" s="34">
        <f>IFERROR(VLOOKUP(A109,'Yakima IS'!$B$55:$AF$290,31,FALSE),0)</f>
        <v>16255.459999999997</v>
      </c>
      <c r="D109" s="37"/>
      <c r="E109" s="35">
        <f t="shared" si="53"/>
        <v>16255.459999999997</v>
      </c>
      <c r="F109" s="36"/>
      <c r="G109" s="37"/>
      <c r="H109" s="35">
        <f t="shared" si="54"/>
        <v>16255.459999999997</v>
      </c>
      <c r="I109" s="35"/>
      <c r="J109" s="34">
        <f>H109*Ratios!$C$70</f>
        <v>11063.405446267072</v>
      </c>
      <c r="K109" s="34">
        <f>H109*Ratios!$D$70</f>
        <v>5192.0545537329253</v>
      </c>
      <c r="L109" s="34" t="s">
        <v>37</v>
      </c>
      <c r="M109" s="8">
        <f t="shared" si="55"/>
        <v>0</v>
      </c>
      <c r="N109" s="34">
        <f t="shared" si="56"/>
        <v>11063.405446267072</v>
      </c>
      <c r="O109" s="34">
        <f>N109*Ratios!$D$159</f>
        <v>7302.9425796794103</v>
      </c>
      <c r="P109" s="34">
        <f>N109*Ratios!$D$160</f>
        <v>3398.5094442711902</v>
      </c>
      <c r="Q109" s="34">
        <f>N109*Ratios!$D$161</f>
        <v>283.88503711095859</v>
      </c>
      <c r="R109" s="34">
        <f>N109*Ratios!$D$162</f>
        <v>78.068385205513607</v>
      </c>
      <c r="S109" s="7" t="s">
        <v>38</v>
      </c>
      <c r="T109" s="8">
        <f t="shared" si="48"/>
        <v>0</v>
      </c>
      <c r="U109" s="43">
        <f t="shared" si="57"/>
        <v>0</v>
      </c>
      <c r="V109" s="42"/>
      <c r="W109" s="42"/>
      <c r="X109" s="42"/>
      <c r="Y109" s="42"/>
      <c r="Z109" s="42"/>
    </row>
    <row r="110" spans="1:26">
      <c r="A110" s="64">
        <v>50090</v>
      </c>
      <c r="B110" s="7" t="s">
        <v>64</v>
      </c>
      <c r="C110" s="34">
        <f>IFERROR(VLOOKUP(A110,'Yakima IS'!$B$55:$AF$290,31,FALSE),0)</f>
        <v>54130.99</v>
      </c>
      <c r="D110" s="37"/>
      <c r="E110" s="35">
        <f t="shared" si="53"/>
        <v>54130.99</v>
      </c>
      <c r="F110" s="36"/>
      <c r="G110" s="37"/>
      <c r="H110" s="35">
        <f t="shared" si="54"/>
        <v>54130.99</v>
      </c>
      <c r="I110" s="35"/>
      <c r="J110" s="34">
        <f>H110*Ratios!$C$70</f>
        <v>36841.349895839827</v>
      </c>
      <c r="K110" s="34">
        <f>H110*Ratios!$D$70</f>
        <v>17289.640104160168</v>
      </c>
      <c r="L110" s="34" t="s">
        <v>37</v>
      </c>
      <c r="M110" s="8">
        <f t="shared" si="55"/>
        <v>0</v>
      </c>
      <c r="N110" s="34">
        <f t="shared" si="56"/>
        <v>36841.349895839827</v>
      </c>
      <c r="O110" s="34">
        <f>N110*Ratios!$D$159</f>
        <v>24318.937252541633</v>
      </c>
      <c r="P110" s="34">
        <f>N110*Ratios!$D$160</f>
        <v>11317.10088442587</v>
      </c>
      <c r="Q110" s="34">
        <f>N110*Ratios!$D$161</f>
        <v>945.34255597829474</v>
      </c>
      <c r="R110" s="34">
        <f>N110*Ratios!$D$162</f>
        <v>259.96920289403101</v>
      </c>
      <c r="S110" s="7" t="s">
        <v>38</v>
      </c>
      <c r="T110" s="8">
        <f t="shared" si="48"/>
        <v>0</v>
      </c>
      <c r="U110" s="43">
        <f t="shared" si="57"/>
        <v>0</v>
      </c>
      <c r="V110" s="42"/>
      <c r="W110" s="42"/>
      <c r="X110" s="42"/>
      <c r="Y110" s="42"/>
      <c r="Z110" s="42"/>
    </row>
    <row r="111" spans="1:26">
      <c r="A111" s="64">
        <v>52086</v>
      </c>
      <c r="B111" s="7" t="s">
        <v>69</v>
      </c>
      <c r="C111" s="34">
        <f>IFERROR(VLOOKUP(A111,'Yakima IS'!$B$55:$AF$290,31,FALSE),0)</f>
        <v>14043.54</v>
      </c>
      <c r="D111" s="37"/>
      <c r="E111" s="35">
        <f t="shared" si="53"/>
        <v>14043.54</v>
      </c>
      <c r="F111" s="36"/>
      <c r="G111" s="37"/>
      <c r="H111" s="35">
        <f t="shared" si="54"/>
        <v>14043.54</v>
      </c>
      <c r="I111" s="35"/>
      <c r="J111" s="34">
        <f>H111*Ratios!$C$70</f>
        <v>9557.9809443023769</v>
      </c>
      <c r="K111" s="34">
        <f>H111*Ratios!$D$70</f>
        <v>4485.559055697624</v>
      </c>
      <c r="L111" s="34" t="s">
        <v>37</v>
      </c>
      <c r="M111" s="8">
        <f t="shared" si="55"/>
        <v>0</v>
      </c>
      <c r="N111" s="34">
        <f t="shared" si="56"/>
        <v>9557.9809443023769</v>
      </c>
      <c r="O111" s="34">
        <f>N111*Ratios!$D$159</f>
        <v>6309.2134110896286</v>
      </c>
      <c r="P111" s="34">
        <f>N111*Ratios!$D$160</f>
        <v>2936.065993887607</v>
      </c>
      <c r="Q111" s="34">
        <f>N111*Ratios!$D$161</f>
        <v>245.25610927462111</v>
      </c>
      <c r="R111" s="34">
        <f>N111*Ratios!$D$162</f>
        <v>67.445430050520798</v>
      </c>
      <c r="S111" s="7" t="s">
        <v>38</v>
      </c>
      <c r="T111" s="8">
        <f t="shared" si="48"/>
        <v>0</v>
      </c>
      <c r="U111" s="43">
        <f t="shared" si="57"/>
        <v>0</v>
      </c>
      <c r="V111" s="42"/>
      <c r="W111" s="42"/>
      <c r="X111" s="42"/>
      <c r="Y111" s="42"/>
      <c r="Z111" s="42"/>
    </row>
    <row r="112" spans="1:26">
      <c r="A112" s="64">
        <v>56090</v>
      </c>
      <c r="B112" s="7" t="s">
        <v>64</v>
      </c>
      <c r="C112" s="34">
        <f>IFERROR(VLOOKUP(A112,'Yakima IS'!$B$55:$AF$290,31,FALSE),0)</f>
        <v>-399.85</v>
      </c>
      <c r="D112" s="37"/>
      <c r="E112" s="35">
        <f t="shared" si="53"/>
        <v>-399.85</v>
      </c>
      <c r="F112" s="36"/>
      <c r="G112" s="37"/>
      <c r="H112" s="35">
        <f t="shared" si="54"/>
        <v>-399.85</v>
      </c>
      <c r="I112" s="35"/>
      <c r="J112" s="34">
        <f>H112*Ratios!$C$70</f>
        <v>-272.1364186365621</v>
      </c>
      <c r="K112" s="34">
        <f>H112*Ratios!$D$70</f>
        <v>-127.71358136343791</v>
      </c>
      <c r="L112" s="34" t="s">
        <v>37</v>
      </c>
      <c r="M112" s="8">
        <f t="shared" si="55"/>
        <v>0</v>
      </c>
      <c r="N112" s="34">
        <f t="shared" si="56"/>
        <v>-272.1364186365621</v>
      </c>
      <c r="O112" s="34">
        <f>N112*Ratios!$D$159</f>
        <v>-179.63697062308989</v>
      </c>
      <c r="P112" s="34">
        <f>N112*Ratios!$D$160</f>
        <v>-83.596157924281172</v>
      </c>
      <c r="Q112" s="34">
        <f>N112*Ratios!$D$161</f>
        <v>-6.9829726189733679</v>
      </c>
      <c r="R112" s="34">
        <f>N112*Ratios!$D$162</f>
        <v>-1.920317470217676</v>
      </c>
      <c r="S112" s="7" t="s">
        <v>38</v>
      </c>
      <c r="T112" s="8">
        <f t="shared" si="48"/>
        <v>0</v>
      </c>
      <c r="U112" s="43">
        <f t="shared" si="57"/>
        <v>0</v>
      </c>
      <c r="V112" s="42"/>
      <c r="W112" s="42"/>
      <c r="X112" s="42"/>
      <c r="Y112" s="42"/>
      <c r="Z112" s="42"/>
    </row>
    <row r="113" spans="1:26">
      <c r="A113" s="64">
        <v>57142</v>
      </c>
      <c r="B113" s="7" t="s">
        <v>84</v>
      </c>
      <c r="C113" s="34">
        <f>IFERROR(VLOOKUP(A113,'Yakima IS'!$B$55:$AF$290,31,FALSE),0)</f>
        <v>28.4</v>
      </c>
      <c r="D113" s="37"/>
      <c r="E113" s="35">
        <f t="shared" ref="E113" si="60">SUM(C113:D113)</f>
        <v>28.4</v>
      </c>
      <c r="F113" s="36"/>
      <c r="G113" s="37"/>
      <c r="H113" s="35">
        <f t="shared" ref="H113" si="61">C113+D113+G113</f>
        <v>28.4</v>
      </c>
      <c r="I113" s="35"/>
      <c r="J113" s="34">
        <f>H113*Ratios!$C$70</f>
        <v>19.328934073473459</v>
      </c>
      <c r="K113" s="34">
        <f>H113*Ratios!$D$70</f>
        <v>9.0710659265265381</v>
      </c>
      <c r="L113" s="34" t="s">
        <v>37</v>
      </c>
      <c r="M113" s="8">
        <f t="shared" si="55"/>
        <v>0</v>
      </c>
      <c r="N113" s="34">
        <f t="shared" ref="N113" si="62">J113</f>
        <v>19.328934073473459</v>
      </c>
      <c r="O113" s="34">
        <f>N113*Ratios!$D$159</f>
        <v>12.759009542817937</v>
      </c>
      <c r="P113" s="34">
        <f>N113*Ratios!$D$160</f>
        <v>5.9375537952971991</v>
      </c>
      <c r="Q113" s="34">
        <f>N113*Ratios!$D$161</f>
        <v>0.49597704733986153</v>
      </c>
      <c r="R113" s="34">
        <f>N113*Ratios!$D$162</f>
        <v>0.13639368801846191</v>
      </c>
      <c r="S113" s="7" t="s">
        <v>38</v>
      </c>
      <c r="T113" s="8">
        <f t="shared" ref="T113" si="63">SUM(O113:R113)-N113</f>
        <v>0</v>
      </c>
      <c r="U113" s="43">
        <f t="shared" ref="U113" si="64">C113+D113+G113-J113-K113</f>
        <v>0</v>
      </c>
      <c r="V113" s="42"/>
      <c r="W113" s="42"/>
      <c r="X113" s="42"/>
      <c r="Y113" s="42"/>
      <c r="Z113" s="42"/>
    </row>
    <row r="114" spans="1:26">
      <c r="A114" s="64">
        <v>57165</v>
      </c>
      <c r="B114" s="7" t="s">
        <v>65</v>
      </c>
      <c r="C114" s="34">
        <f>IFERROR(VLOOKUP(A114,'Yakima IS'!$B$55:$AF$290,31,FALSE),0)</f>
        <v>5448.56</v>
      </c>
      <c r="D114" s="37"/>
      <c r="E114" s="35">
        <f t="shared" si="53"/>
        <v>5448.56</v>
      </c>
      <c r="F114" s="36"/>
      <c r="G114" s="37"/>
      <c r="H114" s="35">
        <f t="shared" si="54"/>
        <v>5448.56</v>
      </c>
      <c r="I114" s="35"/>
      <c r="J114" s="34">
        <f>H114*Ratios!$C$70</f>
        <v>3708.2696139212876</v>
      </c>
      <c r="K114" s="34">
        <f>H114*Ratios!$D$70</f>
        <v>1740.2903860787128</v>
      </c>
      <c r="L114" s="34" t="s">
        <v>37</v>
      </c>
      <c r="M114" s="8">
        <f t="shared" si="55"/>
        <v>0</v>
      </c>
      <c r="N114" s="34">
        <f t="shared" si="56"/>
        <v>3708.2696139212876</v>
      </c>
      <c r="O114" s="34">
        <f>N114*Ratios!$D$159</f>
        <v>2447.8249660076099</v>
      </c>
      <c r="P114" s="34">
        <f>N114*Ratios!$D$160</f>
        <v>1139.12387700368</v>
      </c>
      <c r="Q114" s="34">
        <f>N114*Ratios!$D$161</f>
        <v>95.153545811763252</v>
      </c>
      <c r="R114" s="34">
        <f>N114*Ratios!$D$162</f>
        <v>26.167225098234891</v>
      </c>
      <c r="S114" s="7" t="s">
        <v>38</v>
      </c>
      <c r="T114" s="8">
        <f t="shared" si="48"/>
        <v>0</v>
      </c>
      <c r="U114" s="43">
        <f t="shared" si="57"/>
        <v>0</v>
      </c>
      <c r="V114" s="42"/>
      <c r="W114" s="42"/>
      <c r="X114" s="42"/>
      <c r="Y114" s="42"/>
      <c r="Z114" s="42"/>
    </row>
    <row r="115" spans="1:26">
      <c r="A115" s="64">
        <v>57175</v>
      </c>
      <c r="B115" s="7" t="s">
        <v>92</v>
      </c>
      <c r="C115" s="34">
        <f>IFERROR(VLOOKUP(A115,'Yakima IS'!$B$55:$AF$290,31,FALSE),0)</f>
        <v>58.31</v>
      </c>
      <c r="D115" s="37"/>
      <c r="E115" s="35">
        <f t="shared" si="53"/>
        <v>58.31</v>
      </c>
      <c r="F115" s="36"/>
      <c r="G115" s="37"/>
      <c r="H115" s="35">
        <f t="shared" si="54"/>
        <v>58.31</v>
      </c>
      <c r="I115" s="35"/>
      <c r="J115" s="34">
        <f>H115*Ratios!$C$70</f>
        <v>39.685568514937941</v>
      </c>
      <c r="K115" s="34">
        <f>H115*Ratios!$D$70</f>
        <v>18.624431485062061</v>
      </c>
      <c r="L115" s="34" t="s">
        <v>37</v>
      </c>
      <c r="M115" s="8">
        <f t="shared" si="55"/>
        <v>0</v>
      </c>
      <c r="N115" s="34">
        <f t="shared" si="56"/>
        <v>39.685568514937941</v>
      </c>
      <c r="O115" s="34">
        <f>N115*Ratios!$D$159</f>
        <v>26.196403043722324</v>
      </c>
      <c r="P115" s="34">
        <f>N115*Ratios!$D$160</f>
        <v>12.190801471964074</v>
      </c>
      <c r="Q115" s="34">
        <f>N115*Ratios!$D$161</f>
        <v>1.0183247052953284</v>
      </c>
      <c r="R115" s="34">
        <f>N115*Ratios!$D$162</f>
        <v>0.2800392939562153</v>
      </c>
      <c r="S115" s="7" t="s">
        <v>38</v>
      </c>
      <c r="T115" s="8">
        <f t="shared" si="48"/>
        <v>0</v>
      </c>
      <c r="U115" s="43">
        <f t="shared" si="57"/>
        <v>0</v>
      </c>
      <c r="V115" s="42"/>
      <c r="W115" s="42"/>
      <c r="X115" s="42"/>
      <c r="Y115" s="42"/>
      <c r="Z115" s="42"/>
    </row>
    <row r="116" spans="1:26">
      <c r="A116" s="64">
        <v>57255</v>
      </c>
      <c r="B116" s="7" t="s">
        <v>93</v>
      </c>
      <c r="C116" s="34">
        <f>IFERROR(VLOOKUP(A116,'Yakima IS'!$B$55:$AF$290,31,FALSE),0)</f>
        <v>14713.159999999998</v>
      </c>
      <c r="D116" s="37"/>
      <c r="E116" s="35">
        <f t="shared" si="53"/>
        <v>14713.159999999998</v>
      </c>
      <c r="F116" s="36"/>
      <c r="G116" s="37"/>
      <c r="H116" s="35">
        <f t="shared" si="54"/>
        <v>14713.159999999998</v>
      </c>
      <c r="I116" s="35"/>
      <c r="J116" s="34">
        <f>H116*Ratios!$C$70</f>
        <v>10013.721818748829</v>
      </c>
      <c r="K116" s="34">
        <f>H116*Ratios!$D$70</f>
        <v>4699.4381812511692</v>
      </c>
      <c r="L116" s="34" t="s">
        <v>37</v>
      </c>
      <c r="M116" s="8">
        <f t="shared" si="55"/>
        <v>0</v>
      </c>
      <c r="N116" s="34">
        <f t="shared" si="56"/>
        <v>10013.721818748829</v>
      </c>
      <c r="O116" s="34">
        <f>N116*Ratios!$D$159</f>
        <v>6610.0474945425058</v>
      </c>
      <c r="P116" s="34">
        <f>N116*Ratios!$D$160</f>
        <v>3076.0626408033427</v>
      </c>
      <c r="Q116" s="34">
        <f>N116*Ratios!$D$161</f>
        <v>256.95033992390694</v>
      </c>
      <c r="R116" s="34">
        <f>N116*Ratios!$D$162</f>
        <v>70.66134347907439</v>
      </c>
      <c r="S116" s="7" t="s">
        <v>38</v>
      </c>
      <c r="T116" s="8">
        <f t="shared" si="48"/>
        <v>0</v>
      </c>
      <c r="U116" s="43">
        <f t="shared" si="57"/>
        <v>0</v>
      </c>
      <c r="V116" s="42"/>
      <c r="W116" s="42"/>
      <c r="X116" s="42"/>
      <c r="Y116" s="42"/>
      <c r="Z116" s="42"/>
    </row>
    <row r="117" spans="1:26">
      <c r="A117" s="64">
        <v>57324</v>
      </c>
      <c r="B117" s="7" t="s">
        <v>94</v>
      </c>
      <c r="C117" s="34">
        <f>IFERROR(VLOOKUP(A117,'Yakima IS'!$B$55:$AF$290,31,FALSE),0)</f>
        <v>312.17</v>
      </c>
      <c r="D117" s="35"/>
      <c r="E117" s="35">
        <f t="shared" si="53"/>
        <v>312.17</v>
      </c>
      <c r="F117" s="36"/>
      <c r="G117" s="37"/>
      <c r="H117" s="35">
        <f t="shared" si="54"/>
        <v>312.17</v>
      </c>
      <c r="I117" s="35"/>
      <c r="J117" s="34">
        <f>H117*Ratios!$C$70</f>
        <v>212.46173766606375</v>
      </c>
      <c r="K117" s="34">
        <f>H117*Ratios!$D$70</f>
        <v>99.708262333936261</v>
      </c>
      <c r="L117" s="34" t="s">
        <v>37</v>
      </c>
      <c r="M117" s="8">
        <f t="shared" si="55"/>
        <v>0</v>
      </c>
      <c r="N117" s="34">
        <f t="shared" si="56"/>
        <v>212.46173766606375</v>
      </c>
      <c r="O117" s="34">
        <f>N117*Ratios!$D$159</f>
        <v>140.24577496413647</v>
      </c>
      <c r="P117" s="34">
        <f>N117*Ratios!$D$160</f>
        <v>65.265005925279112</v>
      </c>
      <c r="Q117" s="34">
        <f>N117*Ratios!$D$161</f>
        <v>5.4517308052142459</v>
      </c>
      <c r="R117" s="34">
        <f>N117*Ratios!$D$162</f>
        <v>1.4992259714339176</v>
      </c>
      <c r="S117" s="7" t="s">
        <v>38</v>
      </c>
      <c r="T117" s="8">
        <f t="shared" si="48"/>
        <v>0</v>
      </c>
      <c r="U117" s="43">
        <f t="shared" si="57"/>
        <v>0</v>
      </c>
      <c r="V117" s="42"/>
      <c r="W117" s="42"/>
      <c r="X117" s="42"/>
      <c r="Y117" s="42"/>
      <c r="Z117" s="42"/>
    </row>
    <row r="118" spans="1:26">
      <c r="A118" s="66">
        <v>42800</v>
      </c>
      <c r="B118" s="2" t="s">
        <v>88</v>
      </c>
      <c r="C118" s="38">
        <f>SUM(C106:C117)</f>
        <v>279386.86</v>
      </c>
      <c r="D118" s="38">
        <f>SUM(D106:D117)</f>
        <v>0</v>
      </c>
      <c r="E118" s="38">
        <f>SUM(E106:E117)</f>
        <v>279386.86</v>
      </c>
      <c r="F118" s="39"/>
      <c r="G118" s="38">
        <f>SUM(G106:G117)</f>
        <v>0</v>
      </c>
      <c r="H118" s="38">
        <f>SUM(H106:H117)</f>
        <v>279386.86</v>
      </c>
      <c r="I118" s="38"/>
      <c r="J118" s="38">
        <f>SUM(J106:J117)</f>
        <v>93453.913764481724</v>
      </c>
      <c r="K118" s="38">
        <f>SUM(K106:K117)</f>
        <v>185932.94623551823</v>
      </c>
      <c r="L118" s="40"/>
      <c r="M118" s="40"/>
      <c r="N118" s="38">
        <f>SUM(N106:N117)</f>
        <v>93453.913764481724</v>
      </c>
      <c r="O118" s="38">
        <f>SUM(O106:O117)</f>
        <v>47091.262410653035</v>
      </c>
      <c r="P118" s="38">
        <f>SUM(P106:P117)</f>
        <v>21914.467805151871</v>
      </c>
      <c r="Q118" s="38">
        <f>SUM(Q106:Q117)</f>
        <v>23944.778411147989</v>
      </c>
      <c r="R118" s="38">
        <f>SUM(R106:R117)</f>
        <v>503.40513752884669</v>
      </c>
      <c r="S118" s="71"/>
      <c r="T118" s="59">
        <f t="shared" si="48"/>
        <v>0</v>
      </c>
      <c r="U118" s="60">
        <f t="shared" si="57"/>
        <v>0</v>
      </c>
    </row>
    <row r="119" spans="1:26">
      <c r="A119" s="66"/>
      <c r="B119" s="2"/>
      <c r="C119" s="61"/>
      <c r="D119" s="61"/>
      <c r="E119" s="61"/>
      <c r="F119" s="62"/>
      <c r="G119" s="61"/>
      <c r="H119" s="61"/>
      <c r="I119" s="61"/>
      <c r="J119" s="61"/>
      <c r="K119" s="61"/>
      <c r="L119" s="3"/>
      <c r="M119" s="3"/>
      <c r="N119" s="61"/>
      <c r="O119" s="61"/>
      <c r="P119" s="61"/>
      <c r="Q119" s="61"/>
      <c r="R119" s="61"/>
      <c r="U119" s="43"/>
    </row>
    <row r="120" spans="1:26">
      <c r="A120" s="75"/>
      <c r="B120" s="48" t="s">
        <v>95</v>
      </c>
      <c r="C120" s="50"/>
      <c r="D120" s="51"/>
      <c r="E120" s="51"/>
      <c r="F120" s="52"/>
      <c r="G120" s="51"/>
      <c r="H120" s="51"/>
      <c r="I120" s="51"/>
      <c r="J120" s="50"/>
      <c r="K120" s="50"/>
      <c r="L120" s="53"/>
      <c r="M120" s="53"/>
      <c r="N120" s="50"/>
      <c r="O120" s="50"/>
      <c r="P120" s="50"/>
      <c r="Q120" s="50"/>
      <c r="R120" s="50"/>
      <c r="S120" s="53"/>
      <c r="T120" s="54"/>
      <c r="U120" s="55"/>
    </row>
    <row r="121" spans="1:26">
      <c r="A121" s="453">
        <v>40101</v>
      </c>
      <c r="B121" s="81" t="s">
        <v>96</v>
      </c>
      <c r="C121" s="34">
        <f>IFERROR(VLOOKUP(A121,'Yakima IS'!$B$55:$AF$290,31,FALSE),0)</f>
        <v>4072411.08</v>
      </c>
      <c r="D121" s="85">
        <f>'Restating Adj''s'!B31-'Restating Adj''s'!B37</f>
        <v>-1820441.3466392208</v>
      </c>
      <c r="E121" s="85">
        <f>SUM(C121:D121)</f>
        <v>2251969.7333607795</v>
      </c>
      <c r="F121" s="1253" t="s">
        <v>97</v>
      </c>
      <c r="G121" s="454"/>
      <c r="H121" s="85">
        <f>C121+D121+G121</f>
        <v>2251969.7333607795</v>
      </c>
      <c r="I121" s="85"/>
      <c r="J121" s="86">
        <f>Disposal!C44+'Restating Adj''s'!B31</f>
        <v>1613684.3233607791</v>
      </c>
      <c r="K121" s="86">
        <f>H121-J121</f>
        <v>638285.41000000038</v>
      </c>
      <c r="L121" s="86" t="s">
        <v>98</v>
      </c>
      <c r="M121" s="8">
        <f t="shared" ref="M121:M123" si="65">H121-J121-K121</f>
        <v>0</v>
      </c>
      <c r="N121" s="34">
        <f t="shared" ref="N121:N123" si="66">J121</f>
        <v>1613684.3233607791</v>
      </c>
      <c r="O121" s="34">
        <f>N121</f>
        <v>1613684.3233607791</v>
      </c>
      <c r="P121" s="34"/>
      <c r="Q121" s="34"/>
      <c r="R121" s="34"/>
      <c r="S121" s="7" t="s">
        <v>99</v>
      </c>
      <c r="T121" s="8">
        <f t="shared" si="48"/>
        <v>0</v>
      </c>
      <c r="U121" s="43">
        <f>C121+D121+G121-J121-K121</f>
        <v>0</v>
      </c>
    </row>
    <row r="122" spans="1:26">
      <c r="A122" s="453"/>
      <c r="B122" s="81" t="s">
        <v>29</v>
      </c>
      <c r="C122" s="34">
        <f>IFERROR(VLOOKUP(A122,'Yakima IS'!$B$55:$AF$290,31,FALSE),0)</f>
        <v>0</v>
      </c>
      <c r="D122" s="85">
        <f>'Restating Adj''s'!B32+'Restating Adj''s'!B35</f>
        <v>1870231</v>
      </c>
      <c r="E122" s="85">
        <f>SUM(C122:D122)</f>
        <v>1870231</v>
      </c>
      <c r="F122" s="1253" t="s">
        <v>97</v>
      </c>
      <c r="G122" s="454"/>
      <c r="H122" s="85">
        <f>C122+D122+G122</f>
        <v>1870231</v>
      </c>
      <c r="I122" s="85"/>
      <c r="J122" s="86">
        <f>'Restating Adj''s'!B14</f>
        <v>1383866.5</v>
      </c>
      <c r="K122" s="86">
        <f>H122-J122</f>
        <v>486364.5</v>
      </c>
      <c r="L122" s="86" t="s">
        <v>100</v>
      </c>
      <c r="M122" s="8">
        <f t="shared" si="65"/>
        <v>0</v>
      </c>
      <c r="N122" s="34">
        <f t="shared" si="66"/>
        <v>1383866.5</v>
      </c>
      <c r="O122" s="34"/>
      <c r="P122" s="34">
        <f>N122</f>
        <v>1383866.5</v>
      </c>
      <c r="Q122" s="34"/>
      <c r="R122" s="34"/>
      <c r="S122" s="7" t="s">
        <v>99</v>
      </c>
      <c r="T122" s="8">
        <f t="shared" si="48"/>
        <v>0</v>
      </c>
      <c r="U122" s="43">
        <f>C122+D122+G122-J122-K122</f>
        <v>0</v>
      </c>
    </row>
    <row r="123" spans="1:26">
      <c r="A123" s="453"/>
      <c r="B123" s="81" t="s">
        <v>26</v>
      </c>
      <c r="C123" s="34">
        <f>IFERROR(VLOOKUP(A123,'Yakima IS'!$B$55:$AF$290,31,FALSE),0)</f>
        <v>0</v>
      </c>
      <c r="D123" s="85">
        <f>'Restating Adj''s'!B36</f>
        <v>5401.39</v>
      </c>
      <c r="E123" s="85">
        <f>SUM(C123:D123)</f>
        <v>5401.39</v>
      </c>
      <c r="F123" s="1253" t="s">
        <v>97</v>
      </c>
      <c r="G123" s="454"/>
      <c r="H123" s="85">
        <f>C123+D123+G123</f>
        <v>5401.39</v>
      </c>
      <c r="I123" s="85"/>
      <c r="J123" s="86">
        <f>Disposal!C56</f>
        <v>4320.3</v>
      </c>
      <c r="K123" s="86">
        <f>H123-J123</f>
        <v>1081.0900000000001</v>
      </c>
      <c r="L123" s="86" t="s">
        <v>98</v>
      </c>
      <c r="M123" s="8">
        <f t="shared" si="65"/>
        <v>0</v>
      </c>
      <c r="N123" s="34">
        <f t="shared" si="66"/>
        <v>4320.3</v>
      </c>
      <c r="O123" s="34"/>
      <c r="P123" s="34"/>
      <c r="Q123" s="34"/>
      <c r="R123" s="34">
        <f>N123</f>
        <v>4320.3</v>
      </c>
      <c r="S123" s="7" t="s">
        <v>99</v>
      </c>
      <c r="T123" s="8">
        <f t="shared" si="48"/>
        <v>0</v>
      </c>
      <c r="U123" s="43">
        <f>C123+D123+G123-J123-K123</f>
        <v>0</v>
      </c>
    </row>
    <row r="124" spans="1:26">
      <c r="A124" s="66">
        <v>43600</v>
      </c>
      <c r="B124" s="2" t="s">
        <v>95</v>
      </c>
      <c r="C124" s="38">
        <f>SUM(C121:C123)</f>
        <v>4072411.08</v>
      </c>
      <c r="D124" s="38">
        <f>SUM(D121:D123)</f>
        <v>55191.043360779164</v>
      </c>
      <c r="E124" s="38">
        <f>SUM(E121:E123)</f>
        <v>4127602.1233607796</v>
      </c>
      <c r="F124" s="39"/>
      <c r="G124" s="38">
        <f>SUM(G121:G123)</f>
        <v>0</v>
      </c>
      <c r="H124" s="38">
        <f>SUM(H121:H123)</f>
        <v>4127602.1233607796</v>
      </c>
      <c r="I124" s="38"/>
      <c r="J124" s="38">
        <f>SUM(J121:J123)</f>
        <v>3001871.1233607791</v>
      </c>
      <c r="K124" s="38">
        <f>SUM(K121:K123)</f>
        <v>1125731.0000000005</v>
      </c>
      <c r="L124" s="38">
        <f>SUM(L121:L123)</f>
        <v>0</v>
      </c>
      <c r="M124" s="38"/>
      <c r="N124" s="38">
        <f>SUM(N121:N123)</f>
        <v>3001871.1233607791</v>
      </c>
      <c r="O124" s="38">
        <f>SUM(O121:O123)</f>
        <v>1613684.3233607791</v>
      </c>
      <c r="P124" s="38">
        <f>SUM(P121:P123)</f>
        <v>1383866.5</v>
      </c>
      <c r="Q124" s="38">
        <f>SUM(Q121:Q123)</f>
        <v>0</v>
      </c>
      <c r="R124" s="38">
        <f>SUM(R121:R123)</f>
        <v>4320.3</v>
      </c>
      <c r="S124" s="71"/>
      <c r="T124" s="59">
        <f t="shared" si="48"/>
        <v>0</v>
      </c>
      <c r="U124" s="60">
        <f>C124+D124+G124-J124-K124</f>
        <v>0</v>
      </c>
    </row>
    <row r="125" spans="1:26">
      <c r="A125" s="66"/>
      <c r="B125" s="2"/>
      <c r="C125" s="61"/>
      <c r="D125" s="61"/>
      <c r="E125" s="61"/>
      <c r="F125" s="62"/>
      <c r="G125" s="61"/>
      <c r="H125" s="61"/>
      <c r="I125" s="61"/>
      <c r="J125" s="61"/>
      <c r="K125" s="61"/>
      <c r="L125" s="76"/>
      <c r="M125" s="76"/>
      <c r="N125" s="61"/>
      <c r="O125" s="61"/>
      <c r="P125" s="61"/>
      <c r="Q125" s="61"/>
      <c r="R125" s="61"/>
      <c r="U125" s="43"/>
    </row>
    <row r="126" spans="1:26">
      <c r="A126" s="63">
        <v>44300</v>
      </c>
      <c r="B126" s="48" t="s">
        <v>102</v>
      </c>
      <c r="C126" s="50"/>
      <c r="D126" s="51"/>
      <c r="E126" s="51"/>
      <c r="F126" s="52"/>
      <c r="G126" s="51"/>
      <c r="H126" s="51"/>
      <c r="I126" s="51"/>
      <c r="J126" s="50"/>
      <c r="K126" s="50"/>
      <c r="L126" s="53"/>
      <c r="M126" s="53"/>
      <c r="N126" s="50"/>
      <c r="O126" s="50"/>
      <c r="P126" s="50"/>
      <c r="Q126" s="50"/>
      <c r="R126" s="50"/>
      <c r="S126" s="53"/>
      <c r="T126" s="54"/>
      <c r="U126" s="55"/>
    </row>
    <row r="127" spans="1:26">
      <c r="A127" s="64">
        <v>43002</v>
      </c>
      <c r="B127" s="7" t="s">
        <v>103</v>
      </c>
      <c r="C127" s="34">
        <f>IFERROR(VLOOKUP(A127,'Yakima IS'!$B$55:$AF$290,31,FALSE),0)</f>
        <v>56233</v>
      </c>
      <c r="D127" s="35">
        <f>+'Restating Adj''s'!U44</f>
        <v>-3672.5355039193382</v>
      </c>
      <c r="E127" s="35">
        <f>SUM(C127:D127)</f>
        <v>52560.464496080662</v>
      </c>
      <c r="F127" s="1253" t="s">
        <v>149</v>
      </c>
      <c r="G127" s="37"/>
      <c r="H127" s="35">
        <f>C127+D127+G127</f>
        <v>52560.464496080662</v>
      </c>
      <c r="I127" s="35"/>
      <c r="J127" s="34">
        <f>H127</f>
        <v>52560.464496080662</v>
      </c>
      <c r="K127" s="34"/>
      <c r="L127" s="34" t="s">
        <v>24</v>
      </c>
      <c r="M127" s="8">
        <f t="shared" ref="M127" si="67">H127-J127-K127</f>
        <v>0</v>
      </c>
      <c r="N127" s="34">
        <f t="shared" ref="N127" si="68">J127</f>
        <v>52560.464496080662</v>
      </c>
      <c r="O127" s="34">
        <f>N127*$O$21</f>
        <v>33671.572417044255</v>
      </c>
      <c r="P127" s="34">
        <f>N127*$P$21</f>
        <v>16777.428909760059</v>
      </c>
      <c r="Q127" s="34">
        <f>N127*$Q$21</f>
        <v>1745.0539817740089</v>
      </c>
      <c r="R127" s="34">
        <f>N127*$R$21</f>
        <v>366.40918750232936</v>
      </c>
      <c r="S127" s="7" t="s">
        <v>105</v>
      </c>
      <c r="T127" s="8">
        <f t="shared" si="48"/>
        <v>0</v>
      </c>
      <c r="U127" s="43">
        <f>C127+D127+G127-J127-K127</f>
        <v>0</v>
      </c>
    </row>
    <row r="128" spans="1:26">
      <c r="A128" s="77">
        <v>44300</v>
      </c>
      <c r="B128" s="72" t="s">
        <v>102</v>
      </c>
      <c r="C128" s="38">
        <f>SUM(C127)</f>
        <v>56233</v>
      </c>
      <c r="D128" s="38">
        <f>SUM(D127)</f>
        <v>-3672.5355039193382</v>
      </c>
      <c r="E128" s="38">
        <f>SUM(E127)</f>
        <v>52560.464496080662</v>
      </c>
      <c r="F128" s="39"/>
      <c r="G128" s="38">
        <f>SUM(G127)</f>
        <v>0</v>
      </c>
      <c r="H128" s="38">
        <f>SUM(H127)</f>
        <v>52560.464496080662</v>
      </c>
      <c r="I128" s="38"/>
      <c r="J128" s="38">
        <f>SUM(J127)</f>
        <v>52560.464496080662</v>
      </c>
      <c r="K128" s="38">
        <f>SUM(K127)</f>
        <v>0</v>
      </c>
      <c r="L128" s="40"/>
      <c r="M128" s="40"/>
      <c r="N128" s="38">
        <f>SUM(N127)</f>
        <v>52560.464496080662</v>
      </c>
      <c r="O128" s="38">
        <f>SUM(O127)</f>
        <v>33671.572417044255</v>
      </c>
      <c r="P128" s="38">
        <f>SUM(P127)</f>
        <v>16777.428909760059</v>
      </c>
      <c r="Q128" s="38">
        <f>SUM(Q127)</f>
        <v>1745.0539817740089</v>
      </c>
      <c r="R128" s="38">
        <f>SUM(R127)</f>
        <v>366.40918750232936</v>
      </c>
      <c r="S128" s="71"/>
      <c r="T128" s="59">
        <f t="shared" si="48"/>
        <v>0</v>
      </c>
      <c r="U128" s="60">
        <f>C128+D128+G128-J128-K128</f>
        <v>0</v>
      </c>
    </row>
    <row r="129" spans="1:26">
      <c r="A129" s="77"/>
      <c r="B129" s="72"/>
      <c r="C129" s="61"/>
      <c r="D129" s="61"/>
      <c r="E129" s="61"/>
      <c r="F129" s="62"/>
      <c r="G129" s="61"/>
      <c r="H129" s="61"/>
      <c r="I129" s="61"/>
      <c r="J129" s="61"/>
      <c r="K129" s="61"/>
      <c r="L129" s="3"/>
      <c r="M129" s="3"/>
      <c r="N129" s="61"/>
      <c r="O129" s="61"/>
      <c r="P129" s="61"/>
      <c r="Q129" s="61"/>
      <c r="R129" s="61"/>
      <c r="U129" s="43"/>
    </row>
    <row r="130" spans="1:26">
      <c r="A130" s="63">
        <v>44500</v>
      </c>
      <c r="B130" s="48" t="s">
        <v>106</v>
      </c>
      <c r="C130" s="50"/>
      <c r="D130" s="51"/>
      <c r="E130" s="51"/>
      <c r="F130" s="52"/>
      <c r="G130" s="51"/>
      <c r="H130" s="51"/>
      <c r="I130" s="51"/>
      <c r="J130" s="50"/>
      <c r="K130" s="50"/>
      <c r="L130" s="53"/>
      <c r="M130" s="53"/>
      <c r="N130" s="50"/>
      <c r="O130" s="50"/>
      <c r="P130" s="50"/>
      <c r="Q130" s="50"/>
      <c r="R130" s="50"/>
      <c r="S130" s="53"/>
      <c r="T130" s="54"/>
      <c r="U130" s="55"/>
    </row>
    <row r="131" spans="1:26">
      <c r="A131" s="64">
        <v>70225</v>
      </c>
      <c r="B131" s="7" t="s">
        <v>110</v>
      </c>
      <c r="C131" s="34">
        <f>IFERROR(VLOOKUP(A131,'Yakima IS'!$B$55:$AF$290,31,FALSE),0)</f>
        <v>3377.1</v>
      </c>
      <c r="D131" s="34"/>
      <c r="E131" s="35">
        <f>SUM(C131:D131)</f>
        <v>3377.1</v>
      </c>
      <c r="F131" s="36"/>
      <c r="G131" s="37"/>
      <c r="H131" s="35">
        <f>C131+D131+G131</f>
        <v>3377.1</v>
      </c>
      <c r="I131" s="35"/>
      <c r="J131" s="34">
        <f>H131*Ratios!$C$42</f>
        <v>2835.2609078465402</v>
      </c>
      <c r="K131" s="34">
        <f>H131*Ratios!$D$42</f>
        <v>541.83909215345966</v>
      </c>
      <c r="L131" s="34" t="s">
        <v>108</v>
      </c>
      <c r="M131" s="8">
        <f t="shared" ref="M131" si="69">H131-J131-K131</f>
        <v>0</v>
      </c>
      <c r="N131" s="34">
        <f t="shared" ref="N131" si="70">J131</f>
        <v>2835.2609078465402</v>
      </c>
      <c r="O131" s="34">
        <f>N131*Ratios!$E$150</f>
        <v>2405.628404654738</v>
      </c>
      <c r="P131" s="34">
        <f>N131*Ratios!$D$151</f>
        <v>44.806886990433071</v>
      </c>
      <c r="Q131" s="34">
        <f>N131*Ratios!$D$152</f>
        <v>318.9079312964185</v>
      </c>
      <c r="R131" s="34">
        <f>N131*Ratios!$D$153</f>
        <v>65.917684904950775</v>
      </c>
      <c r="S131" s="7" t="s">
        <v>109</v>
      </c>
      <c r="T131" s="8">
        <f t="shared" si="48"/>
        <v>0</v>
      </c>
      <c r="U131" s="43">
        <f>C131+D131+G131-J131-K131</f>
        <v>0</v>
      </c>
      <c r="V131" s="42"/>
      <c r="W131" s="42"/>
      <c r="X131" s="42"/>
      <c r="Y131" s="42"/>
      <c r="Z131" s="42"/>
    </row>
    <row r="132" spans="1:26">
      <c r="A132" s="66">
        <v>44500</v>
      </c>
      <c r="B132" s="2" t="s">
        <v>111</v>
      </c>
      <c r="C132" s="38">
        <f>SUM(C131:C131)</f>
        <v>3377.1</v>
      </c>
      <c r="D132" s="38">
        <f>SUM(D131:D131)</f>
        <v>0</v>
      </c>
      <c r="E132" s="38">
        <f>SUM(E131:E131)</f>
        <v>3377.1</v>
      </c>
      <c r="F132" s="39"/>
      <c r="G132" s="38">
        <f>SUM(G131:G131)</f>
        <v>0</v>
      </c>
      <c r="H132" s="38">
        <f>SUM(H131:H131)</f>
        <v>3377.1</v>
      </c>
      <c r="I132" s="38"/>
      <c r="J132" s="38">
        <f>SUM(J131:J131)</f>
        <v>2835.2609078465402</v>
      </c>
      <c r="K132" s="38">
        <f>SUM(K131:K131)</f>
        <v>541.83909215345966</v>
      </c>
      <c r="L132" s="40"/>
      <c r="M132" s="40"/>
      <c r="N132" s="38">
        <f>SUM(N131:N131)</f>
        <v>2835.2609078465402</v>
      </c>
      <c r="O132" s="38">
        <f>SUM(O131:O131)</f>
        <v>2405.628404654738</v>
      </c>
      <c r="P132" s="38">
        <f>SUM(P131:P131)</f>
        <v>44.806886990433071</v>
      </c>
      <c r="Q132" s="38">
        <f>SUM(Q131:Q131)</f>
        <v>318.9079312964185</v>
      </c>
      <c r="R132" s="38">
        <f>SUM(R131:R131)</f>
        <v>65.917684904950775</v>
      </c>
      <c r="S132" s="71"/>
      <c r="T132" s="59">
        <f t="shared" si="48"/>
        <v>0</v>
      </c>
      <c r="U132" s="60">
        <f>C132+D132+G132-J132-K132</f>
        <v>0</v>
      </c>
    </row>
    <row r="133" spans="1:26">
      <c r="A133" s="66"/>
      <c r="B133" s="2"/>
      <c r="C133" s="61"/>
      <c r="D133" s="61"/>
      <c r="E133" s="61"/>
      <c r="F133" s="62"/>
      <c r="G133" s="61"/>
      <c r="H133" s="61"/>
      <c r="I133" s="61"/>
      <c r="J133" s="61"/>
      <c r="K133" s="61"/>
      <c r="L133" s="3"/>
      <c r="M133" s="3"/>
      <c r="N133" s="61"/>
      <c r="O133" s="61"/>
      <c r="P133" s="61"/>
      <c r="Q133" s="61"/>
      <c r="R133" s="61"/>
      <c r="U133" s="43"/>
    </row>
    <row r="134" spans="1:26">
      <c r="A134" s="63">
        <v>45300</v>
      </c>
      <c r="B134" s="48" t="s">
        <v>112</v>
      </c>
      <c r="C134" s="50"/>
      <c r="D134" s="51"/>
      <c r="E134" s="51"/>
      <c r="F134" s="52"/>
      <c r="G134" s="51"/>
      <c r="H134" s="51"/>
      <c r="I134" s="51"/>
      <c r="J134" s="50"/>
      <c r="K134" s="50"/>
      <c r="L134" s="53"/>
      <c r="M134" s="53"/>
      <c r="N134" s="50"/>
      <c r="O134" s="50"/>
      <c r="P134" s="50"/>
      <c r="Q134" s="50"/>
      <c r="R134" s="50"/>
      <c r="S134" s="53"/>
      <c r="T134" s="54"/>
      <c r="U134" s="55"/>
    </row>
    <row r="135" spans="1:26">
      <c r="A135" s="64">
        <v>59340</v>
      </c>
      <c r="B135" s="7" t="s">
        <v>113</v>
      </c>
      <c r="C135" s="34">
        <f>IFERROR(VLOOKUP(A135,'Yakima IS'!$B$55:$AF$290,31,FALSE),0)</f>
        <v>69474.900000000009</v>
      </c>
      <c r="D135" s="37"/>
      <c r="E135" s="35">
        <f>SUM(C135:D135)</f>
        <v>69474.900000000009</v>
      </c>
      <c r="F135" s="36"/>
      <c r="G135" s="37"/>
      <c r="H135" s="35">
        <f>C135+D135+G135</f>
        <v>69474.900000000009</v>
      </c>
      <c r="I135" s="35"/>
      <c r="J135" s="34">
        <f>H135*Ratios!$C$70</f>
        <v>47284.357812012728</v>
      </c>
      <c r="K135" s="34">
        <f>H135*Ratios!$D$70</f>
        <v>22190.542187987277</v>
      </c>
      <c r="L135" s="34" t="s">
        <v>37</v>
      </c>
      <c r="M135" s="8">
        <f t="shared" ref="M135:M137" si="71">H135-J135-K135</f>
        <v>0</v>
      </c>
      <c r="N135" s="34">
        <f t="shared" ref="N135:N137" si="72">J135</f>
        <v>47284.357812012728</v>
      </c>
      <c r="O135" s="34">
        <f>N135*Ratios!$D$159</f>
        <v>31212.35605937754</v>
      </c>
      <c r="P135" s="34">
        <f>N135*Ratios!$D$160</f>
        <v>14525.033668059628</v>
      </c>
      <c r="Q135" s="34">
        <f>N135*Ratios!$D$161</f>
        <v>1213.3083016278927</v>
      </c>
      <c r="R135" s="34">
        <f>N135*Ratios!$D$162</f>
        <v>333.65978294767046</v>
      </c>
      <c r="S135" s="7" t="s">
        <v>38</v>
      </c>
      <c r="T135" s="8">
        <f t="shared" si="48"/>
        <v>0</v>
      </c>
      <c r="U135" s="43">
        <f>C135+D135+G135-J135-K135</f>
        <v>0</v>
      </c>
      <c r="V135" s="42"/>
      <c r="W135" s="42"/>
      <c r="X135" s="42"/>
      <c r="Y135" s="42"/>
      <c r="Z135" s="42"/>
    </row>
    <row r="136" spans="1:26">
      <c r="A136" s="64">
        <v>59341</v>
      </c>
      <c r="B136" s="7" t="s">
        <v>114</v>
      </c>
      <c r="C136" s="34">
        <f>IFERROR(VLOOKUP(A136,'Yakima IS'!$B$55:$AF$290,31,FALSE),0)</f>
        <v>11468.34</v>
      </c>
      <c r="D136" s="37"/>
      <c r="E136" s="35">
        <f>SUM(C136:D136)</f>
        <v>11468.34</v>
      </c>
      <c r="F136" s="36"/>
      <c r="G136" s="37"/>
      <c r="H136" s="35">
        <f>C136+D136+G136</f>
        <v>11468.34</v>
      </c>
      <c r="I136" s="35"/>
      <c r="J136" s="34">
        <f>H136*Ratios!$C$70</f>
        <v>7805.3094293020649</v>
      </c>
      <c r="K136" s="34">
        <f>H136*Ratios!$D$70</f>
        <v>3663.0305706979357</v>
      </c>
      <c r="L136" s="34" t="s">
        <v>37</v>
      </c>
      <c r="M136" s="8">
        <f t="shared" si="71"/>
        <v>0</v>
      </c>
      <c r="N136" s="34">
        <f t="shared" si="72"/>
        <v>7805.3094293020649</v>
      </c>
      <c r="O136" s="34">
        <f>N136*Ratios!$D$159</f>
        <v>5152.2767429676296</v>
      </c>
      <c r="P136" s="34">
        <f>N136*Ratios!$D$160</f>
        <v>2397.6720314351651</v>
      </c>
      <c r="Q136" s="34">
        <f>N136*Ratios!$D$161</f>
        <v>200.28286658766297</v>
      </c>
      <c r="R136" s="34">
        <f>N136*Ratios!$D$162</f>
        <v>55.077788311607314</v>
      </c>
      <c r="S136" s="7" t="s">
        <v>38</v>
      </c>
      <c r="T136" s="8">
        <f t="shared" si="48"/>
        <v>0</v>
      </c>
      <c r="U136" s="43">
        <f>C136+D136+G136-J136-K136</f>
        <v>0</v>
      </c>
      <c r="V136" s="42"/>
      <c r="W136" s="42"/>
      <c r="X136" s="42"/>
      <c r="Y136" s="42"/>
      <c r="Z136" s="42"/>
    </row>
    <row r="137" spans="1:26">
      <c r="A137" s="64">
        <v>59342</v>
      </c>
      <c r="B137" s="7" t="s">
        <v>115</v>
      </c>
      <c r="C137" s="34">
        <f>IFERROR(VLOOKUP(A137,'Yakima IS'!$B$55:$AF$290,31,FALSE),0)</f>
        <v>3717.04</v>
      </c>
      <c r="D137" s="37"/>
      <c r="E137" s="35">
        <f>SUM(C137:D137)</f>
        <v>3717.04</v>
      </c>
      <c r="F137" s="36"/>
      <c r="G137" s="37"/>
      <c r="H137" s="35">
        <f>C137+D137+G137</f>
        <v>3717.04</v>
      </c>
      <c r="I137" s="35"/>
      <c r="J137" s="34">
        <f>H137*Ratios!$C$70</f>
        <v>2529.803560157176</v>
      </c>
      <c r="K137" s="34">
        <f>H137*Ratios!$D$70</f>
        <v>1187.2364398428242</v>
      </c>
      <c r="L137" s="34" t="s">
        <v>37</v>
      </c>
      <c r="M137" s="8">
        <f t="shared" si="71"/>
        <v>0</v>
      </c>
      <c r="N137" s="34">
        <f t="shared" si="72"/>
        <v>2529.803560157176</v>
      </c>
      <c r="O137" s="34">
        <f>N137*Ratios!$D$159</f>
        <v>1669.9207334871828</v>
      </c>
      <c r="P137" s="34">
        <f>N137*Ratios!$D$160</f>
        <v>777.1170760306868</v>
      </c>
      <c r="Q137" s="34">
        <f>N137*Ratios!$D$161</f>
        <v>64.91431422690701</v>
      </c>
      <c r="R137" s="34">
        <f>N137*Ratios!$D$162</f>
        <v>17.851436412399426</v>
      </c>
      <c r="S137" s="7" t="s">
        <v>38</v>
      </c>
      <c r="T137" s="8">
        <f t="shared" si="48"/>
        <v>0</v>
      </c>
      <c r="U137" s="43">
        <f>C137+D137+G137-J137-K137</f>
        <v>0</v>
      </c>
      <c r="V137" s="42"/>
      <c r="W137" s="42"/>
      <c r="X137" s="42"/>
      <c r="Y137" s="42"/>
      <c r="Z137" s="42"/>
    </row>
    <row r="138" spans="1:26">
      <c r="A138" s="77">
        <v>45300</v>
      </c>
      <c r="B138" s="2" t="s">
        <v>112</v>
      </c>
      <c r="C138" s="38">
        <f>SUM(C135:C137)</f>
        <v>84660.28</v>
      </c>
      <c r="D138" s="38">
        <f>SUM(D135:D137)</f>
        <v>0</v>
      </c>
      <c r="E138" s="38">
        <f>SUM(E135:E137)</f>
        <v>84660.28</v>
      </c>
      <c r="F138" s="39"/>
      <c r="G138" s="38">
        <f>SUM(G135:G137)</f>
        <v>0</v>
      </c>
      <c r="H138" s="38">
        <f>SUM(H135:H137)</f>
        <v>84660.28</v>
      </c>
      <c r="I138" s="38"/>
      <c r="J138" s="38">
        <f>SUM(J135:J137)</f>
        <v>57619.470801471965</v>
      </c>
      <c r="K138" s="38">
        <f>SUM(K135:K137)</f>
        <v>27040.809198528037</v>
      </c>
      <c r="L138" s="40"/>
      <c r="M138" s="40"/>
      <c r="N138" s="38">
        <f>SUM(N135:N137)</f>
        <v>57619.470801471965</v>
      </c>
      <c r="O138" s="38">
        <f>SUM(O135:O137)</f>
        <v>38034.553535832354</v>
      </c>
      <c r="P138" s="38">
        <f>SUM(P135:P137)</f>
        <v>17699.822775525477</v>
      </c>
      <c r="Q138" s="38">
        <f>SUM(Q135:Q137)</f>
        <v>1478.5054824424626</v>
      </c>
      <c r="R138" s="38">
        <f>SUM(R135:R137)</f>
        <v>406.58900767167722</v>
      </c>
      <c r="S138" s="71"/>
      <c r="T138" s="59">
        <f t="shared" si="48"/>
        <v>0</v>
      </c>
      <c r="U138" s="60">
        <f>C138+D138+G138-J138-K138</f>
        <v>0</v>
      </c>
    </row>
    <row r="139" spans="1:26">
      <c r="A139" s="77"/>
      <c r="B139" s="2"/>
      <c r="C139" s="61"/>
      <c r="D139" s="61"/>
      <c r="E139" s="61"/>
      <c r="F139" s="62"/>
      <c r="G139" s="61"/>
      <c r="H139" s="61"/>
      <c r="I139" s="61"/>
      <c r="J139" s="61"/>
      <c r="K139" s="61"/>
      <c r="L139" s="3"/>
      <c r="M139" s="3"/>
      <c r="N139" s="61"/>
      <c r="O139" s="61"/>
      <c r="P139" s="61"/>
      <c r="Q139" s="61"/>
      <c r="R139" s="61"/>
      <c r="U139" s="43"/>
    </row>
    <row r="140" spans="1:26">
      <c r="A140" s="63">
        <v>45400</v>
      </c>
      <c r="B140" s="48" t="s">
        <v>116</v>
      </c>
      <c r="C140" s="50"/>
      <c r="D140" s="51"/>
      <c r="E140" s="51"/>
      <c r="F140" s="52"/>
      <c r="G140" s="51"/>
      <c r="H140" s="51"/>
      <c r="I140" s="51"/>
      <c r="J140" s="50"/>
      <c r="K140" s="50"/>
      <c r="L140" s="53"/>
      <c r="M140" s="53"/>
      <c r="N140" s="50"/>
      <c r="O140" s="50"/>
      <c r="P140" s="50"/>
      <c r="Q140" s="50"/>
      <c r="R140" s="50"/>
      <c r="S140" s="53"/>
      <c r="T140" s="54"/>
      <c r="U140" s="55"/>
    </row>
    <row r="141" spans="1:26">
      <c r="A141" s="64">
        <v>59343</v>
      </c>
      <c r="B141" s="7" t="s">
        <v>117</v>
      </c>
      <c r="C141" s="34">
        <f>IFERROR(VLOOKUP(A141,'Yakima IS'!$B$55:$AF$290,31,FALSE),0)</f>
        <v>30320</v>
      </c>
      <c r="D141" s="37"/>
      <c r="E141" s="35">
        <f>SUM(C141:D141)</f>
        <v>30320</v>
      </c>
      <c r="F141" s="36"/>
      <c r="G141" s="37"/>
      <c r="H141" s="35">
        <f>C141+D141+G141</f>
        <v>30320</v>
      </c>
      <c r="I141" s="35"/>
      <c r="J141" s="34">
        <f>H141*Ratios!$C$70</f>
        <v>20635.678912243497</v>
      </c>
      <c r="K141" s="34">
        <f>H141*Ratios!$D$70</f>
        <v>9684.3210877565016</v>
      </c>
      <c r="L141" s="34" t="s">
        <v>37</v>
      </c>
      <c r="M141" s="8">
        <f t="shared" ref="M141:M144" si="73">H141-J141-K141</f>
        <v>0</v>
      </c>
      <c r="N141" s="34">
        <f t="shared" ref="N141:N144" si="74">J141</f>
        <v>20635.678912243497</v>
      </c>
      <c r="O141" s="34">
        <f>N141*Ratios!$D$159</f>
        <v>13621.590469656334</v>
      </c>
      <c r="P141" s="34">
        <f>N141*Ratios!$D$160</f>
        <v>6338.965882866587</v>
      </c>
      <c r="Q141" s="34">
        <f>N141*Ratios!$D$161</f>
        <v>529.50788997692257</v>
      </c>
      <c r="R141" s="34">
        <f>N141*Ratios!$D$162</f>
        <v>145.61466974365371</v>
      </c>
      <c r="S141" s="7" t="s">
        <v>38</v>
      </c>
      <c r="T141" s="8">
        <f t="shared" si="48"/>
        <v>0</v>
      </c>
      <c r="U141" s="43">
        <f>C141+D141+G141-J141-K141</f>
        <v>0</v>
      </c>
      <c r="V141" s="42"/>
      <c r="W141" s="42"/>
      <c r="X141" s="42"/>
      <c r="Y141" s="42"/>
      <c r="Z141" s="42"/>
    </row>
    <row r="142" spans="1:26">
      <c r="A142" s="64">
        <v>59344</v>
      </c>
      <c r="B142" s="7" t="s">
        <v>118</v>
      </c>
      <c r="C142" s="34">
        <f>IFERROR(VLOOKUP(A142,'Yakima IS'!$B$55:$AF$290,31,FALSE),0)</f>
        <v>-8918.98</v>
      </c>
      <c r="D142" s="815">
        <f>'Restating Adj''s'!S46</f>
        <v>8918.98</v>
      </c>
      <c r="E142" s="35">
        <f>SUM(C142:D142)</f>
        <v>0</v>
      </c>
      <c r="F142" s="1253" t="s">
        <v>162</v>
      </c>
      <c r="G142" s="37"/>
      <c r="H142" s="35">
        <f>C142+D142+G142</f>
        <v>0</v>
      </c>
      <c r="I142" s="35"/>
      <c r="J142" s="34">
        <f>H142*Ratios!$C$70</f>
        <v>0</v>
      </c>
      <c r="K142" s="34">
        <f>H142*Ratios!$D$70</f>
        <v>0</v>
      </c>
      <c r="L142" s="34" t="s">
        <v>37</v>
      </c>
      <c r="M142" s="8">
        <f t="shared" si="73"/>
        <v>0</v>
      </c>
      <c r="N142" s="34">
        <f t="shared" si="74"/>
        <v>0</v>
      </c>
      <c r="O142" s="34">
        <f>N142*Ratios!$D$159</f>
        <v>0</v>
      </c>
      <c r="P142" s="34">
        <f>N142*Ratios!$D$160</f>
        <v>0</v>
      </c>
      <c r="Q142" s="34">
        <f>N142*Ratios!$D$161</f>
        <v>0</v>
      </c>
      <c r="R142" s="34">
        <f>N142*Ratios!$D$162</f>
        <v>0</v>
      </c>
      <c r="S142" s="7" t="s">
        <v>38</v>
      </c>
      <c r="T142" s="8">
        <f t="shared" si="48"/>
        <v>0</v>
      </c>
      <c r="U142" s="43">
        <f>C142+D142+G142-J142-K142</f>
        <v>0</v>
      </c>
      <c r="V142" s="42"/>
      <c r="W142" s="42"/>
      <c r="X142" s="42"/>
      <c r="Y142" s="42"/>
      <c r="Z142" s="42"/>
    </row>
    <row r="143" spans="1:26">
      <c r="A143" s="64">
        <v>59500</v>
      </c>
      <c r="B143" s="7" t="s">
        <v>119</v>
      </c>
      <c r="C143" s="34">
        <f>IFERROR(VLOOKUP(A143,'Yakima IS'!$B$55:$AF$290,31,FALSE),0)</f>
        <v>23500</v>
      </c>
      <c r="D143" s="37"/>
      <c r="E143" s="35">
        <f>SUM(C143:D143)</f>
        <v>23500</v>
      </c>
      <c r="F143" s="36"/>
      <c r="G143" s="37"/>
      <c r="H143" s="35">
        <f>C143+D143+G143</f>
        <v>23500</v>
      </c>
      <c r="I143" s="35"/>
      <c r="J143" s="34">
        <f>H143*Ratios!$C$70</f>
        <v>15994.012349529095</v>
      </c>
      <c r="K143" s="34">
        <f>H143*Ratios!$D$70</f>
        <v>7505.9876504709036</v>
      </c>
      <c r="L143" s="34" t="s">
        <v>37</v>
      </c>
      <c r="M143" s="8">
        <f t="shared" si="73"/>
        <v>0</v>
      </c>
      <c r="N143" s="34">
        <f t="shared" si="74"/>
        <v>15994.012349529095</v>
      </c>
      <c r="O143" s="34">
        <f>N143*Ratios!$D$159</f>
        <v>10557.631135782449</v>
      </c>
      <c r="P143" s="34">
        <f>N143*Ratios!$D$160</f>
        <v>4913.1166968128236</v>
      </c>
      <c r="Q143" s="34">
        <f>N143*Ratios!$D$161</f>
        <v>410.40354269319528</v>
      </c>
      <c r="R143" s="34">
        <f>N143*Ratios!$D$162</f>
        <v>112.86097424062869</v>
      </c>
      <c r="S143" s="7" t="s">
        <v>38</v>
      </c>
      <c r="T143" s="8">
        <f t="shared" si="48"/>
        <v>0</v>
      </c>
      <c r="U143" s="43">
        <f>C143+D143+G143-J143-K143</f>
        <v>0</v>
      </c>
      <c r="V143" s="42"/>
      <c r="W143" s="42"/>
      <c r="X143" s="42"/>
      <c r="Y143" s="42"/>
      <c r="Z143" s="42"/>
    </row>
    <row r="144" spans="1:26">
      <c r="A144" s="31">
        <v>57370</v>
      </c>
      <c r="B144" s="7" t="s">
        <v>120</v>
      </c>
      <c r="C144" s="34">
        <f>IFERROR(VLOOKUP(A144,'Yakima IS'!$B$55:$AF$290,31,FALSE),0)</f>
        <v>2097.59</v>
      </c>
      <c r="D144" s="37"/>
      <c r="E144" s="35">
        <f>SUM(C144:D144)</f>
        <v>2097.59</v>
      </c>
      <c r="F144" s="36"/>
      <c r="G144" s="37"/>
      <c r="H144" s="35">
        <f>C144+D144+G144</f>
        <v>2097.59</v>
      </c>
      <c r="I144" s="35"/>
      <c r="J144" s="34">
        <f>H144*Ratios!$C$70</f>
        <v>1427.6119303935634</v>
      </c>
      <c r="K144" s="34">
        <f>H144*Ratios!$D$70</f>
        <v>669.97806960643675</v>
      </c>
      <c r="L144" s="34" t="s">
        <v>37</v>
      </c>
      <c r="M144" s="8">
        <f t="shared" si="73"/>
        <v>0</v>
      </c>
      <c r="N144" s="34">
        <f t="shared" si="74"/>
        <v>1427.6119303935634</v>
      </c>
      <c r="O144" s="34">
        <f>N144*Ratios!$D$159</f>
        <v>942.3651699619536</v>
      </c>
      <c r="P144" s="34">
        <f>N144*Ratios!$D$160</f>
        <v>438.54061498160047</v>
      </c>
      <c r="Q144" s="34">
        <f>N144*Ratios!$D$161</f>
        <v>36.632270941183812</v>
      </c>
      <c r="R144" s="34">
        <f>N144*Ratios!$D$162</f>
        <v>10.073874508825547</v>
      </c>
      <c r="S144" s="7" t="s">
        <v>38</v>
      </c>
      <c r="T144" s="8">
        <f t="shared" si="48"/>
        <v>0</v>
      </c>
      <c r="U144" s="43">
        <f>C144+D144+G144-J144-K144</f>
        <v>0</v>
      </c>
      <c r="V144" s="42"/>
      <c r="W144" s="42"/>
      <c r="X144" s="42"/>
      <c r="Y144" s="42"/>
      <c r="Z144" s="42"/>
    </row>
    <row r="145" spans="1:26">
      <c r="A145" s="66">
        <v>45400</v>
      </c>
      <c r="B145" s="2" t="s">
        <v>116</v>
      </c>
      <c r="C145" s="38">
        <f>SUM(C141:C144)</f>
        <v>46998.61</v>
      </c>
      <c r="D145" s="38">
        <f>SUM(D141:D144)</f>
        <v>8918.98</v>
      </c>
      <c r="E145" s="38">
        <f>SUM(E141:E144)</f>
        <v>55917.59</v>
      </c>
      <c r="F145" s="39"/>
      <c r="G145" s="38">
        <f>SUM(G141:G144)</f>
        <v>0</v>
      </c>
      <c r="H145" s="38">
        <f>SUM(H141:H144)</f>
        <v>55917.59</v>
      </c>
      <c r="I145" s="38"/>
      <c r="J145" s="38">
        <f t="shared" ref="J145:K145" si="75">SUM(J141:J144)</f>
        <v>38057.303192166153</v>
      </c>
      <c r="K145" s="38">
        <f t="shared" si="75"/>
        <v>17860.286807833843</v>
      </c>
      <c r="L145" s="40"/>
      <c r="M145" s="40"/>
      <c r="N145" s="38">
        <f>SUM(N141:N144)</f>
        <v>38057.303192166153</v>
      </c>
      <c r="O145" s="38">
        <f>SUM(O141:O144)</f>
        <v>25121.586775400738</v>
      </c>
      <c r="P145" s="38">
        <f>SUM(P141:P144)</f>
        <v>11690.623194661011</v>
      </c>
      <c r="Q145" s="38">
        <f>SUM(Q141:Q144)</f>
        <v>976.54370361130168</v>
      </c>
      <c r="R145" s="38">
        <f>SUM(R141:R144)</f>
        <v>268.54951849310794</v>
      </c>
      <c r="S145" s="71"/>
      <c r="T145" s="59">
        <f t="shared" si="48"/>
        <v>0</v>
      </c>
      <c r="U145" s="60">
        <f>C145+D145+G145-J145-K145</f>
        <v>0</v>
      </c>
    </row>
    <row r="146" spans="1:26">
      <c r="A146" s="66"/>
      <c r="B146" s="2"/>
      <c r="C146" s="61"/>
      <c r="D146" s="61"/>
      <c r="E146" s="61"/>
      <c r="F146" s="62"/>
      <c r="G146" s="61"/>
      <c r="H146" s="61"/>
      <c r="I146" s="61"/>
      <c r="J146" s="61"/>
      <c r="K146" s="61"/>
      <c r="L146" s="3"/>
      <c r="M146" s="3"/>
      <c r="N146" s="61"/>
      <c r="O146" s="61"/>
      <c r="P146" s="61"/>
      <c r="Q146" s="61"/>
      <c r="R146" s="61"/>
      <c r="U146" s="43"/>
    </row>
    <row r="147" spans="1:26">
      <c r="A147" s="63">
        <v>46130</v>
      </c>
      <c r="B147" s="48" t="s">
        <v>121</v>
      </c>
      <c r="C147" s="50"/>
      <c r="D147" s="51"/>
      <c r="E147" s="51"/>
      <c r="F147" s="52"/>
      <c r="G147" s="51"/>
      <c r="H147" s="51"/>
      <c r="I147" s="51"/>
      <c r="J147" s="50"/>
      <c r="K147" s="50"/>
      <c r="L147" s="53"/>
      <c r="M147" s="53"/>
      <c r="N147" s="50"/>
      <c r="O147" s="50"/>
      <c r="P147" s="50"/>
      <c r="Q147" s="50"/>
      <c r="R147" s="50"/>
      <c r="S147" s="53"/>
      <c r="T147" s="54"/>
      <c r="U147" s="55"/>
    </row>
    <row r="148" spans="1:26">
      <c r="A148" s="64">
        <v>70010</v>
      </c>
      <c r="B148" s="7" t="s">
        <v>41</v>
      </c>
      <c r="C148" s="34">
        <f>IFERROR(VLOOKUP(A148,'Yakima IS'!$B$55:$AF$290,31,FALSE),0)</f>
        <v>525316.98</v>
      </c>
      <c r="D148" s="35">
        <f>+'Restating Adj''s'!T49+'Restating Adj''s'!X49</f>
        <v>24897.481853680463</v>
      </c>
      <c r="E148" s="35">
        <f t="shared" ref="E148:E154" si="76">SUM(C148:D148)</f>
        <v>550214.46185368043</v>
      </c>
      <c r="F148" s="1253" t="s">
        <v>2180</v>
      </c>
      <c r="G148" s="35">
        <f>'Pro-forma Adj''s'!B12</f>
        <v>8873.7295636445724</v>
      </c>
      <c r="H148" s="35">
        <f t="shared" ref="H148:H154" si="77">C148+D148+G148</f>
        <v>559088.19141732506</v>
      </c>
      <c r="I148" s="35"/>
      <c r="J148" s="34">
        <f>H148*Ratios!$C$70</f>
        <v>380513.3377874291</v>
      </c>
      <c r="K148" s="34">
        <f>H148*Ratios!$D$70</f>
        <v>178574.85362989595</v>
      </c>
      <c r="L148" s="34" t="s">
        <v>37</v>
      </c>
      <c r="M148" s="8">
        <f t="shared" ref="M148:M154" si="78">H148-J148-K148</f>
        <v>0</v>
      </c>
      <c r="N148" s="34">
        <f t="shared" ref="N148:N154" si="79">J148</f>
        <v>380513.3377874291</v>
      </c>
      <c r="O148" s="34">
        <f>N148*Ratios!$E$150</f>
        <v>322853.42459952808</v>
      </c>
      <c r="P148" s="34">
        <f>N148*Ratios!$D$151</f>
        <v>6013.4212260357663</v>
      </c>
      <c r="Q148" s="34">
        <f>N148*Ratios!$D$152</f>
        <v>42799.842881709279</v>
      </c>
      <c r="R148" s="34">
        <f>N148*Ratios!$D$153</f>
        <v>8846.6490801559958</v>
      </c>
      <c r="S148" s="7" t="s">
        <v>109</v>
      </c>
      <c r="T148" s="8">
        <f t="shared" ref="T148:T225" si="80">SUM(O148:R148)-N148</f>
        <v>0</v>
      </c>
      <c r="U148" s="43">
        <f t="shared" ref="U148:U155" si="81">C148+D148+G148-J148-K148</f>
        <v>0</v>
      </c>
      <c r="V148" s="42"/>
      <c r="W148" s="42"/>
      <c r="X148" s="42"/>
      <c r="Y148" s="42"/>
      <c r="Z148" s="42"/>
    </row>
    <row r="149" spans="1:26">
      <c r="A149" s="64">
        <v>70020</v>
      </c>
      <c r="B149" s="7" t="s">
        <v>50</v>
      </c>
      <c r="C149" s="34">
        <f>IFERROR(VLOOKUP(A149,'Yakima IS'!$B$55:$AF$290,31,FALSE),0)</f>
        <v>198494.93</v>
      </c>
      <c r="D149" s="35"/>
      <c r="E149" s="35">
        <f t="shared" si="76"/>
        <v>198494.93</v>
      </c>
      <c r="F149" s="36"/>
      <c r="G149" s="35"/>
      <c r="H149" s="35">
        <f t="shared" si="77"/>
        <v>198494.93</v>
      </c>
      <c r="I149" s="35"/>
      <c r="J149" s="34">
        <f>H149*Ratios!$C$42</f>
        <v>166647.39434270095</v>
      </c>
      <c r="K149" s="34">
        <f>H149*Ratios!$D$42</f>
        <v>31847.53565729902</v>
      </c>
      <c r="L149" s="34" t="s">
        <v>108</v>
      </c>
      <c r="M149" s="8">
        <f t="shared" si="78"/>
        <v>0</v>
      </c>
      <c r="N149" s="34">
        <f t="shared" si="79"/>
        <v>166647.39434270095</v>
      </c>
      <c r="O149" s="34">
        <f>N149*Ratios!$E$150</f>
        <v>141394.99623580996</v>
      </c>
      <c r="P149" s="34">
        <f>N149*Ratios!$D$151</f>
        <v>2633.6027647046049</v>
      </c>
      <c r="Q149" s="34">
        <f>N149*Ratios!$D$152</f>
        <v>18744.36868885357</v>
      </c>
      <c r="R149" s="34">
        <f>N149*Ratios!$D$153</f>
        <v>3874.4266533328173</v>
      </c>
      <c r="S149" s="7" t="s">
        <v>109</v>
      </c>
      <c r="T149" s="8">
        <f t="shared" si="80"/>
        <v>0</v>
      </c>
      <c r="U149" s="43">
        <f t="shared" si="81"/>
        <v>0</v>
      </c>
      <c r="V149" s="42"/>
      <c r="W149" s="42"/>
      <c r="X149" s="42"/>
      <c r="Y149" s="42"/>
      <c r="Z149" s="42"/>
    </row>
    <row r="150" spans="1:26">
      <c r="A150" s="64">
        <v>70025</v>
      </c>
      <c r="B150" s="7" t="s">
        <v>79</v>
      </c>
      <c r="C150" s="34">
        <f>IFERROR(VLOOKUP(A150,'Yakima IS'!$B$55:$AF$290,31,FALSE),0)</f>
        <v>6021.95</v>
      </c>
      <c r="D150" s="37"/>
      <c r="E150" s="35">
        <f t="shared" si="76"/>
        <v>6021.95</v>
      </c>
      <c r="F150" s="36"/>
      <c r="G150" s="37"/>
      <c r="H150" s="35">
        <f t="shared" si="77"/>
        <v>6021.95</v>
      </c>
      <c r="I150" s="35"/>
      <c r="J150" s="34">
        <f>H150*Ratios!$C$42</f>
        <v>5055.7577282302782</v>
      </c>
      <c r="K150" s="34">
        <f>H150*Ratios!$D$42</f>
        <v>966.1922717697214</v>
      </c>
      <c r="L150" s="34" t="s">
        <v>108</v>
      </c>
      <c r="M150" s="8">
        <f t="shared" si="78"/>
        <v>0</v>
      </c>
      <c r="N150" s="34">
        <f t="shared" si="79"/>
        <v>5055.7577282302782</v>
      </c>
      <c r="O150" s="34">
        <f>N150*Ratios!$E$150</f>
        <v>4289.6490987565066</v>
      </c>
      <c r="P150" s="34">
        <f>N150*Ratios!$D$151</f>
        <v>79.898384149725629</v>
      </c>
      <c r="Q150" s="34">
        <f>N150*Ratios!$D$152</f>
        <v>568.66767844318122</v>
      </c>
      <c r="R150" s="34">
        <f>N150*Ratios!$D$153</f>
        <v>117.54256688086473</v>
      </c>
      <c r="S150" s="7" t="s">
        <v>109</v>
      </c>
      <c r="T150" s="8">
        <f t="shared" si="80"/>
        <v>0</v>
      </c>
      <c r="U150" s="43">
        <f t="shared" si="81"/>
        <v>0</v>
      </c>
      <c r="V150" s="42"/>
      <c r="W150" s="42"/>
      <c r="X150" s="42"/>
      <c r="Y150" s="42"/>
      <c r="Z150" s="42"/>
    </row>
    <row r="151" spans="1:26">
      <c r="A151" s="64">
        <v>70036</v>
      </c>
      <c r="B151" s="7" t="s">
        <v>46</v>
      </c>
      <c r="C151" s="34">
        <f>IFERROR(VLOOKUP(A151,'Yakima IS'!$B$55:$AF$290,31,FALSE),0)</f>
        <v>12109.58</v>
      </c>
      <c r="D151" s="37"/>
      <c r="E151" s="35">
        <f t="shared" si="76"/>
        <v>12109.58</v>
      </c>
      <c r="F151" s="36"/>
      <c r="G151" s="37"/>
      <c r="H151" s="35">
        <f t="shared" si="77"/>
        <v>12109.58</v>
      </c>
      <c r="I151" s="35"/>
      <c r="J151" s="34">
        <f>H151*Ratios!$C$42</f>
        <v>10166.657423363331</v>
      </c>
      <c r="K151" s="34">
        <f>H151*Ratios!$D$42</f>
        <v>1942.9225766366681</v>
      </c>
      <c r="L151" s="34" t="s">
        <v>108</v>
      </c>
      <c r="M151" s="8">
        <f t="shared" si="78"/>
        <v>0</v>
      </c>
      <c r="N151" s="34">
        <f t="shared" si="79"/>
        <v>10166.657423363331</v>
      </c>
      <c r="O151" s="34">
        <f>N151*Ratios!$E$150</f>
        <v>8626.0843968016688</v>
      </c>
      <c r="P151" s="34">
        <f>N151*Ratios!$D$151</f>
        <v>160.66820128560258</v>
      </c>
      <c r="Q151" s="34">
        <f>N151*Ratios!$D$152</f>
        <v>1143.537682232828</v>
      </c>
      <c r="R151" s="34">
        <f>N151*Ratios!$D$153</f>
        <v>236.3671430432305</v>
      </c>
      <c r="S151" s="7" t="s">
        <v>109</v>
      </c>
      <c r="T151" s="8">
        <f t="shared" si="80"/>
        <v>0</v>
      </c>
      <c r="U151" s="43">
        <f t="shared" si="81"/>
        <v>0</v>
      </c>
      <c r="V151" s="42"/>
      <c r="W151" s="42"/>
      <c r="X151" s="42"/>
      <c r="Y151" s="42"/>
      <c r="Z151" s="42"/>
    </row>
    <row r="152" spans="1:26">
      <c r="A152" s="64">
        <v>70045</v>
      </c>
      <c r="B152" s="7" t="s">
        <v>63</v>
      </c>
      <c r="C152" s="34">
        <f>IFERROR(VLOOKUP(A152,'Yakima IS'!$B$55:$AF$290,31,FALSE),0)</f>
        <v>8013.72</v>
      </c>
      <c r="D152" s="37"/>
      <c r="E152" s="35">
        <f t="shared" si="76"/>
        <v>8013.72</v>
      </c>
      <c r="F152" s="36"/>
      <c r="G152" s="37"/>
      <c r="H152" s="35">
        <f t="shared" si="77"/>
        <v>8013.72</v>
      </c>
      <c r="I152" s="35"/>
      <c r="J152" s="34">
        <f>H152*Ratios!$C$42</f>
        <v>6727.9580238749149</v>
      </c>
      <c r="K152" s="34">
        <f>H152*Ratios!$D$42</f>
        <v>1285.7619761250844</v>
      </c>
      <c r="L152" s="34" t="s">
        <v>108</v>
      </c>
      <c r="M152" s="8">
        <f t="shared" si="78"/>
        <v>0</v>
      </c>
      <c r="N152" s="34">
        <f t="shared" si="79"/>
        <v>6727.9580238749149</v>
      </c>
      <c r="O152" s="34">
        <f>N152*Ratios!$E$150</f>
        <v>5708.4576882383599</v>
      </c>
      <c r="P152" s="34">
        <f>N152*Ratios!$D$151</f>
        <v>106.32490788338316</v>
      </c>
      <c r="Q152" s="34">
        <f>N152*Ratios!$D$152</f>
        <v>756.75546095429058</v>
      </c>
      <c r="R152" s="34">
        <f>N152*Ratios!$D$153</f>
        <v>156.41996679888129</v>
      </c>
      <c r="S152" s="7" t="s">
        <v>109</v>
      </c>
      <c r="T152" s="8">
        <f t="shared" si="80"/>
        <v>0</v>
      </c>
      <c r="U152" s="43">
        <f t="shared" si="81"/>
        <v>0</v>
      </c>
      <c r="V152" s="42"/>
      <c r="W152" s="42"/>
      <c r="X152" s="42"/>
      <c r="Y152" s="42"/>
      <c r="Z152" s="42"/>
    </row>
    <row r="153" spans="1:26">
      <c r="A153" s="64">
        <v>70065</v>
      </c>
      <c r="B153" s="7" t="s">
        <v>122</v>
      </c>
      <c r="C153" s="34">
        <f>IFERROR(VLOOKUP(A153,'Yakima IS'!$B$55:$AF$290,31,FALSE),0)</f>
        <v>16121.389999999998</v>
      </c>
      <c r="D153" s="37"/>
      <c r="E153" s="35">
        <f t="shared" si="76"/>
        <v>16121.389999999998</v>
      </c>
      <c r="F153" s="36"/>
      <c r="G153" s="37"/>
      <c r="H153" s="35">
        <f t="shared" si="77"/>
        <v>16121.389999999998</v>
      </c>
      <c r="I153" s="35"/>
      <c r="J153" s="34">
        <f>H153*Ratios!$C$42</f>
        <v>13534.792232136486</v>
      </c>
      <c r="K153" s="34">
        <f>H153*Ratios!$D$42</f>
        <v>2586.5977678635104</v>
      </c>
      <c r="L153" s="34" t="s">
        <v>108</v>
      </c>
      <c r="M153" s="8">
        <f t="shared" si="78"/>
        <v>0</v>
      </c>
      <c r="N153" s="34">
        <f t="shared" si="79"/>
        <v>13534.792232136486</v>
      </c>
      <c r="O153" s="34">
        <f>N153*Ratios!$E$150</f>
        <v>11483.839301920831</v>
      </c>
      <c r="P153" s="34">
        <f>N153*Ratios!$D$151</f>
        <v>213.89633112987406</v>
      </c>
      <c r="Q153" s="34">
        <f>N153*Ratios!$D$152</f>
        <v>1522.3828534904999</v>
      </c>
      <c r="R153" s="34">
        <f>N153*Ratios!$D$153</f>
        <v>314.67374559528116</v>
      </c>
      <c r="S153" s="7" t="s">
        <v>109</v>
      </c>
      <c r="T153" s="8">
        <f t="shared" si="80"/>
        <v>0</v>
      </c>
      <c r="U153" s="43">
        <f t="shared" si="81"/>
        <v>0</v>
      </c>
      <c r="V153" s="42"/>
      <c r="W153" s="42"/>
      <c r="X153" s="42"/>
      <c r="Y153" s="42"/>
      <c r="Z153" s="42"/>
    </row>
    <row r="154" spans="1:26">
      <c r="A154" s="31">
        <v>70070</v>
      </c>
      <c r="B154" s="7" t="s">
        <v>123</v>
      </c>
      <c r="C154" s="34">
        <f>IFERROR(VLOOKUP(A154,'Yakima IS'!$B$55:$AF$290,31,FALSE),0)</f>
        <v>2376.16</v>
      </c>
      <c r="D154" s="37"/>
      <c r="E154" s="35">
        <f t="shared" si="76"/>
        <v>2376.16</v>
      </c>
      <c r="F154" s="36"/>
      <c r="G154" s="37"/>
      <c r="H154" s="35">
        <f t="shared" si="77"/>
        <v>2376.16</v>
      </c>
      <c r="I154" s="35"/>
      <c r="J154" s="34">
        <f>H154*Ratios!$C$42</f>
        <v>1994.9168099223104</v>
      </c>
      <c r="K154" s="34">
        <f>H154*Ratios!$D$42</f>
        <v>381.24319007768929</v>
      </c>
      <c r="L154" s="34" t="s">
        <v>108</v>
      </c>
      <c r="M154" s="8">
        <f t="shared" si="78"/>
        <v>0</v>
      </c>
      <c r="N154" s="34">
        <f t="shared" si="79"/>
        <v>1994.9168099223104</v>
      </c>
      <c r="O154" s="34">
        <f>N154*Ratios!$E$150</f>
        <v>1692.6232536804955</v>
      </c>
      <c r="P154" s="34">
        <f>N154*Ratios!$D$151</f>
        <v>31.526556095818137</v>
      </c>
      <c r="Q154" s="34">
        <f>N154*Ratios!$D$152</f>
        <v>224.38668384984092</v>
      </c>
      <c r="R154" s="34">
        <f>N154*Ratios!$D$153</f>
        <v>46.380316296155819</v>
      </c>
      <c r="S154" s="7" t="s">
        <v>109</v>
      </c>
      <c r="T154" s="8">
        <f t="shared" si="80"/>
        <v>0</v>
      </c>
      <c r="U154" s="43">
        <f t="shared" si="81"/>
        <v>0</v>
      </c>
      <c r="V154" s="42"/>
      <c r="W154" s="42"/>
      <c r="X154" s="42"/>
      <c r="Y154" s="42"/>
      <c r="Z154" s="42"/>
    </row>
    <row r="155" spans="1:26">
      <c r="A155" s="66">
        <v>46130</v>
      </c>
      <c r="B155" s="2" t="s">
        <v>124</v>
      </c>
      <c r="C155" s="38">
        <f>SUM(C148:C154)</f>
        <v>768454.70999999985</v>
      </c>
      <c r="D155" s="38">
        <f>SUM(D148:D154)</f>
        <v>24897.481853680463</v>
      </c>
      <c r="E155" s="38">
        <f>SUM(E148:E154)</f>
        <v>793352.1918536803</v>
      </c>
      <c r="F155" s="39"/>
      <c r="G155" s="38">
        <f>SUM(G148:G154)</f>
        <v>8873.7295636445724</v>
      </c>
      <c r="H155" s="38">
        <f>SUM(H148:H154)</f>
        <v>802225.92141732492</v>
      </c>
      <c r="I155" s="38"/>
      <c r="J155" s="38">
        <f>SUM(J148:J154)</f>
        <v>584640.81434765738</v>
      </c>
      <c r="K155" s="38">
        <f>SUM(K148:K154)</f>
        <v>217585.10706966763</v>
      </c>
      <c r="L155" s="40"/>
      <c r="M155" s="40"/>
      <c r="N155" s="38">
        <f>SUM(N148:N154)</f>
        <v>584640.81434765738</v>
      </c>
      <c r="O155" s="38">
        <f>SUM(O148:O154)</f>
        <v>496049.07457473589</v>
      </c>
      <c r="P155" s="38">
        <f>SUM(P148:P154)</f>
        <v>9239.3383712847717</v>
      </c>
      <c r="Q155" s="38">
        <f>SUM(Q148:Q154)</f>
        <v>65759.941929533496</v>
      </c>
      <c r="R155" s="38">
        <f>SUM(R148:R154)</f>
        <v>13592.459472103226</v>
      </c>
      <c r="S155" s="71"/>
      <c r="T155" s="59">
        <f t="shared" si="80"/>
        <v>0</v>
      </c>
      <c r="U155" s="60">
        <f t="shared" si="81"/>
        <v>0</v>
      </c>
    </row>
    <row r="156" spans="1:26">
      <c r="A156" s="66"/>
      <c r="B156" s="2"/>
      <c r="C156" s="61"/>
      <c r="D156" s="61"/>
      <c r="E156" s="61"/>
      <c r="F156" s="62"/>
      <c r="G156" s="61"/>
      <c r="H156" s="61"/>
      <c r="I156" s="61"/>
      <c r="J156" s="61"/>
      <c r="K156" s="61"/>
      <c r="L156" s="3"/>
      <c r="M156" s="3"/>
      <c r="N156" s="61"/>
      <c r="O156" s="61"/>
      <c r="P156" s="61"/>
      <c r="Q156" s="61"/>
      <c r="R156" s="61"/>
      <c r="U156" s="43"/>
    </row>
    <row r="157" spans="1:26">
      <c r="A157" s="63">
        <v>70149</v>
      </c>
      <c r="B157" s="48" t="s">
        <v>125</v>
      </c>
      <c r="C157" s="50"/>
      <c r="D157" s="51"/>
      <c r="E157" s="51"/>
      <c r="F157" s="52"/>
      <c r="G157" s="51"/>
      <c r="H157" s="51"/>
      <c r="I157" s="51"/>
      <c r="J157" s="50"/>
      <c r="K157" s="50"/>
      <c r="L157" s="53"/>
      <c r="M157" s="53"/>
      <c r="N157" s="50"/>
      <c r="O157" s="50"/>
      <c r="P157" s="50"/>
      <c r="Q157" s="50"/>
      <c r="R157" s="50"/>
      <c r="S157" s="53"/>
      <c r="T157" s="54"/>
      <c r="U157" s="55"/>
    </row>
    <row r="158" spans="1:26">
      <c r="A158" s="31">
        <v>70149</v>
      </c>
      <c r="B158" s="7" t="s">
        <v>126</v>
      </c>
      <c r="C158" s="34">
        <f>IFERROR(VLOOKUP(A158,'Yakima IS'!$B$55:$AF$290,31,FALSE),0)</f>
        <v>247314.19999999998</v>
      </c>
      <c r="D158" s="85">
        <f>'Restating Adj''s'!R48</f>
        <v>110723.1088534205</v>
      </c>
      <c r="E158" s="35">
        <f>SUM(C158:D158)</f>
        <v>358037.30885342049</v>
      </c>
      <c r="F158" s="1252" t="s">
        <v>497</v>
      </c>
      <c r="G158" s="35"/>
      <c r="H158" s="35">
        <f>C158+D158+G158</f>
        <v>358037.30885342049</v>
      </c>
      <c r="I158" s="35"/>
      <c r="J158" s="34">
        <f>$H$158*J21</f>
        <v>238682.94153098878</v>
      </c>
      <c r="K158" s="34">
        <f>$H$158*K21</f>
        <v>119354.3673224317</v>
      </c>
      <c r="L158" s="7" t="s">
        <v>105</v>
      </c>
      <c r="M158" s="8">
        <f t="shared" ref="M158" si="82">H158-J158-K158</f>
        <v>0</v>
      </c>
      <c r="N158" s="34">
        <f t="shared" ref="N158" si="83">J158</f>
        <v>238682.94153098878</v>
      </c>
      <c r="O158" s="34">
        <f>N158*$O$21</f>
        <v>152906.3722614765</v>
      </c>
      <c r="P158" s="34">
        <f>N158*$P$21</f>
        <v>76188.179117161111</v>
      </c>
      <c r="Q158" s="34">
        <f>N158*$Q$21</f>
        <v>7924.4850952800016</v>
      </c>
      <c r="R158" s="34">
        <f>N158*$R$21</f>
        <v>1663.9050570711183</v>
      </c>
      <c r="S158" s="7" t="s">
        <v>105</v>
      </c>
      <c r="T158" s="8">
        <f t="shared" si="80"/>
        <v>0</v>
      </c>
      <c r="U158" s="43">
        <f>C158+D158+G158-J158-K158</f>
        <v>0</v>
      </c>
    </row>
    <row r="159" spans="1:26">
      <c r="A159" s="66">
        <v>46100</v>
      </c>
      <c r="B159" s="2" t="s">
        <v>125</v>
      </c>
      <c r="C159" s="38">
        <f>SUM(C158)</f>
        <v>247314.19999999998</v>
      </c>
      <c r="D159" s="38">
        <f>SUM(D158)</f>
        <v>110723.1088534205</v>
      </c>
      <c r="E159" s="38">
        <f>SUM(E158)</f>
        <v>358037.30885342049</v>
      </c>
      <c r="F159" s="78"/>
      <c r="G159" s="38">
        <f>SUM(G158)</f>
        <v>0</v>
      </c>
      <c r="H159" s="38">
        <f>SUM(H158)</f>
        <v>358037.30885342049</v>
      </c>
      <c r="I159" s="38"/>
      <c r="J159" s="38">
        <f>SUM(J158)</f>
        <v>238682.94153098878</v>
      </c>
      <c r="K159" s="38">
        <f>SUM(K158)</f>
        <v>119354.3673224317</v>
      </c>
      <c r="L159" s="79"/>
      <c r="M159" s="79"/>
      <c r="N159" s="38">
        <f>SUM(N158)</f>
        <v>238682.94153098878</v>
      </c>
      <c r="O159" s="38">
        <f>SUM(O158)</f>
        <v>152906.3722614765</v>
      </c>
      <c r="P159" s="38">
        <f>SUM(P158)</f>
        <v>76188.179117161111</v>
      </c>
      <c r="Q159" s="38">
        <f>SUM(Q158)</f>
        <v>7924.4850952800016</v>
      </c>
      <c r="R159" s="38">
        <f>SUM(R158)</f>
        <v>1663.9050570711183</v>
      </c>
      <c r="S159" s="71"/>
      <c r="T159" s="59">
        <f t="shared" si="80"/>
        <v>0</v>
      </c>
      <c r="U159" s="60">
        <f>C159+D159+G159-J159-K159</f>
        <v>0</v>
      </c>
    </row>
    <row r="160" spans="1:26">
      <c r="A160" s="66"/>
      <c r="B160" s="2"/>
      <c r="C160" s="61"/>
      <c r="D160" s="61"/>
      <c r="E160" s="61"/>
      <c r="F160" s="62"/>
      <c r="G160" s="61"/>
      <c r="H160" s="61"/>
      <c r="I160" s="61"/>
      <c r="J160" s="61"/>
      <c r="K160" s="61"/>
      <c r="L160" s="3"/>
      <c r="M160" s="3"/>
      <c r="N160" s="61"/>
      <c r="O160" s="61"/>
      <c r="P160" s="61"/>
      <c r="Q160" s="61"/>
      <c r="R160" s="61"/>
      <c r="U160" s="43"/>
    </row>
    <row r="161" spans="1:26">
      <c r="A161" s="63">
        <v>46200</v>
      </c>
      <c r="B161" s="48" t="s">
        <v>128</v>
      </c>
      <c r="C161" s="50"/>
      <c r="D161" s="51"/>
      <c r="E161" s="51"/>
      <c r="F161" s="52"/>
      <c r="G161" s="51"/>
      <c r="H161" s="51"/>
      <c r="I161" s="51"/>
      <c r="J161" s="50"/>
      <c r="K161" s="50"/>
      <c r="L161" s="53"/>
      <c r="M161" s="53"/>
      <c r="N161" s="50"/>
      <c r="O161" s="50"/>
      <c r="P161" s="50"/>
      <c r="Q161" s="50"/>
      <c r="R161" s="50"/>
      <c r="S161" s="53"/>
      <c r="T161" s="54"/>
      <c r="U161" s="55"/>
    </row>
    <row r="162" spans="1:26">
      <c r="A162" s="31">
        <v>52181</v>
      </c>
      <c r="B162" s="7" t="s">
        <v>73</v>
      </c>
      <c r="C162" s="34">
        <f>IFERROR(VLOOKUP(A162,'Yakima IS'!$B$55:$AF$290,31,FALSE),0)</f>
        <v>1982.04</v>
      </c>
      <c r="D162" s="37"/>
      <c r="E162" s="35">
        <f t="shared" ref="E162:E173" si="84">SUM(C162:D162)</f>
        <v>1982.04</v>
      </c>
      <c r="G162" s="37"/>
      <c r="H162" s="35">
        <f t="shared" ref="H162:H173" si="85">C162+D162+G162</f>
        <v>1982.04</v>
      </c>
      <c r="I162" s="37"/>
      <c r="J162" s="34">
        <f>H162*Ratios!$C$70</f>
        <v>1348.9690313727936</v>
      </c>
      <c r="K162" s="34">
        <f>H162*Ratios!$D$70</f>
        <v>633.07096862720641</v>
      </c>
      <c r="L162" s="7" t="s">
        <v>37</v>
      </c>
      <c r="M162" s="8">
        <f t="shared" ref="M162:M173" si="86">H162-J162-K162</f>
        <v>0</v>
      </c>
      <c r="N162" s="34">
        <f t="shared" ref="N162:N173" si="87">J162</f>
        <v>1348.9690313727936</v>
      </c>
      <c r="O162" s="34">
        <f>N162*Ratios!$E$150</f>
        <v>1144.5571763392802</v>
      </c>
      <c r="P162" s="34">
        <f>N162*Ratios!$D$151</f>
        <v>21.318356548788643</v>
      </c>
      <c r="Q162" s="34">
        <f>N162*Ratios!$D$152</f>
        <v>151.73098249528564</v>
      </c>
      <c r="R162" s="34">
        <f>N162*Ratios!$D$153</f>
        <v>31.362515989439</v>
      </c>
      <c r="S162" s="7" t="s">
        <v>109</v>
      </c>
      <c r="T162" s="8">
        <f t="shared" si="80"/>
        <v>0</v>
      </c>
      <c r="U162" s="43">
        <f t="shared" ref="U162:U174" si="88">C162+D162+G162-J162-K162</f>
        <v>0</v>
      </c>
      <c r="V162" s="42"/>
      <c r="W162" s="42"/>
      <c r="X162" s="42"/>
      <c r="Y162" s="42"/>
      <c r="Z162" s="42"/>
    </row>
    <row r="163" spans="1:26">
      <c r="A163" s="31">
        <v>52200</v>
      </c>
      <c r="B163" s="7" t="s">
        <v>129</v>
      </c>
      <c r="C163" s="34">
        <f>IFERROR(VLOOKUP(A163,'Yakima IS'!$B$55:$AF$290,31,FALSE),0)</f>
        <v>2731.59</v>
      </c>
      <c r="D163" s="37"/>
      <c r="E163" s="35">
        <f t="shared" si="84"/>
        <v>2731.59</v>
      </c>
      <c r="G163" s="37"/>
      <c r="H163" s="35">
        <f t="shared" si="85"/>
        <v>2731.59</v>
      </c>
      <c r="I163" s="37"/>
      <c r="J163" s="34">
        <f>H163*Ratios!$C$70</f>
        <v>1859.1099656957526</v>
      </c>
      <c r="K163" s="34">
        <f>H163*Ratios!$D$70</f>
        <v>872.48003430424751</v>
      </c>
      <c r="L163" s="7" t="s">
        <v>37</v>
      </c>
      <c r="M163" s="8">
        <f t="shared" si="86"/>
        <v>0</v>
      </c>
      <c r="N163" s="34">
        <f t="shared" si="87"/>
        <v>1859.1099656957526</v>
      </c>
      <c r="O163" s="34">
        <f>N163*Ratios!$E$150</f>
        <v>1577.39548006933</v>
      </c>
      <c r="P163" s="34">
        <f>N163*Ratios!$D$151</f>
        <v>29.38034023788903</v>
      </c>
      <c r="Q163" s="34">
        <f>N163*Ratios!$D$152</f>
        <v>209.11123613766492</v>
      </c>
      <c r="R163" s="34">
        <f>N163*Ratios!$D$153</f>
        <v>43.222909250868646</v>
      </c>
      <c r="S163" s="7" t="s">
        <v>109</v>
      </c>
      <c r="T163" s="8">
        <f t="shared" si="80"/>
        <v>0</v>
      </c>
      <c r="U163" s="43">
        <f t="shared" si="88"/>
        <v>0</v>
      </c>
      <c r="V163" s="42"/>
      <c r="W163" s="42"/>
      <c r="X163" s="42"/>
      <c r="Y163" s="42"/>
      <c r="Z163" s="42"/>
    </row>
    <row r="164" spans="1:26">
      <c r="A164" s="31">
        <v>57185</v>
      </c>
      <c r="B164" s="7" t="s">
        <v>130</v>
      </c>
      <c r="C164" s="34">
        <f>IFERROR(VLOOKUP(A164,'Yakima IS'!$B$55:$AF$290,31,FALSE),0)</f>
        <v>12.71</v>
      </c>
      <c r="D164" s="37"/>
      <c r="E164" s="35">
        <f t="shared" si="84"/>
        <v>12.71</v>
      </c>
      <c r="G164" s="37"/>
      <c r="H164" s="35">
        <f t="shared" si="85"/>
        <v>12.71</v>
      </c>
      <c r="I164" s="37"/>
      <c r="J164" s="34">
        <f>H164*Ratios!$C$70</f>
        <v>8.6503785941495668</v>
      </c>
      <c r="K164" s="34">
        <f>H164*Ratios!$D$70</f>
        <v>4.0596214058504341</v>
      </c>
      <c r="L164" s="7" t="s">
        <v>37</v>
      </c>
      <c r="M164" s="8">
        <f t="shared" si="86"/>
        <v>0</v>
      </c>
      <c r="N164" s="34">
        <f t="shared" si="87"/>
        <v>8.6503785941495668</v>
      </c>
      <c r="O164" s="34">
        <f>N164*Ratios!$E$150</f>
        <v>7.3395701959961723</v>
      </c>
      <c r="P164" s="34">
        <f>N164*Ratios!$D$151</f>
        <v>0.13670577371551718</v>
      </c>
      <c r="Q164" s="34">
        <f>N164*Ratios!$D$152</f>
        <v>0.97298782442083942</v>
      </c>
      <c r="R164" s="34">
        <f>N164*Ratios!$D$153</f>
        <v>0.20111480001703785</v>
      </c>
      <c r="S164" s="7" t="s">
        <v>109</v>
      </c>
      <c r="T164" s="8">
        <f t="shared" si="80"/>
        <v>0</v>
      </c>
      <c r="U164" s="43">
        <f t="shared" si="88"/>
        <v>0</v>
      </c>
      <c r="V164" s="42"/>
      <c r="W164" s="42"/>
      <c r="X164" s="42"/>
      <c r="Y164" s="42"/>
      <c r="Z164" s="42"/>
    </row>
    <row r="165" spans="1:26">
      <c r="A165" s="31">
        <v>57345</v>
      </c>
      <c r="B165" s="7" t="s">
        <v>131</v>
      </c>
      <c r="C165" s="34">
        <f>IFERROR(VLOOKUP(A165,'Yakima IS'!$B$55:$AF$290,31,FALSE),0)</f>
        <v>1483.71</v>
      </c>
      <c r="D165" s="37"/>
      <c r="E165" s="35">
        <f t="shared" si="84"/>
        <v>1483.71</v>
      </c>
      <c r="G165" s="37"/>
      <c r="H165" s="35">
        <f t="shared" si="85"/>
        <v>1483.71</v>
      </c>
      <c r="I165" s="35"/>
      <c r="J165" s="34">
        <f>H165*Ratios!$C$70</f>
        <v>1009.8074920476517</v>
      </c>
      <c r="K165" s="34">
        <f>H165*Ratios!$D$70</f>
        <v>473.90250795234829</v>
      </c>
      <c r="L165" s="7" t="s">
        <v>37</v>
      </c>
      <c r="M165" s="8">
        <f t="shared" si="86"/>
        <v>0</v>
      </c>
      <c r="N165" s="34">
        <f t="shared" si="87"/>
        <v>1009.8074920476517</v>
      </c>
      <c r="O165" s="34">
        <f>N165*Ratios!$E$150</f>
        <v>856.78943316298034</v>
      </c>
      <c r="P165" s="34">
        <f>N165*Ratios!$D$151</f>
        <v>15.95843615416601</v>
      </c>
      <c r="Q165" s="34">
        <f>N165*Ratios!$D$152</f>
        <v>113.58235759020013</v>
      </c>
      <c r="R165" s="34">
        <f>N165*Ratios!$D$153</f>
        <v>23.477265140305214</v>
      </c>
      <c r="S165" s="7" t="s">
        <v>109</v>
      </c>
      <c r="T165" s="8">
        <f t="shared" si="80"/>
        <v>0</v>
      </c>
      <c r="U165" s="43">
        <f t="shared" si="88"/>
        <v>0</v>
      </c>
      <c r="V165" s="42"/>
      <c r="W165" s="42"/>
      <c r="X165" s="42"/>
      <c r="Y165" s="42"/>
      <c r="Z165" s="42"/>
    </row>
    <row r="166" spans="1:26">
      <c r="A166" s="31">
        <v>70147</v>
      </c>
      <c r="B166" s="7" t="s">
        <v>132</v>
      </c>
      <c r="C166" s="34">
        <f>IFERROR(VLOOKUP(A166,'Yakima IS'!$B$55:$AF$290,31,FALSE),0)</f>
        <v>1547.26</v>
      </c>
      <c r="D166" s="37"/>
      <c r="E166" s="35">
        <f t="shared" si="84"/>
        <v>1547.26</v>
      </c>
      <c r="G166" s="37"/>
      <c r="H166" s="35">
        <f t="shared" si="85"/>
        <v>1547.26</v>
      </c>
      <c r="I166" s="35"/>
      <c r="J166" s="34">
        <f>H166*Ratios!$C$42</f>
        <v>1299.0097397988327</v>
      </c>
      <c r="K166" s="34">
        <f>H166*Ratios!$D$42</f>
        <v>248.25026020116726</v>
      </c>
      <c r="L166" s="7" t="s">
        <v>108</v>
      </c>
      <c r="M166" s="8">
        <f t="shared" si="86"/>
        <v>0</v>
      </c>
      <c r="N166" s="34">
        <f t="shared" si="87"/>
        <v>1299.0097397988327</v>
      </c>
      <c r="O166" s="34">
        <f>N166*Ratios!$E$150</f>
        <v>1102.1683116834236</v>
      </c>
      <c r="P166" s="34">
        <f>N166*Ratios!$D$151</f>
        <v>20.528827681980832</v>
      </c>
      <c r="Q166" s="34">
        <f>N166*Ratios!$D$152</f>
        <v>146.11160041979701</v>
      </c>
      <c r="R166" s="34">
        <f>N166*Ratios!$D$153</f>
        <v>30.201000013631258</v>
      </c>
      <c r="S166" s="7" t="s">
        <v>109</v>
      </c>
      <c r="T166" s="8">
        <f t="shared" si="80"/>
        <v>0</v>
      </c>
      <c r="U166" s="43">
        <f t="shared" si="88"/>
        <v>0</v>
      </c>
      <c r="V166" s="42"/>
      <c r="W166" s="42"/>
      <c r="X166" s="42"/>
      <c r="Y166" s="42"/>
      <c r="Z166" s="42"/>
    </row>
    <row r="167" spans="1:26">
      <c r="A167" s="31">
        <v>70185</v>
      </c>
      <c r="B167" s="7" t="s">
        <v>130</v>
      </c>
      <c r="C167" s="34">
        <f>IFERROR(VLOOKUP(A167,'Yakima IS'!$B$55:$AF$290,31,FALSE),0)</f>
        <v>5955.06</v>
      </c>
      <c r="D167" s="37"/>
      <c r="E167" s="35">
        <f t="shared" si="84"/>
        <v>5955.06</v>
      </c>
      <c r="G167" s="37"/>
      <c r="H167" s="35">
        <f t="shared" si="85"/>
        <v>5955.06</v>
      </c>
      <c r="I167" s="35"/>
      <c r="J167" s="34">
        <f>H167*Ratios!$C$42</f>
        <v>4999.5998998787773</v>
      </c>
      <c r="K167" s="34">
        <f>H167*Ratios!$D$42</f>
        <v>955.46010012122281</v>
      </c>
      <c r="L167" s="7" t="s">
        <v>108</v>
      </c>
      <c r="M167" s="8">
        <f t="shared" si="86"/>
        <v>0</v>
      </c>
      <c r="N167" s="34">
        <f t="shared" si="87"/>
        <v>4999.5998998787773</v>
      </c>
      <c r="O167" s="34">
        <f>N167*Ratios!$E$150</f>
        <v>4242.0009734456316</v>
      </c>
      <c r="P167" s="34">
        <f>N167*Ratios!$D$151</f>
        <v>79.010897054054766</v>
      </c>
      <c r="Q167" s="34">
        <f>N167*Ratios!$D$152</f>
        <v>562.35108979480913</v>
      </c>
      <c r="R167" s="34">
        <f>N167*Ratios!$D$153</f>
        <v>116.23693958428123</v>
      </c>
      <c r="S167" s="7" t="s">
        <v>109</v>
      </c>
      <c r="T167" s="8">
        <f t="shared" si="80"/>
        <v>0</v>
      </c>
      <c r="U167" s="43">
        <f t="shared" si="88"/>
        <v>0</v>
      </c>
      <c r="V167" s="42"/>
      <c r="W167" s="42"/>
      <c r="X167" s="42"/>
      <c r="Y167" s="42"/>
      <c r="Z167" s="42"/>
    </row>
    <row r="168" spans="1:26">
      <c r="A168" s="64">
        <v>70210</v>
      </c>
      <c r="B168" s="7" t="s">
        <v>133</v>
      </c>
      <c r="C168" s="34">
        <f>IFERROR(VLOOKUP(A168,'Yakima IS'!$B$55:$AF$290,31,FALSE),0)</f>
        <v>14345.089999999998</v>
      </c>
      <c r="D168" s="37"/>
      <c r="E168" s="35">
        <f t="shared" si="84"/>
        <v>14345.089999999998</v>
      </c>
      <c r="G168" s="37"/>
      <c r="H168" s="35">
        <f t="shared" si="85"/>
        <v>14345.089999999998</v>
      </c>
      <c r="I168" s="35"/>
      <c r="J168" s="34">
        <f>H168*Ratios!$C$42</f>
        <v>12043.490834307637</v>
      </c>
      <c r="K168" s="34">
        <f>H168*Ratios!$D$42</f>
        <v>2301.5991656923607</v>
      </c>
      <c r="L168" s="7" t="s">
        <v>108</v>
      </c>
      <c r="M168" s="8">
        <f t="shared" si="86"/>
        <v>0</v>
      </c>
      <c r="N168" s="34">
        <f t="shared" si="87"/>
        <v>12043.490834307637</v>
      </c>
      <c r="O168" s="34">
        <f>N168*Ratios!$E$150</f>
        <v>10218.517654593772</v>
      </c>
      <c r="P168" s="34">
        <f>N168*Ratios!$D$151</f>
        <v>190.32863299801352</v>
      </c>
      <c r="Q168" s="34">
        <f>N168*Ratios!$D$152</f>
        <v>1354.6424376420418</v>
      </c>
      <c r="R168" s="34">
        <f>N168*Ratios!$D$153</f>
        <v>280.00210907380892</v>
      </c>
      <c r="S168" s="7" t="s">
        <v>109</v>
      </c>
      <c r="T168" s="8">
        <f t="shared" si="80"/>
        <v>0</v>
      </c>
      <c r="U168" s="43">
        <f t="shared" si="88"/>
        <v>0</v>
      </c>
      <c r="V168" s="42"/>
      <c r="W168" s="42"/>
      <c r="X168" s="42"/>
      <c r="Y168" s="42"/>
      <c r="Z168" s="42"/>
    </row>
    <row r="169" spans="1:26">
      <c r="A169" s="31">
        <v>70245</v>
      </c>
      <c r="B169" s="7" t="s">
        <v>135</v>
      </c>
      <c r="C169" s="34">
        <f>IFERROR(VLOOKUP(A169,'Yakima IS'!$B$55:$AF$290,31,FALSE),0)</f>
        <v>2151.15</v>
      </c>
      <c r="D169" s="37"/>
      <c r="E169" s="35">
        <f t="shared" si="84"/>
        <v>2151.15</v>
      </c>
      <c r="G169" s="37"/>
      <c r="H169" s="35">
        <f t="shared" si="85"/>
        <v>2151.15</v>
      </c>
      <c r="I169" s="35"/>
      <c r="J169" s="34">
        <f>H169*Ratios!$C$70</f>
        <v>1464.0646666250859</v>
      </c>
      <c r="K169" s="34">
        <f>H169*Ratios!$D$70</f>
        <v>687.08533337491428</v>
      </c>
      <c r="L169" s="7" t="s">
        <v>37</v>
      </c>
      <c r="M169" s="8">
        <f t="shared" si="86"/>
        <v>0</v>
      </c>
      <c r="N169" s="34">
        <f t="shared" si="87"/>
        <v>1464.0646666250859</v>
      </c>
      <c r="O169" s="34">
        <f>N169*Ratios!$E$150</f>
        <v>1242.2121500485575</v>
      </c>
      <c r="P169" s="34">
        <f>N169*Ratios!$D$151</f>
        <v>23.137263975463004</v>
      </c>
      <c r="Q169" s="34">
        <f>N169*Ratios!$D$152</f>
        <v>164.67684960683627</v>
      </c>
      <c r="R169" s="34">
        <f>N169*Ratios!$D$153</f>
        <v>34.038402994229031</v>
      </c>
      <c r="S169" s="7" t="s">
        <v>109</v>
      </c>
      <c r="T169" s="8">
        <f t="shared" si="80"/>
        <v>0</v>
      </c>
      <c r="U169" s="43">
        <f t="shared" si="88"/>
        <v>0</v>
      </c>
      <c r="V169" s="42"/>
      <c r="W169" s="42"/>
      <c r="X169" s="42"/>
      <c r="Y169" s="42"/>
      <c r="Z169" s="42"/>
    </row>
    <row r="170" spans="1:26">
      <c r="A170" s="80">
        <v>70300</v>
      </c>
      <c r="B170" s="81" t="s">
        <v>136</v>
      </c>
      <c r="C170" s="34">
        <f>IFERROR(VLOOKUP(A170,'Yakima IS'!$B$55:$AF$290,31,FALSE),0)</f>
        <v>86403.12</v>
      </c>
      <c r="D170" s="37"/>
      <c r="E170" s="35">
        <f t="shared" si="84"/>
        <v>86403.12</v>
      </c>
      <c r="G170" s="37"/>
      <c r="H170" s="35">
        <f t="shared" si="85"/>
        <v>86403.12</v>
      </c>
      <c r="I170" s="35"/>
      <c r="J170" s="34">
        <f>H170*Ratios!$C$42</f>
        <v>72540.164179909843</v>
      </c>
      <c r="K170" s="34">
        <f>H170*Ratios!$D$42</f>
        <v>13862.955820090145</v>
      </c>
      <c r="L170" s="7" t="s">
        <v>108</v>
      </c>
      <c r="M170" s="8">
        <f t="shared" si="86"/>
        <v>0</v>
      </c>
      <c r="N170" s="34">
        <f t="shared" si="87"/>
        <v>72540.164179909843</v>
      </c>
      <c r="O170" s="34">
        <f>N170*Ratios!$E$150</f>
        <v>61548.014486628126</v>
      </c>
      <c r="P170" s="34">
        <f>N170*Ratios!$D$151</f>
        <v>1146.3844225699052</v>
      </c>
      <c r="Q170" s="34">
        <f>N170*Ratios!$D$152</f>
        <v>8159.2609803548021</v>
      </c>
      <c r="R170" s="34">
        <f>N170*Ratios!$D$153</f>
        <v>1686.5042903570072</v>
      </c>
      <c r="S170" s="7" t="s">
        <v>109</v>
      </c>
      <c r="T170" s="8">
        <f t="shared" si="80"/>
        <v>0</v>
      </c>
      <c r="U170" s="43">
        <f t="shared" si="88"/>
        <v>0</v>
      </c>
      <c r="V170" s="42"/>
      <c r="W170" s="42"/>
      <c r="X170" s="42"/>
      <c r="Y170" s="42"/>
      <c r="Z170" s="42"/>
    </row>
    <row r="171" spans="1:26">
      <c r="B171" s="7" t="s">
        <v>137</v>
      </c>
      <c r="C171" s="34">
        <f>IFERROR(VLOOKUP(A171,'Yakima IS'!$B$55:$AF$290,31,FALSE),0)</f>
        <v>0</v>
      </c>
      <c r="D171" s="37"/>
      <c r="E171" s="35">
        <f t="shared" si="84"/>
        <v>0</v>
      </c>
      <c r="G171" s="85">
        <f>'Pro-forma Adj''s'!D35</f>
        <v>6136.0843876811095</v>
      </c>
      <c r="H171" s="35">
        <f t="shared" si="85"/>
        <v>6136.0843876811095</v>
      </c>
      <c r="I171" s="35"/>
      <c r="J171" s="34">
        <f>H171</f>
        <v>6136.0843876811095</v>
      </c>
      <c r="K171" s="34">
        <f>H171-J171</f>
        <v>0</v>
      </c>
      <c r="L171" s="82" t="s">
        <v>24</v>
      </c>
      <c r="M171" s="8">
        <f t="shared" si="86"/>
        <v>0</v>
      </c>
      <c r="N171" s="86">
        <f t="shared" si="87"/>
        <v>6136.0843876811095</v>
      </c>
      <c r="O171" s="86">
        <f>N171*'Pro-forma Adj''s'!E37</f>
        <v>6023.8843876811097</v>
      </c>
      <c r="P171" s="86">
        <f>N171-O171</f>
        <v>112.19999999999982</v>
      </c>
      <c r="Q171" s="34"/>
      <c r="R171" s="34"/>
      <c r="S171" s="7" t="s">
        <v>138</v>
      </c>
      <c r="T171" s="8">
        <f t="shared" si="80"/>
        <v>0</v>
      </c>
      <c r="U171" s="43">
        <f t="shared" si="88"/>
        <v>0</v>
      </c>
    </row>
    <row r="172" spans="1:26">
      <c r="A172" s="31">
        <v>70302</v>
      </c>
      <c r="B172" s="7" t="s">
        <v>139</v>
      </c>
      <c r="C172" s="34">
        <f>IFERROR(VLOOKUP(A172,'Yakima IS'!$B$55:$AF$290,31,FALSE),0)</f>
        <v>1698.9600000000003</v>
      </c>
      <c r="D172" s="37"/>
      <c r="E172" s="35">
        <f t="shared" si="84"/>
        <v>1698.9600000000003</v>
      </c>
      <c r="G172" s="37"/>
      <c r="H172" s="35">
        <f t="shared" si="85"/>
        <v>1698.9600000000003</v>
      </c>
      <c r="I172" s="35"/>
      <c r="J172" s="34">
        <f>H172*Ratios!$C$42</f>
        <v>1426.3702206019836</v>
      </c>
      <c r="K172" s="34">
        <f>H172*Ratios!$D$42</f>
        <v>272.58977939801662</v>
      </c>
      <c r="L172" s="7" t="s">
        <v>108</v>
      </c>
      <c r="M172" s="8">
        <f t="shared" si="86"/>
        <v>0</v>
      </c>
      <c r="N172" s="34">
        <f t="shared" si="87"/>
        <v>1426.3702206019836</v>
      </c>
      <c r="O172" s="34">
        <f>N172*Ratios!$E$150</f>
        <v>1210.2296154606656</v>
      </c>
      <c r="P172" s="34">
        <f>N172*Ratios!$D$151</f>
        <v>22.541561908520976</v>
      </c>
      <c r="Q172" s="34">
        <f>N172*Ratios!$D$152</f>
        <v>160.43700777452941</v>
      </c>
      <c r="R172" s="34">
        <f>N172*Ratios!$D$153</f>
        <v>33.162035458267503</v>
      </c>
      <c r="S172" s="7" t="s">
        <v>109</v>
      </c>
      <c r="T172" s="8">
        <f t="shared" si="80"/>
        <v>0</v>
      </c>
      <c r="U172" s="43">
        <f t="shared" si="88"/>
        <v>0</v>
      </c>
      <c r="V172" s="42"/>
      <c r="W172" s="42"/>
      <c r="X172" s="42"/>
      <c r="Y172" s="42"/>
      <c r="Z172" s="42"/>
    </row>
    <row r="173" spans="1:26">
      <c r="A173" s="31">
        <v>70320</v>
      </c>
      <c r="B173" s="7" t="s">
        <v>140</v>
      </c>
      <c r="C173" s="34">
        <f>IFERROR(VLOOKUP(A173,'Yakima IS'!$B$55:$AF$290,31,FALSE),0)</f>
        <v>10892.24</v>
      </c>
      <c r="D173" s="37"/>
      <c r="E173" s="35">
        <f t="shared" si="84"/>
        <v>10892.24</v>
      </c>
      <c r="G173" s="37"/>
      <c r="H173" s="35">
        <f t="shared" si="85"/>
        <v>10892.24</v>
      </c>
      <c r="I173" s="35"/>
      <c r="J173" s="34">
        <f>H173*Ratios!$C$42</f>
        <v>9144.6336415511523</v>
      </c>
      <c r="K173" s="34">
        <f>H173*Ratios!$D$42</f>
        <v>1747.6063584488463</v>
      </c>
      <c r="L173" s="7" t="s">
        <v>108</v>
      </c>
      <c r="M173" s="8">
        <f t="shared" si="86"/>
        <v>0</v>
      </c>
      <c r="N173" s="34">
        <f t="shared" si="87"/>
        <v>9144.6336415511523</v>
      </c>
      <c r="O173" s="34">
        <f>N173*Ratios!$E$150</f>
        <v>7758.9298316059694</v>
      </c>
      <c r="P173" s="34">
        <f>N173*Ratios!$D$151</f>
        <v>144.51670568022109</v>
      </c>
      <c r="Q173" s="34">
        <f>N173*Ratios!$D$152</f>
        <v>1028.5812459163487</v>
      </c>
      <c r="R173" s="34">
        <f>N173*Ratios!$D$153</f>
        <v>212.60585834861297</v>
      </c>
      <c r="S173" s="7" t="s">
        <v>109</v>
      </c>
      <c r="T173" s="8">
        <f t="shared" si="80"/>
        <v>0</v>
      </c>
      <c r="U173" s="43">
        <f t="shared" si="88"/>
        <v>0</v>
      </c>
      <c r="V173" s="42"/>
      <c r="W173" s="42"/>
      <c r="X173" s="42"/>
      <c r="Y173" s="42"/>
      <c r="Z173" s="42"/>
    </row>
    <row r="174" spans="1:26">
      <c r="A174" s="66">
        <v>46200</v>
      </c>
      <c r="B174" s="2" t="s">
        <v>141</v>
      </c>
      <c r="C174" s="38">
        <f>SUM(C162:C173)</f>
        <v>129202.93000000001</v>
      </c>
      <c r="D174" s="38">
        <f>SUM(D162:D173)</f>
        <v>0</v>
      </c>
      <c r="E174" s="38">
        <f>SUM(E162:E173)</f>
        <v>129202.93000000001</v>
      </c>
      <c r="F174" s="78"/>
      <c r="G174" s="38">
        <f>SUM(G162:G173)</f>
        <v>6136.0843876811095</v>
      </c>
      <c r="H174" s="38">
        <f>SUM(H162:H173)</f>
        <v>135339.01438768112</v>
      </c>
      <c r="I174" s="38"/>
      <c r="J174" s="38">
        <f>SUM(J162:J173)</f>
        <v>113279.95443806477</v>
      </c>
      <c r="K174" s="38">
        <f>SUM(K162:K173)</f>
        <v>22059.05994961633</v>
      </c>
      <c r="L174" s="83"/>
      <c r="M174" s="83"/>
      <c r="N174" s="38">
        <f>SUM(N162:N173)</f>
        <v>113279.95443806477</v>
      </c>
      <c r="O174" s="38">
        <f>SUM(O162:O173)</f>
        <v>96932.039070914849</v>
      </c>
      <c r="P174" s="38">
        <f>SUM(P162:P173)</f>
        <v>1805.4421505827186</v>
      </c>
      <c r="Q174" s="38">
        <f>SUM(Q162:Q173)</f>
        <v>12051.458775556735</v>
      </c>
      <c r="R174" s="38">
        <f>SUM(R162:R173)</f>
        <v>2491.0144410104676</v>
      </c>
      <c r="S174" s="71"/>
      <c r="T174" s="59">
        <f t="shared" si="80"/>
        <v>0</v>
      </c>
      <c r="U174" s="60">
        <f t="shared" si="88"/>
        <v>0</v>
      </c>
    </row>
    <row r="175" spans="1:26">
      <c r="A175" s="84"/>
      <c r="B175" s="2"/>
      <c r="C175" s="61"/>
      <c r="D175" s="61"/>
      <c r="E175" s="61"/>
      <c r="F175" s="62"/>
      <c r="G175" s="61"/>
      <c r="H175" s="61"/>
      <c r="I175" s="61"/>
      <c r="J175" s="61"/>
      <c r="K175" s="61"/>
      <c r="L175" s="76"/>
      <c r="M175" s="76"/>
      <c r="N175" s="61"/>
      <c r="O175" s="61"/>
      <c r="P175" s="61"/>
      <c r="Q175" s="61"/>
      <c r="R175" s="61"/>
      <c r="U175" s="43"/>
    </row>
    <row r="176" spans="1:26">
      <c r="A176" s="63">
        <v>46300</v>
      </c>
      <c r="B176" s="48" t="s">
        <v>142</v>
      </c>
      <c r="C176" s="50"/>
      <c r="D176" s="51"/>
      <c r="E176" s="51"/>
      <c r="F176" s="52"/>
      <c r="G176" s="51"/>
      <c r="H176" s="51"/>
      <c r="I176" s="51"/>
      <c r="J176" s="50"/>
      <c r="K176" s="50"/>
      <c r="L176" s="53"/>
      <c r="M176" s="53"/>
      <c r="N176" s="50"/>
      <c r="O176" s="50"/>
      <c r="P176" s="50"/>
      <c r="Q176" s="50"/>
      <c r="R176" s="50"/>
      <c r="S176" s="53"/>
      <c r="T176" s="54"/>
      <c r="U176" s="55"/>
    </row>
    <row r="177" spans="1:26">
      <c r="A177" s="31">
        <v>70235</v>
      </c>
      <c r="B177" s="7" t="s">
        <v>143</v>
      </c>
      <c r="C177" s="34">
        <f>IFERROR(VLOOKUP(A177,'Yakima IS'!$B$55:$AF$290,31,FALSE),0)</f>
        <v>566.06000000000006</v>
      </c>
      <c r="D177" s="37"/>
      <c r="E177" s="35">
        <f>SUM(C177:D177)</f>
        <v>566.06000000000006</v>
      </c>
      <c r="G177" s="37"/>
      <c r="H177" s="35">
        <f>C177+D177+G177</f>
        <v>566.06000000000006</v>
      </c>
      <c r="I177" s="35"/>
      <c r="J177" s="34">
        <f>H177*Ratios!$C$23</f>
        <v>390.00043779293168</v>
      </c>
      <c r="K177" s="34">
        <f>H177*Ratios!$D$23</f>
        <v>176.05956220706844</v>
      </c>
      <c r="L177" s="7" t="s">
        <v>144</v>
      </c>
      <c r="M177" s="8">
        <f t="shared" ref="M177" si="89">H177-J177-K177</f>
        <v>0</v>
      </c>
      <c r="N177" s="34">
        <f t="shared" ref="N177" si="90">J177</f>
        <v>390.00043779293168</v>
      </c>
      <c r="O177" s="34">
        <f>N177*Ratios!$E$150</f>
        <v>330.90292621254588</v>
      </c>
      <c r="P177" s="34">
        <f>N177*Ratios!$D$151</f>
        <v>6.1633500797215302</v>
      </c>
      <c r="Q177" s="34">
        <f>N177*Ratios!$D$152</f>
        <v>43.866944476622116</v>
      </c>
      <c r="R177" s="34">
        <f>N177*Ratios!$D$153</f>
        <v>9.0672170240421401</v>
      </c>
      <c r="S177" s="7" t="s">
        <v>109</v>
      </c>
      <c r="T177" s="8">
        <f t="shared" si="80"/>
        <v>0</v>
      </c>
      <c r="U177" s="43">
        <f>C177+D177+G177-J177-K177</f>
        <v>0</v>
      </c>
      <c r="V177" s="42"/>
      <c r="W177" s="42"/>
      <c r="X177" s="42"/>
      <c r="Y177" s="42"/>
      <c r="Z177" s="42"/>
    </row>
    <row r="178" spans="1:26">
      <c r="A178" s="66">
        <v>46300</v>
      </c>
      <c r="B178" s="2" t="s">
        <v>142</v>
      </c>
      <c r="C178" s="38">
        <f>SUM(C177)</f>
        <v>566.06000000000006</v>
      </c>
      <c r="D178" s="38">
        <f>SUM(D177)</f>
        <v>0</v>
      </c>
      <c r="E178" s="38">
        <f>SUM(E177)</f>
        <v>566.06000000000006</v>
      </c>
      <c r="F178" s="78"/>
      <c r="G178" s="38">
        <f>SUM(G177)</f>
        <v>0</v>
      </c>
      <c r="H178" s="38">
        <f>SUM(H177)</f>
        <v>566.06000000000006</v>
      </c>
      <c r="I178" s="38"/>
      <c r="J178" s="38">
        <f>SUM(J177)</f>
        <v>390.00043779293168</v>
      </c>
      <c r="K178" s="38">
        <f>SUM(K177)</f>
        <v>176.05956220706844</v>
      </c>
      <c r="L178" s="79"/>
      <c r="M178" s="79"/>
      <c r="N178" s="38">
        <f>SUM(N177)</f>
        <v>390.00043779293168</v>
      </c>
      <c r="O178" s="38">
        <f>SUM(O177)</f>
        <v>330.90292621254588</v>
      </c>
      <c r="P178" s="38">
        <f>SUM(P177)</f>
        <v>6.1633500797215302</v>
      </c>
      <c r="Q178" s="38">
        <f>SUM(Q177)</f>
        <v>43.866944476622116</v>
      </c>
      <c r="R178" s="38">
        <f>SUM(R177)</f>
        <v>9.0672170240421401</v>
      </c>
      <c r="S178" s="71"/>
      <c r="T178" s="59">
        <f t="shared" si="80"/>
        <v>0</v>
      </c>
      <c r="U178" s="60">
        <f>C178+D178+G178-J178-K178</f>
        <v>0</v>
      </c>
    </row>
    <row r="179" spans="1:26">
      <c r="A179" s="66"/>
      <c r="B179" s="2"/>
      <c r="C179" s="61"/>
      <c r="D179" s="61"/>
      <c r="E179" s="61"/>
      <c r="F179" s="62"/>
      <c r="G179" s="61"/>
      <c r="H179" s="61"/>
      <c r="I179" s="61"/>
      <c r="J179" s="61"/>
      <c r="K179" s="61"/>
      <c r="L179" s="3"/>
      <c r="M179" s="3"/>
      <c r="N179" s="61"/>
      <c r="O179" s="61"/>
      <c r="P179" s="61"/>
      <c r="Q179" s="61"/>
      <c r="R179" s="61"/>
      <c r="U179" s="43"/>
    </row>
    <row r="180" spans="1:26">
      <c r="A180" s="63">
        <v>46400</v>
      </c>
      <c r="B180" s="48" t="s">
        <v>145</v>
      </c>
      <c r="C180" s="50"/>
      <c r="D180" s="51"/>
      <c r="E180" s="51"/>
      <c r="F180" s="52"/>
      <c r="G180" s="51"/>
      <c r="H180" s="51"/>
      <c r="I180" s="51"/>
      <c r="J180" s="50"/>
      <c r="K180" s="50"/>
      <c r="L180" s="53"/>
      <c r="M180" s="53"/>
      <c r="N180" s="50"/>
      <c r="O180" s="50"/>
      <c r="P180" s="50"/>
      <c r="Q180" s="50"/>
      <c r="R180" s="50"/>
      <c r="S180" s="53"/>
      <c r="T180" s="54"/>
      <c r="U180" s="55"/>
    </row>
    <row r="181" spans="1:26">
      <c r="A181" s="31">
        <v>57150</v>
      </c>
      <c r="B181" s="7" t="s">
        <v>145</v>
      </c>
      <c r="C181" s="34">
        <f>IFERROR(VLOOKUP(A181,'Yakima IS'!$B$55:$AF$290,31,FALSE),0)</f>
        <v>39853.83</v>
      </c>
      <c r="D181" s="37"/>
      <c r="E181" s="35">
        <f>SUM(C181:D181)</f>
        <v>39853.83</v>
      </c>
      <c r="G181" s="37"/>
      <c r="H181" s="35">
        <f>C181+D181+G181</f>
        <v>39853.83</v>
      </c>
      <c r="I181" s="35"/>
      <c r="J181" s="34">
        <f>H181*Ratios!$C$70</f>
        <v>27124.368050895031</v>
      </c>
      <c r="K181" s="34">
        <f>H181*Ratios!$D$70</f>
        <v>12729.461949104971</v>
      </c>
      <c r="L181" s="7" t="s">
        <v>37</v>
      </c>
      <c r="M181" s="8">
        <f t="shared" ref="M181" si="91">H181-J181-K181</f>
        <v>0</v>
      </c>
      <c r="N181" s="34">
        <f t="shared" ref="N181" si="92">J181</f>
        <v>27124.368050895031</v>
      </c>
      <c r="O181" s="34">
        <f>N181*Ratios!$D$159</f>
        <v>17904.767510135349</v>
      </c>
      <c r="P181" s="34">
        <f>N181*Ratios!$D$160</f>
        <v>8332.1922385080779</v>
      </c>
      <c r="Q181" s="34">
        <f>N181*Ratios!$D$161</f>
        <v>696.00651156988715</v>
      </c>
      <c r="R181" s="34">
        <f>N181*Ratios!$D$162</f>
        <v>191.40179068171895</v>
      </c>
      <c r="S181" s="7" t="s">
        <v>38</v>
      </c>
      <c r="T181" s="8">
        <f t="shared" si="80"/>
        <v>0</v>
      </c>
      <c r="U181" s="43">
        <f>C181+D181+G181-J181-K181</f>
        <v>0</v>
      </c>
      <c r="V181" s="42"/>
      <c r="W181" s="42"/>
      <c r="X181" s="42"/>
      <c r="Y181" s="42"/>
      <c r="Z181" s="42"/>
    </row>
    <row r="182" spans="1:26">
      <c r="A182" s="66">
        <v>46400</v>
      </c>
      <c r="B182" s="2" t="s">
        <v>145</v>
      </c>
      <c r="C182" s="38">
        <f>SUM(C181:C181)</f>
        <v>39853.83</v>
      </c>
      <c r="D182" s="38">
        <f>SUM(D181:D181)</f>
        <v>0</v>
      </c>
      <c r="E182" s="38">
        <f>SUM(E181:E181)</f>
        <v>39853.83</v>
      </c>
      <c r="F182" s="78"/>
      <c r="G182" s="38">
        <f>SUM(G181:G181)</f>
        <v>0</v>
      </c>
      <c r="H182" s="38">
        <f>SUM(H181:H181)</f>
        <v>39853.83</v>
      </c>
      <c r="I182" s="38"/>
      <c r="J182" s="38">
        <f>SUM(J181:J181)</f>
        <v>27124.368050895031</v>
      </c>
      <c r="K182" s="38">
        <f>SUM(K181:K181)</f>
        <v>12729.461949104971</v>
      </c>
      <c r="L182" s="79"/>
      <c r="M182" s="79"/>
      <c r="N182" s="38">
        <f>SUM(N181:N181)</f>
        <v>27124.368050895031</v>
      </c>
      <c r="O182" s="38">
        <f>SUM(O181:O181)</f>
        <v>17904.767510135349</v>
      </c>
      <c r="P182" s="38">
        <f>SUM(P181:P181)</f>
        <v>8332.1922385080779</v>
      </c>
      <c r="Q182" s="38">
        <f>SUM(Q181:Q181)</f>
        <v>696.00651156988715</v>
      </c>
      <c r="R182" s="38">
        <f>SUM(R181:R181)</f>
        <v>191.40179068171895</v>
      </c>
      <c r="S182" s="71"/>
      <c r="T182" s="59">
        <f t="shared" si="80"/>
        <v>0</v>
      </c>
      <c r="U182" s="60">
        <f>C182+D182+G182-J182-K182</f>
        <v>0</v>
      </c>
    </row>
    <row r="183" spans="1:26">
      <c r="A183" s="66"/>
      <c r="B183" s="2"/>
      <c r="C183" s="61"/>
      <c r="D183" s="61"/>
      <c r="E183" s="61"/>
      <c r="F183" s="62"/>
      <c r="G183" s="61"/>
      <c r="H183" s="61"/>
      <c r="I183" s="61"/>
      <c r="J183" s="61"/>
      <c r="K183" s="61"/>
      <c r="L183" s="3"/>
      <c r="M183" s="3"/>
      <c r="N183" s="61"/>
      <c r="O183" s="61"/>
      <c r="P183" s="61"/>
      <c r="Q183" s="61"/>
      <c r="R183" s="61"/>
      <c r="U183" s="43"/>
    </row>
    <row r="184" spans="1:26">
      <c r="A184" s="63">
        <v>46410</v>
      </c>
      <c r="B184" s="48" t="s">
        <v>146</v>
      </c>
      <c r="C184" s="50"/>
      <c r="D184" s="51"/>
      <c r="E184" s="51"/>
      <c r="F184" s="52"/>
      <c r="G184" s="51"/>
      <c r="H184" s="51"/>
      <c r="I184" s="51"/>
      <c r="J184" s="50"/>
      <c r="K184" s="50"/>
      <c r="L184" s="53"/>
      <c r="M184" s="53"/>
      <c r="N184" s="50"/>
      <c r="O184" s="50"/>
      <c r="P184" s="50"/>
      <c r="Q184" s="50"/>
      <c r="R184" s="50"/>
      <c r="S184" s="53"/>
      <c r="T184" s="54"/>
      <c r="U184" s="55"/>
    </row>
    <row r="185" spans="1:26">
      <c r="A185" s="31">
        <v>70165</v>
      </c>
      <c r="B185" s="7" t="s">
        <v>146</v>
      </c>
      <c r="C185" s="34">
        <f>IFERROR(VLOOKUP(A185,'Yakima IS'!$B$55:$AF$290,31,FALSE),0)</f>
        <v>9775.67</v>
      </c>
      <c r="D185" s="37"/>
      <c r="E185" s="35">
        <f>SUM(C185:D185)</f>
        <v>9775.67</v>
      </c>
      <c r="G185" s="37"/>
      <c r="H185" s="35">
        <f>C185+D185+G185</f>
        <v>9775.67</v>
      </c>
      <c r="I185" s="35"/>
      <c r="J185" s="34">
        <f>H185*Ratios!$C$42</f>
        <v>8207.211808654818</v>
      </c>
      <c r="K185" s="34">
        <f>H185*Ratios!$D$42</f>
        <v>1568.4581913451811</v>
      </c>
      <c r="L185" s="7" t="s">
        <v>108</v>
      </c>
      <c r="M185" s="8">
        <f t="shared" ref="M185" si="93">H185-J185-K185</f>
        <v>0</v>
      </c>
      <c r="N185" s="34">
        <f t="shared" ref="N185" si="94">J185</f>
        <v>8207.211808654818</v>
      </c>
      <c r="O185" s="34">
        <f>N185*Ratios!$E$150</f>
        <v>6963.5573203432468</v>
      </c>
      <c r="P185" s="34">
        <f>N185*Ratios!$D$151</f>
        <v>129.70221223705747</v>
      </c>
      <c r="Q185" s="34">
        <f>N185*Ratios!$D$152</f>
        <v>923.14077070162546</v>
      </c>
      <c r="R185" s="34">
        <f>N185*Ratios!$D$153</f>
        <v>190.81150537288798</v>
      </c>
      <c r="S185" s="7" t="s">
        <v>109</v>
      </c>
      <c r="T185" s="8">
        <f t="shared" si="80"/>
        <v>0</v>
      </c>
      <c r="U185" s="43">
        <f>C185+D185+G185-J185-K185</f>
        <v>0</v>
      </c>
      <c r="V185" s="42"/>
      <c r="W185" s="42"/>
      <c r="X185" s="42"/>
      <c r="Y185" s="42"/>
      <c r="Z185" s="42"/>
    </row>
    <row r="186" spans="1:26">
      <c r="A186" s="66">
        <v>46410</v>
      </c>
      <c r="B186" s="2" t="s">
        <v>146</v>
      </c>
      <c r="C186" s="38">
        <f>SUM(C185:C185)</f>
        <v>9775.67</v>
      </c>
      <c r="D186" s="38">
        <f>SUM(D185:D185)</f>
        <v>0</v>
      </c>
      <c r="E186" s="38">
        <f>SUM(E185:E185)</f>
        <v>9775.67</v>
      </c>
      <c r="F186" s="78"/>
      <c r="G186" s="38">
        <f>SUM(G185:G185)</f>
        <v>0</v>
      </c>
      <c r="H186" s="38">
        <f>SUM(H185:H185)</f>
        <v>9775.67</v>
      </c>
      <c r="I186" s="38"/>
      <c r="J186" s="38">
        <f>SUM(J185:J185)</f>
        <v>8207.211808654818</v>
      </c>
      <c r="K186" s="38">
        <f>SUM(K185:K185)</f>
        <v>1568.4581913451811</v>
      </c>
      <c r="L186" s="79"/>
      <c r="M186" s="79"/>
      <c r="N186" s="38">
        <f>SUM(N185:N185)</f>
        <v>8207.211808654818</v>
      </c>
      <c r="O186" s="38">
        <f>SUM(O185:O185)</f>
        <v>6963.5573203432468</v>
      </c>
      <c r="P186" s="38">
        <f>SUM(P185:P185)</f>
        <v>129.70221223705747</v>
      </c>
      <c r="Q186" s="38">
        <f>SUM(Q185:Q185)</f>
        <v>923.14077070162546</v>
      </c>
      <c r="R186" s="38">
        <f>SUM(R185:R185)</f>
        <v>190.81150537288798</v>
      </c>
      <c r="S186" s="71"/>
      <c r="T186" s="59">
        <f t="shared" si="80"/>
        <v>0</v>
      </c>
      <c r="U186" s="60">
        <f>C186+D186+G186-J186-K186</f>
        <v>0</v>
      </c>
    </row>
    <row r="187" spans="1:26">
      <c r="A187" s="66"/>
      <c r="B187" s="2"/>
      <c r="C187" s="61"/>
      <c r="D187" s="61"/>
      <c r="E187" s="61"/>
      <c r="F187" s="62"/>
      <c r="G187" s="61"/>
      <c r="H187" s="61"/>
      <c r="I187" s="61"/>
      <c r="J187" s="61"/>
      <c r="K187" s="61"/>
      <c r="L187" s="3"/>
      <c r="M187" s="3"/>
      <c r="N187" s="61"/>
      <c r="O187" s="61"/>
      <c r="P187" s="61"/>
      <c r="Q187" s="61"/>
      <c r="R187" s="61"/>
      <c r="U187" s="43"/>
    </row>
    <row r="188" spans="1:26">
      <c r="A188" s="63">
        <v>46500</v>
      </c>
      <c r="B188" s="48" t="s">
        <v>147</v>
      </c>
      <c r="C188" s="50"/>
      <c r="D188" s="51"/>
      <c r="E188" s="51"/>
      <c r="F188" s="52"/>
      <c r="G188" s="51"/>
      <c r="H188" s="51"/>
      <c r="I188" s="51"/>
      <c r="J188" s="50"/>
      <c r="K188" s="50"/>
      <c r="L188" s="53"/>
      <c r="M188" s="53"/>
      <c r="N188" s="50"/>
      <c r="O188" s="50"/>
      <c r="P188" s="50"/>
      <c r="Q188" s="50"/>
      <c r="R188" s="50"/>
      <c r="S188" s="53"/>
      <c r="T188" s="54"/>
      <c r="U188" s="55"/>
    </row>
    <row r="189" spans="1:26">
      <c r="A189" s="31">
        <v>50060</v>
      </c>
      <c r="B189" s="7" t="s">
        <v>148</v>
      </c>
      <c r="C189" s="34">
        <f>IFERROR(VLOOKUP(A189,'Yakima IS'!$B$55:$AF$290,31,FALSE),0)</f>
        <v>460569.95000000007</v>
      </c>
      <c r="D189" s="35"/>
      <c r="E189" s="35">
        <f>SUM(C189:D189)</f>
        <v>460569.95000000007</v>
      </c>
      <c r="G189" s="37"/>
      <c r="H189" s="35">
        <f>C189+D189+G189</f>
        <v>460569.95000000007</v>
      </c>
      <c r="I189" s="35"/>
      <c r="J189" s="34">
        <f>H189*Ratios!$C$70</f>
        <v>313462.19013285107</v>
      </c>
      <c r="K189" s="34">
        <f>H189*Ratios!$D$70</f>
        <v>147107.75986714903</v>
      </c>
      <c r="L189" s="7" t="s">
        <v>37</v>
      </c>
      <c r="M189" s="8">
        <f t="shared" ref="M189:M193" si="95">H189-J189-K189</f>
        <v>0</v>
      </c>
      <c r="N189" s="34">
        <f t="shared" ref="N189:N193" si="96">J189</f>
        <v>313462.19013285107</v>
      </c>
      <c r="O189" s="34">
        <f>N189*Ratios!$D$159</f>
        <v>206916.06997130925</v>
      </c>
      <c r="P189" s="34">
        <f>N189*Ratios!$D$160</f>
        <v>96290.804740223321</v>
      </c>
      <c r="Q189" s="34">
        <f>N189*Ratios!$D$161</f>
        <v>8043.3846441713986</v>
      </c>
      <c r="R189" s="34">
        <f>N189*Ratios!$D$162</f>
        <v>2211.9307771471344</v>
      </c>
      <c r="S189" s="7" t="s">
        <v>38</v>
      </c>
      <c r="T189" s="8">
        <f t="shared" si="80"/>
        <v>0</v>
      </c>
      <c r="U189" s="43">
        <f t="shared" ref="U189:U194" si="97">C189+D189+G189-J189-K189</f>
        <v>0</v>
      </c>
      <c r="V189" s="42"/>
      <c r="W189" s="42"/>
      <c r="X189" s="42"/>
      <c r="Y189" s="42"/>
      <c r="Z189" s="42"/>
    </row>
    <row r="190" spans="1:26">
      <c r="A190" s="31">
        <v>52060</v>
      </c>
      <c r="B190" s="7" t="s">
        <v>148</v>
      </c>
      <c r="C190" s="34">
        <f>IFERROR(VLOOKUP(A190,'Yakima IS'!$B$55:$AF$290,31,FALSE),0)</f>
        <v>78437.98</v>
      </c>
      <c r="D190" s="37"/>
      <c r="E190" s="35">
        <f>SUM(C190:D190)</f>
        <v>78437.98</v>
      </c>
      <c r="G190" s="37"/>
      <c r="H190" s="35">
        <f>C190+D190+G190</f>
        <v>78437.98</v>
      </c>
      <c r="I190" s="35"/>
      <c r="J190" s="34">
        <f>H190*Ratios!$C$70</f>
        <v>53384.596629451757</v>
      </c>
      <c r="K190" s="34">
        <f>H190*Ratios!$D$70</f>
        <v>25053.383370548243</v>
      </c>
      <c r="L190" s="7" t="s">
        <v>37</v>
      </c>
      <c r="M190" s="8">
        <f t="shared" si="95"/>
        <v>0</v>
      </c>
      <c r="N190" s="34">
        <f t="shared" si="96"/>
        <v>53384.596629451757</v>
      </c>
      <c r="O190" s="34">
        <f>N190*Ratios!$D$159</f>
        <v>35239.117441526854</v>
      </c>
      <c r="P190" s="34">
        <f>N190*Ratios!$D$160</f>
        <v>16398.934008607248</v>
      </c>
      <c r="Q190" s="34">
        <f>N190*Ratios!$D$161</f>
        <v>1369.8393563275745</v>
      </c>
      <c r="R190" s="34">
        <f>N190*Ratios!$D$162</f>
        <v>376.70582299008294</v>
      </c>
      <c r="S190" s="7" t="s">
        <v>38</v>
      </c>
      <c r="T190" s="8">
        <f t="shared" si="80"/>
        <v>0</v>
      </c>
      <c r="U190" s="43">
        <f t="shared" si="97"/>
        <v>0</v>
      </c>
      <c r="V190" s="42"/>
      <c r="W190" s="42"/>
      <c r="X190" s="42"/>
      <c r="Y190" s="42"/>
      <c r="Z190" s="42"/>
    </row>
    <row r="191" spans="1:26">
      <c r="A191" s="31">
        <v>55060</v>
      </c>
      <c r="B191" s="7" t="s">
        <v>148</v>
      </c>
      <c r="C191" s="34">
        <f>IFERROR(VLOOKUP(A191,'Yakima IS'!$B$55:$AF$290,31,FALSE),0)</f>
        <v>11903.12</v>
      </c>
      <c r="D191" s="37"/>
      <c r="E191" s="35">
        <f>SUM(C191:D191)</f>
        <v>11903.12</v>
      </c>
      <c r="G191" s="37"/>
      <c r="H191" s="35">
        <f>C191+D191+G191</f>
        <v>11903.12</v>
      </c>
      <c r="I191" s="35"/>
      <c r="J191" s="34">
        <f>H191*Ratios!$C$70</f>
        <v>8101.2190756564587</v>
      </c>
      <c r="K191" s="34">
        <f>H191*Ratios!$D$70</f>
        <v>3801.9009243435416</v>
      </c>
      <c r="L191" s="7" t="s">
        <v>37</v>
      </c>
      <c r="M191" s="8">
        <f t="shared" si="95"/>
        <v>0</v>
      </c>
      <c r="N191" s="34">
        <f t="shared" si="96"/>
        <v>8101.2190756564587</v>
      </c>
      <c r="O191" s="34">
        <f>N191*Ratios!$D$159</f>
        <v>5347.6063968065873</v>
      </c>
      <c r="P191" s="34">
        <f>N191*Ratios!$D$160</f>
        <v>2488.5709623900707</v>
      </c>
      <c r="Q191" s="34">
        <f>N191*Ratios!$D$161</f>
        <v>207.87585604690327</v>
      </c>
      <c r="R191" s="34">
        <f>N191*Ratios!$D$162</f>
        <v>57.165860412898397</v>
      </c>
      <c r="S191" s="7" t="s">
        <v>38</v>
      </c>
      <c r="T191" s="8">
        <f t="shared" si="80"/>
        <v>0</v>
      </c>
      <c r="U191" s="43">
        <f t="shared" si="97"/>
        <v>0</v>
      </c>
      <c r="V191" s="42"/>
      <c r="W191" s="42"/>
      <c r="X191" s="42"/>
      <c r="Y191" s="42"/>
      <c r="Z191" s="42"/>
    </row>
    <row r="192" spans="1:26">
      <c r="A192" s="31">
        <v>56060</v>
      </c>
      <c r="B192" s="7" t="s">
        <v>148</v>
      </c>
      <c r="C192" s="34">
        <f>IFERROR(VLOOKUP(A192,'Yakima IS'!$B$55:$AF$290,31,FALSE),0)</f>
        <v>16102.619999999999</v>
      </c>
      <c r="D192" s="85"/>
      <c r="E192" s="35">
        <f>SUM(C192:D192)</f>
        <v>16102.619999999999</v>
      </c>
      <c r="G192" s="35"/>
      <c r="H192" s="35">
        <f>C192+D192+G192</f>
        <v>16102.619999999999</v>
      </c>
      <c r="I192" s="35"/>
      <c r="J192" s="34">
        <f>H192*Ratios!$C$70</f>
        <v>10959.383112330817</v>
      </c>
      <c r="K192" s="34">
        <f>H192*Ratios!$D$70</f>
        <v>5143.2368876691817</v>
      </c>
      <c r="L192" s="7" t="s">
        <v>37</v>
      </c>
      <c r="M192" s="8">
        <f t="shared" si="95"/>
        <v>0</v>
      </c>
      <c r="N192" s="34">
        <f>J192</f>
        <v>10959.383112330817</v>
      </c>
      <c r="O192" s="34">
        <f>N192*Ratios!$D$159</f>
        <v>7234.2775438158797</v>
      </c>
      <c r="P192" s="34">
        <f>N192*Ratios!$D$160</f>
        <v>3366.5553695503027</v>
      </c>
      <c r="Q192" s="34">
        <f>N192*Ratios!$D$161</f>
        <v>281.21584232520428</v>
      </c>
      <c r="R192" s="34">
        <f>N192*Ratios!$D$162</f>
        <v>77.334356639431164</v>
      </c>
      <c r="S192" s="7" t="s">
        <v>38</v>
      </c>
      <c r="T192" s="8">
        <f>SUM(O192:R192)-N192</f>
        <v>0</v>
      </c>
      <c r="U192" s="43">
        <f t="shared" si="97"/>
        <v>0</v>
      </c>
      <c r="V192" s="42"/>
      <c r="W192" s="42"/>
      <c r="X192" s="42"/>
      <c r="Y192" s="42"/>
      <c r="Z192" s="42"/>
    </row>
    <row r="193" spans="1:26">
      <c r="A193" s="31">
        <v>70060</v>
      </c>
      <c r="B193" s="7" t="s">
        <v>148</v>
      </c>
      <c r="C193" s="34">
        <f>IFERROR(VLOOKUP(A193,'Yakima IS'!$B$55:$AF$290,31,FALSE),0)</f>
        <v>97918.52</v>
      </c>
      <c r="D193" s="85"/>
      <c r="E193" s="35">
        <f>SUM(C193:D193)</f>
        <v>97918.52</v>
      </c>
      <c r="G193" s="37"/>
      <c r="H193" s="35">
        <f>C193+D193+G193</f>
        <v>97918.52</v>
      </c>
      <c r="I193" s="35"/>
      <c r="J193" s="34">
        <f>H193*Ratios!$C$42</f>
        <v>82207.974863104319</v>
      </c>
      <c r="K193" s="34">
        <f>H193*Ratios!$D$42</f>
        <v>15710.545136895675</v>
      </c>
      <c r="L193" s="7" t="s">
        <v>108</v>
      </c>
      <c r="M193" s="8">
        <f t="shared" si="95"/>
        <v>0</v>
      </c>
      <c r="N193" s="34">
        <f t="shared" si="96"/>
        <v>82207.974863104319</v>
      </c>
      <c r="O193" s="34">
        <f>N193*Ratios!$D$159</f>
        <v>54265.399829448354</v>
      </c>
      <c r="P193" s="34">
        <f>N193*Ratios!$D$160</f>
        <v>25253.03626659876</v>
      </c>
      <c r="Q193" s="34">
        <f>N193*Ratios!$D$161</f>
        <v>2109.4421702409468</v>
      </c>
      <c r="R193" s="34">
        <f>N193*Ratios!$D$162</f>
        <v>580.09659681626033</v>
      </c>
      <c r="S193" s="7" t="s">
        <v>38</v>
      </c>
      <c r="T193" s="8">
        <f t="shared" si="80"/>
        <v>0</v>
      </c>
      <c r="U193" s="43">
        <f t="shared" si="97"/>
        <v>0</v>
      </c>
      <c r="V193" s="42"/>
      <c r="W193" s="42"/>
      <c r="X193" s="42"/>
      <c r="Y193" s="42"/>
      <c r="Z193" s="42"/>
    </row>
    <row r="194" spans="1:26">
      <c r="A194" s="66">
        <v>46500</v>
      </c>
      <c r="B194" s="2" t="s">
        <v>147</v>
      </c>
      <c r="C194" s="38">
        <f>SUM(C189:C193)</f>
        <v>664932.19000000006</v>
      </c>
      <c r="D194" s="38">
        <f>SUM(D189:D193)</f>
        <v>0</v>
      </c>
      <c r="E194" s="38">
        <f>SUM(E189:E193)</f>
        <v>664932.19000000006</v>
      </c>
      <c r="F194" s="78"/>
      <c r="G194" s="38">
        <f>SUM(G189:G193)</f>
        <v>0</v>
      </c>
      <c r="H194" s="38">
        <f>SUM(H189:H193)</f>
        <v>664932.19000000006</v>
      </c>
      <c r="I194" s="38"/>
      <c r="J194" s="38">
        <f>SUM(J189:J193)</f>
        <v>468115.36381339445</v>
      </c>
      <c r="K194" s="38">
        <f>SUM(K189:K193)</f>
        <v>196816.82618660567</v>
      </c>
      <c r="L194" s="79"/>
      <c r="M194" s="79"/>
      <c r="N194" s="38">
        <f>SUM(N189:N193)</f>
        <v>468115.36381339445</v>
      </c>
      <c r="O194" s="38">
        <f>SUM(O189:O193)</f>
        <v>309002.47118290694</v>
      </c>
      <c r="P194" s="38">
        <f>SUM(P189:P193)</f>
        <v>143797.90134736971</v>
      </c>
      <c r="Q194" s="38">
        <f>SUM(Q189:Q193)</f>
        <v>12011.757869112027</v>
      </c>
      <c r="R194" s="38">
        <f>SUM(R189:R193)</f>
        <v>3303.2334140058074</v>
      </c>
      <c r="S194" s="71"/>
      <c r="T194" s="59">
        <f t="shared" si="80"/>
        <v>0</v>
      </c>
      <c r="U194" s="60">
        <f t="shared" si="97"/>
        <v>0</v>
      </c>
    </row>
    <row r="195" spans="1:26">
      <c r="C195" s="34"/>
      <c r="D195" s="37"/>
      <c r="E195" s="37"/>
      <c r="G195" s="37"/>
      <c r="H195" s="37"/>
      <c r="I195" s="37"/>
      <c r="J195" s="34"/>
      <c r="K195" s="34"/>
      <c r="N195" s="34"/>
      <c r="O195" s="34"/>
      <c r="P195" s="34"/>
      <c r="Q195" s="34"/>
      <c r="R195" s="34"/>
      <c r="U195" s="43"/>
    </row>
    <row r="196" spans="1:26">
      <c r="A196" s="63">
        <v>46510</v>
      </c>
      <c r="B196" s="48" t="s">
        <v>150</v>
      </c>
      <c r="C196" s="50"/>
      <c r="D196" s="51"/>
      <c r="E196" s="51"/>
      <c r="F196" s="52"/>
      <c r="G196" s="51"/>
      <c r="H196" s="51"/>
      <c r="I196" s="51"/>
      <c r="J196" s="50"/>
      <c r="K196" s="50"/>
      <c r="L196" s="53"/>
      <c r="M196" s="53"/>
      <c r="N196" s="50"/>
      <c r="O196" s="50"/>
      <c r="P196" s="50"/>
      <c r="Q196" s="50"/>
      <c r="R196" s="50"/>
      <c r="S196" s="53"/>
      <c r="T196" s="54"/>
      <c r="U196" s="55"/>
    </row>
    <row r="197" spans="1:26">
      <c r="A197" s="31">
        <v>50115</v>
      </c>
      <c r="B197" s="7" t="s">
        <v>150</v>
      </c>
      <c r="C197" s="34">
        <f>IFERROR(VLOOKUP(A197,'Yakima IS'!$B$55:$AF$290,31,FALSE),0)</f>
        <v>36245.08</v>
      </c>
      <c r="D197" s="37"/>
      <c r="E197" s="35">
        <f t="shared" ref="E197:E201" si="98">SUM(C197:D197)</f>
        <v>36245.08</v>
      </c>
      <c r="G197" s="37"/>
      <c r="H197" s="35">
        <f t="shared" ref="H197:H201" si="99">C197+D197+G197</f>
        <v>36245.08</v>
      </c>
      <c r="I197" s="35"/>
      <c r="J197" s="34">
        <f>H197*Ratios!$C$70</f>
        <v>24668.266260837026</v>
      </c>
      <c r="K197" s="34">
        <f>H197*Ratios!$D$70</f>
        <v>11576.813739162977</v>
      </c>
      <c r="L197" s="7" t="s">
        <v>37</v>
      </c>
      <c r="M197" s="8">
        <f t="shared" ref="M197:M201" si="100">H197-J197-K197</f>
        <v>0</v>
      </c>
      <c r="N197" s="34">
        <f t="shared" ref="N197:N200" si="101">J197</f>
        <v>24668.266260837026</v>
      </c>
      <c r="O197" s="34">
        <f>N197*Ratios!$D$159</f>
        <v>16283.49723944365</v>
      </c>
      <c r="P197" s="34">
        <f>N197*Ratios!$D$160</f>
        <v>7577.715222353896</v>
      </c>
      <c r="Q197" s="34">
        <f>N197*Ratios!$D$161</f>
        <v>632.98337179567159</v>
      </c>
      <c r="R197" s="34">
        <f>N197*Ratios!$D$162</f>
        <v>174.07042724380966</v>
      </c>
      <c r="S197" s="7" t="s">
        <v>38</v>
      </c>
      <c r="T197" s="8">
        <f t="shared" si="80"/>
        <v>0</v>
      </c>
      <c r="U197" s="43">
        <f t="shared" ref="U197:U202" si="102">C197+D197+G197-J197-K197</f>
        <v>0</v>
      </c>
      <c r="V197" s="42"/>
      <c r="W197" s="42"/>
      <c r="X197" s="42"/>
      <c r="Y197" s="42"/>
      <c r="Z197" s="42"/>
    </row>
    <row r="198" spans="1:26">
      <c r="A198" s="31">
        <v>52115</v>
      </c>
      <c r="B198" s="7" t="s">
        <v>150</v>
      </c>
      <c r="C198" s="34">
        <f>IFERROR(VLOOKUP(A198,'Yakima IS'!$B$55:$AF$290,31,FALSE),0)</f>
        <v>360.95000000000005</v>
      </c>
      <c r="D198" s="37"/>
      <c r="E198" s="35">
        <f t="shared" si="98"/>
        <v>360.95000000000005</v>
      </c>
      <c r="G198" s="37"/>
      <c r="H198" s="35">
        <f t="shared" si="99"/>
        <v>360.95000000000005</v>
      </c>
      <c r="I198" s="35"/>
      <c r="J198" s="34">
        <f>H198*Ratios!$C$70</f>
        <v>245.66122372606503</v>
      </c>
      <c r="K198" s="34">
        <f>H198*Ratios!$D$70</f>
        <v>115.28877627393503</v>
      </c>
      <c r="L198" s="7" t="s">
        <v>37</v>
      </c>
      <c r="M198" s="8">
        <f t="shared" si="100"/>
        <v>0</v>
      </c>
      <c r="N198" s="34">
        <f t="shared" si="101"/>
        <v>245.66122372606503</v>
      </c>
      <c r="O198" s="34">
        <f>N198*Ratios!$D$159</f>
        <v>162.16072163662452</v>
      </c>
      <c r="P198" s="34">
        <f>N198*Ratios!$D$160</f>
        <v>75.463381775088891</v>
      </c>
      <c r="Q198" s="34">
        <f>N198*Ratios!$D$161</f>
        <v>6.3036237759620795</v>
      </c>
      <c r="R198" s="34">
        <f>N198*Ratios!$D$162</f>
        <v>1.7334965383895717</v>
      </c>
      <c r="S198" s="7" t="s">
        <v>38</v>
      </c>
      <c r="T198" s="8">
        <f t="shared" si="80"/>
        <v>0</v>
      </c>
      <c r="U198" s="43">
        <f t="shared" si="102"/>
        <v>0</v>
      </c>
      <c r="V198" s="42"/>
      <c r="W198" s="42"/>
      <c r="X198" s="42"/>
      <c r="Y198" s="42"/>
      <c r="Z198" s="42"/>
    </row>
    <row r="199" spans="1:26">
      <c r="A199" s="31">
        <v>56115</v>
      </c>
      <c r="B199" s="7" t="s">
        <v>150</v>
      </c>
      <c r="C199" s="34">
        <f>IFERROR(VLOOKUP(A199,'Yakima IS'!$B$55:$AF$290,31,FALSE),0)</f>
        <v>2999.1300000000006</v>
      </c>
      <c r="D199" s="37"/>
      <c r="E199" s="35">
        <f t="shared" si="98"/>
        <v>2999.1300000000006</v>
      </c>
      <c r="G199" s="37"/>
      <c r="H199" s="35">
        <f t="shared" si="99"/>
        <v>2999.1300000000006</v>
      </c>
      <c r="I199" s="35"/>
      <c r="J199" s="34">
        <f>H199*Ratios!$C$70</f>
        <v>2041.1966918231153</v>
      </c>
      <c r="K199" s="34">
        <f>H199*Ratios!$D$70</f>
        <v>957.93330817688536</v>
      </c>
      <c r="L199" s="7" t="s">
        <v>37</v>
      </c>
      <c r="M199" s="8">
        <f t="shared" si="100"/>
        <v>0</v>
      </c>
      <c r="N199" s="34">
        <f t="shared" si="101"/>
        <v>2041.1966918231153</v>
      </c>
      <c r="O199" s="34">
        <f>N199*Ratios!$D$159</f>
        <v>1347.3918412025203</v>
      </c>
      <c r="P199" s="34">
        <f>N199*Ratios!$D$160</f>
        <v>627.02449697498923</v>
      </c>
      <c r="Q199" s="34">
        <f>N199*Ratios!$D$161</f>
        <v>52.376747957338004</v>
      </c>
      <c r="R199" s="34">
        <f>N199*Ratios!$D$162</f>
        <v>14.40360568826795</v>
      </c>
      <c r="S199" s="7" t="s">
        <v>38</v>
      </c>
      <c r="T199" s="8">
        <f t="shared" si="80"/>
        <v>0</v>
      </c>
      <c r="U199" s="43">
        <f t="shared" si="102"/>
        <v>0</v>
      </c>
      <c r="V199" s="42"/>
      <c r="W199" s="42"/>
      <c r="X199" s="42"/>
      <c r="Y199" s="42"/>
      <c r="Z199" s="42"/>
    </row>
    <row r="200" spans="1:26">
      <c r="A200" s="31">
        <v>70116</v>
      </c>
      <c r="B200" s="7" t="s">
        <v>150</v>
      </c>
      <c r="C200" s="34">
        <f>IFERROR(VLOOKUP(A200,'Yakima IS'!$B$55:$AF$290,31,FALSE),0)</f>
        <v>12547.189999999999</v>
      </c>
      <c r="D200" s="37"/>
      <c r="E200" s="35">
        <f t="shared" si="98"/>
        <v>12547.189999999999</v>
      </c>
      <c r="G200" s="37"/>
      <c r="H200" s="35">
        <f t="shared" si="99"/>
        <v>12547.189999999999</v>
      </c>
      <c r="I200" s="35"/>
      <c r="J200" s="34">
        <f>H200*Ratios!$C$42</f>
        <v>10534.055050286644</v>
      </c>
      <c r="K200" s="34">
        <f>H200*Ratios!$D$42</f>
        <v>2013.1349497133538</v>
      </c>
      <c r="L200" s="7" t="s">
        <v>108</v>
      </c>
      <c r="M200" s="8">
        <f t="shared" si="100"/>
        <v>0</v>
      </c>
      <c r="N200" s="34">
        <f t="shared" si="101"/>
        <v>10534.055050286644</v>
      </c>
      <c r="O200" s="34">
        <f>N200*Ratios!$D$159</f>
        <v>6953.5189266142506</v>
      </c>
      <c r="P200" s="34">
        <f>N200*Ratios!$D$160</f>
        <v>3235.9010748314545</v>
      </c>
      <c r="Q200" s="34">
        <f>N200*Ratios!$D$161</f>
        <v>270.30199909093295</v>
      </c>
      <c r="R200" s="34">
        <f>N200*Ratios!$D$162</f>
        <v>74.333049750006566</v>
      </c>
      <c r="S200" s="7" t="s">
        <v>38</v>
      </c>
      <c r="T200" s="8">
        <f t="shared" si="80"/>
        <v>0</v>
      </c>
      <c r="U200" s="43">
        <f t="shared" si="102"/>
        <v>0</v>
      </c>
      <c r="V200" s="42"/>
      <c r="W200" s="42"/>
      <c r="X200" s="42"/>
      <c r="Y200" s="42"/>
      <c r="Z200" s="42"/>
    </row>
    <row r="201" spans="1:26">
      <c r="A201" s="31">
        <v>70117</v>
      </c>
      <c r="B201" s="7" t="s">
        <v>150</v>
      </c>
      <c r="C201" s="34">
        <f>IFERROR(VLOOKUP(A201,'Yakima IS'!$B$55:$AF$290,31,FALSE),0)</f>
        <v>-267.57</v>
      </c>
      <c r="D201" s="37"/>
      <c r="E201" s="35">
        <f t="shared" si="98"/>
        <v>-267.57</v>
      </c>
      <c r="G201" s="37"/>
      <c r="H201" s="35">
        <f t="shared" si="99"/>
        <v>-267.57</v>
      </c>
      <c r="I201" s="35"/>
      <c r="J201" s="34">
        <f>H201*Ratios!$C$42</f>
        <v>-224.63970895516826</v>
      </c>
      <c r="K201" s="34">
        <f>H201*Ratios!$D$42</f>
        <v>-42.930291044831719</v>
      </c>
      <c r="L201" s="7" t="s">
        <v>108</v>
      </c>
      <c r="M201" s="8">
        <f t="shared" si="100"/>
        <v>0</v>
      </c>
      <c r="N201" s="34">
        <f t="shared" ref="N201" si="103">J201</f>
        <v>-224.63970895516826</v>
      </c>
      <c r="O201" s="34">
        <f>N201*Ratios!$D$159</f>
        <v>-148.28444131269035</v>
      </c>
      <c r="P201" s="34">
        <f>N201*Ratios!$D$160</f>
        <v>-69.005893000157997</v>
      </c>
      <c r="Q201" s="34">
        <f>N201*Ratios!$D$161</f>
        <v>-5.7642154057411217</v>
      </c>
      <c r="R201" s="34">
        <f>N201*Ratios!$D$162</f>
        <v>-1.5851592365788083</v>
      </c>
      <c r="S201" s="7" t="s">
        <v>38</v>
      </c>
      <c r="T201" s="8">
        <f t="shared" ref="T201" si="104">SUM(O201:R201)-N201</f>
        <v>0</v>
      </c>
      <c r="U201" s="43">
        <f t="shared" ref="U201" si="105">C201+D201+G201-J201-K201</f>
        <v>0</v>
      </c>
      <c r="V201" s="42"/>
      <c r="W201" s="42"/>
      <c r="X201" s="42"/>
      <c r="Y201" s="42"/>
      <c r="Z201" s="42"/>
    </row>
    <row r="202" spans="1:26">
      <c r="A202" s="66">
        <v>46510</v>
      </c>
      <c r="B202" s="2" t="s">
        <v>150</v>
      </c>
      <c r="C202" s="38">
        <f t="shared" ref="C202:H202" si="106">SUM(C197:C201)</f>
        <v>51884.779999999992</v>
      </c>
      <c r="D202" s="38">
        <f t="shared" si="106"/>
        <v>0</v>
      </c>
      <c r="E202" s="38">
        <f t="shared" si="106"/>
        <v>51884.779999999992</v>
      </c>
      <c r="F202" s="38">
        <f t="shared" si="106"/>
        <v>0</v>
      </c>
      <c r="G202" s="38">
        <f t="shared" si="106"/>
        <v>0</v>
      </c>
      <c r="H202" s="38">
        <f t="shared" si="106"/>
        <v>51884.779999999992</v>
      </c>
      <c r="I202" s="38"/>
      <c r="J202" s="38">
        <f>SUM(J197:J201)</f>
        <v>37264.539517717683</v>
      </c>
      <c r="K202" s="38">
        <f>SUM(K197:K201)</f>
        <v>14620.240482282321</v>
      </c>
      <c r="L202" s="79"/>
      <c r="M202" s="79"/>
      <c r="N202" s="38">
        <f>SUM(N197:N201)</f>
        <v>37264.539517717683</v>
      </c>
      <c r="O202" s="38">
        <f>SUM(O197:O201)</f>
        <v>24598.284287584353</v>
      </c>
      <c r="P202" s="38">
        <f>SUM(P197:P201)</f>
        <v>11447.098282935271</v>
      </c>
      <c r="Q202" s="38">
        <f>SUM(Q197:Q201)</f>
        <v>956.20152721416355</v>
      </c>
      <c r="R202" s="38">
        <f>SUM(R197:R201)</f>
        <v>262.95541998389496</v>
      </c>
      <c r="S202" s="71"/>
      <c r="T202" s="59">
        <f t="shared" si="80"/>
        <v>0</v>
      </c>
      <c r="U202" s="60">
        <f t="shared" si="102"/>
        <v>0</v>
      </c>
    </row>
    <row r="203" spans="1:26">
      <c r="A203" s="66"/>
      <c r="B203" s="2"/>
      <c r="C203" s="61"/>
      <c r="D203" s="61"/>
      <c r="E203" s="61"/>
      <c r="F203" s="62"/>
      <c r="G203" s="34"/>
      <c r="H203" s="61"/>
      <c r="I203" s="61"/>
      <c r="J203" s="61"/>
      <c r="K203" s="61"/>
      <c r="L203" s="3"/>
      <c r="M203" s="3"/>
      <c r="N203" s="61"/>
      <c r="O203" s="61"/>
      <c r="P203" s="61"/>
      <c r="Q203" s="61"/>
      <c r="R203" s="61"/>
      <c r="U203" s="43"/>
    </row>
    <row r="204" spans="1:26">
      <c r="A204" s="63">
        <v>46700</v>
      </c>
      <c r="B204" s="48" t="s">
        <v>151</v>
      </c>
      <c r="C204" s="50"/>
      <c r="D204" s="51"/>
      <c r="E204" s="51"/>
      <c r="F204" s="52"/>
      <c r="G204" s="51"/>
      <c r="H204" s="51"/>
      <c r="I204" s="51"/>
      <c r="J204" s="50"/>
      <c r="K204" s="50"/>
      <c r="L204" s="53"/>
      <c r="M204" s="53"/>
      <c r="N204" s="50"/>
      <c r="O204" s="50"/>
      <c r="P204" s="50"/>
      <c r="Q204" s="50"/>
      <c r="R204" s="50"/>
      <c r="S204" s="53"/>
      <c r="T204" s="54"/>
      <c r="U204" s="55"/>
    </row>
    <row r="205" spans="1:26">
      <c r="A205" s="31">
        <v>70310</v>
      </c>
      <c r="B205" s="7" t="s">
        <v>152</v>
      </c>
      <c r="C205" s="34">
        <f>IFERROR(VLOOKUP(A205,'Yakima IS'!$B$55:$AF$290,31,FALSE),0)</f>
        <v>60267.770000000004</v>
      </c>
      <c r="D205" s="85">
        <f>'Restating Adj''s'!W56</f>
        <v>-498.89000000001397</v>
      </c>
      <c r="E205" s="85">
        <f>SUM(C205:D205)</f>
        <v>59768.87999999999</v>
      </c>
      <c r="F205" s="1253" t="s">
        <v>127</v>
      </c>
      <c r="G205" s="37"/>
      <c r="H205" s="35">
        <f>C205+D205+G205</f>
        <v>59768.87999999999</v>
      </c>
      <c r="I205" s="35"/>
      <c r="J205" s="34">
        <f>H205*Ratios!C55</f>
        <v>45586.183525140077</v>
      </c>
      <c r="K205" s="34">
        <f>H205-J205</f>
        <v>14182.696474859913</v>
      </c>
      <c r="L205" s="7" t="s">
        <v>154</v>
      </c>
      <c r="M205" s="8">
        <f t="shared" ref="M205" si="107">H205-J205-K205</f>
        <v>0</v>
      </c>
      <c r="N205" s="34">
        <f t="shared" ref="N205" si="108">J205</f>
        <v>45586.183525140077</v>
      </c>
      <c r="O205" s="34">
        <f>$N$205*O21</f>
        <v>29203.670372773875</v>
      </c>
      <c r="P205" s="34">
        <f>$N$205*P21</f>
        <v>14551.221354167141</v>
      </c>
      <c r="Q205" s="34">
        <f>$N$205*Q21</f>
        <v>1513.5016753963112</v>
      </c>
      <c r="R205" s="34">
        <f>$N$205*R21</f>
        <v>317.79012280274225</v>
      </c>
      <c r="S205" s="7" t="s">
        <v>105</v>
      </c>
      <c r="T205" s="8">
        <f t="shared" si="80"/>
        <v>0</v>
      </c>
      <c r="U205" s="43">
        <f>C205+D205+G205-J205-K205</f>
        <v>0</v>
      </c>
    </row>
    <row r="206" spans="1:26">
      <c r="A206" s="66">
        <v>46700</v>
      </c>
      <c r="B206" s="2" t="s">
        <v>155</v>
      </c>
      <c r="C206" s="38">
        <f>SUM(C205:C205)</f>
        <v>60267.770000000004</v>
      </c>
      <c r="D206" s="38">
        <f>SUM(D205:D205)</f>
        <v>-498.89000000001397</v>
      </c>
      <c r="E206" s="38">
        <f>SUM(E205:E205)</f>
        <v>59768.87999999999</v>
      </c>
      <c r="F206" s="78"/>
      <c r="G206" s="38">
        <f>SUM(G205:G205)</f>
        <v>0</v>
      </c>
      <c r="H206" s="38">
        <f>SUM(H205:H205)</f>
        <v>59768.87999999999</v>
      </c>
      <c r="I206" s="38"/>
      <c r="J206" s="38">
        <f>SUM(J205:J205)</f>
        <v>45586.183525140077</v>
      </c>
      <c r="K206" s="38">
        <f>SUM(K205:K205)</f>
        <v>14182.696474859913</v>
      </c>
      <c r="L206" s="79"/>
      <c r="M206" s="79"/>
      <c r="N206" s="38">
        <f>SUM(N205:N205)</f>
        <v>45586.183525140077</v>
      </c>
      <c r="O206" s="38">
        <f>SUM(O205:O205)</f>
        <v>29203.670372773875</v>
      </c>
      <c r="P206" s="38">
        <f>SUM(P205:P205)</f>
        <v>14551.221354167141</v>
      </c>
      <c r="Q206" s="38">
        <f>SUM(Q205:Q205)</f>
        <v>1513.5016753963112</v>
      </c>
      <c r="R206" s="38">
        <f>SUM(R205:R205)</f>
        <v>317.79012280274225</v>
      </c>
      <c r="S206" s="71"/>
      <c r="T206" s="59">
        <f t="shared" si="80"/>
        <v>0</v>
      </c>
      <c r="U206" s="60">
        <f>C206+D206+G206-J206-K206</f>
        <v>0</v>
      </c>
    </row>
    <row r="207" spans="1:26">
      <c r="A207" s="66"/>
      <c r="B207" s="2"/>
      <c r="C207" s="61"/>
      <c r="D207" s="61"/>
      <c r="E207" s="61"/>
      <c r="F207" s="62"/>
      <c r="G207" s="61"/>
      <c r="H207" s="61"/>
      <c r="I207" s="61"/>
      <c r="J207" s="61"/>
      <c r="K207" s="61"/>
      <c r="L207" s="3"/>
      <c r="M207" s="3"/>
      <c r="N207" s="61"/>
      <c r="O207" s="61"/>
      <c r="P207" s="61"/>
      <c r="Q207" s="61"/>
      <c r="R207" s="61"/>
      <c r="U207" s="43"/>
    </row>
    <row r="208" spans="1:26">
      <c r="A208" s="63">
        <v>46900</v>
      </c>
      <c r="B208" s="48" t="s">
        <v>156</v>
      </c>
      <c r="C208" s="50"/>
      <c r="D208" s="51"/>
      <c r="E208" s="51"/>
      <c r="F208" s="52"/>
      <c r="G208" s="51"/>
      <c r="H208" s="51"/>
      <c r="I208" s="51"/>
      <c r="J208" s="50"/>
      <c r="K208" s="50"/>
      <c r="L208" s="53"/>
      <c r="M208" s="53"/>
      <c r="N208" s="50"/>
      <c r="O208" s="50"/>
      <c r="P208" s="50"/>
      <c r="Q208" s="50"/>
      <c r="R208" s="50"/>
      <c r="S208" s="53"/>
      <c r="T208" s="54"/>
      <c r="U208" s="55"/>
    </row>
    <row r="209" spans="1:26">
      <c r="A209" s="31">
        <v>56095</v>
      </c>
      <c r="B209" s="7" t="s">
        <v>157</v>
      </c>
      <c r="C209" s="34">
        <f>IFERROR(VLOOKUP(A209,'Yakima IS'!$B$55:$AF$290,31,FALSE),0)</f>
        <v>75.989999999999995</v>
      </c>
      <c r="D209" s="37"/>
      <c r="E209" s="35">
        <f t="shared" ref="E209:E232" si="109">SUM(C209:D209)</f>
        <v>75.989999999999995</v>
      </c>
      <c r="F209" s="1253"/>
      <c r="G209" s="37"/>
      <c r="H209" s="35">
        <f t="shared" ref="H209:H232" si="110">C209+D209+G209</f>
        <v>75.989999999999995</v>
      </c>
      <c r="I209" s="35"/>
      <c r="J209" s="34">
        <f>H209*Ratios!$C$70</f>
        <v>51.718510571945359</v>
      </c>
      <c r="K209" s="34">
        <f>H209*Ratios!$D$70</f>
        <v>24.271489428054636</v>
      </c>
      <c r="L209" s="7" t="s">
        <v>37</v>
      </c>
      <c r="M209" s="8">
        <f t="shared" ref="M209:M232" si="111">H209-J209-K209</f>
        <v>0</v>
      </c>
      <c r="N209" s="34">
        <f t="shared" ref="N209:N232" si="112">J209</f>
        <v>51.718510571945359</v>
      </c>
      <c r="O209" s="34">
        <f>N209*Ratios!$D$159</f>
        <v>34.139335745025882</v>
      </c>
      <c r="P209" s="34">
        <f>N209*Ratios!$D$160</f>
        <v>15.887137778332189</v>
      </c>
      <c r="Q209" s="34">
        <f>N209*Ratios!$D$161</f>
        <v>1.3270878812449323</v>
      </c>
      <c r="R209" s="34">
        <f>N209*Ratios!$D$162</f>
        <v>0.36494916734235633</v>
      </c>
      <c r="S209" s="7" t="s">
        <v>38</v>
      </c>
      <c r="T209" s="8">
        <f t="shared" si="80"/>
        <v>0</v>
      </c>
      <c r="U209" s="43">
        <f t="shared" ref="U209:U233" si="113">C209+D209+G209-J209-K209</f>
        <v>0</v>
      </c>
    </row>
    <row r="210" spans="1:26">
      <c r="A210" s="31">
        <v>56108</v>
      </c>
      <c r="B210" s="81" t="s">
        <v>158</v>
      </c>
      <c r="C210" s="34">
        <f>IFERROR(VLOOKUP(A210,'Yakima IS'!$B$55:$AF$290,31,FALSE),0)</f>
        <v>617.67999999999995</v>
      </c>
      <c r="D210" s="35">
        <f>'Restating Adj''s'!D63</f>
        <v>-617.67999999999995</v>
      </c>
      <c r="E210" s="35">
        <f t="shared" si="109"/>
        <v>0</v>
      </c>
      <c r="F210" s="1253" t="s">
        <v>162</v>
      </c>
      <c r="G210" s="37"/>
      <c r="H210" s="35">
        <f t="shared" si="110"/>
        <v>0</v>
      </c>
      <c r="I210" s="35"/>
      <c r="J210" s="34">
        <f>H210*Ratios!$C$70</f>
        <v>0</v>
      </c>
      <c r="K210" s="34">
        <f>H210*Ratios!$D$70</f>
        <v>0</v>
      </c>
      <c r="L210" s="7" t="s">
        <v>37</v>
      </c>
      <c r="M210" s="8">
        <f t="shared" si="111"/>
        <v>0</v>
      </c>
      <c r="N210" s="34">
        <f t="shared" si="112"/>
        <v>0</v>
      </c>
      <c r="O210" s="34">
        <f>N210*Ratios!$D$159</f>
        <v>0</v>
      </c>
      <c r="P210" s="34">
        <f>N210*Ratios!$D$160</f>
        <v>0</v>
      </c>
      <c r="Q210" s="34">
        <f>N210*Ratios!$D$161</f>
        <v>0</v>
      </c>
      <c r="R210" s="34">
        <f>N210*Ratios!$D$162</f>
        <v>0</v>
      </c>
      <c r="S210" s="7" t="s">
        <v>38</v>
      </c>
      <c r="T210" s="8">
        <f t="shared" si="80"/>
        <v>0</v>
      </c>
      <c r="U210" s="43">
        <f t="shared" si="113"/>
        <v>0</v>
      </c>
    </row>
    <row r="211" spans="1:26">
      <c r="A211" s="31">
        <v>56201</v>
      </c>
      <c r="B211" s="7" t="s">
        <v>159</v>
      </c>
      <c r="C211" s="34">
        <f>IFERROR(VLOOKUP(A211,'Yakima IS'!$B$55:$AF$290,31,FALSE),0)</f>
        <v>99.81</v>
      </c>
      <c r="D211" s="37"/>
      <c r="E211" s="35">
        <f t="shared" si="109"/>
        <v>99.81</v>
      </c>
      <c r="F211" s="1253"/>
      <c r="G211" s="37"/>
      <c r="H211" s="35">
        <f t="shared" si="110"/>
        <v>99.81</v>
      </c>
      <c r="I211" s="35"/>
      <c r="J211" s="34">
        <f>H211*Ratios!$C$70</f>
        <v>67.930313727936138</v>
      </c>
      <c r="K211" s="34">
        <f>H211*Ratios!$D$70</f>
        <v>31.879686272063868</v>
      </c>
      <c r="L211" s="7" t="s">
        <v>37</v>
      </c>
      <c r="M211" s="8">
        <f t="shared" si="111"/>
        <v>0</v>
      </c>
      <c r="N211" s="34">
        <f t="shared" si="112"/>
        <v>67.930313727936138</v>
      </c>
      <c r="O211" s="34">
        <f>N211*Ratios!$D$159</f>
        <v>44.840730368614743</v>
      </c>
      <c r="P211" s="34">
        <f>N211*Ratios!$D$160</f>
        <v>20.867156489739912</v>
      </c>
      <c r="Q211" s="34">
        <f>N211*Ratios!$D$161</f>
        <v>1.7430798977109714</v>
      </c>
      <c r="R211" s="34">
        <f>N211*Ratios!$D$162</f>
        <v>0.47934697187051711</v>
      </c>
      <c r="S211" s="7" t="s">
        <v>38</v>
      </c>
      <c r="T211" s="8">
        <f t="shared" si="80"/>
        <v>0</v>
      </c>
      <c r="U211" s="43">
        <f t="shared" si="113"/>
        <v>0</v>
      </c>
    </row>
    <row r="212" spans="1:26">
      <c r="A212" s="31">
        <v>70095</v>
      </c>
      <c r="B212" s="7" t="s">
        <v>160</v>
      </c>
      <c r="C212" s="34">
        <f>IFERROR(VLOOKUP(A212,'Yakima IS'!$B$55:$AF$290,31,FALSE),0)</f>
        <v>10289.119999999999</v>
      </c>
      <c r="D212" s="35">
        <f>'Restating Adj''s'!D64</f>
        <v>-218</v>
      </c>
      <c r="E212" s="35">
        <f t="shared" si="109"/>
        <v>10071.119999999999</v>
      </c>
      <c r="F212" s="1253" t="s">
        <v>162</v>
      </c>
      <c r="G212" s="37"/>
      <c r="H212" s="35">
        <f t="shared" si="110"/>
        <v>10071.119999999999</v>
      </c>
      <c r="I212" s="35"/>
      <c r="J212" s="34">
        <f>H212*Ratios!$C$70</f>
        <v>6854.3667086633814</v>
      </c>
      <c r="K212" s="34">
        <f>H212*Ratios!$D$70</f>
        <v>3216.7532913366181</v>
      </c>
      <c r="L212" s="7" t="s">
        <v>37</v>
      </c>
      <c r="M212" s="8">
        <f t="shared" si="111"/>
        <v>0</v>
      </c>
      <c r="N212" s="34">
        <f t="shared" si="112"/>
        <v>6854.3667086633814</v>
      </c>
      <c r="O212" s="34">
        <f>N212*Ratios!$D$159</f>
        <v>4524.5604291149502</v>
      </c>
      <c r="P212" s="34">
        <f>N212*Ratios!$D$160</f>
        <v>2105.556928834279</v>
      </c>
      <c r="Q212" s="34">
        <f>N212*Ratios!$D$161</f>
        <v>175.88184369737417</v>
      </c>
      <c r="R212" s="34">
        <f>N212*Ratios!$D$162</f>
        <v>48.367507016777893</v>
      </c>
      <c r="S212" s="7" t="s">
        <v>38</v>
      </c>
      <c r="T212" s="8">
        <f t="shared" si="80"/>
        <v>0</v>
      </c>
      <c r="U212" s="43">
        <f t="shared" si="113"/>
        <v>0</v>
      </c>
      <c r="V212" s="42"/>
      <c r="W212" s="42"/>
      <c r="X212" s="42"/>
      <c r="Y212" s="42"/>
      <c r="Z212" s="42"/>
    </row>
    <row r="213" spans="1:26">
      <c r="A213" s="31">
        <v>70105</v>
      </c>
      <c r="B213" s="7" t="s">
        <v>163</v>
      </c>
      <c r="C213" s="34">
        <f>IFERROR(VLOOKUP(A213,'Yakima IS'!$B$55:$AF$290,31,FALSE),0)</f>
        <v>3721.9500000000003</v>
      </c>
      <c r="D213" s="65"/>
      <c r="E213" s="35">
        <f t="shared" si="109"/>
        <v>3721.9500000000003</v>
      </c>
      <c r="F213" s="1253"/>
      <c r="G213" s="37"/>
      <c r="H213" s="35">
        <f t="shared" si="110"/>
        <v>3721.9500000000003</v>
      </c>
      <c r="I213" s="35"/>
      <c r="J213" s="34">
        <f>H213*Ratios!$C$70</f>
        <v>2533.1452878438222</v>
      </c>
      <c r="K213" s="34">
        <f>H213*Ratios!$D$70</f>
        <v>1188.8047121561779</v>
      </c>
      <c r="L213" s="7" t="s">
        <v>37</v>
      </c>
      <c r="M213" s="8">
        <f t="shared" si="111"/>
        <v>0</v>
      </c>
      <c r="N213" s="34">
        <f t="shared" si="112"/>
        <v>2533.1452878438222</v>
      </c>
      <c r="O213" s="34">
        <f>N213*Ratios!$D$159</f>
        <v>1672.1266045032123</v>
      </c>
      <c r="P213" s="34">
        <f>N213*Ratios!$D$160</f>
        <v>778.1436038171272</v>
      </c>
      <c r="Q213" s="34">
        <f>N213*Ratios!$D$161</f>
        <v>65.000062371359078</v>
      </c>
      <c r="R213" s="34">
        <f>N213*Ratios!$D$162</f>
        <v>17.875017152123746</v>
      </c>
      <c r="S213" s="7" t="s">
        <v>38</v>
      </c>
      <c r="T213" s="8">
        <f t="shared" si="80"/>
        <v>0</v>
      </c>
      <c r="U213" s="43">
        <f t="shared" si="113"/>
        <v>0</v>
      </c>
    </row>
    <row r="214" spans="1:26">
      <c r="A214" s="31">
        <v>70108</v>
      </c>
      <c r="B214" s="7" t="s">
        <v>158</v>
      </c>
      <c r="C214" s="34">
        <f>IFERROR(VLOOKUP(A214,'Yakima IS'!$B$55:$AF$290,31,FALSE),0)</f>
        <v>3087.04</v>
      </c>
      <c r="D214" s="35">
        <f>'Restating Adj''s'!D65</f>
        <v>-3087.04</v>
      </c>
      <c r="E214" s="35">
        <f t="shared" si="109"/>
        <v>0</v>
      </c>
      <c r="F214" s="1253" t="s">
        <v>162</v>
      </c>
      <c r="G214" s="37"/>
      <c r="H214" s="35">
        <f t="shared" si="110"/>
        <v>0</v>
      </c>
      <c r="I214" s="35"/>
      <c r="J214" s="34">
        <f>H214*Ratios!$C$23</f>
        <v>0</v>
      </c>
      <c r="K214" s="34">
        <f>H214*Ratios!$D$23</f>
        <v>0</v>
      </c>
      <c r="L214" s="7" t="s">
        <v>24</v>
      </c>
      <c r="M214" s="8">
        <f t="shared" si="111"/>
        <v>0</v>
      </c>
      <c r="N214" s="34">
        <f t="shared" si="112"/>
        <v>0</v>
      </c>
      <c r="O214" s="34">
        <f>N214*Ratios!$D$159</f>
        <v>0</v>
      </c>
      <c r="P214" s="34">
        <f>N214*Ratios!$D$160</f>
        <v>0</v>
      </c>
      <c r="Q214" s="34">
        <f>N214*Ratios!$D$161</f>
        <v>0</v>
      </c>
      <c r="R214" s="34">
        <f>N214*Ratios!$D$162</f>
        <v>0</v>
      </c>
      <c r="S214" s="7" t="s">
        <v>38</v>
      </c>
      <c r="T214" s="8">
        <f t="shared" si="80"/>
        <v>0</v>
      </c>
      <c r="U214" s="43">
        <f t="shared" si="113"/>
        <v>0</v>
      </c>
    </row>
    <row r="215" spans="1:26">
      <c r="A215" s="31">
        <v>70110</v>
      </c>
      <c r="B215" s="7" t="s">
        <v>164</v>
      </c>
      <c r="C215" s="34">
        <f>IFERROR(VLOOKUP(A215,'Yakima IS'!$B$55:$AF$290,31,FALSE),0)</f>
        <v>3668</v>
      </c>
      <c r="D215" s="35">
        <f>'Restating Adj''s'!D66</f>
        <v>-3668</v>
      </c>
      <c r="E215" s="35">
        <f t="shared" si="109"/>
        <v>0</v>
      </c>
      <c r="F215" s="1253" t="s">
        <v>162</v>
      </c>
      <c r="G215" s="37"/>
      <c r="H215" s="35">
        <f t="shared" si="110"/>
        <v>0</v>
      </c>
      <c r="I215" s="35"/>
      <c r="J215" s="34"/>
      <c r="K215" s="34">
        <f>H215</f>
        <v>0</v>
      </c>
      <c r="L215" s="7" t="s">
        <v>24</v>
      </c>
      <c r="M215" s="8">
        <f t="shared" si="111"/>
        <v>0</v>
      </c>
      <c r="N215" s="34">
        <f t="shared" si="112"/>
        <v>0</v>
      </c>
      <c r="O215" s="34">
        <f>N215*Ratios!$D$159</f>
        <v>0</v>
      </c>
      <c r="P215" s="34">
        <f>N215*Ratios!$D$160</f>
        <v>0</v>
      </c>
      <c r="Q215" s="34">
        <f>N215*Ratios!$D$161</f>
        <v>0</v>
      </c>
      <c r="R215" s="34">
        <f>N215*Ratios!$D$162</f>
        <v>0</v>
      </c>
      <c r="S215" s="7" t="s">
        <v>38</v>
      </c>
      <c r="T215" s="8">
        <f t="shared" si="80"/>
        <v>0</v>
      </c>
      <c r="U215" s="43">
        <f t="shared" si="113"/>
        <v>0</v>
      </c>
    </row>
    <row r="216" spans="1:26">
      <c r="A216" s="31">
        <v>70112</v>
      </c>
      <c r="B216" s="7" t="s">
        <v>165</v>
      </c>
      <c r="C216" s="34">
        <f>IFERROR(VLOOKUP(A216,'Yakima IS'!$B$55:$AF$290,31,FALSE),0)</f>
        <v>1500</v>
      </c>
      <c r="D216" s="35">
        <f>'Restating Adj''s'!D67</f>
        <v>-1500</v>
      </c>
      <c r="E216" s="35">
        <f t="shared" si="109"/>
        <v>0</v>
      </c>
      <c r="F216" s="1253" t="s">
        <v>162</v>
      </c>
      <c r="G216" s="35"/>
      <c r="H216" s="35">
        <f t="shared" si="110"/>
        <v>0</v>
      </c>
      <c r="I216" s="35"/>
      <c r="J216" s="34"/>
      <c r="K216" s="34"/>
      <c r="L216" s="7" t="s">
        <v>24</v>
      </c>
      <c r="M216" s="8">
        <f t="shared" si="111"/>
        <v>0</v>
      </c>
      <c r="N216" s="34">
        <f t="shared" si="112"/>
        <v>0</v>
      </c>
      <c r="O216" s="34">
        <f>N216*Ratios!$D$159</f>
        <v>0</v>
      </c>
      <c r="P216" s="34">
        <f>N216*Ratios!$D$160</f>
        <v>0</v>
      </c>
      <c r="Q216" s="34">
        <f>N216*Ratios!$D$161</f>
        <v>0</v>
      </c>
      <c r="R216" s="34">
        <f>N216*Ratios!$D$162</f>
        <v>0</v>
      </c>
      <c r="S216" s="7" t="s">
        <v>38</v>
      </c>
      <c r="T216" s="8">
        <f t="shared" si="80"/>
        <v>0</v>
      </c>
      <c r="U216" s="43">
        <f t="shared" si="113"/>
        <v>0</v>
      </c>
    </row>
    <row r="217" spans="1:26">
      <c r="A217" s="31">
        <v>70148</v>
      </c>
      <c r="B217" s="7" t="s">
        <v>166</v>
      </c>
      <c r="C217" s="34">
        <f>IFERROR(VLOOKUP(A217,'Yakima IS'!$B$55:$AF$290,31,FALSE),0)</f>
        <v>58413.84</v>
      </c>
      <c r="D217" s="35">
        <f>'Restating Adj''s'!R57</f>
        <v>-8388.4653903393846</v>
      </c>
      <c r="E217" s="35">
        <f t="shared" si="109"/>
        <v>50025.374609660612</v>
      </c>
      <c r="F217" s="1253" t="s">
        <v>497</v>
      </c>
      <c r="G217" s="37"/>
      <c r="H217" s="35">
        <f t="shared" si="110"/>
        <v>50025.374609660612</v>
      </c>
      <c r="I217" s="35"/>
      <c r="J217" s="34">
        <f>H217*Ratios!$C$23</f>
        <v>34466.166128189674</v>
      </c>
      <c r="K217" s="34">
        <f>H217*Ratios!$D$23</f>
        <v>15559.208481470945</v>
      </c>
      <c r="L217" s="7" t="s">
        <v>144</v>
      </c>
      <c r="M217" s="8">
        <f t="shared" si="111"/>
        <v>0</v>
      </c>
      <c r="N217" s="34">
        <f t="shared" si="112"/>
        <v>34466.166128189674</v>
      </c>
      <c r="O217" s="34">
        <f>N217*Ratios!$D$159</f>
        <v>22751.08088538767</v>
      </c>
      <c r="P217" s="34">
        <f>N217*Ratios!$D$160</f>
        <v>10587.480650814863</v>
      </c>
      <c r="Q217" s="34">
        <f>N217*Ratios!$D$161</f>
        <v>884.39575842128932</v>
      </c>
      <c r="R217" s="34">
        <f>N217*Ratios!$D$162</f>
        <v>243.20883356585455</v>
      </c>
      <c r="S217" s="7" t="s">
        <v>38</v>
      </c>
      <c r="T217" s="8">
        <f t="shared" si="80"/>
        <v>0</v>
      </c>
      <c r="U217" s="43">
        <f t="shared" si="113"/>
        <v>0</v>
      </c>
      <c r="V217" s="42"/>
      <c r="W217" s="42"/>
      <c r="X217" s="42"/>
      <c r="Y217" s="42"/>
      <c r="Z217" s="42"/>
    </row>
    <row r="218" spans="1:26">
      <c r="A218" s="31">
        <v>70150</v>
      </c>
      <c r="B218" s="7" t="s">
        <v>145</v>
      </c>
      <c r="C218" s="34">
        <f>IFERROR(VLOOKUP(A218,'Yakima IS'!$B$55:$AF$290,31,FALSE),0)</f>
        <v>277.23</v>
      </c>
      <c r="D218" s="85"/>
      <c r="E218" s="35">
        <f t="shared" ref="E218" si="114">SUM(C218:D218)</f>
        <v>277.23</v>
      </c>
      <c r="F218" s="1253"/>
      <c r="G218" s="454"/>
      <c r="H218" s="35">
        <f t="shared" ref="H218" si="115">C218+D218+G218</f>
        <v>277.23</v>
      </c>
      <c r="I218" s="35"/>
      <c r="J218" s="34">
        <f>H218*Ratios!$C$23</f>
        <v>191.00417158840838</v>
      </c>
      <c r="K218" s="34">
        <f>H218*Ratios!$D$23</f>
        <v>86.225828411591664</v>
      </c>
      <c r="L218" s="7" t="s">
        <v>144</v>
      </c>
      <c r="M218" s="8">
        <f t="shared" si="111"/>
        <v>0</v>
      </c>
      <c r="N218" s="34">
        <f t="shared" ref="N218" si="116">J218</f>
        <v>191.00417158840838</v>
      </c>
      <c r="O218" s="34">
        <f>N218*Ratios!$D$159</f>
        <v>126.08165762017097</v>
      </c>
      <c r="P218" s="34">
        <f>N218*Ratios!$D$160</f>
        <v>58.67356883837472</v>
      </c>
      <c r="Q218" s="34">
        <f>N218*Ratios!$D$161</f>
        <v>4.9011334351864324</v>
      </c>
      <c r="R218" s="34">
        <f>N218*Ratios!$D$162</f>
        <v>1.3478116946762688</v>
      </c>
      <c r="S218" s="7" t="s">
        <v>38</v>
      </c>
      <c r="T218" s="8">
        <f t="shared" ref="T218" si="117">SUM(O218:R218)-N218</f>
        <v>0</v>
      </c>
      <c r="U218" s="43">
        <f t="shared" ref="U218" si="118">C218+D218+G218-J218-K218</f>
        <v>0</v>
      </c>
      <c r="V218" s="42"/>
      <c r="W218" s="42"/>
      <c r="X218" s="42"/>
      <c r="Y218" s="42"/>
      <c r="Z218" s="42"/>
    </row>
    <row r="219" spans="1:26">
      <c r="A219" s="31">
        <v>70167</v>
      </c>
      <c r="B219" s="7" t="s">
        <v>167</v>
      </c>
      <c r="C219" s="34">
        <f>IFERROR(VLOOKUP(A219,'Yakima IS'!$B$55:$AF$290,31,FALSE),0)</f>
        <v>7039.42</v>
      </c>
      <c r="D219" s="35"/>
      <c r="E219" s="35">
        <f t="shared" si="109"/>
        <v>7039.42</v>
      </c>
      <c r="F219" s="1253"/>
      <c r="G219" s="37"/>
      <c r="H219" s="35">
        <f t="shared" si="110"/>
        <v>7039.42</v>
      </c>
      <c r="I219" s="35"/>
      <c r="J219" s="34">
        <f>H219*Ratios!$C$23</f>
        <v>4849.9750588423822</v>
      </c>
      <c r="K219" s="34">
        <f>H219*Ratios!$D$23</f>
        <v>2189.4449411576184</v>
      </c>
      <c r="L219" s="7" t="s">
        <v>144</v>
      </c>
      <c r="M219" s="8">
        <f t="shared" si="111"/>
        <v>0</v>
      </c>
      <c r="N219" s="34">
        <f t="shared" si="112"/>
        <v>4849.9750588423822</v>
      </c>
      <c r="O219" s="34">
        <f>N219*Ratios!$D$159</f>
        <v>3201.4635583615909</v>
      </c>
      <c r="P219" s="34">
        <f>N219*Ratios!$D$160</f>
        <v>1489.8383795124328</v>
      </c>
      <c r="Q219" s="34">
        <f>N219*Ratios!$D$161</f>
        <v>124.44950664184999</v>
      </c>
      <c r="R219" s="34">
        <f>N219*Ratios!$D$162</f>
        <v>34.223614326508745</v>
      </c>
      <c r="S219" s="7" t="s">
        <v>38</v>
      </c>
      <c r="T219" s="8">
        <f t="shared" si="80"/>
        <v>0</v>
      </c>
      <c r="U219" s="43">
        <f t="shared" si="113"/>
        <v>0</v>
      </c>
      <c r="V219" s="42"/>
      <c r="W219" s="42"/>
      <c r="X219" s="42"/>
      <c r="Y219" s="42"/>
      <c r="Z219" s="42"/>
    </row>
    <row r="220" spans="1:26">
      <c r="A220" s="31">
        <v>70175</v>
      </c>
      <c r="B220" s="7" t="s">
        <v>66</v>
      </c>
      <c r="C220" s="34">
        <f>IFERROR(VLOOKUP(A220,'Yakima IS'!$B$55:$AF$290,31,FALSE),0)</f>
        <v>1665.57</v>
      </c>
      <c r="D220" s="35"/>
      <c r="E220" s="35">
        <f t="shared" si="109"/>
        <v>1665.57</v>
      </c>
      <c r="F220" s="1253"/>
      <c r="G220" s="37"/>
      <c r="H220" s="35">
        <f t="shared" si="110"/>
        <v>1665.57</v>
      </c>
      <c r="I220" s="35"/>
      <c r="J220" s="34">
        <f>H220*Ratios!$C$23</f>
        <v>1147.5338818760788</v>
      </c>
      <c r="K220" s="34">
        <f>H220*Ratios!$D$23</f>
        <v>518.03611812392137</v>
      </c>
      <c r="L220" s="7" t="s">
        <v>144</v>
      </c>
      <c r="M220" s="8">
        <f t="shared" si="111"/>
        <v>0</v>
      </c>
      <c r="N220" s="34">
        <f t="shared" si="112"/>
        <v>1147.5338818760788</v>
      </c>
      <c r="O220" s="34">
        <f>N220*Ratios!$D$159</f>
        <v>757.48593760569975</v>
      </c>
      <c r="P220" s="34">
        <f>N220*Ratios!$D$160</f>
        <v>352.50490946193332</v>
      </c>
      <c r="Q220" s="34">
        <f>N220*Ratios!$D$161</f>
        <v>29.445517496820205</v>
      </c>
      <c r="R220" s="34">
        <f>N220*Ratios!$D$162</f>
        <v>8.0975173116255554</v>
      </c>
      <c r="S220" s="7" t="s">
        <v>38</v>
      </c>
      <c r="T220" s="8">
        <f t="shared" si="80"/>
        <v>0</v>
      </c>
      <c r="U220" s="43">
        <f t="shared" si="113"/>
        <v>0</v>
      </c>
      <c r="V220" s="42"/>
      <c r="W220" s="42"/>
      <c r="X220" s="42"/>
      <c r="Y220" s="42"/>
      <c r="Z220" s="42"/>
    </row>
    <row r="221" spans="1:26">
      <c r="A221" s="31">
        <v>70195</v>
      </c>
      <c r="B221" s="7" t="s">
        <v>168</v>
      </c>
      <c r="C221" s="34">
        <f>IFERROR(VLOOKUP(A221,'Yakima IS'!$B$55:$AF$290,31,FALSE),0)</f>
        <v>7213.17</v>
      </c>
      <c r="D221" s="35">
        <f>'Restating Adj''s'!D68</f>
        <v>-1271</v>
      </c>
      <c r="E221" s="35">
        <f t="shared" si="109"/>
        <v>5942.17</v>
      </c>
      <c r="F221" s="1253" t="s">
        <v>162</v>
      </c>
      <c r="G221" s="37"/>
      <c r="H221" s="35">
        <f t="shared" si="110"/>
        <v>5942.17</v>
      </c>
      <c r="I221" s="35"/>
      <c r="J221" s="34">
        <f>H221*Ratios!$C$23</f>
        <v>4093.9986952620302</v>
      </c>
      <c r="K221" s="34">
        <f>H221*Ratios!$D$23</f>
        <v>1848.1713047379708</v>
      </c>
      <c r="L221" s="7" t="s">
        <v>144</v>
      </c>
      <c r="M221" s="8">
        <f t="shared" si="111"/>
        <v>0</v>
      </c>
      <c r="N221" s="34">
        <f t="shared" si="112"/>
        <v>4093.9986952620302</v>
      </c>
      <c r="O221" s="34">
        <f>N221*Ratios!$D$159</f>
        <v>2702.4443366910195</v>
      </c>
      <c r="P221" s="34">
        <f>N221*Ratios!$D$160</f>
        <v>1257.6139687058583</v>
      </c>
      <c r="Q221" s="34">
        <f>N221*Ratios!$D$161</f>
        <v>105.05128616874711</v>
      </c>
      <c r="R221" s="34">
        <f>N221*Ratios!$D$162</f>
        <v>28.889103696405453</v>
      </c>
      <c r="S221" s="7" t="s">
        <v>38</v>
      </c>
      <c r="T221" s="8">
        <f t="shared" si="80"/>
        <v>0</v>
      </c>
      <c r="U221" s="43">
        <f t="shared" si="113"/>
        <v>0</v>
      </c>
      <c r="V221" s="42"/>
      <c r="W221" s="42"/>
      <c r="X221" s="42"/>
      <c r="Y221" s="42"/>
      <c r="Z221" s="42"/>
    </row>
    <row r="222" spans="1:26">
      <c r="A222" s="31">
        <v>70200</v>
      </c>
      <c r="B222" s="7" t="s">
        <v>170</v>
      </c>
      <c r="C222" s="34">
        <f>IFERROR(VLOOKUP(A222,'Yakima IS'!$B$55:$AF$290,31,FALSE),0)</f>
        <v>2296.4</v>
      </c>
      <c r="D222" s="37"/>
      <c r="E222" s="35">
        <f t="shared" si="109"/>
        <v>2296.4</v>
      </c>
      <c r="F222" s="1253"/>
      <c r="G222" s="37"/>
      <c r="H222" s="35">
        <f t="shared" si="110"/>
        <v>2296.4</v>
      </c>
      <c r="I222" s="35"/>
      <c r="J222" s="34">
        <f>H222*Ratios!$C$70</f>
        <v>1562.9212748705795</v>
      </c>
      <c r="K222" s="34">
        <f>H222*Ratios!$D$70</f>
        <v>733.47872512942058</v>
      </c>
      <c r="L222" s="7" t="s">
        <v>37</v>
      </c>
      <c r="M222" s="8">
        <f t="shared" si="111"/>
        <v>0</v>
      </c>
      <c r="N222" s="34">
        <f t="shared" si="112"/>
        <v>1562.9212748705795</v>
      </c>
      <c r="O222" s="34">
        <f>N222*Ratios!$D$159</f>
        <v>1031.6827293706731</v>
      </c>
      <c r="P222" s="34">
        <f>N222*Ratios!$D$160</f>
        <v>480.10558223663696</v>
      </c>
      <c r="Q222" s="34">
        <f>N222*Ratios!$D$161</f>
        <v>40.104284912368243</v>
      </c>
      <c r="R222" s="34">
        <f>N222*Ratios!$D$162</f>
        <v>11.028678350901266</v>
      </c>
      <c r="S222" s="7" t="s">
        <v>38</v>
      </c>
      <c r="T222" s="8">
        <f t="shared" si="80"/>
        <v>0</v>
      </c>
      <c r="U222" s="43">
        <f t="shared" si="113"/>
        <v>0</v>
      </c>
      <c r="V222" s="42"/>
      <c r="W222" s="42"/>
      <c r="X222" s="42"/>
      <c r="Y222" s="42"/>
      <c r="Z222" s="42"/>
    </row>
    <row r="223" spans="1:26">
      <c r="A223" s="31">
        <v>70201</v>
      </c>
      <c r="B223" s="7" t="s">
        <v>171</v>
      </c>
      <c r="C223" s="34">
        <f>IFERROR(VLOOKUP(A223,'Yakima IS'!$B$55:$AF$290,31,FALSE),0)</f>
        <v>2801.4700000000003</v>
      </c>
      <c r="D223" s="37"/>
      <c r="E223" s="35">
        <f t="shared" si="109"/>
        <v>2801.4700000000003</v>
      </c>
      <c r="F223" s="1253"/>
      <c r="G223" s="37"/>
      <c r="H223" s="35">
        <f t="shared" si="110"/>
        <v>2801.4700000000003</v>
      </c>
      <c r="I223" s="35"/>
      <c r="J223" s="34">
        <f>H223*Ratios!$C$70</f>
        <v>1906.6700330568206</v>
      </c>
      <c r="K223" s="34">
        <f>H223*Ratios!$D$70</f>
        <v>894.79996694317981</v>
      </c>
      <c r="L223" s="7" t="s">
        <v>37</v>
      </c>
      <c r="M223" s="8">
        <f t="shared" si="111"/>
        <v>0</v>
      </c>
      <c r="N223" s="34">
        <f t="shared" si="112"/>
        <v>1906.6700330568206</v>
      </c>
      <c r="O223" s="34">
        <f>N223*Ratios!$D$159</f>
        <v>1258.5909318281049</v>
      </c>
      <c r="P223" s="34">
        <f>N223*Ratios!$D$160</f>
        <v>585.6999588349031</v>
      </c>
      <c r="Q223" s="34">
        <f>N223*Ratios!$D$161</f>
        <v>48.924817563774724</v>
      </c>
      <c r="R223" s="34">
        <f>N223*Ratios!$D$162</f>
        <v>13.454324830038049</v>
      </c>
      <c r="S223" s="7" t="s">
        <v>38</v>
      </c>
      <c r="T223" s="8">
        <f t="shared" si="80"/>
        <v>0</v>
      </c>
      <c r="U223" s="43">
        <f t="shared" si="113"/>
        <v>0</v>
      </c>
      <c r="V223" s="42"/>
      <c r="W223" s="42"/>
      <c r="X223" s="42"/>
      <c r="Y223" s="42"/>
      <c r="Z223" s="42"/>
    </row>
    <row r="224" spans="1:26">
      <c r="A224" s="31">
        <v>70202</v>
      </c>
      <c r="B224" s="7" t="s">
        <v>172</v>
      </c>
      <c r="C224" s="34">
        <f>IFERROR(VLOOKUP(A224,'Yakima IS'!$B$55:$AF$290,31,FALSE),0)</f>
        <v>7403.94</v>
      </c>
      <c r="D224" s="37"/>
      <c r="E224" s="35">
        <f t="shared" si="109"/>
        <v>7403.94</v>
      </c>
      <c r="F224" s="1253"/>
      <c r="G224" s="37"/>
      <c r="H224" s="35">
        <f t="shared" si="110"/>
        <v>7403.94</v>
      </c>
      <c r="I224" s="35"/>
      <c r="J224" s="34">
        <f>H224*Ratios!$C$70</f>
        <v>5039.0939487307423</v>
      </c>
      <c r="K224" s="34">
        <f>H224*Ratios!$D$70</f>
        <v>2364.8460512692568</v>
      </c>
      <c r="L224" s="7" t="s">
        <v>37</v>
      </c>
      <c r="M224" s="8">
        <f t="shared" si="111"/>
        <v>0</v>
      </c>
      <c r="N224" s="34">
        <f t="shared" si="112"/>
        <v>5039.0939487307423</v>
      </c>
      <c r="O224" s="34">
        <f>N224*Ratios!$D$159</f>
        <v>3326.3007434666001</v>
      </c>
      <c r="P224" s="34">
        <f>N224*Ratios!$D$160</f>
        <v>1547.9328185617164</v>
      </c>
      <c r="Q224" s="34">
        <f>N224*Ratios!$D$161</f>
        <v>129.30226408033431</v>
      </c>
      <c r="R224" s="34">
        <f>N224*Ratios!$D$162</f>
        <v>35.558122622091929</v>
      </c>
      <c r="S224" s="7" t="s">
        <v>38</v>
      </c>
      <c r="T224" s="8">
        <f t="shared" si="80"/>
        <v>0</v>
      </c>
      <c r="U224" s="43">
        <f t="shared" si="113"/>
        <v>0</v>
      </c>
      <c r="V224" s="42"/>
      <c r="W224" s="42"/>
      <c r="X224" s="42"/>
      <c r="Y224" s="42"/>
      <c r="Z224" s="42"/>
    </row>
    <row r="225" spans="1:26">
      <c r="A225" s="31">
        <v>70203</v>
      </c>
      <c r="B225" s="7" t="s">
        <v>173</v>
      </c>
      <c r="C225" s="34">
        <f>IFERROR(VLOOKUP(A225,'Yakima IS'!$B$55:$AF$290,31,FALSE),0)</f>
        <v>7034.3399999999992</v>
      </c>
      <c r="D225" s="37"/>
      <c r="E225" s="35">
        <f t="shared" si="109"/>
        <v>7034.3399999999992</v>
      </c>
      <c r="F225" s="1253"/>
      <c r="G225" s="37"/>
      <c r="H225" s="35">
        <f t="shared" si="110"/>
        <v>7034.3399999999992</v>
      </c>
      <c r="I225" s="35"/>
      <c r="J225" s="34">
        <f>H225*Ratios!$C$70</f>
        <v>4787.5455672675107</v>
      </c>
      <c r="K225" s="34">
        <f>H225*Ratios!$D$70</f>
        <v>2246.794432732489</v>
      </c>
      <c r="L225" s="7" t="s">
        <v>37</v>
      </c>
      <c r="M225" s="8">
        <f t="shared" si="111"/>
        <v>0</v>
      </c>
      <c r="N225" s="34">
        <f t="shared" si="112"/>
        <v>4787.5455672675107</v>
      </c>
      <c r="O225" s="34">
        <f>N225*Ratios!$D$159</f>
        <v>3160.2539150502093</v>
      </c>
      <c r="P225" s="34">
        <f>N225*Ratios!$D$160</f>
        <v>1470.6609917046092</v>
      </c>
      <c r="Q225" s="34">
        <f>N225*Ratios!$D$161</f>
        <v>122.84757687270006</v>
      </c>
      <c r="R225" s="34">
        <f>N225*Ratios!$D$162</f>
        <v>33.783083639992512</v>
      </c>
      <c r="S225" s="7" t="s">
        <v>38</v>
      </c>
      <c r="T225" s="8">
        <f t="shared" si="80"/>
        <v>0</v>
      </c>
      <c r="U225" s="43">
        <f t="shared" si="113"/>
        <v>0</v>
      </c>
      <c r="V225" s="42"/>
      <c r="W225" s="42"/>
      <c r="X225" s="42"/>
      <c r="Y225" s="42"/>
      <c r="Z225" s="42"/>
    </row>
    <row r="226" spans="1:26">
      <c r="A226" s="31">
        <v>70205</v>
      </c>
      <c r="B226" s="7" t="s">
        <v>174</v>
      </c>
      <c r="C226" s="34">
        <f>IFERROR(VLOOKUP(A226,'Yakima IS'!$B$55:$AF$290,31,FALSE),0)</f>
        <v>4802.4900000000007</v>
      </c>
      <c r="D226" s="37"/>
      <c r="E226" s="35">
        <f t="shared" si="109"/>
        <v>4802.4900000000007</v>
      </c>
      <c r="F226" s="1253"/>
      <c r="G226" s="37"/>
      <c r="H226" s="35">
        <f t="shared" si="110"/>
        <v>4802.4900000000007</v>
      </c>
      <c r="I226" s="35"/>
      <c r="J226" s="34">
        <f>H226*Ratios!$C$70</f>
        <v>3268.5567816378725</v>
      </c>
      <c r="K226" s="34">
        <f>H226*Ratios!$D$70</f>
        <v>1533.9332183621284</v>
      </c>
      <c r="L226" s="7" t="s">
        <v>37</v>
      </c>
      <c r="M226" s="8">
        <f t="shared" si="111"/>
        <v>0</v>
      </c>
      <c r="N226" s="34">
        <f t="shared" si="112"/>
        <v>3268.5567816378725</v>
      </c>
      <c r="O226" s="34">
        <f>N226*Ratios!$D$159</f>
        <v>2157.5709767354838</v>
      </c>
      <c r="P226" s="34">
        <f>N226*Ratios!$D$160</f>
        <v>1004.0508002245371</v>
      </c>
      <c r="Q226" s="34">
        <f>N226*Ratios!$D$161</f>
        <v>83.87059190419761</v>
      </c>
      <c r="R226" s="34">
        <f>N226*Ratios!$D$162</f>
        <v>23.064412773654343</v>
      </c>
      <c r="S226" s="7" t="s">
        <v>38</v>
      </c>
      <c r="T226" s="8">
        <f t="shared" ref="T226:T270" si="119">SUM(O226:R226)-N226</f>
        <v>0</v>
      </c>
      <c r="U226" s="43">
        <f t="shared" si="113"/>
        <v>0</v>
      </c>
      <c r="V226" s="42"/>
      <c r="W226" s="42"/>
      <c r="X226" s="42"/>
      <c r="Y226" s="42"/>
      <c r="Z226" s="42"/>
    </row>
    <row r="227" spans="1:26">
      <c r="A227" s="31">
        <v>70206</v>
      </c>
      <c r="B227" s="7" t="s">
        <v>299</v>
      </c>
      <c r="C227" s="34">
        <f>IFERROR(VLOOKUP(A227,'Yakima IS'!$B$55:$AF$290,31,FALSE),0)</f>
        <v>1433.38</v>
      </c>
      <c r="D227" s="37"/>
      <c r="E227" s="35">
        <f t="shared" si="109"/>
        <v>1433.38</v>
      </c>
      <c r="F227" s="1253"/>
      <c r="G227" s="37"/>
      <c r="H227" s="35">
        <f t="shared" si="110"/>
        <v>1433.38</v>
      </c>
      <c r="I227" s="35"/>
      <c r="J227" s="34">
        <f>H227*Ratios!$C$70</f>
        <v>975.55308176885183</v>
      </c>
      <c r="K227" s="34">
        <f>H227*Ratios!$D$70</f>
        <v>457.82691823114828</v>
      </c>
      <c r="L227" s="7" t="s">
        <v>37</v>
      </c>
      <c r="M227" s="8">
        <f t="shared" si="111"/>
        <v>0</v>
      </c>
      <c r="N227" s="34">
        <f t="shared" si="112"/>
        <v>975.55308176885183</v>
      </c>
      <c r="O227" s="34">
        <f>N227*Ratios!$D$159</f>
        <v>643.96158797480211</v>
      </c>
      <c r="P227" s="34">
        <f>N227*Ratios!$D$160</f>
        <v>299.67503025010916</v>
      </c>
      <c r="Q227" s="34">
        <f>N227*Ratios!$D$161</f>
        <v>25.032520426620099</v>
      </c>
      <c r="R227" s="34">
        <f>N227*Ratios!$D$162</f>
        <v>6.883943117320527</v>
      </c>
      <c r="S227" s="7" t="s">
        <v>38</v>
      </c>
      <c r="T227" s="8">
        <f t="shared" si="119"/>
        <v>0</v>
      </c>
      <c r="U227" s="43">
        <f t="shared" si="113"/>
        <v>0</v>
      </c>
      <c r="V227" s="42"/>
      <c r="W227" s="42"/>
      <c r="X227" s="42"/>
      <c r="Y227" s="42"/>
      <c r="Z227" s="42"/>
    </row>
    <row r="228" spans="1:26">
      <c r="A228" s="31">
        <v>70207</v>
      </c>
      <c r="B228" s="7" t="s">
        <v>300</v>
      </c>
      <c r="C228" s="34">
        <f>IFERROR(VLOOKUP(A228,'Yakima IS'!$B$55:$AF$290,31,FALSE),0)</f>
        <v>31</v>
      </c>
      <c r="D228" s="36">
        <f>'Restating Adj''s'!D69</f>
        <v>-31</v>
      </c>
      <c r="E228" s="35">
        <f t="shared" ref="E228" si="120">SUM(C228:D228)</f>
        <v>0</v>
      </c>
      <c r="F228" s="1253" t="s">
        <v>162</v>
      </c>
      <c r="G228" s="37"/>
      <c r="H228" s="35">
        <f t="shared" ref="H228" si="121">C228+D228+G228</f>
        <v>0</v>
      </c>
      <c r="I228" s="35"/>
      <c r="J228" s="34">
        <f>H228*Ratios!$C$70</f>
        <v>0</v>
      </c>
      <c r="K228" s="34">
        <f>H228*Ratios!$D$70</f>
        <v>0</v>
      </c>
      <c r="L228" s="7" t="s">
        <v>37</v>
      </c>
      <c r="M228" s="8">
        <f t="shared" si="111"/>
        <v>0</v>
      </c>
      <c r="N228" s="34">
        <f t="shared" ref="N228" si="122">J228</f>
        <v>0</v>
      </c>
      <c r="O228" s="34">
        <f>N228*Ratios!$D$159</f>
        <v>0</v>
      </c>
      <c r="P228" s="34">
        <f>N228*Ratios!$D$160</f>
        <v>0</v>
      </c>
      <c r="Q228" s="34">
        <f>N228*Ratios!$D$161</f>
        <v>0</v>
      </c>
      <c r="R228" s="34">
        <f>N228*Ratios!$D$162</f>
        <v>0</v>
      </c>
      <c r="S228" s="7" t="s">
        <v>38</v>
      </c>
      <c r="T228" s="8">
        <f t="shared" ref="T228" si="123">SUM(O228:R228)-N228</f>
        <v>0</v>
      </c>
      <c r="U228" s="43">
        <f t="shared" ref="U228" si="124">C228+D228+G228-J228-K228</f>
        <v>0</v>
      </c>
      <c r="V228" s="42"/>
      <c r="W228" s="42"/>
      <c r="X228" s="42"/>
      <c r="Y228" s="42"/>
      <c r="Z228" s="42"/>
    </row>
    <row r="229" spans="1:26">
      <c r="A229" s="31">
        <v>70214</v>
      </c>
      <c r="B229" s="7" t="s">
        <v>175</v>
      </c>
      <c r="C229" s="34">
        <f>IFERROR(VLOOKUP(A229,'Yakima IS'!$B$55:$AF$290,31,FALSE),0)</f>
        <v>34170.68</v>
      </c>
      <c r="D229" s="37"/>
      <c r="E229" s="35">
        <f t="shared" si="109"/>
        <v>34170.68</v>
      </c>
      <c r="F229" s="1253"/>
      <c r="G229" s="37"/>
      <c r="H229" s="35">
        <f t="shared" si="110"/>
        <v>34170.68</v>
      </c>
      <c r="I229" s="35"/>
      <c r="J229" s="34">
        <f>H229*Ratios!$C$42</f>
        <v>28688.162387413347</v>
      </c>
      <c r="K229" s="34">
        <f>H229*Ratios!$D$42</f>
        <v>5482.5176125866519</v>
      </c>
      <c r="L229" s="7" t="s">
        <v>108</v>
      </c>
      <c r="M229" s="8">
        <f t="shared" si="111"/>
        <v>0</v>
      </c>
      <c r="N229" s="34">
        <f t="shared" si="112"/>
        <v>28688.162387413347</v>
      </c>
      <c r="O229" s="34">
        <f>N229*Ratios!$D$159</f>
        <v>18937.026546603589</v>
      </c>
      <c r="P229" s="34">
        <f>N229*Ratios!$D$160</f>
        <v>8812.5660119693493</v>
      </c>
      <c r="Q229" s="34">
        <f>N229*Ratios!$D$161</f>
        <v>736.13319909051847</v>
      </c>
      <c r="R229" s="34">
        <f>N229*Ratios!$D$162</f>
        <v>202.43662974989257</v>
      </c>
      <c r="S229" s="7" t="s">
        <v>38</v>
      </c>
      <c r="T229" s="8">
        <f t="shared" si="119"/>
        <v>0</v>
      </c>
      <c r="U229" s="43">
        <f t="shared" si="113"/>
        <v>0</v>
      </c>
      <c r="V229" s="42"/>
      <c r="W229" s="42"/>
      <c r="X229" s="42"/>
      <c r="Y229" s="42"/>
      <c r="Z229" s="42"/>
    </row>
    <row r="230" spans="1:26">
      <c r="A230" s="31">
        <v>70220</v>
      </c>
      <c r="B230" s="7" t="s">
        <v>176</v>
      </c>
      <c r="C230" s="34">
        <f>IFERROR(VLOOKUP(A230,'Yakima IS'!$B$55:$AF$290,31,FALSE),0)</f>
        <v>1100</v>
      </c>
      <c r="D230" s="35">
        <f>'Restating Adj''s'!D70</f>
        <v>-1100</v>
      </c>
      <c r="E230" s="35">
        <f t="shared" si="109"/>
        <v>0</v>
      </c>
      <c r="F230" s="1253" t="s">
        <v>162</v>
      </c>
      <c r="G230" s="37"/>
      <c r="H230" s="35">
        <f t="shared" si="110"/>
        <v>0</v>
      </c>
      <c r="I230" s="35"/>
      <c r="J230" s="34">
        <f>H230*Ratios!$C$23</f>
        <v>0</v>
      </c>
      <c r="K230" s="34">
        <f>H230*Ratios!$D$23</f>
        <v>0</v>
      </c>
      <c r="L230" s="7" t="s">
        <v>144</v>
      </c>
      <c r="M230" s="8">
        <f t="shared" si="111"/>
        <v>0</v>
      </c>
      <c r="N230" s="34">
        <f t="shared" si="112"/>
        <v>0</v>
      </c>
      <c r="O230" s="34">
        <f>N230*Ratios!$D$159</f>
        <v>0</v>
      </c>
      <c r="P230" s="34">
        <f>N230*Ratios!$D$160</f>
        <v>0</v>
      </c>
      <c r="Q230" s="34">
        <f>N230*Ratios!$D$161</f>
        <v>0</v>
      </c>
      <c r="R230" s="34">
        <f>N230*Ratios!$D$162</f>
        <v>0</v>
      </c>
      <c r="S230" s="7" t="s">
        <v>38</v>
      </c>
      <c r="T230" s="8">
        <f t="shared" si="119"/>
        <v>0</v>
      </c>
      <c r="U230" s="43">
        <f t="shared" si="113"/>
        <v>0</v>
      </c>
      <c r="V230" s="42"/>
      <c r="W230" s="42"/>
      <c r="X230" s="42"/>
      <c r="Y230" s="42"/>
      <c r="Z230" s="42"/>
    </row>
    <row r="231" spans="1:26">
      <c r="A231" s="31">
        <v>70231</v>
      </c>
      <c r="B231" s="7" t="s">
        <v>302</v>
      </c>
      <c r="C231" s="34">
        <f>IFERROR(VLOOKUP(A231,'Yakima IS'!$B$55:$AF$290,31,FALSE),0)</f>
        <v>12.99</v>
      </c>
      <c r="D231" s="35"/>
      <c r="E231" s="35">
        <f t="shared" ref="E231" si="125">SUM(C231:D231)</f>
        <v>12.99</v>
      </c>
      <c r="F231" s="1253"/>
      <c r="G231" s="37"/>
      <c r="H231" s="35">
        <f t="shared" ref="H231" si="126">C231+D231+G231</f>
        <v>12.99</v>
      </c>
      <c r="I231" s="35"/>
      <c r="J231" s="34">
        <f>H231*Ratios!$C$70</f>
        <v>8.8409455498035303</v>
      </c>
      <c r="K231" s="34">
        <f>H231*Ratios!$D$70</f>
        <v>4.1490544501964699</v>
      </c>
      <c r="L231" s="7" t="s">
        <v>37</v>
      </c>
      <c r="M231" s="8">
        <f t="shared" si="111"/>
        <v>0</v>
      </c>
      <c r="N231" s="34">
        <f t="shared" ref="N231" si="127">J231</f>
        <v>8.8409455498035303</v>
      </c>
      <c r="O231" s="34">
        <f>N231*Ratios!$D$159</f>
        <v>5.8358990831410225</v>
      </c>
      <c r="P231" s="34">
        <f>N231*Ratios!$D$160</f>
        <v>2.7158036549616416</v>
      </c>
      <c r="Q231" s="34">
        <f>N231*Ratios!$D$161</f>
        <v>0.22685710721636626</v>
      </c>
      <c r="R231" s="34">
        <f>N231*Ratios!$D$162</f>
        <v>6.2385704484500717E-2</v>
      </c>
      <c r="S231" s="7" t="s">
        <v>38</v>
      </c>
      <c r="T231" s="8">
        <f t="shared" ref="T231" si="128">SUM(O231:R231)-N231</f>
        <v>0</v>
      </c>
      <c r="U231" s="43">
        <f t="shared" ref="U231" si="129">C231+D231+G231-J231-K231</f>
        <v>0</v>
      </c>
      <c r="V231" s="42"/>
      <c r="W231" s="42"/>
      <c r="X231" s="42"/>
      <c r="Y231" s="42"/>
      <c r="Z231" s="42"/>
    </row>
    <row r="232" spans="1:26">
      <c r="A232" s="64">
        <v>70255</v>
      </c>
      <c r="B232" s="7" t="s">
        <v>179</v>
      </c>
      <c r="C232" s="34">
        <f>IFERROR(VLOOKUP(A232,'Yakima IS'!$B$55:$AF$290,31,FALSE),0)</f>
        <v>6976.7300000000005</v>
      </c>
      <c r="D232" s="35">
        <f>'Restating Adj''s'!D71</f>
        <v>-4587.2300000000005</v>
      </c>
      <c r="E232" s="35">
        <f t="shared" si="109"/>
        <v>2389.5</v>
      </c>
      <c r="F232" s="1253" t="s">
        <v>162</v>
      </c>
      <c r="G232" s="37"/>
      <c r="H232" s="35">
        <f t="shared" si="110"/>
        <v>2389.5</v>
      </c>
      <c r="I232" s="35"/>
      <c r="J232" s="34">
        <f>H232*Ratios!$C$23</f>
        <v>1646.3025935522917</v>
      </c>
      <c r="K232" s="34">
        <f>H232*Ratios!$D$23</f>
        <v>743.19740644770866</v>
      </c>
      <c r="L232" s="7" t="s">
        <v>144</v>
      </c>
      <c r="M232" s="8">
        <f t="shared" si="111"/>
        <v>0</v>
      </c>
      <c r="N232" s="34">
        <f t="shared" si="112"/>
        <v>1646.3025935522917</v>
      </c>
      <c r="O232" s="34">
        <f>N232*Ratios!$D$159</f>
        <v>1086.7226522504727</v>
      </c>
      <c r="P232" s="34">
        <f>N232*Ratios!$D$160</f>
        <v>505.71905183167905</v>
      </c>
      <c r="Q232" s="34">
        <f>N232*Ratios!$D$161</f>
        <v>42.243834878541215</v>
      </c>
      <c r="R232" s="34">
        <f>N232*Ratios!$D$162</f>
        <v>11.617054591598832</v>
      </c>
      <c r="S232" s="7" t="s">
        <v>38</v>
      </c>
      <c r="T232" s="8">
        <f t="shared" si="119"/>
        <v>0</v>
      </c>
      <c r="U232" s="43">
        <f t="shared" si="113"/>
        <v>0</v>
      </c>
      <c r="V232" s="42"/>
      <c r="W232" s="42"/>
      <c r="X232" s="42"/>
      <c r="Y232" s="42"/>
      <c r="Z232" s="42"/>
    </row>
    <row r="233" spans="1:26">
      <c r="A233" s="66">
        <v>46900</v>
      </c>
      <c r="B233" s="2" t="s">
        <v>156</v>
      </c>
      <c r="C233" s="38">
        <f>SUM(C209:C232)</f>
        <v>165732.24</v>
      </c>
      <c r="D233" s="38">
        <f>SUM(D209:D232)</f>
        <v>-24468.415390339385</v>
      </c>
      <c r="E233" s="38">
        <f>SUM(E209:E232)</f>
        <v>141263.82460966063</v>
      </c>
      <c r="F233" s="78"/>
      <c r="G233" s="38">
        <f>SUM(G212:G232)</f>
        <v>0</v>
      </c>
      <c r="H233" s="38">
        <f>SUM(H209:H232)</f>
        <v>141263.82460966063</v>
      </c>
      <c r="I233" s="38"/>
      <c r="J233" s="38">
        <f>SUM(J209:J232)</f>
        <v>102139.48537041349</v>
      </c>
      <c r="K233" s="38">
        <f>SUM(K209:K232)</f>
        <v>39124.339239247136</v>
      </c>
      <c r="L233" s="79"/>
      <c r="M233" s="79"/>
      <c r="N233" s="38">
        <f>SUM(N209:N232)</f>
        <v>102139.48537041349</v>
      </c>
      <c r="O233" s="38">
        <f>SUM(O209:O232)</f>
        <v>67422.169457761047</v>
      </c>
      <c r="P233" s="38">
        <f>SUM(P209:P232)</f>
        <v>31375.692353521441</v>
      </c>
      <c r="Q233" s="38">
        <f>SUM(Q209:Q232)</f>
        <v>2620.8812228478532</v>
      </c>
      <c r="R233" s="38">
        <f>SUM(R209:R232)</f>
        <v>720.74233628315972</v>
      </c>
      <c r="S233" s="71"/>
      <c r="T233" s="59">
        <f t="shared" si="119"/>
        <v>0</v>
      </c>
      <c r="U233" s="60">
        <f t="shared" si="113"/>
        <v>0</v>
      </c>
    </row>
    <row r="234" spans="1:26">
      <c r="A234" s="66"/>
      <c r="B234" s="2"/>
      <c r="C234" s="61"/>
      <c r="D234" s="61"/>
      <c r="E234" s="61"/>
      <c r="F234" s="62"/>
      <c r="G234" s="61"/>
      <c r="H234" s="61"/>
      <c r="I234" s="61"/>
      <c r="J234" s="61"/>
      <c r="K234" s="61"/>
      <c r="L234" s="3"/>
      <c r="M234" s="3"/>
      <c r="N234" s="61"/>
      <c r="O234" s="61"/>
      <c r="P234" s="61"/>
      <c r="Q234" s="61"/>
      <c r="R234" s="61"/>
      <c r="U234" s="43"/>
    </row>
    <row r="235" spans="1:26">
      <c r="A235" s="63"/>
      <c r="B235" s="48" t="s">
        <v>184</v>
      </c>
      <c r="C235" s="50"/>
      <c r="D235" s="51"/>
      <c r="E235" s="51"/>
      <c r="F235" s="52"/>
      <c r="G235" s="51"/>
      <c r="H235" s="51"/>
      <c r="I235" s="51"/>
      <c r="J235" s="50"/>
      <c r="K235" s="50"/>
      <c r="L235" s="53"/>
      <c r="M235" s="53"/>
      <c r="N235" s="50"/>
      <c r="O235" s="50"/>
      <c r="P235" s="50"/>
      <c r="Q235" s="50"/>
      <c r="R235" s="50"/>
      <c r="S235" s="53"/>
      <c r="T235" s="54"/>
      <c r="U235" s="55"/>
    </row>
    <row r="236" spans="1:26">
      <c r="A236" s="31">
        <v>51260</v>
      </c>
      <c r="B236" s="7" t="s">
        <v>185</v>
      </c>
      <c r="C236" s="34">
        <f>IFERROR(VLOOKUP(A236,'Yakima IS'!$B$55:$AF$290,31,FALSE),0)</f>
        <v>594128.04999999993</v>
      </c>
      <c r="D236" s="35">
        <f>'Restating Adj''s'!V58</f>
        <v>494725.8837709123</v>
      </c>
      <c r="E236" s="35">
        <f t="shared" ref="E236:E242" si="130">SUM(C236:D236)</f>
        <v>1088853.9337709122</v>
      </c>
      <c r="F236" s="1253" t="s">
        <v>104</v>
      </c>
      <c r="G236" s="37"/>
      <c r="H236" s="35">
        <f t="shared" ref="H236:H242" si="131">C236+D236+G236</f>
        <v>1088853.9337709122</v>
      </c>
      <c r="I236" s="35"/>
      <c r="J236" s="86">
        <f>Ratios!D92</f>
        <v>743965.85891131521</v>
      </c>
      <c r="K236" s="86">
        <f>Ratios!E92</f>
        <v>344888.07485959691</v>
      </c>
      <c r="L236" s="7" t="s">
        <v>186</v>
      </c>
      <c r="M236" s="8">
        <f>H236-J236-K236</f>
        <v>0</v>
      </c>
      <c r="N236" s="34">
        <f t="shared" ref="N236:N242" si="132">J236</f>
        <v>743965.85891131521</v>
      </c>
      <c r="O236" s="34">
        <f>+Ratios!D168</f>
        <v>522418.49930748373</v>
      </c>
      <c r="P236" s="34">
        <f>+Ratios!E168</f>
        <v>191306.01042915203</v>
      </c>
      <c r="Q236" s="34">
        <f>+Ratios!F168</f>
        <v>25061.237347212205</v>
      </c>
      <c r="R236" s="34">
        <f>+Ratios!G168</f>
        <v>5180.1118274673363</v>
      </c>
      <c r="S236" s="3" t="s">
        <v>187</v>
      </c>
      <c r="T236" s="8">
        <f t="shared" si="119"/>
        <v>0</v>
      </c>
      <c r="U236" s="43">
        <f t="shared" ref="U236:U243" si="133">C236+D236+G236-J236-K236</f>
        <v>0</v>
      </c>
    </row>
    <row r="237" spans="1:26">
      <c r="A237" s="31">
        <v>54260</v>
      </c>
      <c r="B237" s="7" t="s">
        <v>188</v>
      </c>
      <c r="C237" s="34">
        <f>IFERROR(VLOOKUP(A237,'Yakima IS'!$B$55:$AF$290,31,FALSE),0)</f>
        <v>160510.12</v>
      </c>
      <c r="D237" s="35">
        <f>'Restating Adj''s'!V59</f>
        <v>67282.898027135059</v>
      </c>
      <c r="E237" s="35">
        <f t="shared" si="130"/>
        <v>227793.01802713505</v>
      </c>
      <c r="F237" s="1253" t="s">
        <v>104</v>
      </c>
      <c r="G237" s="37"/>
      <c r="H237" s="35">
        <f t="shared" si="131"/>
        <v>227793.01802713505</v>
      </c>
      <c r="I237" s="35"/>
      <c r="J237" s="86">
        <f>Ratios!D100</f>
        <v>159794.42722719078</v>
      </c>
      <c r="K237" s="86">
        <f>Ratios!E100</f>
        <v>67998.590799944301</v>
      </c>
      <c r="L237" s="7" t="s">
        <v>186</v>
      </c>
      <c r="M237" s="8">
        <f t="shared" ref="M237:M242" si="134">H237-J237-K237</f>
        <v>0</v>
      </c>
      <c r="N237" s="34">
        <f t="shared" si="132"/>
        <v>159794.42722719078</v>
      </c>
      <c r="O237" s="86">
        <f>SUM(Ratios!D169:D172)</f>
        <v>99983.711306510333</v>
      </c>
      <c r="P237" s="86">
        <f>+Ratios!E170</f>
        <v>41664.140806715448</v>
      </c>
      <c r="Q237" s="86">
        <f>SUM(Ratios!F172:F173)</f>
        <v>17582.826212309665</v>
      </c>
      <c r="R237" s="86">
        <f>+Ratios!G174</f>
        <v>563.74890165533009</v>
      </c>
      <c r="S237" s="3" t="s">
        <v>187</v>
      </c>
      <c r="T237" s="8">
        <f t="shared" si="119"/>
        <v>0</v>
      </c>
      <c r="U237" s="43">
        <f t="shared" si="133"/>
        <v>0</v>
      </c>
    </row>
    <row r="238" spans="1:26">
      <c r="B238" s="7" t="s">
        <v>189</v>
      </c>
      <c r="C238" s="34">
        <f>IFERROR(VLOOKUP(A238,'Yakima IS'!$B$55:$AF$290,31,FALSE),0)</f>
        <v>0</v>
      </c>
      <c r="D238" s="35">
        <f>'Restating Adj''s'!V60</f>
        <v>2287.9133333333493</v>
      </c>
      <c r="E238" s="35">
        <f t="shared" si="130"/>
        <v>2287.9133333333493</v>
      </c>
      <c r="F238" s="1253" t="s">
        <v>104</v>
      </c>
      <c r="G238" s="37"/>
      <c r="H238" s="35">
        <f t="shared" si="131"/>
        <v>2287.9133333333493</v>
      </c>
      <c r="I238" s="35"/>
      <c r="J238" s="86">
        <f>Ratios!D102</f>
        <v>1557.145281190888</v>
      </c>
      <c r="K238" s="86">
        <f>Ratios!E102</f>
        <v>730.76805214246133</v>
      </c>
      <c r="L238" s="7" t="s">
        <v>186</v>
      </c>
      <c r="M238" s="8">
        <f t="shared" si="134"/>
        <v>0</v>
      </c>
      <c r="N238" s="34">
        <f t="shared" si="132"/>
        <v>1557.145281190888</v>
      </c>
      <c r="O238" s="34">
        <f>+Ratios!D177</f>
        <v>1027.8700018711479</v>
      </c>
      <c r="P238" s="34">
        <f>+Ratios!E177</f>
        <v>478.33128505790478</v>
      </c>
      <c r="Q238" s="34">
        <f>+Ratios!F177</f>
        <v>39.956073930851232</v>
      </c>
      <c r="R238" s="34">
        <f>+Ratios!G177</f>
        <v>10.987920330984089</v>
      </c>
      <c r="S238" s="3" t="s">
        <v>187</v>
      </c>
      <c r="T238" s="8">
        <f t="shared" si="119"/>
        <v>0</v>
      </c>
      <c r="U238" s="43">
        <f t="shared" si="133"/>
        <v>0</v>
      </c>
    </row>
    <row r="239" spans="1:26">
      <c r="A239" s="31">
        <v>57260</v>
      </c>
      <c r="B239" s="7" t="s">
        <v>190</v>
      </c>
      <c r="C239" s="34">
        <f>IFERROR(VLOOKUP(A239,'Yakima IS'!$B$55:$AF$290,31,FALSE),0)</f>
        <v>88130.9</v>
      </c>
      <c r="D239" s="35">
        <f>'Restating Adj''s'!V61</f>
        <v>-46788.314380524898</v>
      </c>
      <c r="E239" s="35">
        <f t="shared" si="130"/>
        <v>41342.585619475096</v>
      </c>
      <c r="F239" s="1253" t="s">
        <v>104</v>
      </c>
      <c r="G239" s="37"/>
      <c r="H239" s="35">
        <f t="shared" si="131"/>
        <v>41342.585619475096</v>
      </c>
      <c r="I239" s="35"/>
      <c r="J239" s="86">
        <f>Ratios!D103</f>
        <v>28137.609572738242</v>
      </c>
      <c r="K239" s="86">
        <f>Ratios!E103</f>
        <v>13204.976046736852</v>
      </c>
      <c r="L239" s="7" t="s">
        <v>186</v>
      </c>
      <c r="M239" s="8">
        <f t="shared" si="134"/>
        <v>0</v>
      </c>
      <c r="N239" s="34">
        <f t="shared" si="132"/>
        <v>28137.609572738242</v>
      </c>
      <c r="O239" s="34">
        <f>+Ratios!D178</f>
        <v>18573.607198720085</v>
      </c>
      <c r="P239" s="34">
        <f>+Ratios!E178</f>
        <v>8643.4445828279495</v>
      </c>
      <c r="Q239" s="34">
        <f>+Ratios!F178</f>
        <v>722.00611073741823</v>
      </c>
      <c r="R239" s="34">
        <f>+Ratios!G178</f>
        <v>198.55168045279001</v>
      </c>
      <c r="S239" s="3" t="s">
        <v>187</v>
      </c>
      <c r="T239" s="8">
        <f t="shared" si="119"/>
        <v>0</v>
      </c>
      <c r="U239" s="43">
        <f t="shared" si="133"/>
        <v>0</v>
      </c>
    </row>
    <row r="240" spans="1:26">
      <c r="A240" s="31">
        <v>70260</v>
      </c>
      <c r="B240" s="7" t="s">
        <v>191</v>
      </c>
      <c r="C240" s="34">
        <f>IFERROR(VLOOKUP(A240,'Yakima IS'!$B$55:$AF$290,31,FALSE),0)</f>
        <v>26796.33</v>
      </c>
      <c r="D240" s="35">
        <f>'Restating Adj''s'!V62</f>
        <v>-22466.164095238106</v>
      </c>
      <c r="E240" s="35">
        <f t="shared" si="130"/>
        <v>4330.1659047618959</v>
      </c>
      <c r="F240" s="1253" t="s">
        <v>104</v>
      </c>
      <c r="G240" s="37"/>
      <c r="H240" s="35">
        <f t="shared" si="131"/>
        <v>4330.1659047618959</v>
      </c>
      <c r="I240" s="35"/>
      <c r="J240" s="86">
        <f>Ratios!D104</f>
        <v>2983.3703115803378</v>
      </c>
      <c r="K240" s="86">
        <f>Ratios!E104</f>
        <v>1346.7955931815602</v>
      </c>
      <c r="L240" s="7" t="s">
        <v>186</v>
      </c>
      <c r="M240" s="8">
        <f t="shared" si="134"/>
        <v>-2.0463630789890885E-12</v>
      </c>
      <c r="N240" s="34">
        <f t="shared" si="132"/>
        <v>2983.3703115803378</v>
      </c>
      <c r="O240" s="34">
        <f>+Ratios!D179</f>
        <v>2531.2945074223721</v>
      </c>
      <c r="P240" s="34">
        <f>+Ratios!E179</f>
        <v>47.147525658625746</v>
      </c>
      <c r="Q240" s="34">
        <f>+Ratios!F179</f>
        <v>335.56716128811843</v>
      </c>
      <c r="R240" s="34">
        <f>+Ratios!G179</f>
        <v>69.36111721122127</v>
      </c>
      <c r="S240" s="3" t="s">
        <v>187</v>
      </c>
      <c r="T240" s="8">
        <f t="shared" si="119"/>
        <v>0</v>
      </c>
      <c r="U240" s="43">
        <f t="shared" si="133"/>
        <v>-2.0463630789890885E-12</v>
      </c>
    </row>
    <row r="241" spans="1:26">
      <c r="B241" s="7" t="s">
        <v>192</v>
      </c>
      <c r="C241" s="34">
        <f>IFERROR(VLOOKUP(A241,'Yakima IS'!$B$55:$AF$290,31,FALSE),0)</f>
        <v>0</v>
      </c>
      <c r="D241" s="35">
        <f>'Restating Adj''s'!V63</f>
        <v>78017.440333333332</v>
      </c>
      <c r="E241" s="35">
        <f t="shared" si="130"/>
        <v>78017.440333333332</v>
      </c>
      <c r="F241" s="1253" t="s">
        <v>104</v>
      </c>
      <c r="G241" s="37"/>
      <c r="H241" s="35">
        <f t="shared" si="131"/>
        <v>78017.440333333332</v>
      </c>
      <c r="I241" s="35"/>
      <c r="J241" s="86">
        <f>SUM(Ratios!D105:D107)</f>
        <v>41619.323923872667</v>
      </c>
      <c r="K241" s="86">
        <f>SUM(Ratios!E105:E107)</f>
        <v>36398.116409460665</v>
      </c>
      <c r="L241" s="7" t="s">
        <v>186</v>
      </c>
      <c r="M241" s="8">
        <f t="shared" si="134"/>
        <v>0</v>
      </c>
      <c r="N241" s="34">
        <f t="shared" si="132"/>
        <v>41619.323923872667</v>
      </c>
      <c r="O241" s="34">
        <f>+Ratios!D180+Ratios!D181+Ratios!D182</f>
        <v>25739.949627081645</v>
      </c>
      <c r="P241" s="34">
        <f>+Ratios!E180+Ratios!E181+Ratios!E182</f>
        <v>11978.385554626915</v>
      </c>
      <c r="Q241" s="34">
        <f>+Ratios!F180+Ratios!F181+Ratios!F182</f>
        <v>3625.8289307958885</v>
      </c>
      <c r="R241" s="34">
        <f>+Ratios!G180+Ratios!G181+Ratios!G182</f>
        <v>275.15981136821972</v>
      </c>
      <c r="S241" s="3" t="s">
        <v>187</v>
      </c>
      <c r="T241" s="8">
        <f t="shared" si="119"/>
        <v>0</v>
      </c>
      <c r="U241" s="43">
        <f t="shared" si="133"/>
        <v>0</v>
      </c>
    </row>
    <row r="242" spans="1:26">
      <c r="A242" s="80">
        <v>91010</v>
      </c>
      <c r="B242" s="81" t="s">
        <v>1455</v>
      </c>
      <c r="C242" s="34">
        <f>IFERROR(VLOOKUP(A242,'Yakima IS'!$B$55:$AF$290,31,FALSE),0)</f>
        <v>-11865.390000000001</v>
      </c>
      <c r="D242" s="85"/>
      <c r="E242" s="85">
        <f t="shared" si="130"/>
        <v>-11865.390000000001</v>
      </c>
      <c r="F242" s="498"/>
      <c r="G242" s="85"/>
      <c r="H242" s="85">
        <f t="shared" si="131"/>
        <v>-11865.390000000001</v>
      </c>
      <c r="I242" s="85"/>
      <c r="J242" s="34">
        <f>H242*Ratios!$C$70</f>
        <v>-8075.540178382088</v>
      </c>
      <c r="K242" s="34">
        <f>H242*Ratios!$D$70</f>
        <v>-3789.8498216179132</v>
      </c>
      <c r="L242" s="7" t="s">
        <v>37</v>
      </c>
      <c r="M242" s="8">
        <f t="shared" si="134"/>
        <v>0</v>
      </c>
      <c r="N242" s="34">
        <f t="shared" si="132"/>
        <v>-8075.540178382088</v>
      </c>
      <c r="O242" s="34">
        <f>N242*Ratios!$D$159</f>
        <v>-5330.6557830724141</v>
      </c>
      <c r="P242" s="34">
        <f>N242*Ratios!$D$160</f>
        <v>-2480.6827967317413</v>
      </c>
      <c r="Q242" s="34">
        <f>N242*Ratios!$D$161</f>
        <v>-207.21694006112398</v>
      </c>
      <c r="R242" s="34">
        <f>N242*Ratios!$D$162</f>
        <v>-56.984658516809084</v>
      </c>
      <c r="S242" s="7" t="s">
        <v>38</v>
      </c>
      <c r="T242" s="8">
        <f t="shared" si="119"/>
        <v>0</v>
      </c>
      <c r="U242" s="43">
        <f t="shared" si="133"/>
        <v>0</v>
      </c>
    </row>
    <row r="243" spans="1:26">
      <c r="A243" s="66"/>
      <c r="B243" s="2" t="s">
        <v>34</v>
      </c>
      <c r="C243" s="38">
        <f>SUM(C236:C242)</f>
        <v>857700.00999999989</v>
      </c>
      <c r="D243" s="38">
        <f>SUM(D236:D242)</f>
        <v>573059.65698895103</v>
      </c>
      <c r="E243" s="38">
        <f>SUM(E236:E242)</f>
        <v>1430759.6669889512</v>
      </c>
      <c r="F243" s="78"/>
      <c r="G243" s="38">
        <f>SUM(G236:G242)</f>
        <v>0</v>
      </c>
      <c r="H243" s="38">
        <f>SUM(H236:H242)</f>
        <v>1430759.6669889512</v>
      </c>
      <c r="I243" s="38"/>
      <c r="J243" s="38">
        <f>SUM(J236:J242)</f>
        <v>969982.19504950615</v>
      </c>
      <c r="K243" s="38">
        <f>SUM(K236:K242)</f>
        <v>460777.47193944489</v>
      </c>
      <c r="L243" s="79"/>
      <c r="M243" s="79"/>
      <c r="N243" s="38">
        <f>SUM(N236:N242)</f>
        <v>969982.19504950615</v>
      </c>
      <c r="O243" s="38">
        <f>SUM(O236:O242)</f>
        <v>664944.27616601682</v>
      </c>
      <c r="P243" s="38">
        <f>SUM(P236:P242)</f>
        <v>251636.77738730711</v>
      </c>
      <c r="Q243" s="38">
        <f>SUM(Q236:Q242)</f>
        <v>47160.204896213028</v>
      </c>
      <c r="R243" s="38">
        <f>SUM(R236:R242)</f>
        <v>6240.9365999690717</v>
      </c>
      <c r="S243" s="60"/>
      <c r="T243" s="59">
        <f t="shared" si="119"/>
        <v>0</v>
      </c>
      <c r="U243" s="60">
        <f t="shared" si="133"/>
        <v>0</v>
      </c>
    </row>
    <row r="244" spans="1:26">
      <c r="A244" s="66"/>
      <c r="B244" s="2"/>
      <c r="C244" s="61"/>
      <c r="D244" s="61"/>
      <c r="E244" s="61"/>
      <c r="F244" s="62"/>
      <c r="G244" s="61"/>
      <c r="H244" s="61"/>
      <c r="I244" s="61"/>
      <c r="J244" s="61"/>
      <c r="K244" s="61"/>
      <c r="L244" s="3"/>
      <c r="M244" s="3"/>
      <c r="N244" s="61"/>
      <c r="O244" s="61"/>
      <c r="P244" s="61"/>
      <c r="Q244" s="61"/>
      <c r="R244" s="61"/>
      <c r="S244" s="43"/>
      <c r="U244" s="43"/>
    </row>
    <row r="245" spans="1:26">
      <c r="A245" s="63">
        <v>52000</v>
      </c>
      <c r="B245" s="48" t="s">
        <v>195</v>
      </c>
      <c r="C245" s="50"/>
      <c r="D245" s="51"/>
      <c r="E245" s="51"/>
      <c r="F245" s="52"/>
      <c r="G245" s="51"/>
      <c r="H245" s="51"/>
      <c r="I245" s="51"/>
      <c r="J245" s="50"/>
      <c r="K245" s="50"/>
      <c r="L245" s="53"/>
      <c r="M245" s="53"/>
      <c r="N245" s="50"/>
      <c r="O245" s="50"/>
      <c r="P245" s="50"/>
      <c r="Q245" s="50"/>
      <c r="R245" s="50"/>
      <c r="S245" s="53"/>
      <c r="T245" s="54"/>
      <c r="U245" s="55"/>
    </row>
    <row r="246" spans="1:26">
      <c r="A246" s="31">
        <v>41201</v>
      </c>
      <c r="B246" s="7" t="s">
        <v>196</v>
      </c>
      <c r="C246" s="34">
        <f>IFERROR(VLOOKUP(A246,'Yakima IS'!$B$55:$AF$290,31,FALSE),0)</f>
        <v>303428.58999999997</v>
      </c>
      <c r="D246" s="37"/>
      <c r="E246" s="35">
        <f>SUM(C246:D246)</f>
        <v>303428.58999999997</v>
      </c>
      <c r="G246" s="37"/>
      <c r="H246" s="35">
        <f>C246+D246+G246</f>
        <v>303428.58999999997</v>
      </c>
      <c r="I246" s="35"/>
      <c r="J246" s="34"/>
      <c r="K246" s="34">
        <f>H246</f>
        <v>303428.58999999997</v>
      </c>
      <c r="L246" s="7" t="s">
        <v>24</v>
      </c>
      <c r="M246" s="8">
        <f t="shared" ref="M246:M247" si="135">H246-J246-K246</f>
        <v>0</v>
      </c>
      <c r="N246" s="34">
        <f t="shared" ref="N246:N247" si="136">J246</f>
        <v>0</v>
      </c>
      <c r="O246" s="34"/>
      <c r="P246" s="34"/>
      <c r="Q246" s="34"/>
      <c r="R246" s="34"/>
      <c r="T246" s="8">
        <f t="shared" si="119"/>
        <v>0</v>
      </c>
      <c r="U246" s="43">
        <f>C246+D246+G246-J246-K246</f>
        <v>0</v>
      </c>
    </row>
    <row r="247" spans="1:26">
      <c r="A247" s="31">
        <v>57280</v>
      </c>
      <c r="B247" s="7" t="s">
        <v>197</v>
      </c>
      <c r="C247" s="34">
        <f>IFERROR(VLOOKUP(A247,'Yakima IS'!$B$55:$AF$290,31,FALSE),0)</f>
        <v>369.92</v>
      </c>
      <c r="D247" s="37"/>
      <c r="E247" s="35">
        <f>SUM(C247:D247)</f>
        <v>369.92</v>
      </c>
      <c r="G247" s="37"/>
      <c r="H247" s="35">
        <f>C247+D247+G247</f>
        <v>369.92</v>
      </c>
      <c r="I247" s="35"/>
      <c r="J247" s="34"/>
      <c r="K247" s="34">
        <f>H247</f>
        <v>369.92</v>
      </c>
      <c r="L247" s="7" t="s">
        <v>24</v>
      </c>
      <c r="M247" s="8">
        <f t="shared" si="135"/>
        <v>0</v>
      </c>
      <c r="N247" s="34">
        <f t="shared" si="136"/>
        <v>0</v>
      </c>
      <c r="O247" s="34"/>
      <c r="P247" s="34"/>
      <c r="Q247" s="34"/>
      <c r="R247" s="34"/>
      <c r="T247" s="8">
        <f t="shared" si="119"/>
        <v>0</v>
      </c>
      <c r="U247" s="43">
        <f>C247+D247+G247-J247-K247</f>
        <v>0</v>
      </c>
    </row>
    <row r="248" spans="1:26">
      <c r="A248" s="66">
        <v>52000</v>
      </c>
      <c r="B248" s="2" t="s">
        <v>198</v>
      </c>
      <c r="C248" s="38">
        <f>SUM(C246:C247)</f>
        <v>303798.50999999995</v>
      </c>
      <c r="D248" s="38">
        <f>SUM(D246:D247)</f>
        <v>0</v>
      </c>
      <c r="E248" s="38">
        <f>SUM(E246:E247)</f>
        <v>303798.50999999995</v>
      </c>
      <c r="F248" s="78"/>
      <c r="G248" s="38">
        <f>SUM(G246:G247)</f>
        <v>0</v>
      </c>
      <c r="H248" s="38">
        <f>SUM(H246:H247)</f>
        <v>303798.50999999995</v>
      </c>
      <c r="I248" s="38"/>
      <c r="J248" s="38">
        <f>SUM(J246:J247)</f>
        <v>0</v>
      </c>
      <c r="K248" s="38">
        <f>SUM(K246:K247)</f>
        <v>303798.50999999995</v>
      </c>
      <c r="L248" s="79"/>
      <c r="M248" s="79"/>
      <c r="N248" s="38">
        <f>SUM(N246:N247)</f>
        <v>0</v>
      </c>
      <c r="O248" s="38">
        <f>SUM(O246:O247)</f>
        <v>0</v>
      </c>
      <c r="P248" s="38">
        <f>SUM(P246:P247)</f>
        <v>0</v>
      </c>
      <c r="Q248" s="38">
        <f>SUM(Q246:Q247)</f>
        <v>0</v>
      </c>
      <c r="R248" s="38">
        <f>SUM(R246:R247)</f>
        <v>0</v>
      </c>
      <c r="S248" s="71"/>
      <c r="T248" s="59">
        <f t="shared" si="119"/>
        <v>0</v>
      </c>
      <c r="U248" s="60">
        <f>C248+D248+G248-J248-K248</f>
        <v>0</v>
      </c>
    </row>
    <row r="249" spans="1:26">
      <c r="A249" s="66"/>
      <c r="B249" s="2"/>
      <c r="C249" s="61"/>
      <c r="D249" s="61"/>
      <c r="E249" s="61"/>
      <c r="F249" s="62"/>
      <c r="G249" s="61"/>
      <c r="H249" s="61"/>
      <c r="I249" s="61"/>
      <c r="J249" s="61"/>
      <c r="K249" s="61"/>
      <c r="L249" s="3"/>
      <c r="M249" s="3"/>
      <c r="N249" s="61"/>
      <c r="O249" s="61"/>
      <c r="P249" s="61"/>
      <c r="Q249" s="61"/>
      <c r="R249" s="61"/>
      <c r="U249" s="43"/>
    </row>
    <row r="250" spans="1:26">
      <c r="A250" s="63">
        <v>52030</v>
      </c>
      <c r="B250" s="48" t="s">
        <v>199</v>
      </c>
      <c r="C250" s="50"/>
      <c r="D250" s="51"/>
      <c r="E250" s="51"/>
      <c r="F250" s="52"/>
      <c r="G250" s="51"/>
      <c r="H250" s="51"/>
      <c r="I250" s="51"/>
      <c r="J250" s="50"/>
      <c r="K250" s="50"/>
      <c r="L250" s="53"/>
      <c r="M250" s="53"/>
      <c r="N250" s="50"/>
      <c r="O250" s="50"/>
      <c r="P250" s="50"/>
      <c r="Q250" s="50"/>
      <c r="R250" s="50"/>
      <c r="S250" s="53"/>
      <c r="T250" s="54">
        <f t="shared" si="119"/>
        <v>0</v>
      </c>
      <c r="U250" s="55">
        <f>C250+D250+G250-J250-K250</f>
        <v>0</v>
      </c>
    </row>
    <row r="251" spans="1:26">
      <c r="A251" s="80">
        <v>43001</v>
      </c>
      <c r="B251" s="81" t="s">
        <v>200</v>
      </c>
      <c r="C251" s="34">
        <f>IFERROR(VLOOKUP(A251,'Yakima IS'!$B$55:$AF$290,31,FALSE),0)</f>
        <v>213972.34999999998</v>
      </c>
      <c r="D251" s="85"/>
      <c r="E251" s="85">
        <f>SUM(C251:D251)</f>
        <v>213972.34999999998</v>
      </c>
      <c r="F251" s="498"/>
      <c r="G251" s="85"/>
      <c r="H251" s="85">
        <f>C251+D251+G251</f>
        <v>213972.34999999998</v>
      </c>
      <c r="I251" s="85"/>
      <c r="J251" s="86">
        <f>$H$251*J21</f>
        <v>142643.0951228237</v>
      </c>
      <c r="K251" s="86">
        <f>$H$251*K21</f>
        <v>71329.254877176281</v>
      </c>
      <c r="L251" s="7" t="s">
        <v>105</v>
      </c>
      <c r="M251" s="8">
        <f t="shared" ref="M251" si="137">H251-J251-K251</f>
        <v>0</v>
      </c>
      <c r="N251" s="34">
        <f>J251</f>
        <v>142643.0951228237</v>
      </c>
      <c r="O251" s="34">
        <f>$N$251*O21</f>
        <v>91380.800251064051</v>
      </c>
      <c r="P251" s="34">
        <f>$N$251*P21</f>
        <v>45532.025084553272</v>
      </c>
      <c r="Q251" s="34">
        <f>$N$251*Q21</f>
        <v>4735.8771179659889</v>
      </c>
      <c r="R251" s="34">
        <f>$N$251*R21</f>
        <v>994.39266924036929</v>
      </c>
      <c r="S251" s="7" t="s">
        <v>105</v>
      </c>
      <c r="T251" s="8">
        <f t="shared" si="119"/>
        <v>0</v>
      </c>
      <c r="U251" s="43">
        <f>C251+D251+G251-J251-K251</f>
        <v>0</v>
      </c>
    </row>
    <row r="252" spans="1:26">
      <c r="A252" s="66">
        <v>52030</v>
      </c>
      <c r="B252" s="2" t="s">
        <v>199</v>
      </c>
      <c r="C252" s="38">
        <f>SUM(C251)</f>
        <v>213972.34999999998</v>
      </c>
      <c r="D252" s="38">
        <f>SUM(D251)</f>
        <v>0</v>
      </c>
      <c r="E252" s="38">
        <f>SUM(E251)</f>
        <v>213972.34999999998</v>
      </c>
      <c r="F252" s="78"/>
      <c r="G252" s="38">
        <f>SUM(G251)</f>
        <v>0</v>
      </c>
      <c r="H252" s="38">
        <f>SUM(H251)</f>
        <v>213972.34999999998</v>
      </c>
      <c r="I252" s="38"/>
      <c r="J252" s="38">
        <f>SUM(J251)</f>
        <v>142643.0951228237</v>
      </c>
      <c r="K252" s="38">
        <f>SUM(K251)</f>
        <v>71329.254877176281</v>
      </c>
      <c r="L252" s="79"/>
      <c r="M252" s="79"/>
      <c r="N252" s="38">
        <f>SUM(N251)</f>
        <v>142643.0951228237</v>
      </c>
      <c r="O252" s="38">
        <f>SUM(O251)</f>
        <v>91380.800251064051</v>
      </c>
      <c r="P252" s="38">
        <f>SUM(P251)</f>
        <v>45532.025084553272</v>
      </c>
      <c r="Q252" s="38">
        <f>SUM(Q251)</f>
        <v>4735.8771179659889</v>
      </c>
      <c r="R252" s="38">
        <f>SUM(R251)</f>
        <v>994.39266924036929</v>
      </c>
      <c r="S252" s="71"/>
      <c r="T252" s="59">
        <f t="shared" si="119"/>
        <v>0</v>
      </c>
      <c r="U252" s="60">
        <f>C252+D252+G252-J252-K252</f>
        <v>0</v>
      </c>
    </row>
    <row r="253" spans="1:26">
      <c r="A253" s="66"/>
      <c r="B253" s="2"/>
      <c r="C253" s="61"/>
      <c r="D253" s="61"/>
      <c r="E253" s="61"/>
      <c r="F253" s="62"/>
      <c r="G253" s="61"/>
      <c r="H253" s="61"/>
      <c r="I253" s="61"/>
      <c r="J253" s="61"/>
      <c r="K253" s="61"/>
      <c r="L253" s="3"/>
      <c r="M253" s="3"/>
      <c r="N253" s="61"/>
      <c r="O253" s="61"/>
      <c r="P253" s="61"/>
      <c r="Q253" s="61"/>
      <c r="R253" s="61"/>
      <c r="U253" s="43"/>
    </row>
    <row r="254" spans="1:26">
      <c r="A254" s="63">
        <v>52200</v>
      </c>
      <c r="B254" s="48" t="s">
        <v>201</v>
      </c>
      <c r="C254" s="50"/>
      <c r="D254" s="51"/>
      <c r="E254" s="51"/>
      <c r="F254" s="52"/>
      <c r="G254" s="51"/>
      <c r="H254" s="51"/>
      <c r="I254" s="51"/>
      <c r="J254" s="50"/>
      <c r="K254" s="50"/>
      <c r="L254" s="53"/>
      <c r="M254" s="53"/>
      <c r="N254" s="50"/>
      <c r="O254" s="50"/>
      <c r="P254" s="50"/>
      <c r="Q254" s="50"/>
      <c r="R254" s="50"/>
      <c r="S254" s="53"/>
      <c r="T254" s="54"/>
      <c r="U254" s="55"/>
    </row>
    <row r="255" spans="1:26">
      <c r="A255" s="31">
        <v>51295</v>
      </c>
      <c r="B255" s="7" t="s">
        <v>202</v>
      </c>
      <c r="C255" s="34">
        <f>IFERROR(VLOOKUP(A255,'Yakima IS'!$B$55:$AF$290,31,FALSE),0)</f>
        <v>44248.960000000006</v>
      </c>
      <c r="D255" s="37"/>
      <c r="E255" s="35">
        <f>SUM(C255:D255)</f>
        <v>44248.960000000006</v>
      </c>
      <c r="G255" s="37"/>
      <c r="H255" s="35">
        <f>C255+D255+G255</f>
        <v>44248.960000000006</v>
      </c>
      <c r="I255" s="35"/>
      <c r="J255" s="34">
        <f>H255*Ratios!$C$70</f>
        <v>30115.677135907197</v>
      </c>
      <c r="K255" s="34">
        <f>H255*Ratios!$D$70</f>
        <v>14133.282864092811</v>
      </c>
      <c r="L255" s="7" t="s">
        <v>37</v>
      </c>
      <c r="M255" s="8">
        <f t="shared" ref="M255:M256" si="138">H255-J255-K255</f>
        <v>0</v>
      </c>
      <c r="N255" s="34">
        <f t="shared" ref="N255:N256" si="139">J255</f>
        <v>30115.677135907197</v>
      </c>
      <c r="O255" s="34">
        <f>N255*Ratios!$D$159</f>
        <v>19879.327566893287</v>
      </c>
      <c r="P255" s="34">
        <f>N255*Ratios!$D$160</f>
        <v>9251.0767741533109</v>
      </c>
      <c r="Q255" s="34">
        <f>N255*Ratios!$D$161</f>
        <v>772.76297636125514</v>
      </c>
      <c r="R255" s="34">
        <f>N255*Ratios!$D$162</f>
        <v>212.50981849934513</v>
      </c>
      <c r="S255" s="7" t="s">
        <v>38</v>
      </c>
      <c r="T255" s="8">
        <f t="shared" si="119"/>
        <v>0</v>
      </c>
      <c r="U255" s="43">
        <f>C255+D255+G255-J255-K255</f>
        <v>0</v>
      </c>
      <c r="V255" s="42"/>
      <c r="W255" s="42"/>
      <c r="X255" s="42"/>
      <c r="Y255" s="42"/>
      <c r="Z255" s="42"/>
    </row>
    <row r="256" spans="1:26">
      <c r="A256" s="31">
        <v>57357</v>
      </c>
      <c r="B256" s="7" t="s">
        <v>182</v>
      </c>
      <c r="C256" s="34">
        <f>IFERROR(VLOOKUP(A256,'Yakima IS'!$B$55:$AF$290,31,FALSE),0)</f>
        <v>1433</v>
      </c>
      <c r="D256" s="37"/>
      <c r="E256" s="35">
        <f>SUM(C256:D256)</f>
        <v>1433</v>
      </c>
      <c r="G256" s="37"/>
      <c r="H256" s="35">
        <f>C256+D256+G256</f>
        <v>1433</v>
      </c>
      <c r="I256" s="35"/>
      <c r="J256" s="34">
        <f>H256*Ratios!$C$70</f>
        <v>975.29445518617854</v>
      </c>
      <c r="K256" s="34">
        <f>H256*Ratios!$D$70</f>
        <v>457.70554481382146</v>
      </c>
      <c r="L256" s="7" t="s">
        <v>37</v>
      </c>
      <c r="M256" s="8">
        <f t="shared" si="138"/>
        <v>0</v>
      </c>
      <c r="N256" s="34">
        <f t="shared" si="139"/>
        <v>975.29445518617854</v>
      </c>
      <c r="O256" s="34">
        <f>N256*Ratios!$D$159</f>
        <v>643.79086883303194</v>
      </c>
      <c r="P256" s="34">
        <f>N256*Ratios!$D$160</f>
        <v>299.59558410777771</v>
      </c>
      <c r="Q256" s="34">
        <f>N256*Ratios!$D$161</f>
        <v>25.025884114014847</v>
      </c>
      <c r="R256" s="34">
        <f>N256*Ratios!$D$162</f>
        <v>6.8821181313540825</v>
      </c>
      <c r="S256" s="7" t="s">
        <v>38</v>
      </c>
      <c r="T256" s="8">
        <f t="shared" si="119"/>
        <v>0</v>
      </c>
      <c r="U256" s="43">
        <f>C256+D256+G256-J256-K256</f>
        <v>0</v>
      </c>
      <c r="V256" s="42"/>
      <c r="W256" s="42"/>
      <c r="X256" s="42"/>
      <c r="Y256" s="42"/>
      <c r="Z256" s="42"/>
    </row>
    <row r="257" spans="1:26">
      <c r="A257" s="66">
        <v>52200</v>
      </c>
      <c r="B257" s="2" t="s">
        <v>201</v>
      </c>
      <c r="C257" s="38">
        <f>SUM(C255:C256)</f>
        <v>45681.960000000006</v>
      </c>
      <c r="D257" s="38">
        <f>SUM(D255:D256)</f>
        <v>0</v>
      </c>
      <c r="E257" s="38">
        <f>SUM(E255:E256)</f>
        <v>45681.960000000006</v>
      </c>
      <c r="F257" s="78"/>
      <c r="G257" s="38">
        <f>SUM(G255:G256)</f>
        <v>0</v>
      </c>
      <c r="H257" s="38">
        <f>SUM(H255:H256)</f>
        <v>45681.960000000006</v>
      </c>
      <c r="I257" s="38"/>
      <c r="J257" s="38">
        <f t="shared" ref="J257:K257" si="140">SUM(J255:J256)</f>
        <v>31090.971591093377</v>
      </c>
      <c r="K257" s="38">
        <f t="shared" si="140"/>
        <v>14590.988408906633</v>
      </c>
      <c r="L257" s="79"/>
      <c r="M257" s="79"/>
      <c r="N257" s="38">
        <f>SUM(N255:N256)</f>
        <v>31090.971591093377</v>
      </c>
      <c r="O257" s="38">
        <f>SUM(O255:O256)</f>
        <v>20523.118435726319</v>
      </c>
      <c r="P257" s="38">
        <f>SUM(P255:P256)</f>
        <v>9550.6723582610884</v>
      </c>
      <c r="Q257" s="38">
        <f>SUM(Q255:Q256)</f>
        <v>797.78886047526998</v>
      </c>
      <c r="R257" s="38">
        <f>SUM(R255:R256)</f>
        <v>219.39193663069921</v>
      </c>
      <c r="S257" s="71"/>
      <c r="T257" s="59">
        <f t="shared" si="119"/>
        <v>0</v>
      </c>
      <c r="U257" s="60">
        <f>C257+D257+G257-J257-K257</f>
        <v>0</v>
      </c>
    </row>
    <row r="258" spans="1:26">
      <c r="A258" s="66"/>
      <c r="B258" s="2"/>
      <c r="C258" s="61"/>
      <c r="D258" s="61"/>
      <c r="E258" s="61"/>
      <c r="F258" s="62"/>
      <c r="G258" s="61"/>
      <c r="H258" s="61"/>
      <c r="I258" s="61"/>
      <c r="J258" s="61"/>
      <c r="K258" s="61"/>
      <c r="L258" s="3"/>
      <c r="M258" s="3"/>
      <c r="N258" s="61"/>
      <c r="O258" s="61"/>
      <c r="P258" s="61"/>
      <c r="Q258" s="61"/>
      <c r="R258" s="61"/>
      <c r="U258" s="43"/>
    </row>
    <row r="259" spans="1:26">
      <c r="A259" s="63">
        <v>52300</v>
      </c>
      <c r="B259" s="48" t="s">
        <v>203</v>
      </c>
      <c r="C259" s="50"/>
      <c r="D259" s="51"/>
      <c r="E259" s="51"/>
      <c r="F259" s="52"/>
      <c r="G259" s="51"/>
      <c r="H259" s="51"/>
      <c r="I259" s="51"/>
      <c r="J259" s="50"/>
      <c r="K259" s="50"/>
      <c r="L259" s="53"/>
      <c r="M259" s="53"/>
      <c r="N259" s="50"/>
      <c r="O259" s="50"/>
      <c r="P259" s="50"/>
      <c r="Q259" s="50"/>
      <c r="R259" s="50"/>
      <c r="S259" s="53"/>
      <c r="T259" s="54"/>
      <c r="U259" s="55"/>
    </row>
    <row r="260" spans="1:26">
      <c r="A260" s="31">
        <v>57275</v>
      </c>
      <c r="B260" s="7" t="s">
        <v>203</v>
      </c>
      <c r="C260" s="34">
        <f>IFERROR(VLOOKUP(A260,'Yakima IS'!$B$55:$AF$290,31,FALSE),0)</f>
        <v>34338.730000000003</v>
      </c>
      <c r="D260" s="37"/>
      <c r="E260" s="35">
        <f>SUM(C260:D260)</f>
        <v>34338.730000000003</v>
      </c>
      <c r="G260" s="37"/>
      <c r="H260" s="35">
        <f>C260+D260+G260</f>
        <v>34338.730000000003</v>
      </c>
      <c r="I260" s="35"/>
      <c r="J260" s="34">
        <f>H260*Ratios!$C$23</f>
        <v>23658.480961829624</v>
      </c>
      <c r="K260" s="34">
        <f>H260*Ratios!$D$23</f>
        <v>10680.249038170383</v>
      </c>
      <c r="L260" s="7" t="s">
        <v>144</v>
      </c>
      <c r="M260" s="8">
        <f t="shared" ref="M260" si="141">H260-J260-K260</f>
        <v>0</v>
      </c>
      <c r="N260" s="34">
        <f t="shared" ref="N260" si="142">J260</f>
        <v>23658.480961829624</v>
      </c>
      <c r="O260" s="34">
        <f>N260*Ratios!$E$150</f>
        <v>20073.466133311904</v>
      </c>
      <c r="P260" s="34">
        <f>N260*Ratios!$D$151</f>
        <v>373.88547907118698</v>
      </c>
      <c r="Q260" s="34">
        <f>N260*Ratios!$D$152</f>
        <v>2661.0874506372438</v>
      </c>
      <c r="R260" s="34">
        <f>N260*Ratios!$D$153</f>
        <v>550.04189880928982</v>
      </c>
      <c r="S260" s="7" t="s">
        <v>109</v>
      </c>
      <c r="T260" s="8">
        <f t="shared" si="119"/>
        <v>0</v>
      </c>
      <c r="U260" s="43">
        <f>C260+D260+G260-J260-K260</f>
        <v>0</v>
      </c>
      <c r="V260" s="42"/>
      <c r="W260" s="42"/>
      <c r="X260" s="42"/>
      <c r="Y260" s="42"/>
      <c r="Z260" s="42"/>
    </row>
    <row r="261" spans="1:26">
      <c r="A261" s="66">
        <v>52300</v>
      </c>
      <c r="B261" s="2" t="s">
        <v>203</v>
      </c>
      <c r="C261" s="38">
        <f>SUM(C260:C260)</f>
        <v>34338.730000000003</v>
      </c>
      <c r="D261" s="38">
        <f>SUM(D260:D260)</f>
        <v>0</v>
      </c>
      <c r="E261" s="38">
        <f>SUM(E260:E260)</f>
        <v>34338.730000000003</v>
      </c>
      <c r="F261" s="78"/>
      <c r="G261" s="38">
        <f>SUM(G260:G260)</f>
        <v>0</v>
      </c>
      <c r="H261" s="38">
        <f>SUM(H260:H260)</f>
        <v>34338.730000000003</v>
      </c>
      <c r="I261" s="38"/>
      <c r="J261" s="38">
        <f>SUM(J260:J260)</f>
        <v>23658.480961829624</v>
      </c>
      <c r="K261" s="38">
        <f>SUM(K260:K260)</f>
        <v>10680.249038170383</v>
      </c>
      <c r="L261" s="79"/>
      <c r="M261" s="79"/>
      <c r="N261" s="38">
        <f>SUM(N260:N260)</f>
        <v>23658.480961829624</v>
      </c>
      <c r="O261" s="38">
        <f>SUM(O260:O260)</f>
        <v>20073.466133311904</v>
      </c>
      <c r="P261" s="38">
        <f>SUM(P260:P260)</f>
        <v>373.88547907118698</v>
      </c>
      <c r="Q261" s="38">
        <f>SUM(Q260:Q260)</f>
        <v>2661.0874506372438</v>
      </c>
      <c r="R261" s="38">
        <f>SUM(R260:R260)</f>
        <v>550.04189880928982</v>
      </c>
      <c r="S261" s="71"/>
      <c r="T261" s="59">
        <f t="shared" si="119"/>
        <v>0</v>
      </c>
      <c r="U261" s="60">
        <f>C261+D261+G261-J261-K261</f>
        <v>0</v>
      </c>
    </row>
    <row r="262" spans="1:26">
      <c r="C262" s="34"/>
      <c r="D262" s="37"/>
      <c r="E262" s="37"/>
      <c r="G262" s="37"/>
      <c r="H262" s="37"/>
      <c r="I262" s="37"/>
      <c r="J262" s="34"/>
      <c r="K262" s="34"/>
      <c r="N262" s="34"/>
      <c r="O262" s="34"/>
      <c r="P262" s="34"/>
      <c r="Q262" s="34"/>
      <c r="R262" s="34"/>
      <c r="U262" s="43"/>
    </row>
    <row r="263" spans="1:26">
      <c r="A263" s="63">
        <v>52400</v>
      </c>
      <c r="B263" s="48" t="s">
        <v>204</v>
      </c>
      <c r="C263" s="50"/>
      <c r="D263" s="51"/>
      <c r="E263" s="51"/>
      <c r="F263" s="52"/>
      <c r="G263" s="51"/>
      <c r="H263" s="51"/>
      <c r="I263" s="51"/>
      <c r="J263" s="50"/>
      <c r="K263" s="50"/>
      <c r="L263" s="53"/>
      <c r="M263" s="53"/>
      <c r="N263" s="50"/>
      <c r="O263" s="50"/>
      <c r="P263" s="50"/>
      <c r="Q263" s="50"/>
      <c r="R263" s="50"/>
      <c r="S263" s="53"/>
      <c r="T263" s="54"/>
      <c r="U263" s="55"/>
    </row>
    <row r="264" spans="1:26">
      <c r="A264" s="31">
        <v>50050</v>
      </c>
      <c r="B264" s="7" t="s">
        <v>204</v>
      </c>
      <c r="C264" s="34">
        <f>IFERROR(VLOOKUP(A264,'Yakima IS'!$B$55:$AF$290,31,FALSE),0)</f>
        <v>207555.52999999997</v>
      </c>
      <c r="D264" s="85">
        <f>'Restating Adj''s'!B88</f>
        <v>1753.3734654365862</v>
      </c>
      <c r="E264" s="85">
        <f t="shared" ref="E264:E269" si="143">SUM(C264:D264)</f>
        <v>209308.90346543657</v>
      </c>
      <c r="F264" s="1253" t="s">
        <v>43</v>
      </c>
      <c r="G264" s="85">
        <f>'Pro-forma Adj''s'!B17</f>
        <v>3021.5885275374658</v>
      </c>
      <c r="H264" s="35">
        <f t="shared" ref="H264:H269" si="144">C264+D264+G264</f>
        <v>212330.49199297404</v>
      </c>
      <c r="I264" s="35"/>
      <c r="J264" s="34">
        <f>H264*Ratios!$C$70</f>
        <v>144511.34089860492</v>
      </c>
      <c r="K264" s="34">
        <f>H264*Ratios!$D$70</f>
        <v>67819.15109436911</v>
      </c>
      <c r="L264" s="7" t="s">
        <v>37</v>
      </c>
      <c r="M264" s="8">
        <f t="shared" ref="M264:M269" si="145">H264-J264-K264</f>
        <v>0</v>
      </c>
      <c r="N264" s="34">
        <f t="shared" ref="N264:N269" si="146">J264</f>
        <v>144511.34089860492</v>
      </c>
      <c r="O264" s="34">
        <f>N264*Ratios!$D$159</f>
        <v>95391.787801745901</v>
      </c>
      <c r="P264" s="34">
        <f>N264*Ratios!$D$160</f>
        <v>44391.680232049461</v>
      </c>
      <c r="Q264" s="34">
        <f>N264*Ratios!$D$161</f>
        <v>3708.1355802427952</v>
      </c>
      <c r="R264" s="34">
        <f>N264*Ratios!$D$162</f>
        <v>1019.7372845667685</v>
      </c>
      <c r="S264" s="7" t="s">
        <v>38</v>
      </c>
      <c r="T264" s="8">
        <f t="shared" si="119"/>
        <v>0</v>
      </c>
      <c r="U264" s="43">
        <f t="shared" ref="U264:U270" si="147">C264+D264+G264-J264-K264</f>
        <v>0</v>
      </c>
      <c r="V264" s="42"/>
      <c r="W264" s="42"/>
      <c r="X264" s="42"/>
      <c r="Y264" s="42"/>
      <c r="Z264" s="42"/>
    </row>
    <row r="265" spans="1:26">
      <c r="B265" s="7" t="s">
        <v>205</v>
      </c>
      <c r="C265" s="34">
        <f>IFERROR(VLOOKUP(A265,'Yakima IS'!$B$55:$AF$290,31,FALSE),0)</f>
        <v>0</v>
      </c>
      <c r="D265" s="85">
        <f>'Restating Adj''s'!B89</f>
        <v>18.307880109863014</v>
      </c>
      <c r="E265" s="85">
        <f t="shared" si="143"/>
        <v>18.307880109863014</v>
      </c>
      <c r="F265" s="1253" t="s">
        <v>43</v>
      </c>
      <c r="G265" s="85">
        <f>'Pro-forma Adj''s'!B18</f>
        <v>77.175079902197254</v>
      </c>
      <c r="H265" s="35">
        <f t="shared" si="144"/>
        <v>95.482960012060261</v>
      </c>
      <c r="I265" s="35"/>
      <c r="J265" s="34">
        <f>H265*Ratios!$E$80</f>
        <v>12.095786684673177</v>
      </c>
      <c r="K265" s="34">
        <f>H265-J265</f>
        <v>83.387173327387089</v>
      </c>
      <c r="L265" s="81" t="s">
        <v>81</v>
      </c>
      <c r="M265" s="8">
        <f t="shared" si="145"/>
        <v>0</v>
      </c>
      <c r="N265" s="34">
        <f t="shared" si="146"/>
        <v>12.095786684673177</v>
      </c>
      <c r="O265" s="34"/>
      <c r="P265" s="34"/>
      <c r="Q265" s="34">
        <f>J265</f>
        <v>12.095786684673177</v>
      </c>
      <c r="R265" s="34"/>
      <c r="S265" s="7" t="s">
        <v>81</v>
      </c>
      <c r="T265" s="8">
        <f t="shared" si="119"/>
        <v>0</v>
      </c>
      <c r="U265" s="43">
        <f t="shared" si="147"/>
        <v>0</v>
      </c>
    </row>
    <row r="266" spans="1:26">
      <c r="A266" s="31">
        <v>52050</v>
      </c>
      <c r="B266" s="7" t="s">
        <v>204</v>
      </c>
      <c r="C266" s="34">
        <f>IFERROR(VLOOKUP(A266,'Yakima IS'!$B$55:$AF$290,31,FALSE),0)</f>
        <v>38208.119999999995</v>
      </c>
      <c r="D266" s="85">
        <f>'Restating Adj''s'!B90</f>
        <v>380.94717271755064</v>
      </c>
      <c r="E266" s="85">
        <f t="shared" si="143"/>
        <v>38589.067172717543</v>
      </c>
      <c r="F266" s="1253" t="s">
        <v>43</v>
      </c>
      <c r="G266" s="85">
        <f>'Pro-forma Adj''s'!B19</f>
        <v>1980.4939639223494</v>
      </c>
      <c r="H266" s="35">
        <f t="shared" si="144"/>
        <v>40569.561136639895</v>
      </c>
      <c r="I266" s="35"/>
      <c r="J266" s="34">
        <f>H266*Ratios!$C$70</f>
        <v>27611.491992952942</v>
      </c>
      <c r="K266" s="34">
        <f>H266*Ratios!$D$70</f>
        <v>12958.069143686951</v>
      </c>
      <c r="L266" s="7" t="s">
        <v>37</v>
      </c>
      <c r="M266" s="8">
        <f t="shared" si="145"/>
        <v>0</v>
      </c>
      <c r="N266" s="34">
        <f t="shared" si="146"/>
        <v>27611.491992952942</v>
      </c>
      <c r="O266" s="34">
        <f>N266*Ratios!$D$159</f>
        <v>18226.317524307189</v>
      </c>
      <c r="P266" s="34">
        <f>N266*Ratios!$D$160</f>
        <v>8481.8292852252816</v>
      </c>
      <c r="Q266" s="34">
        <f>N266*Ratios!$D$161</f>
        <v>708.50602621213568</v>
      </c>
      <c r="R266" s="34">
        <f>N266*Ratios!$D$162</f>
        <v>194.8391572083373</v>
      </c>
      <c r="S266" s="7" t="s">
        <v>38</v>
      </c>
      <c r="T266" s="8">
        <f t="shared" si="119"/>
        <v>0</v>
      </c>
      <c r="U266" s="43">
        <f t="shared" si="147"/>
        <v>0</v>
      </c>
      <c r="V266" s="42"/>
      <c r="W266" s="42"/>
      <c r="X266" s="42"/>
      <c r="Y266" s="42"/>
      <c r="Z266" s="42"/>
    </row>
    <row r="267" spans="1:26">
      <c r="A267" s="31">
        <v>55050</v>
      </c>
      <c r="B267" s="7" t="s">
        <v>204</v>
      </c>
      <c r="C267" s="34">
        <f>IFERROR(VLOOKUP(A267,'Yakima IS'!$B$55:$AF$290,31,FALSE),0)</f>
        <v>4072.7599999999998</v>
      </c>
      <c r="D267" s="85"/>
      <c r="E267" s="85">
        <f t="shared" si="143"/>
        <v>4072.7599999999998</v>
      </c>
      <c r="F267" s="1253" t="s">
        <v>43</v>
      </c>
      <c r="G267" s="85"/>
      <c r="H267" s="35">
        <f t="shared" si="144"/>
        <v>4072.7599999999998</v>
      </c>
      <c r="I267" s="35"/>
      <c r="J267" s="34">
        <f>H267*Ratios!$C$70</f>
        <v>2771.9052653901326</v>
      </c>
      <c r="K267" s="34">
        <f>H267*Ratios!$D$70</f>
        <v>1300.8547346098671</v>
      </c>
      <c r="L267" s="7" t="s">
        <v>37</v>
      </c>
      <c r="M267" s="8">
        <f t="shared" si="145"/>
        <v>0</v>
      </c>
      <c r="N267" s="34">
        <f t="shared" si="146"/>
        <v>2771.9052653901326</v>
      </c>
      <c r="O267" s="34">
        <f>N267*Ratios!$D$159</f>
        <v>1829.7318206199714</v>
      </c>
      <c r="P267" s="34">
        <f>N267*Ratios!$D$160</f>
        <v>851.48702800474018</v>
      </c>
      <c r="Q267" s="34">
        <f>N267*Ratios!$D$161</f>
        <v>71.126601384644175</v>
      </c>
      <c r="R267" s="34">
        <f>N267*Ratios!$D$162</f>
        <v>19.559815380777145</v>
      </c>
      <c r="S267" s="7" t="s">
        <v>38</v>
      </c>
      <c r="T267" s="8">
        <f t="shared" si="119"/>
        <v>0</v>
      </c>
      <c r="U267" s="43">
        <f t="shared" si="147"/>
        <v>0</v>
      </c>
      <c r="V267" s="42"/>
      <c r="W267" s="42"/>
      <c r="X267" s="42"/>
      <c r="Y267" s="42"/>
      <c r="Z267" s="42"/>
    </row>
    <row r="268" spans="1:26">
      <c r="A268" s="31">
        <v>56050</v>
      </c>
      <c r="B268" s="7" t="s">
        <v>204</v>
      </c>
      <c r="C268" s="34">
        <f>IFERROR(VLOOKUP(A268,'Yakima IS'!$B$55:$AF$290,31,FALSE),0)</f>
        <v>9330.8799999999992</v>
      </c>
      <c r="D268" s="85">
        <f>'Restating Adj''s'!B91</f>
        <v>83.50424657044519</v>
      </c>
      <c r="E268" s="85">
        <f t="shared" si="143"/>
        <v>9414.3842465704438</v>
      </c>
      <c r="F268" s="1253" t="s">
        <v>43</v>
      </c>
      <c r="G268" s="85">
        <f>'Pro-forma Adj''s'!B20</f>
        <v>190.68744926140889</v>
      </c>
      <c r="H268" s="35">
        <f t="shared" si="144"/>
        <v>9605.0716958318535</v>
      </c>
      <c r="I268" s="35"/>
      <c r="J268" s="34">
        <f>H268*Ratios!$C$70</f>
        <v>6537.1759711168952</v>
      </c>
      <c r="K268" s="34">
        <f>H268*Ratios!$D$70</f>
        <v>3067.8957247149579</v>
      </c>
      <c r="L268" s="7" t="s">
        <v>37</v>
      </c>
      <c r="M268" s="8">
        <f t="shared" si="145"/>
        <v>0</v>
      </c>
      <c r="N268" s="34">
        <f>J268</f>
        <v>6537.1759711168952</v>
      </c>
      <c r="O268" s="34">
        <f>N268*Ratios!$D$159</f>
        <v>4315.1831488228554</v>
      </c>
      <c r="P268" s="34">
        <f>N268*Ratios!$D$160</f>
        <v>2008.1207711862016</v>
      </c>
      <c r="Q268" s="34">
        <f>N268*Ratios!$D$161</f>
        <v>167.74278518261829</v>
      </c>
      <c r="R268" s="34">
        <f>N268*Ratios!$D$162</f>
        <v>46.129265925220025</v>
      </c>
      <c r="S268" s="7" t="s">
        <v>38</v>
      </c>
      <c r="T268" s="8">
        <f>SUM(O268:R268)-N268</f>
        <v>0</v>
      </c>
      <c r="U268" s="43">
        <f t="shared" si="147"/>
        <v>0</v>
      </c>
      <c r="V268" s="42"/>
      <c r="W268" s="42"/>
      <c r="X268" s="42"/>
      <c r="Y268" s="42"/>
      <c r="Z268" s="42"/>
    </row>
    <row r="269" spans="1:26">
      <c r="A269" s="31">
        <v>70050</v>
      </c>
      <c r="B269" s="7" t="s">
        <v>204</v>
      </c>
      <c r="C269" s="34">
        <f>IFERROR(VLOOKUP(A269,'Yakima IS'!$B$55:$AF$290,31,FALSE),0)</f>
        <v>38667.64</v>
      </c>
      <c r="D269" s="85">
        <f>'Restating Adj''s'!B138+'Restating Adj''s'!B92</f>
        <v>1904.6573618065554</v>
      </c>
      <c r="E269" s="85">
        <f t="shared" si="143"/>
        <v>40572.297361806552</v>
      </c>
      <c r="F269" s="1253" t="s">
        <v>2484</v>
      </c>
      <c r="G269" s="85">
        <f>'Pro-forma Adj''s'!B21</f>
        <v>678.84031161880978</v>
      </c>
      <c r="H269" s="35">
        <f t="shared" si="144"/>
        <v>41251.137673425364</v>
      </c>
      <c r="I269" s="35"/>
      <c r="J269" s="34">
        <f>H269*Ratios!$C$42</f>
        <v>34632.59543681224</v>
      </c>
      <c r="K269" s="34">
        <f>H269*Ratios!$D$42</f>
        <v>6618.5422366131224</v>
      </c>
      <c r="L269" s="7" t="s">
        <v>108</v>
      </c>
      <c r="M269" s="8">
        <f t="shared" si="145"/>
        <v>0</v>
      </c>
      <c r="N269" s="34">
        <f t="shared" si="146"/>
        <v>34632.59543681224</v>
      </c>
      <c r="O269" s="34">
        <f>N269*Ratios!$E$150</f>
        <v>29384.652071752455</v>
      </c>
      <c r="P269" s="34">
        <f>N269*Ratios!$D$151</f>
        <v>547.31428265670741</v>
      </c>
      <c r="Q269" s="34">
        <f>N269*Ratios!$D$152</f>
        <v>3895.4472710478922</v>
      </c>
      <c r="R269" s="34">
        <f>N269*Ratios!$D$153</f>
        <v>805.18181135518557</v>
      </c>
      <c r="S269" s="7" t="s">
        <v>109</v>
      </c>
      <c r="T269" s="8">
        <f t="shared" si="119"/>
        <v>0</v>
      </c>
      <c r="U269" s="43">
        <f t="shared" si="147"/>
        <v>0</v>
      </c>
      <c r="V269" s="42"/>
      <c r="W269" s="42"/>
      <c r="X269" s="42"/>
      <c r="Y269" s="42"/>
      <c r="Z269" s="42"/>
    </row>
    <row r="270" spans="1:26">
      <c r="A270" s="66">
        <v>52400</v>
      </c>
      <c r="B270" s="2" t="s">
        <v>204</v>
      </c>
      <c r="C270" s="38">
        <f>SUM(C264:C269)</f>
        <v>297834.93</v>
      </c>
      <c r="D270" s="38">
        <f>SUM(D264:D269)</f>
        <v>4140.7901266410008</v>
      </c>
      <c r="E270" s="38">
        <f>SUM(E264:E269)</f>
        <v>301975.72012664098</v>
      </c>
      <c r="F270" s="78"/>
      <c r="G270" s="38">
        <f>SUM(G264:G269)</f>
        <v>5948.7853322422316</v>
      </c>
      <c r="H270" s="38">
        <f>SUM(H264:H269)</f>
        <v>307924.50545888324</v>
      </c>
      <c r="I270" s="38"/>
      <c r="J270" s="38">
        <f>SUM(J264:J269)</f>
        <v>216076.60535156183</v>
      </c>
      <c r="K270" s="38">
        <f>SUM(K264:K269)</f>
        <v>91847.900107321388</v>
      </c>
      <c r="L270" s="79"/>
      <c r="M270" s="79"/>
      <c r="N270" s="38">
        <f>SUM(N264:N269)</f>
        <v>216076.60535156183</v>
      </c>
      <c r="O270" s="38">
        <f>SUM(O264:O269)</f>
        <v>149147.67236724836</v>
      </c>
      <c r="P270" s="38">
        <f>SUM(P264:P269)</f>
        <v>56280.431599122385</v>
      </c>
      <c r="Q270" s="38">
        <f>SUM(Q264:Q269)</f>
        <v>8563.0540507547594</v>
      </c>
      <c r="R270" s="38">
        <f>SUM(R264:R269)</f>
        <v>2085.4473344362887</v>
      </c>
      <c r="S270" s="71"/>
      <c r="T270" s="59">
        <f t="shared" si="119"/>
        <v>0</v>
      </c>
      <c r="U270" s="60">
        <f t="shared" si="147"/>
        <v>0</v>
      </c>
    </row>
    <row r="271" spans="1:26">
      <c r="A271" s="66"/>
      <c r="B271" s="2"/>
      <c r="C271" s="61"/>
      <c r="D271" s="61"/>
      <c r="E271" s="61"/>
      <c r="F271" s="62"/>
      <c r="G271" s="61"/>
      <c r="H271" s="61"/>
      <c r="I271" s="61"/>
      <c r="J271" s="61"/>
      <c r="K271" s="61"/>
      <c r="L271" s="3"/>
      <c r="M271" s="3"/>
      <c r="N271" s="61"/>
      <c r="O271" s="61"/>
      <c r="P271" s="61"/>
      <c r="Q271" s="61"/>
      <c r="R271" s="61"/>
      <c r="U271" s="43"/>
    </row>
    <row r="272" spans="1:26">
      <c r="A272" s="63"/>
      <c r="B272" s="48" t="s">
        <v>193</v>
      </c>
      <c r="C272" s="50"/>
      <c r="D272" s="51"/>
      <c r="E272" s="51"/>
      <c r="F272" s="52"/>
      <c r="G272" s="51"/>
      <c r="H272" s="51"/>
      <c r="I272" s="51"/>
      <c r="J272" s="50"/>
      <c r="K272" s="50"/>
      <c r="L272" s="53"/>
      <c r="M272" s="53"/>
      <c r="N272" s="50"/>
      <c r="O272" s="50"/>
      <c r="P272" s="50"/>
      <c r="Q272" s="50"/>
      <c r="R272" s="50"/>
      <c r="S272" s="53"/>
      <c r="T272" s="54"/>
      <c r="U272" s="55"/>
    </row>
    <row r="273" spans="1:35">
      <c r="A273" s="31">
        <v>70269</v>
      </c>
      <c r="B273" s="7" t="s">
        <v>207</v>
      </c>
      <c r="C273" s="34">
        <f>IFERROR(VLOOKUP(A273,'Yakima IS'!$B$55:$AF$290,31,FALSE),0)</f>
        <v>82232.37999999999</v>
      </c>
      <c r="D273" s="37"/>
      <c r="E273" s="35">
        <f>SUM(C273:D273)</f>
        <v>82232.37999999999</v>
      </c>
      <c r="G273" s="37"/>
      <c r="H273" s="35">
        <f>C273+D273+G273</f>
        <v>82232.37999999999</v>
      </c>
      <c r="I273" s="35"/>
      <c r="J273" s="61"/>
      <c r="K273" s="34">
        <f>H273</f>
        <v>82232.37999999999</v>
      </c>
      <c r="L273" s="7" t="s">
        <v>24</v>
      </c>
      <c r="M273" s="8">
        <f t="shared" ref="M273" si="148">H273-J273-K273</f>
        <v>0</v>
      </c>
      <c r="N273" s="34">
        <f t="shared" ref="N273" si="149">J273</f>
        <v>0</v>
      </c>
      <c r="O273" s="34"/>
      <c r="P273" s="34"/>
      <c r="Q273" s="34"/>
      <c r="R273" s="34"/>
      <c r="U273" s="3"/>
    </row>
    <row r="274" spans="1:35">
      <c r="A274" s="66"/>
      <c r="B274" s="2" t="s">
        <v>208</v>
      </c>
      <c r="C274" s="38">
        <f>C273</f>
        <v>82232.37999999999</v>
      </c>
      <c r="D274" s="38">
        <f t="shared" ref="D274:E274" si="150">D273</f>
        <v>0</v>
      </c>
      <c r="E274" s="38">
        <f t="shared" si="150"/>
        <v>82232.37999999999</v>
      </c>
      <c r="F274" s="78"/>
      <c r="G274" s="38">
        <f>G273</f>
        <v>0</v>
      </c>
      <c r="H274" s="38">
        <f>H273</f>
        <v>82232.37999999999</v>
      </c>
      <c r="I274" s="38"/>
      <c r="J274" s="38">
        <f>J273</f>
        <v>0</v>
      </c>
      <c r="K274" s="38">
        <f>K273</f>
        <v>82232.37999999999</v>
      </c>
      <c r="L274" s="79"/>
      <c r="M274" s="79"/>
      <c r="N274" s="38">
        <f>N273</f>
        <v>0</v>
      </c>
      <c r="O274" s="38">
        <f>O273</f>
        <v>0</v>
      </c>
      <c r="P274" s="38">
        <f>P273</f>
        <v>0</v>
      </c>
      <c r="Q274" s="38">
        <f>Q273</f>
        <v>0</v>
      </c>
      <c r="R274" s="38">
        <f>R273</f>
        <v>0</v>
      </c>
      <c r="S274" s="71"/>
      <c r="T274" s="59"/>
      <c r="U274" s="79"/>
    </row>
    <row r="275" spans="1:35">
      <c r="C275" s="34"/>
      <c r="D275" s="37"/>
      <c r="E275" s="37"/>
      <c r="G275" s="37"/>
      <c r="H275" s="37"/>
      <c r="I275" s="37"/>
      <c r="J275" s="34"/>
      <c r="K275" s="34"/>
      <c r="N275" s="34"/>
      <c r="O275" s="34"/>
      <c r="P275" s="34"/>
      <c r="Q275" s="34"/>
      <c r="R275" s="34"/>
      <c r="U275" s="3"/>
    </row>
    <row r="276" spans="1:35">
      <c r="B276" s="2" t="s">
        <v>34</v>
      </c>
      <c r="C276" s="38">
        <f>C28+C38+C54+C58+C63+C67+C80+C86+C96+C103+C118+C124+C128+C132+C138+C145+C155+C159+C174+C178+C182+C186+C194+C202+C206+C233+C243+C248+C252+C257+C261+C270+C274+C46</f>
        <v>14036744.949999996</v>
      </c>
      <c r="D276" s="38">
        <f>D28+D38+D54+D58+D63+D67+D80+D86+D96+D103+D118+D124+D128+D132+D138+D145+D155+D159+D174+D178+D182+D186+D194+D202+D206+D233+D243+D248+D252+D257+D261+D270+D274+D46</f>
        <v>765740.47394718009</v>
      </c>
      <c r="E276" s="38">
        <f>E28+E38+E54+E58+E63+E67+E80+E86+E96+E103+E118+E124+E128+E132+E138+E145+E155+E159+E174+E178+E182+E186+E194+E202+E206+E233+E243+E248+E252+E257+E261+E270+E274+E46</f>
        <v>14802411.193947181</v>
      </c>
      <c r="F276" s="39"/>
      <c r="G276" s="38">
        <f>G28+G38+G54+G58+G63+G67+G80+G86+G96+G103+G118+G124+G128+G132+G138+G145+G155+G159+G174+G178+G182+G186+G194+G202+G206+G233+G243+G248+G252+G257+G261+G270+G274+G46</f>
        <v>101813.23565582377</v>
      </c>
      <c r="H276" s="38">
        <f>H28+H38+H54+H58+H63+H67+H80+H86+H96+H103+H118+H124+H128+H132+H138+H145+H155+H159+H174+H178+H182+H186+H194+H202+H206+H233+H243+H248+H252+H257+H261+H270+H274+H46</f>
        <v>14904298.659603007</v>
      </c>
      <c r="I276" s="38"/>
      <c r="J276" s="38">
        <f>J28+J38+J54+J58+J63+J67+J80+J86+J96+J103+J118+J124+J128+J132+J138+J145+J155+J159+J174+J178+J182+J186+J194+J202+J206+J233+J243+J248+J252+J257+J261+J270+J274+J46</f>
        <v>10047078.379050693</v>
      </c>
      <c r="K276" s="38">
        <f>K28+K38+K54+K58+K63+K67+K80+K86+K96+K103+K118+K124+K128+K132+K138+K145+K155+K159+K174+K178+K182+K186+K194+K202+K206+K233+K243+K248+K252+K257+K261+K270+K274+K46</f>
        <v>4857220.280552309</v>
      </c>
      <c r="L276" s="40"/>
      <c r="M276" s="40"/>
      <c r="N276" s="38">
        <f>N28+N38+N54+N58+N63+N67+N80+N86+N96+N103+N118+N124+N128+N132+N138+N145+N155+N159+N174+N178+N182+N186+N194+N202+N206+N233+N243+N248+N252+N257+N261+N270+N274+N46</f>
        <v>10047078.379050693</v>
      </c>
      <c r="O276" s="38">
        <f>O28+O38+O54+O58+O63+O67+O80+O86+O96+O103+O118+O124+O128+O132+O138+O145+O155+O159+O174+O178+O182+O186+O194+O202+O206+O233+O243+O248+O252+O257+O261+O270+O274+O46</f>
        <v>6405509.5567290932</v>
      </c>
      <c r="P276" s="38">
        <f>P28+P38+P54+P58+P63+P67+P80+P86+P96+P103+P118+P124+P128+P132+P138+P145+P155+P159+P174+P178+P182+P186+P194+P202+P206+P233+P243+P248+P252+P257+P261+P270+P274+P46</f>
        <v>3274768.6929748757</v>
      </c>
      <c r="Q276" s="38">
        <f>Q28+Q38+Q54+Q58+Q63+Q67+Q80+Q86+Q96+Q103+Q118+Q124+Q128+Q132+Q138+Q145+Q155+Q159+Q174+Q178+Q182+Q186+Q194+Q202+Q206+Q233+Q243+Q248+Q252+Q257+Q261+Q270+Q274+Q46</f>
        <v>301330.51058589719</v>
      </c>
      <c r="R276" s="38">
        <f>R28+R38+R54+R58+R63+R67+R80+R86+R96+R103+R118+R124+R128+R132+R138+R145+R155+R159+R174+R178+R182+R186+R194+R202+R206+R233+R243+R248+R252+R257+R261+R270+R274+R46</f>
        <v>65469.618760827652</v>
      </c>
      <c r="T276" s="8">
        <f t="shared" ref="T276" si="151">SUM(O276:R276)-N276</f>
        <v>0</v>
      </c>
      <c r="U276" s="3"/>
      <c r="V276" s="3"/>
    </row>
    <row r="277" spans="1:35">
      <c r="B277" s="2"/>
      <c r="C277" s="61"/>
      <c r="N277" s="3"/>
      <c r="O277" s="6"/>
      <c r="U277" s="3"/>
    </row>
    <row r="278" spans="1:35">
      <c r="B278" s="2" t="s">
        <v>209</v>
      </c>
      <c r="C278" s="87">
        <f>C276/C20</f>
        <v>0.90544224689919917</v>
      </c>
      <c r="D278" s="88"/>
      <c r="E278" s="88"/>
      <c r="F278" s="89"/>
      <c r="G278" s="88"/>
      <c r="H278" s="87">
        <f>H276/H20</f>
        <v>0.96408566060653811</v>
      </c>
      <c r="I278" s="87"/>
      <c r="J278" s="87">
        <f>J276/J20</f>
        <v>0.97487912681934952</v>
      </c>
      <c r="K278" s="87">
        <f>K276/K20</f>
        <v>0.94250106070639561</v>
      </c>
      <c r="L278" s="71"/>
      <c r="M278" s="71"/>
      <c r="N278" s="87">
        <f>N276/N20</f>
        <v>0.97487912681934952</v>
      </c>
      <c r="O278" s="87">
        <f>O276/O20</f>
        <v>0.97019819373751814</v>
      </c>
      <c r="P278" s="87">
        <f>P276/P20</f>
        <v>0.99546363295606555</v>
      </c>
      <c r="Q278" s="87">
        <f>Q276/Q20</f>
        <v>0.88065218614371532</v>
      </c>
      <c r="R278" s="87">
        <f>R276/R20</f>
        <v>0.91126278234521185</v>
      </c>
      <c r="U278" s="3"/>
    </row>
    <row r="279" spans="1:35">
      <c r="N279" s="3"/>
      <c r="O279" s="6"/>
      <c r="U279" s="3"/>
    </row>
    <row r="280" spans="1:35" ht="12" thickBot="1">
      <c r="B280" s="2" t="s">
        <v>210</v>
      </c>
      <c r="C280" s="90">
        <f>C20-C276</f>
        <v>1465894.7800000068</v>
      </c>
      <c r="D280" s="90">
        <f>D20-D276</f>
        <v>-808863.20394717995</v>
      </c>
      <c r="E280" s="90">
        <f>E20-E276</f>
        <v>657105.80605282076</v>
      </c>
      <c r="F280" s="91"/>
      <c r="G280" s="90">
        <f>G20-G276</f>
        <v>-101813.23565582377</v>
      </c>
      <c r="H280" s="90">
        <f>H20-H276</f>
        <v>555218.34039699472</v>
      </c>
      <c r="I280" s="92"/>
      <c r="J280" s="90">
        <f>J20-J276</f>
        <v>258895.05155335739</v>
      </c>
      <c r="K280" s="90">
        <f>K20-K276</f>
        <v>296323.28884364292</v>
      </c>
      <c r="L280" s="93"/>
      <c r="M280" s="93"/>
      <c r="N280" s="90">
        <f>N20-N276</f>
        <v>258895.05155335739</v>
      </c>
      <c r="O280" s="90">
        <f>O20-O276</f>
        <v>196759.54465213325</v>
      </c>
      <c r="P280" s="90">
        <f>P20-P276</f>
        <v>14923.250115331262</v>
      </c>
      <c r="Q280" s="90">
        <f>Q20-Q276</f>
        <v>40836.936820771138</v>
      </c>
      <c r="R280" s="90">
        <f>R20-R276</f>
        <v>6375.3199651192699</v>
      </c>
      <c r="U280" s="3"/>
    </row>
    <row r="281" spans="1:35" ht="12" thickTop="1">
      <c r="O281" s="6"/>
      <c r="R281" s="94"/>
      <c r="U281" s="3"/>
    </row>
    <row r="282" spans="1:35" s="2" customFormat="1">
      <c r="A282" s="66"/>
      <c r="B282" s="2" t="s">
        <v>211</v>
      </c>
      <c r="C282" s="95">
        <f>+Ratios!C140</f>
        <v>6211318.1483882675</v>
      </c>
      <c r="D282" s="95">
        <f>+Ratios!D140</f>
        <v>4051927.2385333022</v>
      </c>
      <c r="E282" s="95">
        <f>+Ratios!E140</f>
        <v>2159390.9098549648</v>
      </c>
      <c r="F282" s="96"/>
      <c r="G282" s="95">
        <v>0</v>
      </c>
      <c r="H282" s="97">
        <f>C282</f>
        <v>6211318.1483882675</v>
      </c>
      <c r="I282" s="97"/>
      <c r="J282" s="95">
        <f>+D282</f>
        <v>4051927.2385333022</v>
      </c>
      <c r="K282" s="95">
        <f>+E282</f>
        <v>2159390.9098549648</v>
      </c>
      <c r="L282" s="95"/>
      <c r="M282" s="95"/>
      <c r="N282" s="95">
        <f>+J282</f>
        <v>4051927.2385333022</v>
      </c>
      <c r="O282" s="95">
        <f>+Ratios!D211</f>
        <v>2740697.9688715884</v>
      </c>
      <c r="P282" s="95">
        <f>+Ratios!E211</f>
        <v>1208732.4546403154</v>
      </c>
      <c r="Q282" s="95">
        <f>+Ratios!F211</f>
        <v>95803.590611855296</v>
      </c>
      <c r="R282" s="95">
        <f>+Ratios!G211</f>
        <v>6693.2244095434326</v>
      </c>
      <c r="T282" s="8"/>
      <c r="U282" s="3"/>
    </row>
    <row r="283" spans="1:35">
      <c r="C283" s="98"/>
      <c r="O283" s="3"/>
      <c r="Q283" s="3"/>
      <c r="R283" s="3"/>
      <c r="U283" s="3"/>
    </row>
    <row r="284" spans="1:35">
      <c r="J284" s="99"/>
      <c r="N284" s="3"/>
      <c r="R284" s="3"/>
      <c r="U284" s="3"/>
    </row>
    <row r="285" spans="1:35" s="6" customFormat="1">
      <c r="A285" s="31"/>
      <c r="B285" s="2"/>
      <c r="C285" s="34">
        <f>C280-'Yakima IS'!AF324</f>
        <v>5.3551048040390015E-9</v>
      </c>
      <c r="D285" s="4"/>
      <c r="E285" s="4"/>
      <c r="F285" s="5"/>
      <c r="G285" s="4"/>
      <c r="H285" s="4"/>
      <c r="I285" s="4"/>
      <c r="J285" s="94"/>
      <c r="L285" s="7"/>
      <c r="M285" s="7"/>
      <c r="N285" s="7"/>
      <c r="O285" s="43"/>
      <c r="P285" s="7"/>
      <c r="Q285" s="3"/>
      <c r="R285" s="7"/>
      <c r="S285" s="7"/>
      <c r="T285" s="8"/>
      <c r="U285" s="3"/>
      <c r="V285" s="7"/>
      <c r="W285" s="7"/>
      <c r="X285" s="7"/>
      <c r="Y285" s="7"/>
      <c r="Z285" s="7"/>
      <c r="AA285" s="7"/>
      <c r="AB285" s="7"/>
      <c r="AC285" s="7"/>
      <c r="AD285" s="7"/>
      <c r="AE285" s="7"/>
      <c r="AF285" s="7"/>
      <c r="AG285" s="7"/>
      <c r="AH285" s="7"/>
      <c r="AI285" s="7"/>
    </row>
    <row r="286" spans="1:35">
      <c r="J286" s="42"/>
      <c r="O286" s="3"/>
      <c r="U286" s="3"/>
    </row>
    <row r="287" spans="1:35" s="6" customFormat="1">
      <c r="A287" s="31"/>
      <c r="B287" s="2"/>
      <c r="C287" s="3"/>
      <c r="D287" s="4"/>
      <c r="E287" s="4"/>
      <c r="F287" s="5"/>
      <c r="G287" s="4"/>
      <c r="H287" s="4"/>
      <c r="I287" s="4"/>
      <c r="L287" s="7"/>
      <c r="M287" s="7"/>
      <c r="N287" s="7"/>
      <c r="O287" s="3"/>
      <c r="P287" s="7"/>
      <c r="Q287" s="3"/>
      <c r="R287" s="3"/>
      <c r="S287" s="7"/>
      <c r="T287" s="8"/>
      <c r="U287" s="3"/>
      <c r="V287" s="7"/>
      <c r="W287" s="7"/>
      <c r="X287" s="7"/>
      <c r="Y287" s="7"/>
      <c r="Z287" s="7"/>
      <c r="AA287" s="7"/>
      <c r="AB287" s="7"/>
      <c r="AC287" s="7"/>
      <c r="AD287" s="7"/>
      <c r="AE287" s="7"/>
      <c r="AF287" s="7"/>
      <c r="AG287" s="7"/>
      <c r="AH287" s="7"/>
      <c r="AI287" s="7"/>
    </row>
    <row r="288" spans="1:35" s="6" customFormat="1">
      <c r="A288" s="31"/>
      <c r="B288" s="7"/>
      <c r="C288" s="34"/>
      <c r="D288" s="100"/>
      <c r="E288" s="4"/>
      <c r="F288" s="5"/>
      <c r="G288" s="4"/>
      <c r="H288" s="4"/>
      <c r="I288" s="4"/>
      <c r="L288" s="7"/>
      <c r="M288" s="7"/>
      <c r="N288" s="7"/>
      <c r="O288" s="3"/>
      <c r="P288" s="7"/>
      <c r="Q288" s="3"/>
      <c r="R288" s="3"/>
      <c r="S288" s="7"/>
      <c r="T288" s="8"/>
      <c r="U288" s="3"/>
      <c r="V288" s="7"/>
      <c r="W288" s="7"/>
      <c r="X288" s="7"/>
      <c r="Y288" s="7"/>
      <c r="Z288" s="7"/>
      <c r="AA288" s="7"/>
      <c r="AB288" s="7"/>
      <c r="AC288" s="7"/>
      <c r="AD288" s="7"/>
      <c r="AE288" s="7"/>
      <c r="AF288" s="7"/>
      <c r="AG288" s="7"/>
      <c r="AH288" s="7"/>
      <c r="AI288" s="7"/>
    </row>
    <row r="289" spans="1:35" s="6" customFormat="1">
      <c r="A289" s="31"/>
      <c r="B289" s="7"/>
      <c r="C289" s="34"/>
      <c r="D289" s="100"/>
      <c r="E289" s="4"/>
      <c r="F289" s="5"/>
      <c r="G289" s="4"/>
      <c r="H289" s="4"/>
      <c r="I289" s="4"/>
      <c r="L289" s="7"/>
      <c r="M289" s="7"/>
      <c r="N289" s="7"/>
      <c r="O289" s="7"/>
      <c r="P289" s="7"/>
      <c r="Q289" s="7"/>
      <c r="R289" s="7"/>
      <c r="S289" s="7"/>
      <c r="T289" s="8"/>
      <c r="U289" s="3"/>
      <c r="V289" s="7"/>
      <c r="W289" s="7"/>
      <c r="X289" s="7"/>
      <c r="Y289" s="7"/>
      <c r="Z289" s="7"/>
      <c r="AA289" s="7"/>
      <c r="AB289" s="7"/>
      <c r="AC289" s="7"/>
      <c r="AD289" s="7"/>
      <c r="AE289" s="7"/>
      <c r="AF289" s="7"/>
      <c r="AG289" s="7"/>
      <c r="AH289" s="7"/>
      <c r="AI289" s="7"/>
    </row>
    <row r="290" spans="1:35" s="6" customFormat="1">
      <c r="A290" s="31"/>
      <c r="B290" s="7"/>
      <c r="C290" s="34"/>
      <c r="D290" s="100"/>
      <c r="E290" s="4"/>
      <c r="F290" s="5"/>
      <c r="G290" s="4"/>
      <c r="H290" s="4"/>
      <c r="I290" s="4"/>
      <c r="L290" s="7"/>
      <c r="M290" s="7"/>
      <c r="N290" s="7"/>
      <c r="O290" s="7"/>
      <c r="P290" s="7"/>
      <c r="Q290" s="7"/>
      <c r="R290" s="7"/>
      <c r="S290" s="7"/>
      <c r="T290" s="8"/>
      <c r="U290" s="3"/>
      <c r="V290" s="7"/>
      <c r="W290" s="7"/>
      <c r="X290" s="7"/>
      <c r="Y290" s="7"/>
      <c r="Z290" s="7"/>
      <c r="AA290" s="7"/>
      <c r="AB290" s="7"/>
      <c r="AC290" s="7"/>
      <c r="AD290" s="7"/>
      <c r="AE290" s="7"/>
      <c r="AF290" s="7"/>
      <c r="AG290" s="7"/>
      <c r="AH290" s="7"/>
      <c r="AI290" s="7"/>
    </row>
    <row r="291" spans="1:35" s="6" customFormat="1">
      <c r="A291" s="31"/>
      <c r="B291" s="7"/>
      <c r="C291" s="34"/>
      <c r="D291" s="100"/>
      <c r="E291" s="4"/>
      <c r="F291" s="5"/>
      <c r="G291" s="4"/>
      <c r="H291" s="4"/>
      <c r="I291" s="4"/>
      <c r="L291" s="7"/>
      <c r="M291" s="7"/>
      <c r="N291" s="7"/>
      <c r="O291" s="7"/>
      <c r="P291" s="7"/>
      <c r="Q291" s="7"/>
      <c r="R291" s="7"/>
      <c r="S291" s="7"/>
      <c r="T291" s="8"/>
      <c r="U291" s="3"/>
      <c r="V291" s="7"/>
      <c r="W291" s="7"/>
      <c r="X291" s="7"/>
      <c r="Y291" s="7"/>
      <c r="Z291" s="7"/>
      <c r="AA291" s="7"/>
      <c r="AB291" s="7"/>
      <c r="AC291" s="7"/>
      <c r="AD291" s="7"/>
      <c r="AE291" s="7"/>
      <c r="AF291" s="7"/>
      <c r="AG291" s="7"/>
      <c r="AH291" s="7"/>
      <c r="AI291" s="7"/>
    </row>
    <row r="292" spans="1:35" s="6" customFormat="1">
      <c r="A292" s="31"/>
      <c r="B292" s="2"/>
      <c r="C292" s="61"/>
      <c r="D292" s="101"/>
      <c r="E292" s="4"/>
      <c r="F292" s="5"/>
      <c r="G292" s="4"/>
      <c r="H292" s="4"/>
      <c r="I292" s="4"/>
      <c r="L292" s="7"/>
      <c r="M292" s="7"/>
      <c r="N292" s="7"/>
      <c r="O292" s="7"/>
      <c r="P292" s="7"/>
      <c r="Q292" s="7"/>
      <c r="R292" s="7"/>
      <c r="S292" s="7"/>
      <c r="T292" s="8"/>
      <c r="U292" s="3"/>
      <c r="V292" s="7"/>
      <c r="W292" s="7"/>
      <c r="X292" s="7"/>
      <c r="Y292" s="7"/>
      <c r="Z292" s="7"/>
      <c r="AA292" s="7"/>
      <c r="AB292" s="7"/>
      <c r="AC292" s="7"/>
      <c r="AD292" s="7"/>
      <c r="AE292" s="7"/>
      <c r="AF292" s="7"/>
      <c r="AG292" s="7"/>
      <c r="AH292" s="7"/>
      <c r="AI292" s="7"/>
    </row>
    <row r="293" spans="1:35" s="6" customFormat="1">
      <c r="A293" s="31"/>
      <c r="B293" s="7"/>
      <c r="C293" s="3"/>
      <c r="D293" s="4"/>
      <c r="E293" s="4"/>
      <c r="F293" s="5"/>
      <c r="G293" s="4"/>
      <c r="H293" s="4"/>
      <c r="I293" s="4"/>
      <c r="L293" s="7"/>
      <c r="M293" s="7"/>
      <c r="N293" s="7"/>
      <c r="O293" s="3"/>
      <c r="P293" s="7"/>
      <c r="Q293" s="7"/>
      <c r="R293" s="7"/>
      <c r="S293" s="7"/>
      <c r="T293" s="8"/>
      <c r="U293" s="3"/>
      <c r="V293" s="7"/>
      <c r="W293" s="7"/>
      <c r="X293" s="7"/>
      <c r="Y293" s="7"/>
      <c r="Z293" s="7"/>
      <c r="AA293" s="7"/>
      <c r="AB293" s="7"/>
      <c r="AC293" s="7"/>
      <c r="AD293" s="7"/>
      <c r="AE293" s="7"/>
      <c r="AF293" s="7"/>
      <c r="AG293" s="7"/>
      <c r="AH293" s="7"/>
      <c r="AI293" s="7"/>
    </row>
    <row r="294" spans="1:35" s="6" customFormat="1">
      <c r="A294" s="31"/>
      <c r="B294" s="7"/>
      <c r="C294" s="3"/>
      <c r="D294" s="4"/>
      <c r="E294" s="4"/>
      <c r="F294" s="5"/>
      <c r="G294" s="4"/>
      <c r="H294" s="4"/>
      <c r="I294" s="4"/>
      <c r="L294" s="7"/>
      <c r="M294" s="7"/>
      <c r="N294" s="7"/>
      <c r="O294" s="7"/>
      <c r="P294" s="7"/>
      <c r="Q294" s="7"/>
      <c r="R294" s="7"/>
      <c r="S294" s="7"/>
      <c r="T294" s="8"/>
      <c r="U294" s="3"/>
      <c r="V294" s="7"/>
      <c r="W294" s="7"/>
      <c r="X294" s="7"/>
      <c r="Y294" s="7"/>
      <c r="Z294" s="7"/>
      <c r="AA294" s="7"/>
      <c r="AB294" s="7"/>
      <c r="AC294" s="7"/>
      <c r="AD294" s="7"/>
      <c r="AE294" s="7"/>
      <c r="AF294" s="7"/>
      <c r="AG294" s="7"/>
      <c r="AH294" s="7"/>
      <c r="AI294" s="7"/>
    </row>
    <row r="295" spans="1:35" s="6" customFormat="1">
      <c r="A295" s="31"/>
      <c r="B295" s="7"/>
      <c r="C295" s="3"/>
      <c r="D295" s="4"/>
      <c r="E295" s="4"/>
      <c r="F295" s="5"/>
      <c r="G295" s="4"/>
      <c r="H295" s="4"/>
      <c r="I295" s="4"/>
      <c r="L295" s="7"/>
      <c r="M295" s="7"/>
      <c r="N295" s="7"/>
      <c r="O295" s="3"/>
      <c r="P295" s="7"/>
      <c r="Q295" s="7"/>
      <c r="R295" s="7"/>
      <c r="S295" s="7"/>
      <c r="T295" s="8"/>
      <c r="U295" s="3"/>
      <c r="V295" s="7"/>
      <c r="W295" s="7"/>
      <c r="X295" s="7"/>
      <c r="Y295" s="7"/>
      <c r="Z295" s="7"/>
      <c r="AA295" s="7"/>
      <c r="AB295" s="7"/>
      <c r="AC295" s="7"/>
      <c r="AD295" s="7"/>
      <c r="AE295" s="7"/>
      <c r="AF295" s="7"/>
      <c r="AG295" s="7"/>
      <c r="AH295" s="7"/>
      <c r="AI295" s="7"/>
    </row>
  </sheetData>
  <pageMargins left="0.75" right="0.75" top="1" bottom="1" header="0.5" footer="0.5"/>
  <pageSetup scale="62" fitToWidth="2" fitToHeight="6" pageOrder="overThenDown" orientation="landscape" r:id="rId1"/>
  <headerFooter alignWithMargins="0"/>
  <colBreaks count="1" manualBreakCount="1">
    <brk id="12" max="282"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7"/>
  <sheetViews>
    <sheetView showGridLines="0" view="pageBreakPreview" zoomScale="60" zoomScaleNormal="100" workbookViewId="0">
      <selection activeCell="G20" sqref="G20"/>
    </sheetView>
  </sheetViews>
  <sheetFormatPr defaultColWidth="9.28515625" defaultRowHeight="15"/>
  <cols>
    <col min="1" max="1" width="3" style="234" customWidth="1"/>
    <col min="2" max="2" width="25.28515625" style="234" customWidth="1"/>
    <col min="3" max="3" width="12.5703125" style="234" customWidth="1"/>
    <col min="4" max="4" width="14.28515625" style="234" customWidth="1"/>
    <col min="5" max="5" width="13.42578125" style="234" customWidth="1"/>
    <col min="6" max="6" width="15" style="234" customWidth="1"/>
    <col min="7" max="7" width="16.7109375" style="234" customWidth="1"/>
    <col min="8" max="8" width="27.5703125" style="234" customWidth="1"/>
    <col min="9" max="9" width="6.42578125" style="234" customWidth="1"/>
    <col min="10" max="11" width="13.7109375" style="234" customWidth="1"/>
    <col min="12" max="12" width="12" style="234" customWidth="1"/>
    <col min="13" max="13" width="11" style="234" customWidth="1"/>
    <col min="14" max="14" width="8.28515625" style="234" bestFit="1" customWidth="1"/>
    <col min="15" max="15" width="7.5703125" style="234" bestFit="1" customWidth="1"/>
    <col min="16" max="16" width="8.7109375" style="234" bestFit="1" customWidth="1"/>
    <col min="17" max="16384" width="9.28515625" style="234"/>
  </cols>
  <sheetData>
    <row r="1" spans="1:13">
      <c r="A1" s="284" t="s">
        <v>1456</v>
      </c>
    </row>
    <row r="2" spans="1:13">
      <c r="A2" s="214" t="s">
        <v>1457</v>
      </c>
      <c r="B2" s="284"/>
    </row>
    <row r="3" spans="1:13">
      <c r="A3" s="214"/>
      <c r="B3" s="284"/>
    </row>
    <row r="4" spans="1:13">
      <c r="A4" s="214"/>
      <c r="B4" s="1269" t="s">
        <v>2549</v>
      </c>
      <c r="C4" s="1270"/>
      <c r="D4" s="1270"/>
      <c r="E4" s="1270"/>
      <c r="F4" s="1271"/>
      <c r="G4" s="1268"/>
      <c r="H4" s="1268"/>
    </row>
    <row r="5" spans="1:13">
      <c r="B5" s="1275" t="s">
        <v>2548</v>
      </c>
      <c r="C5" s="1274"/>
      <c r="D5" s="1274"/>
      <c r="E5" s="1274"/>
      <c r="F5" s="1274"/>
      <c r="G5" s="1274"/>
      <c r="H5" s="1274"/>
    </row>
    <row r="6" spans="1:13" ht="15.75" thickBot="1">
      <c r="B6" s="214"/>
    </row>
    <row r="7" spans="1:13">
      <c r="B7" s="499"/>
      <c r="C7" s="500"/>
      <c r="D7" s="500"/>
      <c r="E7" s="500"/>
      <c r="F7" s="500"/>
      <c r="G7" s="500"/>
      <c r="H7" s="501"/>
      <c r="I7" s="430"/>
      <c r="J7" s="502"/>
      <c r="K7" s="502"/>
      <c r="L7" s="502"/>
      <c r="M7" s="502"/>
    </row>
    <row r="8" spans="1:13">
      <c r="B8" s="503" t="s">
        <v>1458</v>
      </c>
      <c r="C8" s="504" t="s">
        <v>1459</v>
      </c>
      <c r="D8" s="504" t="s">
        <v>1460</v>
      </c>
      <c r="E8" s="504" t="s">
        <v>34</v>
      </c>
      <c r="F8" s="504" t="s">
        <v>1461</v>
      </c>
      <c r="G8" s="504" t="s">
        <v>1462</v>
      </c>
      <c r="H8" s="505" t="s">
        <v>1463</v>
      </c>
      <c r="I8" s="430"/>
      <c r="J8" s="409"/>
      <c r="K8" s="409"/>
      <c r="L8" s="409"/>
      <c r="M8" s="502"/>
    </row>
    <row r="9" spans="1:13">
      <c r="B9" s="506"/>
      <c r="C9" s="233"/>
      <c r="D9" s="816" t="s">
        <v>2111</v>
      </c>
      <c r="E9" s="233"/>
      <c r="H9" s="507"/>
      <c r="I9" s="502"/>
      <c r="J9" s="502"/>
      <c r="K9" s="502"/>
      <c r="L9" s="502"/>
      <c r="M9" s="502"/>
    </row>
    <row r="10" spans="1:13">
      <c r="B10" s="508" t="s">
        <v>1555</v>
      </c>
      <c r="C10" s="509">
        <f>'Yakima Regulated Price Out'!Q39</f>
        <v>11707.904196665637</v>
      </c>
      <c r="D10" s="1258">
        <v>7365.9908295064288</v>
      </c>
      <c r="E10" s="510">
        <f>SUM(C10:D10)</f>
        <v>19073.895026172067</v>
      </c>
      <c r="F10" s="448">
        <f>C10/$E$10</f>
        <v>0.61381821492677535</v>
      </c>
      <c r="G10" s="448">
        <f>D10/$E$10</f>
        <v>0.38618178507322459</v>
      </c>
      <c r="H10" s="507"/>
      <c r="I10" s="502"/>
      <c r="J10" s="511"/>
      <c r="K10" s="511"/>
      <c r="L10" s="511"/>
      <c r="M10" s="502"/>
    </row>
    <row r="11" spans="1:13">
      <c r="B11" s="508" t="s">
        <v>1464</v>
      </c>
      <c r="C11" s="509">
        <f>'Yakima Regulated Price Out'!Q141</f>
        <v>8371.7104289380623</v>
      </c>
      <c r="D11" s="1258">
        <v>1628.8534131849358</v>
      </c>
      <c r="E11" s="510">
        <f>SUM(C11:D11)</f>
        <v>10000.563842122998</v>
      </c>
      <c r="F11" s="448">
        <f>C11/($E$11+$E$19)</f>
        <v>0.75321221588153642</v>
      </c>
      <c r="G11" s="448">
        <f>(D11+D19)/($E$11+$E$19)</f>
        <v>0.2467877841184635</v>
      </c>
      <c r="H11" s="512">
        <f>SUM(C10:C11)/C21</f>
        <v>0.84846808912618898</v>
      </c>
      <c r="I11" s="502"/>
      <c r="J11" s="511"/>
      <c r="K11" s="511"/>
      <c r="L11" s="511"/>
      <c r="M11" s="513"/>
    </row>
    <row r="12" spans="1:13">
      <c r="B12" s="508"/>
      <c r="C12" s="509"/>
      <c r="D12" s="509"/>
      <c r="E12" s="510"/>
      <c r="G12" s="291"/>
      <c r="H12" s="512"/>
      <c r="I12" s="502"/>
      <c r="J12" s="511"/>
      <c r="K12" s="511"/>
      <c r="L12" s="511"/>
      <c r="M12" s="513"/>
    </row>
    <row r="13" spans="1:13">
      <c r="B13" s="508" t="s">
        <v>1465</v>
      </c>
      <c r="C13" s="1258">
        <f>+SUM('Roll Off Cust Count'!P37:Q37)</f>
        <v>374</v>
      </c>
      <c r="D13" s="1258">
        <f>+SUM('Roll Off Cust Count'!C37:O37)+'Roll Off Cust Count'!R37</f>
        <v>177</v>
      </c>
      <c r="E13" s="510">
        <f>SUM(C13:D13)</f>
        <v>551</v>
      </c>
      <c r="F13" s="448">
        <f>C13/$E$13</f>
        <v>0.67876588021778583</v>
      </c>
      <c r="G13" s="448">
        <f>D13/$E$13</f>
        <v>0.32123411978221417</v>
      </c>
      <c r="H13" s="512">
        <f>C13/C21</f>
        <v>1.5803444002783204E-2</v>
      </c>
      <c r="I13" s="786"/>
      <c r="J13" s="511"/>
      <c r="K13" s="511"/>
      <c r="L13" s="511"/>
      <c r="M13" s="513"/>
    </row>
    <row r="14" spans="1:13">
      <c r="B14" s="508"/>
      <c r="C14" s="509"/>
      <c r="D14" s="509"/>
      <c r="E14" s="510"/>
      <c r="G14" s="291"/>
      <c r="H14" s="512"/>
      <c r="I14" s="502"/>
      <c r="J14" s="511"/>
      <c r="K14" s="511"/>
      <c r="L14" s="511"/>
      <c r="M14" s="513"/>
    </row>
    <row r="15" spans="1:13">
      <c r="B15" s="508" t="s">
        <v>25</v>
      </c>
      <c r="C15" s="509">
        <f>'Yakima Regulated Price Out'!Q42</f>
        <v>2661.9025403466831</v>
      </c>
      <c r="D15" s="509"/>
      <c r="E15" s="510">
        <f>SUM(C15:D15)</f>
        <v>2661.9025403466831</v>
      </c>
      <c r="F15" s="448">
        <f>C15/$E$15</f>
        <v>1</v>
      </c>
      <c r="G15" s="448">
        <f>D15/$E$15</f>
        <v>0</v>
      </c>
      <c r="H15" s="512">
        <f>C15/C21</f>
        <v>0.11247921854875712</v>
      </c>
      <c r="I15" s="502"/>
      <c r="J15" s="511"/>
      <c r="K15" s="511"/>
      <c r="L15" s="511"/>
      <c r="M15" s="513"/>
    </row>
    <row r="16" spans="1:13">
      <c r="B16" s="508"/>
      <c r="C16" s="509"/>
      <c r="D16" s="509"/>
      <c r="E16" s="510"/>
      <c r="G16" s="291"/>
      <c r="H16" s="512"/>
      <c r="I16" s="502"/>
      <c r="J16" s="511"/>
      <c r="K16" s="511"/>
      <c r="L16" s="511"/>
      <c r="M16" s="513"/>
    </row>
    <row r="17" spans="2:13">
      <c r="B17" s="508" t="s">
        <v>26</v>
      </c>
      <c r="C17" s="509">
        <f>'Yakima Regulated Price Out'!Q47</f>
        <v>550.21037635833557</v>
      </c>
      <c r="D17" s="1258">
        <v>397.56307605126193</v>
      </c>
      <c r="E17" s="510">
        <f>SUM(C17:D17)</f>
        <v>947.77345240959744</v>
      </c>
      <c r="F17" s="448">
        <f>C17/$E$17</f>
        <v>0.58052942394566265</v>
      </c>
      <c r="G17" s="448">
        <f>D17/$E$17</f>
        <v>0.41947057605433735</v>
      </c>
      <c r="H17" s="512">
        <f>C17/C21</f>
        <v>2.3249248322270662E-2</v>
      </c>
      <c r="I17" s="502"/>
      <c r="J17" s="511"/>
      <c r="K17" s="511"/>
      <c r="L17" s="511"/>
      <c r="M17" s="513"/>
    </row>
    <row r="18" spans="2:13">
      <c r="B18" s="508"/>
      <c r="C18" s="509"/>
      <c r="D18" s="1258"/>
      <c r="E18" s="510"/>
      <c r="G18" s="291"/>
      <c r="H18" s="512"/>
      <c r="I18" s="502"/>
      <c r="J18" s="511"/>
      <c r="K18" s="511"/>
      <c r="L18" s="511"/>
      <c r="M18" s="513"/>
    </row>
    <row r="19" spans="2:13">
      <c r="B19" s="508" t="s">
        <v>1466</v>
      </c>
      <c r="C19" s="509"/>
      <c r="D19" s="1258">
        <v>1114.1130741828122</v>
      </c>
      <c r="E19" s="510">
        <f>SUM(C19:D19)</f>
        <v>1114.1130741828122</v>
      </c>
      <c r="F19" s="448"/>
      <c r="G19" s="448"/>
      <c r="H19" s="512"/>
      <c r="I19" s="502"/>
      <c r="J19" s="511"/>
      <c r="K19" s="511"/>
      <c r="L19" s="511"/>
      <c r="M19" s="513"/>
    </row>
    <row r="20" spans="2:13">
      <c r="B20" s="508"/>
      <c r="C20" s="801"/>
      <c r="D20" s="801"/>
      <c r="E20" s="622"/>
      <c r="G20" s="291"/>
      <c r="H20" s="512"/>
      <c r="I20" s="502"/>
      <c r="J20" s="511"/>
      <c r="K20" s="511"/>
      <c r="L20" s="511"/>
      <c r="M20" s="513"/>
    </row>
    <row r="21" spans="2:13">
      <c r="B21" s="508" t="s">
        <v>34</v>
      </c>
      <c r="C21" s="548">
        <f>SUM(C10:C19)</f>
        <v>23665.727542308719</v>
      </c>
      <c r="D21" s="548">
        <f t="shared" ref="D21:E21" si="0">SUM(D10:D19)</f>
        <v>10683.520392925439</v>
      </c>
      <c r="E21" s="548">
        <f t="shared" si="0"/>
        <v>34349.247935234154</v>
      </c>
      <c r="H21" s="507"/>
      <c r="I21" s="502"/>
      <c r="J21" s="511"/>
      <c r="K21" s="511"/>
      <c r="L21" s="511"/>
      <c r="M21" s="513"/>
    </row>
    <row r="22" spans="2:13">
      <c r="B22" s="508"/>
      <c r="C22" s="233"/>
      <c r="D22" s="233"/>
      <c r="E22" s="233"/>
      <c r="H22" s="507"/>
      <c r="I22" s="502"/>
      <c r="J22" s="511"/>
      <c r="K22" s="511"/>
      <c r="L22" s="511"/>
      <c r="M22" s="513"/>
    </row>
    <row r="23" spans="2:13">
      <c r="B23" s="508" t="s">
        <v>1467</v>
      </c>
      <c r="C23" s="290">
        <f>C21/E21</f>
        <v>0.68897367380300967</v>
      </c>
      <c r="D23" s="290">
        <f>D21/E21</f>
        <v>0.31102632619699044</v>
      </c>
      <c r="E23" s="290">
        <f>SUM(C23:D23)</f>
        <v>1</v>
      </c>
      <c r="H23" s="507"/>
    </row>
    <row r="24" spans="2:13" ht="15.75" thickBot="1">
      <c r="B24" s="514"/>
      <c r="C24" s="1259" t="s">
        <v>1468</v>
      </c>
      <c r="D24" s="1259" t="s">
        <v>1468</v>
      </c>
      <c r="E24" s="515"/>
      <c r="F24" s="516"/>
      <c r="G24" s="516"/>
      <c r="H24" s="517"/>
      <c r="J24" s="291"/>
      <c r="K24" s="291"/>
    </row>
    <row r="25" spans="2:13">
      <c r="B25" s="232"/>
      <c r="C25" s="290"/>
      <c r="D25" s="290"/>
      <c r="E25" s="290"/>
      <c r="F25" s="233"/>
    </row>
    <row r="26" spans="2:13" ht="15.75" thickBot="1">
      <c r="B26" s="232"/>
      <c r="C26" s="290"/>
      <c r="D26" s="290"/>
      <c r="E26" s="290"/>
      <c r="F26" s="233"/>
    </row>
    <row r="27" spans="2:13">
      <c r="B27" s="499" t="s">
        <v>1469</v>
      </c>
      <c r="C27" s="500"/>
      <c r="D27" s="500"/>
      <c r="E27" s="500"/>
      <c r="F27" s="501"/>
    </row>
    <row r="28" spans="2:13">
      <c r="B28" s="503" t="s">
        <v>1458</v>
      </c>
      <c r="C28" s="504" t="s">
        <v>1459</v>
      </c>
      <c r="D28" s="504" t="s">
        <v>1460</v>
      </c>
      <c r="E28" s="504" t="s">
        <v>34</v>
      </c>
      <c r="F28" s="518"/>
    </row>
    <row r="29" spans="2:13">
      <c r="B29" s="817" t="s">
        <v>2111</v>
      </c>
      <c r="C29" s="233"/>
      <c r="D29" s="233"/>
      <c r="E29" s="233"/>
      <c r="F29" s="507"/>
    </row>
    <row r="30" spans="2:13">
      <c r="B30" s="519" t="s">
        <v>22</v>
      </c>
      <c r="C30" s="509">
        <f>C10</f>
        <v>11707.904196665637</v>
      </c>
      <c r="D30" s="1258">
        <v>2270.2760299190977</v>
      </c>
      <c r="E30" s="510">
        <f>SUM(C30:D30)</f>
        <v>13978.180226584735</v>
      </c>
      <c r="F30" s="507"/>
    </row>
    <row r="31" spans="2:13">
      <c r="B31" s="519" t="s">
        <v>1464</v>
      </c>
      <c r="C31" s="509">
        <f>C11</f>
        <v>8371.7104289380623</v>
      </c>
      <c r="D31" s="1258">
        <v>787.3142742308703</v>
      </c>
      <c r="E31" s="510">
        <f t="shared" ref="E31" si="1">SUM(C31:D31)</f>
        <v>9159.0247031689323</v>
      </c>
      <c r="F31" s="512">
        <f>SUM(C30:C31)/C41</f>
        <v>0.84846808912618898</v>
      </c>
    </row>
    <row r="32" spans="2:13">
      <c r="B32" s="519"/>
      <c r="C32" s="509"/>
      <c r="D32" s="1258"/>
      <c r="E32" s="510"/>
      <c r="F32" s="512"/>
    </row>
    <row r="33" spans="2:11">
      <c r="B33" s="519" t="s">
        <v>1465</v>
      </c>
      <c r="C33" s="509">
        <f>C13</f>
        <v>374</v>
      </c>
      <c r="D33" s="1258">
        <v>350.99020912091345</v>
      </c>
      <c r="E33" s="510">
        <f>SUM(C33:D33)</f>
        <v>724.99020912091351</v>
      </c>
      <c r="F33" s="512">
        <f>C33/C41</f>
        <v>1.5803444002783204E-2</v>
      </c>
    </row>
    <row r="34" spans="2:11">
      <c r="B34" s="519"/>
      <c r="C34" s="509"/>
      <c r="D34" s="1258"/>
      <c r="E34" s="510"/>
      <c r="F34" s="512"/>
    </row>
    <row r="35" spans="2:11">
      <c r="B35" s="519" t="s">
        <v>25</v>
      </c>
      <c r="C35" s="509">
        <f>C15</f>
        <v>2661.9025403466831</v>
      </c>
      <c r="D35" s="1258"/>
      <c r="E35" s="510">
        <f>SUM(C35:D35)</f>
        <v>2661.9025403466831</v>
      </c>
      <c r="F35" s="512">
        <f>C35/C41</f>
        <v>0.11247921854875712</v>
      </c>
    </row>
    <row r="36" spans="2:11">
      <c r="B36" s="519"/>
      <c r="C36" s="509"/>
      <c r="D36" s="1258"/>
      <c r="E36" s="510"/>
      <c r="F36" s="512"/>
    </row>
    <row r="37" spans="2:11">
      <c r="B37" s="519" t="s">
        <v>26</v>
      </c>
      <c r="C37" s="509">
        <f>C17</f>
        <v>550.21037635833557</v>
      </c>
      <c r="D37" s="1258"/>
      <c r="E37" s="510">
        <f>SUM(C37:D37)</f>
        <v>550.21037635833557</v>
      </c>
      <c r="F37" s="512">
        <f>C37/C41</f>
        <v>2.3249248322270662E-2</v>
      </c>
    </row>
    <row r="38" spans="2:11">
      <c r="B38" s="519"/>
      <c r="C38" s="509"/>
      <c r="D38" s="1258"/>
      <c r="E38" s="510"/>
      <c r="F38" s="512"/>
    </row>
    <row r="39" spans="2:11">
      <c r="B39" s="519" t="s">
        <v>1466</v>
      </c>
      <c r="C39" s="509">
        <v>0</v>
      </c>
      <c r="D39" s="1258">
        <v>1114.1130741828122</v>
      </c>
      <c r="E39" s="510">
        <f>SUM(C39:D39)</f>
        <v>1114.1130741828122</v>
      </c>
      <c r="F39" s="512"/>
    </row>
    <row r="40" spans="2:11" ht="6.75" customHeight="1">
      <c r="B40" s="519"/>
      <c r="C40" s="622"/>
      <c r="D40" s="622"/>
      <c r="E40" s="622"/>
      <c r="F40" s="512"/>
    </row>
    <row r="41" spans="2:11">
      <c r="B41" s="519"/>
      <c r="C41" s="548">
        <f>SUM(C30:C40)</f>
        <v>23665.727542308719</v>
      </c>
      <c r="D41" s="548">
        <f>SUM(D30:D40)</f>
        <v>4522.693587453693</v>
      </c>
      <c r="E41" s="548">
        <f>SUM(E30:E40)</f>
        <v>28188.421129762413</v>
      </c>
      <c r="F41" s="512"/>
    </row>
    <row r="42" spans="2:11">
      <c r="B42" s="519"/>
      <c r="C42" s="1260">
        <f>C41/E41</f>
        <v>0.83955491630290491</v>
      </c>
      <c r="D42" s="1260">
        <f>D41/E41</f>
        <v>0.16044508369709504</v>
      </c>
      <c r="E42" s="290">
        <f>SUM(C42:D42)</f>
        <v>1</v>
      </c>
      <c r="F42" s="512"/>
    </row>
    <row r="43" spans="2:11" ht="15.75" thickBot="1">
      <c r="B43" s="514"/>
      <c r="C43" s="520" t="s">
        <v>1470</v>
      </c>
      <c r="D43" s="520" t="s">
        <v>1470</v>
      </c>
      <c r="E43" s="516"/>
      <c r="F43" s="517"/>
    </row>
    <row r="44" spans="2:11">
      <c r="B44" s="232"/>
      <c r="C44" s="290"/>
      <c r="D44" s="290"/>
      <c r="E44" s="290"/>
      <c r="F44" s="233"/>
    </row>
    <row r="45" spans="2:11">
      <c r="B45" s="232"/>
      <c r="C45" s="290"/>
      <c r="D45" s="290"/>
      <c r="E45" s="290"/>
      <c r="F45" s="233"/>
    </row>
    <row r="46" spans="2:11" ht="15.75" thickBot="1">
      <c r="B46" s="232"/>
      <c r="C46" s="290"/>
      <c r="D46" s="290"/>
      <c r="E46" s="290"/>
      <c r="F46" s="233"/>
    </row>
    <row r="47" spans="2:11">
      <c r="B47" s="521" t="s">
        <v>1471</v>
      </c>
      <c r="C47" s="522"/>
      <c r="D47" s="522"/>
      <c r="E47" s="523"/>
      <c r="F47" s="233"/>
    </row>
    <row r="48" spans="2:11">
      <c r="B48" s="503" t="s">
        <v>21</v>
      </c>
      <c r="C48" s="504" t="s">
        <v>1459</v>
      </c>
      <c r="D48" s="504" t="s">
        <v>1460</v>
      </c>
      <c r="E48" s="505" t="s">
        <v>34</v>
      </c>
      <c r="F48" s="233"/>
      <c r="G48" s="450"/>
      <c r="H48" s="450"/>
      <c r="I48" s="450"/>
      <c r="J48" s="450"/>
      <c r="K48" s="450"/>
    </row>
    <row r="49" spans="2:16">
      <c r="B49" s="508"/>
      <c r="C49" s="290"/>
      <c r="D49" s="290"/>
      <c r="E49" s="512"/>
      <c r="F49" s="233"/>
    </row>
    <row r="50" spans="2:16">
      <c r="B50" s="508" t="s">
        <v>1472</v>
      </c>
      <c r="C50" s="510">
        <f>'Restating Adj''s'!B19</f>
        <v>10269686.500000002</v>
      </c>
      <c r="D50" s="510">
        <f>'Restating Adj''s'!C19</f>
        <v>4903385.01</v>
      </c>
      <c r="E50" s="524">
        <f>SUM(C50:D50)</f>
        <v>15173071.510000002</v>
      </c>
      <c r="F50" s="233"/>
      <c r="G50" s="289"/>
      <c r="H50" s="289"/>
      <c r="I50" s="289"/>
      <c r="J50" s="289"/>
      <c r="K50" s="289"/>
    </row>
    <row r="51" spans="2:16">
      <c r="B51" s="508" t="s">
        <v>2112</v>
      </c>
      <c r="C51" s="290"/>
      <c r="D51" s="818">
        <f>-'Revenue Summary'!F21</f>
        <v>-1708297.48</v>
      </c>
      <c r="E51" s="525">
        <f>SUM(C51:D51)</f>
        <v>-1708297.48</v>
      </c>
      <c r="F51" s="233"/>
      <c r="G51" s="289"/>
      <c r="H51" s="289"/>
      <c r="I51" s="289"/>
      <c r="J51" s="289"/>
      <c r="K51" s="289"/>
    </row>
    <row r="52" spans="2:16">
      <c r="B52" s="508"/>
      <c r="C52" s="290"/>
      <c r="D52" s="510"/>
      <c r="E52" s="512"/>
      <c r="F52" s="233"/>
      <c r="G52" s="289"/>
      <c r="H52" s="289"/>
      <c r="I52" s="289"/>
      <c r="J52" s="289"/>
      <c r="K52" s="289"/>
    </row>
    <row r="53" spans="2:16">
      <c r="B53" s="508" t="s">
        <v>1473</v>
      </c>
      <c r="C53" s="510">
        <f>SUM(C50:C52)</f>
        <v>10269686.500000002</v>
      </c>
      <c r="D53" s="510">
        <f>SUM(D50:D52)</f>
        <v>3195087.53</v>
      </c>
      <c r="E53" s="524">
        <f>SUM(C53:D53)</f>
        <v>13464774.030000001</v>
      </c>
      <c r="F53" s="233"/>
      <c r="G53" s="289"/>
      <c r="H53" s="289"/>
      <c r="I53" s="289"/>
      <c r="J53" s="289"/>
      <c r="K53" s="289"/>
    </row>
    <row r="54" spans="2:16">
      <c r="B54" s="508"/>
      <c r="C54" s="290"/>
      <c r="D54" s="290"/>
      <c r="E54" s="512"/>
      <c r="F54" s="233"/>
    </row>
    <row r="55" spans="2:16" ht="15.75" thickBot="1">
      <c r="B55" s="514" t="s">
        <v>1474</v>
      </c>
      <c r="C55" s="526">
        <f>C53/E53</f>
        <v>0.76270767538458284</v>
      </c>
      <c r="D55" s="526">
        <f>D53/E53</f>
        <v>0.23729232461541722</v>
      </c>
      <c r="E55" s="527"/>
      <c r="F55" s="233"/>
      <c r="G55" s="448"/>
      <c r="H55" s="448"/>
      <c r="I55" s="448"/>
      <c r="J55" s="448"/>
      <c r="K55" s="263"/>
    </row>
    <row r="56" spans="2:16">
      <c r="B56" s="232"/>
      <c r="C56" s="290"/>
      <c r="D56" s="290"/>
      <c r="E56" s="290"/>
      <c r="F56" s="233"/>
      <c r="G56" s="289"/>
      <c r="H56" s="289"/>
      <c r="I56" s="289"/>
      <c r="J56" s="289"/>
      <c r="K56" s="289"/>
    </row>
    <row r="57" spans="2:16" ht="15.75" thickBot="1">
      <c r="B57" s="232"/>
      <c r="C57" s="290"/>
      <c r="D57" s="290"/>
      <c r="E57" s="290"/>
      <c r="F57" s="233"/>
      <c r="G57" s="528"/>
      <c r="H57" s="528"/>
      <c r="I57" s="528"/>
      <c r="J57" s="528"/>
    </row>
    <row r="58" spans="2:16" ht="15.75" thickBot="1">
      <c r="B58" s="1419" t="s">
        <v>2109</v>
      </c>
      <c r="C58" s="1420"/>
      <c r="D58" s="1420"/>
      <c r="E58" s="1420"/>
      <c r="F58" s="1420"/>
      <c r="G58" s="1421"/>
    </row>
    <row r="59" spans="2:16">
      <c r="B59" s="880" t="s">
        <v>1475</v>
      </c>
      <c r="C59" s="1264"/>
      <c r="D59" s="1265"/>
      <c r="E59" s="1265"/>
      <c r="F59" s="1266" t="s">
        <v>1476</v>
      </c>
      <c r="G59" s="1267"/>
      <c r="H59" s="529"/>
      <c r="K59" s="530"/>
      <c r="M59" s="531"/>
      <c r="N59" s="531"/>
      <c r="O59" s="531"/>
      <c r="P59" s="531"/>
    </row>
    <row r="60" spans="2:16">
      <c r="B60" s="877" t="s">
        <v>1477</v>
      </c>
      <c r="C60" s="879" t="s">
        <v>1459</v>
      </c>
      <c r="D60" s="532" t="s">
        <v>1460</v>
      </c>
      <c r="E60" s="532" t="s">
        <v>34</v>
      </c>
      <c r="F60" s="532" t="s">
        <v>1459</v>
      </c>
      <c r="G60" s="876" t="s">
        <v>1478</v>
      </c>
      <c r="H60" s="532"/>
      <c r="J60" s="533"/>
      <c r="K60" s="533"/>
      <c r="L60" s="533"/>
      <c r="M60" s="291"/>
      <c r="N60" s="291"/>
      <c r="O60" s="291"/>
      <c r="P60" s="291"/>
    </row>
    <row r="61" spans="2:16">
      <c r="B61" s="558" t="s">
        <v>1479</v>
      </c>
      <c r="C61" s="1261">
        <v>900.375</v>
      </c>
      <c r="D61" s="1261">
        <v>318</v>
      </c>
      <c r="E61" s="881">
        <f>SUM(C61:D61)</f>
        <v>1218.375</v>
      </c>
      <c r="F61" s="534">
        <f>C61/(E61+E66)</f>
        <v>0.68632682229633157</v>
      </c>
      <c r="G61" s="875">
        <f>(D61+D66)/(E61+E66)</f>
        <v>0.31367317770366843</v>
      </c>
      <c r="H61" s="800"/>
      <c r="J61" s="533"/>
      <c r="K61" s="533"/>
      <c r="L61" s="533"/>
      <c r="M61" s="291"/>
      <c r="N61" s="291"/>
      <c r="O61" s="291"/>
      <c r="P61" s="531"/>
    </row>
    <row r="62" spans="2:16">
      <c r="B62" s="560"/>
      <c r="C62" s="1261"/>
      <c r="D62" s="1261"/>
      <c r="E62" s="881"/>
      <c r="F62" s="534"/>
      <c r="G62" s="874"/>
      <c r="H62" s="535"/>
      <c r="J62" s="533"/>
      <c r="K62" s="533"/>
      <c r="L62" s="533"/>
      <c r="M62" s="291"/>
      <c r="N62" s="291"/>
      <c r="O62" s="291"/>
      <c r="P62" s="291"/>
    </row>
    <row r="63" spans="2:16">
      <c r="B63" s="560" t="s">
        <v>1480</v>
      </c>
      <c r="C63" s="1261">
        <v>419</v>
      </c>
      <c r="D63" s="1261">
        <v>220.75</v>
      </c>
      <c r="E63" s="881">
        <f>SUM(C63:D63)</f>
        <v>639.75</v>
      </c>
      <c r="F63" s="534">
        <f>C63/(E63+E64)</f>
        <v>0.65494333724110976</v>
      </c>
      <c r="G63" s="875">
        <f>(D63+D64)/(E63+E64)</f>
        <v>0.34505666275889019</v>
      </c>
      <c r="H63" s="534"/>
      <c r="J63" s="533"/>
      <c r="K63" s="533"/>
      <c r="L63" s="533"/>
      <c r="M63" s="291"/>
      <c r="N63" s="291"/>
      <c r="O63" s="291"/>
      <c r="P63" s="291"/>
    </row>
    <row r="64" spans="2:16">
      <c r="B64" s="560" t="s">
        <v>1481</v>
      </c>
      <c r="C64" s="1261"/>
      <c r="D64" s="1261"/>
      <c r="E64" s="881">
        <f>SUM(C64:D64)</f>
        <v>0</v>
      </c>
      <c r="F64" s="534"/>
      <c r="G64" s="875"/>
      <c r="H64" s="534"/>
      <c r="J64" s="533"/>
      <c r="K64" s="533"/>
      <c r="L64" s="533"/>
      <c r="M64" s="291"/>
      <c r="N64" s="291"/>
      <c r="O64" s="291"/>
      <c r="P64" s="291"/>
    </row>
    <row r="65" spans="2:16">
      <c r="B65" s="560" t="s">
        <v>25</v>
      </c>
      <c r="C65" s="1261">
        <v>35</v>
      </c>
      <c r="D65" s="1261"/>
      <c r="E65" s="881">
        <f>SUM(C65:D65)</f>
        <v>35</v>
      </c>
      <c r="F65" s="534"/>
      <c r="G65" s="875"/>
      <c r="H65" s="534"/>
      <c r="J65" s="533"/>
      <c r="K65" s="533"/>
      <c r="L65" s="533"/>
      <c r="M65" s="291"/>
      <c r="N65" s="291"/>
      <c r="O65" s="291"/>
      <c r="P65" s="291"/>
    </row>
    <row r="66" spans="2:16">
      <c r="B66" s="560" t="s">
        <v>1466</v>
      </c>
      <c r="C66" s="1261"/>
      <c r="D66" s="1261">
        <v>93.5</v>
      </c>
      <c r="E66" s="881">
        <f>SUM(C66:D66)</f>
        <v>93.5</v>
      </c>
      <c r="F66" s="534"/>
      <c r="G66" s="875"/>
      <c r="H66" s="534"/>
      <c r="J66" s="533"/>
      <c r="K66" s="533"/>
      <c r="L66" s="533"/>
      <c r="M66" s="291"/>
      <c r="N66" s="291"/>
      <c r="O66" s="291"/>
      <c r="P66" s="291"/>
    </row>
    <row r="67" spans="2:16">
      <c r="B67" s="560" t="s">
        <v>26</v>
      </c>
      <c r="C67" s="1261">
        <v>9.625</v>
      </c>
      <c r="D67" s="1261">
        <v>7.875</v>
      </c>
      <c r="E67" s="881">
        <f>SUM(C67:D67)</f>
        <v>17.5</v>
      </c>
      <c r="F67" s="534">
        <f>SUM(C65:C67)/SUM($E$65,$E$67)</f>
        <v>0.85</v>
      </c>
      <c r="G67" s="875">
        <f>SUM(D67)/SUM($E$65,$E$67)</f>
        <v>0.15</v>
      </c>
      <c r="H67" s="534"/>
      <c r="I67" s="536"/>
      <c r="J67" s="533"/>
      <c r="K67" s="533"/>
      <c r="L67" s="533"/>
      <c r="M67" s="291"/>
      <c r="N67" s="291"/>
      <c r="O67" s="291"/>
      <c r="P67" s="291"/>
    </row>
    <row r="68" spans="2:16">
      <c r="B68" s="561" t="s">
        <v>1482</v>
      </c>
      <c r="C68" s="878">
        <f>SUM(C61:C67)</f>
        <v>1364</v>
      </c>
      <c r="D68" s="878">
        <f>SUM(D61:D67)</f>
        <v>640.125</v>
      </c>
      <c r="E68" s="878">
        <f>SUM(E61:E67)</f>
        <v>2004.125</v>
      </c>
      <c r="F68" s="537"/>
      <c r="G68" s="807"/>
      <c r="H68" s="537"/>
      <c r="L68" s="291"/>
      <c r="M68" s="291"/>
      <c r="N68" s="291"/>
      <c r="O68" s="291"/>
      <c r="P68" s="531"/>
    </row>
    <row r="69" spans="2:16">
      <c r="B69" s="560"/>
      <c r="C69" s="537"/>
      <c r="D69" s="537"/>
      <c r="E69" s="537"/>
      <c r="F69" s="537"/>
      <c r="G69" s="874"/>
      <c r="H69" s="535"/>
      <c r="J69" s="291"/>
      <c r="K69" s="291"/>
      <c r="L69" s="291"/>
      <c r="M69" s="291"/>
      <c r="N69" s="291"/>
      <c r="O69" s="291"/>
      <c r="P69" s="531"/>
    </row>
    <row r="70" spans="2:16">
      <c r="B70" s="560" t="s">
        <v>37</v>
      </c>
      <c r="C70" s="1262">
        <f>C68/E68</f>
        <v>0.6805962701927275</v>
      </c>
      <c r="D70" s="1262">
        <f>D68/E68</f>
        <v>0.3194037298072725</v>
      </c>
      <c r="E70" s="537">
        <f>SUM(C70:D70)</f>
        <v>1</v>
      </c>
      <c r="F70" s="537"/>
      <c r="G70" s="874" t="s">
        <v>1474</v>
      </c>
      <c r="H70" s="535"/>
    </row>
    <row r="71" spans="2:16">
      <c r="B71" s="560"/>
      <c r="C71" s="1263" t="s">
        <v>1483</v>
      </c>
      <c r="D71" s="1263" t="s">
        <v>1483</v>
      </c>
      <c r="E71" s="537"/>
      <c r="F71" s="537"/>
      <c r="G71" s="807"/>
      <c r="H71" s="537"/>
    </row>
    <row r="72" spans="2:16" ht="15.75" thickBot="1">
      <c r="B72" s="538"/>
      <c r="C72" s="539"/>
      <c r="D72" s="539"/>
      <c r="E72" s="539"/>
      <c r="F72" s="539"/>
      <c r="G72" s="540"/>
      <c r="H72" s="537"/>
      <c r="J72" s="537"/>
    </row>
    <row r="73" spans="2:16" ht="15.75" thickBot="1">
      <c r="B73" s="541"/>
      <c r="C73" s="537"/>
      <c r="D73" s="537"/>
      <c r="E73" s="537"/>
      <c r="F73" s="537"/>
      <c r="G73" s="537"/>
      <c r="H73" s="537"/>
    </row>
    <row r="74" spans="2:16">
      <c r="B74" s="811" t="s">
        <v>2110</v>
      </c>
      <c r="C74" s="803"/>
      <c r="D74" s="803"/>
      <c r="E74" s="803"/>
      <c r="F74" s="804"/>
      <c r="G74" s="537"/>
      <c r="H74" s="537"/>
    </row>
    <row r="75" spans="2:16">
      <c r="B75" s="545" t="s">
        <v>2108</v>
      </c>
      <c r="C75" s="546"/>
      <c r="D75" s="546"/>
      <c r="E75" s="546"/>
      <c r="F75" s="547"/>
      <c r="G75" s="537"/>
      <c r="H75" s="537"/>
    </row>
    <row r="76" spans="2:16">
      <c r="B76" s="805" t="s">
        <v>2101</v>
      </c>
      <c r="C76" s="806">
        <v>3184.3599999999969</v>
      </c>
      <c r="D76" s="537"/>
      <c r="E76" s="537"/>
      <c r="F76" s="807"/>
      <c r="G76" s="537"/>
      <c r="H76" s="537"/>
      <c r="I76" s="291"/>
    </row>
    <row r="77" spans="2:16">
      <c r="B77" s="805" t="s">
        <v>2102</v>
      </c>
      <c r="C77" s="806">
        <v>23.53</v>
      </c>
      <c r="D77" s="233"/>
      <c r="E77" s="537"/>
      <c r="F77" s="807"/>
      <c r="G77" s="537"/>
      <c r="H77" s="537"/>
      <c r="I77" s="448"/>
    </row>
    <row r="78" spans="2:16">
      <c r="B78" s="805" t="s">
        <v>2103</v>
      </c>
      <c r="C78" s="806">
        <v>15.200000000000001</v>
      </c>
      <c r="D78" s="233"/>
      <c r="E78" s="537"/>
      <c r="F78" s="807"/>
      <c r="G78" s="537"/>
      <c r="H78" s="537"/>
    </row>
    <row r="79" spans="2:16">
      <c r="B79" s="805" t="s">
        <v>2104</v>
      </c>
      <c r="C79" s="806">
        <v>254.53000000000011</v>
      </c>
      <c r="D79" s="537"/>
      <c r="E79" s="537"/>
      <c r="F79" s="807"/>
      <c r="G79" s="537"/>
      <c r="H79" s="537"/>
    </row>
    <row r="80" spans="2:16">
      <c r="B80" s="805" t="s">
        <v>2105</v>
      </c>
      <c r="C80" s="806">
        <v>508.40000000000009</v>
      </c>
      <c r="D80" s="812" t="s">
        <v>2107</v>
      </c>
      <c r="E80" s="813">
        <f>C80/C82</f>
        <v>0.12668005561563428</v>
      </c>
      <c r="F80" s="807"/>
      <c r="G80" s="537"/>
      <c r="H80" s="537"/>
    </row>
    <row r="81" spans="2:8">
      <c r="B81" s="808" t="s">
        <v>2106</v>
      </c>
      <c r="C81" s="802">
        <v>27.240000000000009</v>
      </c>
      <c r="D81" s="812" t="s">
        <v>1460</v>
      </c>
      <c r="E81" s="814">
        <f>1-E80</f>
        <v>0.87331994438436578</v>
      </c>
      <c r="F81" s="807"/>
      <c r="G81" s="537"/>
      <c r="H81" s="537"/>
    </row>
    <row r="82" spans="2:8">
      <c r="B82" s="809" t="s">
        <v>994</v>
      </c>
      <c r="C82" s="810">
        <f>SUM(C76:C81)</f>
        <v>4013.2599999999975</v>
      </c>
      <c r="D82" s="537"/>
      <c r="E82" s="537"/>
      <c r="F82" s="807"/>
      <c r="G82" s="537"/>
      <c r="H82" s="537"/>
    </row>
    <row r="83" spans="2:8">
      <c r="B83" s="560"/>
      <c r="C83" s="537"/>
      <c r="D83" s="537"/>
      <c r="E83" s="537"/>
      <c r="F83" s="807"/>
      <c r="G83" s="537"/>
      <c r="H83" s="537"/>
    </row>
    <row r="84" spans="2:8" ht="15.75" thickBot="1">
      <c r="B84" s="538"/>
      <c r="C84" s="539"/>
      <c r="D84" s="539"/>
      <c r="E84" s="539"/>
      <c r="F84" s="540"/>
      <c r="G84" s="537"/>
      <c r="H84" s="537"/>
    </row>
    <row r="85" spans="2:8" ht="15.75" thickBot="1"/>
    <row r="86" spans="2:8">
      <c r="B86" s="542"/>
      <c r="C86" s="543"/>
      <c r="D86" s="543"/>
      <c r="E86" s="543" t="s">
        <v>1484</v>
      </c>
      <c r="F86" s="544"/>
    </row>
    <row r="87" spans="2:8">
      <c r="B87" s="545" t="s">
        <v>1485</v>
      </c>
      <c r="C87" s="546" t="s">
        <v>34</v>
      </c>
      <c r="D87" s="546" t="s">
        <v>1459</v>
      </c>
      <c r="E87" s="546" t="s">
        <v>1459</v>
      </c>
      <c r="F87" s="547"/>
    </row>
    <row r="88" spans="2:8">
      <c r="B88" s="519" t="s">
        <v>1486</v>
      </c>
      <c r="C88" s="510">
        <f>'Depr Summary'!E9</f>
        <v>761180.36238123581</v>
      </c>
      <c r="D88" s="510">
        <f>C88*$F$61</f>
        <v>522418.49930748373</v>
      </c>
      <c r="E88" s="510">
        <f>C88*$G$61</f>
        <v>238761.86307375212</v>
      </c>
      <c r="F88" s="507" t="s">
        <v>1487</v>
      </c>
      <c r="G88" s="530"/>
    </row>
    <row r="89" spans="2:8">
      <c r="B89" s="519" t="s">
        <v>1488</v>
      </c>
      <c r="C89" s="510">
        <f>'Depr Summary'!E11</f>
        <v>292095.51353711222</v>
      </c>
      <c r="D89" s="510">
        <f>C89*$F$63</f>
        <v>191306.01042915203</v>
      </c>
      <c r="E89" s="510">
        <f>C89*$G$63</f>
        <v>100789.50310796018</v>
      </c>
      <c r="F89" s="507" t="s">
        <v>1487</v>
      </c>
      <c r="G89" s="530"/>
    </row>
    <row r="90" spans="2:8">
      <c r="B90" s="519" t="s">
        <v>1531</v>
      </c>
      <c r="C90" s="622">
        <f>'Depr Summary'!E13</f>
        <v>35578.057852564169</v>
      </c>
      <c r="D90" s="622">
        <f>C90*F67</f>
        <v>30241.349174679541</v>
      </c>
      <c r="E90" s="622">
        <f>C90*$G$67</f>
        <v>5336.7086778846251</v>
      </c>
      <c r="F90" s="507" t="s">
        <v>1487</v>
      </c>
      <c r="G90" s="530"/>
    </row>
    <row r="91" spans="2:8" ht="6" customHeight="1">
      <c r="B91" s="519"/>
      <c r="C91" s="510"/>
      <c r="D91" s="510"/>
      <c r="E91" s="510"/>
      <c r="F91" s="507"/>
      <c r="G91" s="530"/>
    </row>
    <row r="92" spans="2:8">
      <c r="B92" s="519" t="s">
        <v>1474</v>
      </c>
      <c r="C92" s="548">
        <f>SUM(C88:C91)</f>
        <v>1088853.9337709122</v>
      </c>
      <c r="D92" s="548">
        <f>SUM(D88:D91)</f>
        <v>743965.85891131521</v>
      </c>
      <c r="E92" s="548">
        <f t="shared" ref="E92" si="2">SUM(E88:E91)</f>
        <v>344888.07485959691</v>
      </c>
      <c r="F92" s="839">
        <f>C92-D92-E92</f>
        <v>0</v>
      </c>
    </row>
    <row r="93" spans="2:8">
      <c r="B93" s="519"/>
      <c r="C93" s="510"/>
      <c r="D93" s="510"/>
      <c r="E93" s="510"/>
      <c r="F93" s="507"/>
    </row>
    <row r="94" spans="2:8">
      <c r="B94" s="519" t="s">
        <v>1489</v>
      </c>
      <c r="C94" s="510">
        <f>'Depr Summary'!E18</f>
        <v>66189.738750000193</v>
      </c>
      <c r="D94" s="510">
        <f>C94*$F$11</f>
        <v>49854.919792507644</v>
      </c>
      <c r="E94" s="510">
        <f t="shared" ref="E94:E99" si="3">C94-D94</f>
        <v>16334.818957492549</v>
      </c>
      <c r="F94" s="507" t="s">
        <v>144</v>
      </c>
      <c r="G94" s="530"/>
    </row>
    <row r="95" spans="2:8">
      <c r="B95" s="519" t="s">
        <v>28</v>
      </c>
      <c r="C95" s="510">
        <f>'Depr Summary'!E20</f>
        <v>61382.196750000563</v>
      </c>
      <c r="D95" s="510">
        <f>C95*$F$13</f>
        <v>41664.140806715448</v>
      </c>
      <c r="E95" s="510">
        <f t="shared" si="3"/>
        <v>19718.055943285115</v>
      </c>
      <c r="F95" s="507" t="s">
        <v>144</v>
      </c>
      <c r="G95" s="530"/>
    </row>
    <row r="96" spans="2:8">
      <c r="B96" s="519" t="s">
        <v>1490</v>
      </c>
      <c r="C96" s="510">
        <f>'Depr Summary'!E22</f>
        <v>77564.445132145731</v>
      </c>
      <c r="D96" s="509">
        <f>C96*$F$10</f>
        <v>47610.469252799499</v>
      </c>
      <c r="E96" s="510">
        <f t="shared" si="3"/>
        <v>29953.975879346232</v>
      </c>
      <c r="F96" s="507" t="s">
        <v>144</v>
      </c>
      <c r="G96" s="530"/>
    </row>
    <row r="97" spans="2:7">
      <c r="B97" s="519" t="s">
        <v>1554</v>
      </c>
      <c r="C97" s="510">
        <f>'Depr Summary'!E24</f>
        <v>4675.2810714285715</v>
      </c>
      <c r="D97" s="509">
        <f>C97*($C$10+$C$15)/($E$10+$E$15)</f>
        <v>3090.8865999528452</v>
      </c>
      <c r="E97" s="510">
        <f t="shared" si="3"/>
        <v>1584.3944714757263</v>
      </c>
      <c r="F97" s="507" t="s">
        <v>144</v>
      </c>
      <c r="G97" s="530"/>
    </row>
    <row r="98" spans="2:7">
      <c r="B98" s="519" t="s">
        <v>1491</v>
      </c>
      <c r="C98" s="510">
        <f>'Depr Summary'!E26</f>
        <v>17010.261873559997</v>
      </c>
      <c r="D98" s="510">
        <f>C98</f>
        <v>17010.261873559997</v>
      </c>
      <c r="E98" s="510">
        <f t="shared" si="3"/>
        <v>0</v>
      </c>
      <c r="F98" s="507" t="s">
        <v>144</v>
      </c>
      <c r="G98" s="530"/>
    </row>
    <row r="99" spans="2:7">
      <c r="B99" s="519" t="s">
        <v>1492</v>
      </c>
      <c r="C99" s="622">
        <f>'Depr Summary'!E28</f>
        <v>971.09445000000005</v>
      </c>
      <c r="D99" s="622">
        <f>C99*$F$17</f>
        <v>563.74890165533009</v>
      </c>
      <c r="E99" s="622">
        <f t="shared" si="3"/>
        <v>407.34554834466996</v>
      </c>
      <c r="F99" s="507" t="s">
        <v>144</v>
      </c>
      <c r="G99" s="530"/>
    </row>
    <row r="100" spans="2:7">
      <c r="B100" s="519"/>
      <c r="C100" s="548">
        <f>SUM(C94:C99)</f>
        <v>227793.01802713505</v>
      </c>
      <c r="D100" s="548">
        <f t="shared" ref="D100:E100" si="4">SUM(D94:D99)</f>
        <v>159794.42722719078</v>
      </c>
      <c r="E100" s="548">
        <f t="shared" si="4"/>
        <v>67998.590799944301</v>
      </c>
      <c r="F100" s="839">
        <f>C100-D100-E100</f>
        <v>0</v>
      </c>
    </row>
    <row r="101" spans="2:7">
      <c r="B101" s="519"/>
      <c r="C101" s="510"/>
      <c r="D101" s="510"/>
      <c r="E101" s="510"/>
      <c r="F101" s="507"/>
    </row>
    <row r="102" spans="2:7">
      <c r="B102" s="519" t="s">
        <v>1493</v>
      </c>
      <c r="C102" s="510">
        <f>'Depr Summary'!E32</f>
        <v>2287.9133333333493</v>
      </c>
      <c r="D102" s="510">
        <f>C102*$C$70</f>
        <v>1557.145281190888</v>
      </c>
      <c r="E102" s="510">
        <f>C102*$D$70</f>
        <v>730.76805214246133</v>
      </c>
      <c r="F102" s="507" t="s">
        <v>37</v>
      </c>
      <c r="G102" s="530"/>
    </row>
    <row r="103" spans="2:7">
      <c r="B103" s="519" t="s">
        <v>1494</v>
      </c>
      <c r="C103" s="510">
        <f>'Depr Summary'!E34</f>
        <v>41342.585619475096</v>
      </c>
      <c r="D103" s="510">
        <f>C103*$C$70</f>
        <v>28137.609572738242</v>
      </c>
      <c r="E103" s="510">
        <f>C103*$D$70</f>
        <v>13204.976046736852</v>
      </c>
      <c r="F103" s="507" t="s">
        <v>37</v>
      </c>
      <c r="G103" s="530"/>
    </row>
    <row r="104" spans="2:7">
      <c r="B104" s="519" t="s">
        <v>1495</v>
      </c>
      <c r="C104" s="510">
        <f>'Depr Summary'!E36</f>
        <v>4330.1659047618978</v>
      </c>
      <c r="D104" s="510">
        <f>C104*$C$23</f>
        <v>2983.3703115803378</v>
      </c>
      <c r="E104" s="510">
        <f>C104*$D$23</f>
        <v>1346.7955931815602</v>
      </c>
      <c r="F104" s="507" t="s">
        <v>144</v>
      </c>
      <c r="G104" s="530"/>
    </row>
    <row r="105" spans="2:7">
      <c r="B105" s="519" t="s">
        <v>1556</v>
      </c>
      <c r="C105" s="510">
        <f>'Depr Summary'!E38</f>
        <v>20996.550000000003</v>
      </c>
      <c r="D105" s="510">
        <f>C105*$C$70</f>
        <v>14290.173616915115</v>
      </c>
      <c r="E105" s="510">
        <f>C105*$D$70</f>
        <v>6706.3763830848884</v>
      </c>
      <c r="F105" s="507" t="s">
        <v>37</v>
      </c>
      <c r="G105" s="530"/>
    </row>
    <row r="106" spans="2:7">
      <c r="B106" s="519" t="s">
        <v>1497</v>
      </c>
      <c r="C106" s="510">
        <f>'Depr Summary'!E40</f>
        <v>20723.45</v>
      </c>
      <c r="D106" s="509">
        <f>C106*$E$80</f>
        <v>2625.2477985478163</v>
      </c>
      <c r="E106" s="510">
        <f>C106-D106</f>
        <v>18098.202201452186</v>
      </c>
      <c r="F106" s="507" t="s">
        <v>81</v>
      </c>
      <c r="G106" s="530"/>
    </row>
    <row r="107" spans="2:7">
      <c r="B107" s="519" t="s">
        <v>1498</v>
      </c>
      <c r="C107" s="622">
        <f>'Depr Summary'!E42</f>
        <v>36297.440333333332</v>
      </c>
      <c r="D107" s="622">
        <f>C107*$C$70</f>
        <v>24703.902508409737</v>
      </c>
      <c r="E107" s="622">
        <f>C107*$D$70</f>
        <v>11593.537824923595</v>
      </c>
      <c r="F107" s="507" t="s">
        <v>37</v>
      </c>
      <c r="G107" s="530"/>
    </row>
    <row r="108" spans="2:7">
      <c r="B108" s="519"/>
      <c r="C108" s="548">
        <f>SUM(C102:C107)</f>
        <v>125978.10519090368</v>
      </c>
      <c r="D108" s="548">
        <f>SUM(D102:D107)</f>
        <v>74297.449089382135</v>
      </c>
      <c r="E108" s="548">
        <f t="shared" ref="E108" si="5">SUM(E102:E107)</f>
        <v>51680.656101521541</v>
      </c>
      <c r="F108" s="839">
        <f>C108-D108-E108</f>
        <v>0</v>
      </c>
    </row>
    <row r="109" spans="2:7">
      <c r="B109" s="519"/>
      <c r="C109" s="510"/>
      <c r="D109" s="510"/>
      <c r="E109" s="510"/>
      <c r="F109" s="507"/>
    </row>
    <row r="110" spans="2:7">
      <c r="B110" s="508" t="s">
        <v>1499</v>
      </c>
      <c r="C110" s="548">
        <f>C92+C100+C108</f>
        <v>1442625.0569889511</v>
      </c>
      <c r="D110" s="548">
        <f t="shared" ref="D110:E110" si="6">D92+D100+D108</f>
        <v>978057.73522788822</v>
      </c>
      <c r="E110" s="548">
        <f t="shared" si="6"/>
        <v>464567.32176106272</v>
      </c>
      <c r="F110" s="507"/>
    </row>
    <row r="111" spans="2:7" ht="15.75" thickBot="1">
      <c r="B111" s="549"/>
      <c r="C111" s="516"/>
      <c r="D111" s="516"/>
      <c r="E111" s="516"/>
      <c r="F111" s="517"/>
    </row>
    <row r="112" spans="2:7">
      <c r="B112" s="233"/>
      <c r="C112" s="233"/>
      <c r="D112" s="233"/>
      <c r="E112" s="233"/>
      <c r="F112" s="233"/>
    </row>
    <row r="113" spans="2:7" ht="15.75" thickBot="1"/>
    <row r="114" spans="2:7">
      <c r="B114" s="542"/>
      <c r="C114" s="550"/>
      <c r="D114" s="550"/>
      <c r="E114" s="543" t="s">
        <v>1484</v>
      </c>
      <c r="F114" s="544"/>
    </row>
    <row r="115" spans="2:7">
      <c r="B115" s="551" t="s">
        <v>211</v>
      </c>
      <c r="C115" s="546" t="s">
        <v>34</v>
      </c>
      <c r="D115" s="546" t="s">
        <v>1459</v>
      </c>
      <c r="E115" s="546" t="s">
        <v>1459</v>
      </c>
      <c r="F115" s="547"/>
    </row>
    <row r="116" spans="2:7">
      <c r="B116" s="519" t="s">
        <v>1486</v>
      </c>
      <c r="C116" s="509">
        <f>'Depr Summary'!H9</f>
        <v>2758351.0277488972</v>
      </c>
      <c r="D116" s="510">
        <f>C116*$F$61</f>
        <v>1893130.2956527208</v>
      </c>
      <c r="E116" s="510">
        <f>C116*$G$61</f>
        <v>865220.73209617625</v>
      </c>
      <c r="F116" s="507" t="s">
        <v>1487</v>
      </c>
      <c r="G116" s="530"/>
    </row>
    <row r="117" spans="2:7">
      <c r="B117" s="519" t="s">
        <v>1488</v>
      </c>
      <c r="C117" s="509">
        <f>'Depr Summary'!H11</f>
        <v>1074548.6522964672</v>
      </c>
      <c r="D117" s="510">
        <f>C117*$F$63</f>
        <v>703768.48036298517</v>
      </c>
      <c r="E117" s="510">
        <f>C117*$G$63</f>
        <v>370780.17193348205</v>
      </c>
      <c r="F117" s="507" t="s">
        <v>1487</v>
      </c>
      <c r="G117" s="530"/>
    </row>
    <row r="118" spans="2:7">
      <c r="B118" s="519" t="s">
        <v>1531</v>
      </c>
      <c r="C118" s="801">
        <f>'Depr Summary'!H13</f>
        <v>7424.517815170715</v>
      </c>
      <c r="D118" s="622">
        <f>C118*F67</f>
        <v>6310.8401428951074</v>
      </c>
      <c r="E118" s="622">
        <f>C118*G67</f>
        <v>1113.6776722756072</v>
      </c>
      <c r="F118" s="507" t="s">
        <v>1487</v>
      </c>
      <c r="G118" s="530"/>
    </row>
    <row r="119" spans="2:7" ht="6.75" customHeight="1">
      <c r="B119" s="519"/>
      <c r="C119" s="509"/>
      <c r="D119" s="510"/>
      <c r="E119" s="510"/>
      <c r="F119" s="507"/>
      <c r="G119" s="530"/>
    </row>
    <row r="120" spans="2:7">
      <c r="B120" s="519" t="s">
        <v>1474</v>
      </c>
      <c r="C120" s="548">
        <f>SUM(C116:C119)</f>
        <v>3840324.1978605352</v>
      </c>
      <c r="D120" s="548">
        <f>SUM(D116:D119)</f>
        <v>2603209.6161586009</v>
      </c>
      <c r="E120" s="548">
        <f t="shared" ref="E120" si="7">SUM(E116:E119)</f>
        <v>1237114.5817019339</v>
      </c>
      <c r="F120" s="524">
        <f>SUM(D120:E120)</f>
        <v>3840324.1978605348</v>
      </c>
      <c r="G120" s="530"/>
    </row>
    <row r="121" spans="2:7">
      <c r="B121" s="519"/>
      <c r="C121" s="510"/>
      <c r="D121" s="510"/>
      <c r="E121" s="510"/>
      <c r="F121" s="507"/>
      <c r="G121" s="530"/>
    </row>
    <row r="122" spans="2:7">
      <c r="B122" s="519" t="s">
        <v>1489</v>
      </c>
      <c r="C122" s="509">
        <f>'Depr Summary'!H18</f>
        <v>215930.25840277781</v>
      </c>
      <c r="D122" s="510">
        <f>C122*$F$11</f>
        <v>162641.30840742902</v>
      </c>
      <c r="E122" s="510">
        <f>C122-D122</f>
        <v>53288.949995348783</v>
      </c>
      <c r="F122" s="507" t="s">
        <v>144</v>
      </c>
      <c r="G122" s="530"/>
    </row>
    <row r="123" spans="2:7">
      <c r="B123" s="519" t="s">
        <v>28</v>
      </c>
      <c r="C123" s="509">
        <f>'Depr Summary'!H20</f>
        <v>447344.33837499912</v>
      </c>
      <c r="D123" s="510">
        <f>C123*$F$13</f>
        <v>303642.07359754929</v>
      </c>
      <c r="E123" s="510">
        <f>C123-D123</f>
        <v>143702.26477744983</v>
      </c>
      <c r="F123" s="507" t="s">
        <v>144</v>
      </c>
      <c r="G123" s="530"/>
    </row>
    <row r="124" spans="2:7">
      <c r="B124" s="519" t="s">
        <v>1490</v>
      </c>
      <c r="C124" s="509">
        <f>'Depr Summary'!H22</f>
        <v>378536.71194180835</v>
      </c>
      <c r="D124" s="509">
        <f>C124*F10</f>
        <v>232352.72880837176</v>
      </c>
      <c r="E124" s="510">
        <f t="shared" ref="E124:E125" si="8">C124-D124</f>
        <v>146183.98313343659</v>
      </c>
      <c r="F124" s="507" t="s">
        <v>144</v>
      </c>
      <c r="G124" s="530"/>
    </row>
    <row r="125" spans="2:7">
      <c r="B125" s="519" t="s">
        <v>1554</v>
      </c>
      <c r="C125" s="509">
        <f>'Depr Summary'!H24</f>
        <v>30082.597142857325</v>
      </c>
      <c r="D125" s="509">
        <f>C125*($C$10+$C$15)/($E$10+$E$15)</f>
        <v>19887.979990949731</v>
      </c>
      <c r="E125" s="510">
        <f t="shared" si="8"/>
        <v>10194.617151907594</v>
      </c>
      <c r="F125" s="507" t="s">
        <v>144</v>
      </c>
      <c r="G125" s="530"/>
    </row>
    <row r="126" spans="2:7">
      <c r="B126" s="519" t="s">
        <v>1491</v>
      </c>
      <c r="C126" s="509">
        <f>'Depr Summary'!H26</f>
        <v>32029.875803997489</v>
      </c>
      <c r="D126" s="510">
        <f>C126</f>
        <v>32029.875803997489</v>
      </c>
      <c r="E126" s="510">
        <f>C126-D126</f>
        <v>0</v>
      </c>
      <c r="F126" s="507" t="s">
        <v>24</v>
      </c>
      <c r="G126" s="530"/>
    </row>
    <row r="127" spans="2:7">
      <c r="B127" s="519" t="s">
        <v>1492</v>
      </c>
      <c r="C127" s="801">
        <f>'Depr Summary'!H28</f>
        <v>1519.3954083333256</v>
      </c>
      <c r="D127" s="622">
        <f>C127*F17</f>
        <v>882.05374114543042</v>
      </c>
      <c r="E127" s="622">
        <f t="shared" ref="E127" si="9">C127-D127</f>
        <v>637.34166718789515</v>
      </c>
      <c r="F127" s="507" t="s">
        <v>144</v>
      </c>
      <c r="G127" s="530"/>
    </row>
    <row r="128" spans="2:7">
      <c r="B128" s="519"/>
      <c r="C128" s="548">
        <f>SUM(C122:C127)</f>
        <v>1105443.1770747735</v>
      </c>
      <c r="D128" s="548">
        <f>SUM(D122:D127)</f>
        <v>751436.02034944273</v>
      </c>
      <c r="E128" s="548">
        <f>SUM(E122:E127)</f>
        <v>354007.15672533074</v>
      </c>
      <c r="F128" s="524">
        <f>SUM(D128:E128)</f>
        <v>1105443.1770747735</v>
      </c>
      <c r="G128" s="530"/>
    </row>
    <row r="129" spans="2:7">
      <c r="B129" s="519"/>
      <c r="C129" s="510"/>
      <c r="D129" s="510"/>
      <c r="E129" s="510"/>
      <c r="F129" s="507"/>
      <c r="G129" s="530"/>
    </row>
    <row r="130" spans="2:7">
      <c r="B130" s="519" t="s">
        <v>1493</v>
      </c>
      <c r="C130" s="509">
        <f>'Depr Summary'!H32</f>
        <v>43.956666666674664</v>
      </c>
      <c r="D130" s="510">
        <f>C130*$C$70</f>
        <v>29.916743383443769</v>
      </c>
      <c r="E130" s="510">
        <f>C130*$D$70</f>
        <v>14.039923283230896</v>
      </c>
      <c r="F130" s="507" t="s">
        <v>37</v>
      </c>
      <c r="G130" s="530"/>
    </row>
    <row r="131" spans="2:7">
      <c r="B131" s="519" t="s">
        <v>1494</v>
      </c>
      <c r="C131" s="509">
        <f>'Depr Summary'!H34</f>
        <v>134557.87238947002</v>
      </c>
      <c r="D131" s="510">
        <f>C131*$C$70</f>
        <v>91579.586073342289</v>
      </c>
      <c r="E131" s="510">
        <f>C131*$D$70</f>
        <v>42978.286316127735</v>
      </c>
      <c r="F131" s="507" t="s">
        <v>37</v>
      </c>
      <c r="G131" s="530"/>
    </row>
    <row r="132" spans="2:7">
      <c r="B132" s="519" t="s">
        <v>1495</v>
      </c>
      <c r="C132" s="509">
        <f>'Depr Summary'!H36</f>
        <v>6692.925896825469</v>
      </c>
      <c r="D132" s="510">
        <f>C132*$C$23</f>
        <v>4611.2497436271469</v>
      </c>
      <c r="E132" s="510">
        <f>C132*$D$23</f>
        <v>2081.6761531983229</v>
      </c>
      <c r="F132" s="507" t="s">
        <v>144</v>
      </c>
      <c r="G132" s="530"/>
    </row>
    <row r="133" spans="2:7">
      <c r="B133" s="519" t="s">
        <v>1556</v>
      </c>
      <c r="C133" s="509">
        <f>'Depr Summary'!H38</f>
        <v>248459.17499999842</v>
      </c>
      <c r="D133" s="510">
        <f>C133*$C$70</f>
        <v>169100.38780016109</v>
      </c>
      <c r="E133" s="510">
        <f>C133*$D$70</f>
        <v>79358.78719983733</v>
      </c>
      <c r="F133" s="507" t="s">
        <v>37</v>
      </c>
      <c r="G133" s="530"/>
    </row>
    <row r="134" spans="2:7">
      <c r="B134" s="519" t="s">
        <v>1497</v>
      </c>
      <c r="C134" s="509">
        <f>'Depr Summary'!H40</f>
        <v>245227.4916666651</v>
      </c>
      <c r="D134" s="509">
        <f>C134*$E$80</f>
        <v>31065.432282815626</v>
      </c>
      <c r="E134" s="510">
        <f>C134-D134</f>
        <v>214162.05938384947</v>
      </c>
      <c r="F134" s="507" t="s">
        <v>81</v>
      </c>
      <c r="G134" s="530"/>
    </row>
    <row r="135" spans="2:7">
      <c r="B135" s="519" t="s">
        <v>1498</v>
      </c>
      <c r="C135" s="509">
        <f>'Depr Summary'!H42</f>
        <v>236473.1518333329</v>
      </c>
      <c r="D135" s="510">
        <f>C135*$C$70</f>
        <v>160942.74513848493</v>
      </c>
      <c r="E135" s="510">
        <f>C135*$D$70</f>
        <v>75530.406694847989</v>
      </c>
      <c r="F135" s="507" t="s">
        <v>37</v>
      </c>
      <c r="G135" s="530"/>
    </row>
    <row r="136" spans="2:7">
      <c r="B136" s="519" t="s">
        <v>1500</v>
      </c>
      <c r="C136" s="509">
        <f>'Depr Summary'!H44</f>
        <v>343062.99528461613</v>
      </c>
      <c r="D136" s="510">
        <f>C136*$C$70</f>
        <v>233487.39503185501</v>
      </c>
      <c r="E136" s="510">
        <f>C136*$D$70</f>
        <v>109575.60025276113</v>
      </c>
      <c r="F136" s="507" t="s">
        <v>37</v>
      </c>
      <c r="G136" s="530"/>
    </row>
    <row r="137" spans="2:7">
      <c r="B137" s="519" t="s">
        <v>1501</v>
      </c>
      <c r="C137" s="801">
        <f>'Depr Summary'!H46</f>
        <v>51033.204715383887</v>
      </c>
      <c r="D137" s="801">
        <f>C137*$E$80</f>
        <v>6464.8892115888802</v>
      </c>
      <c r="E137" s="622">
        <f>C137-D137</f>
        <v>44568.315503795005</v>
      </c>
      <c r="F137" s="507" t="s">
        <v>81</v>
      </c>
      <c r="G137" s="530"/>
    </row>
    <row r="138" spans="2:7">
      <c r="B138" s="519"/>
      <c r="C138" s="548">
        <f>SUM(C130:C137)</f>
        <v>1265550.7734529588</v>
      </c>
      <c r="D138" s="548">
        <f>SUM(D130:D137)</f>
        <v>697281.60202525835</v>
      </c>
      <c r="E138" s="548">
        <f>SUM(E130:E137)</f>
        <v>568269.1714277002</v>
      </c>
      <c r="F138" s="524">
        <f>SUM(D138:E138)</f>
        <v>1265550.7734529586</v>
      </c>
      <c r="G138" s="530"/>
    </row>
    <row r="139" spans="2:7">
      <c r="B139" s="519"/>
      <c r="C139" s="510"/>
      <c r="D139" s="510"/>
      <c r="E139" s="510"/>
      <c r="F139" s="507"/>
      <c r="G139" s="530"/>
    </row>
    <row r="140" spans="2:7">
      <c r="B140" s="508" t="s">
        <v>1502</v>
      </c>
      <c r="C140" s="548">
        <f>C120+C128+C138</f>
        <v>6211318.1483882675</v>
      </c>
      <c r="D140" s="548">
        <f>D120+D128+D138</f>
        <v>4051927.2385333022</v>
      </c>
      <c r="E140" s="548">
        <f>E120+E128+E138</f>
        <v>2159390.9098549648</v>
      </c>
      <c r="F140" s="524">
        <f>SUM(D140:E140)</f>
        <v>6211318.1483882666</v>
      </c>
      <c r="G140" s="530"/>
    </row>
    <row r="141" spans="2:7" ht="15.75" thickBot="1">
      <c r="B141" s="549"/>
      <c r="C141" s="552"/>
      <c r="D141" s="552"/>
      <c r="E141" s="552"/>
      <c r="F141" s="517"/>
    </row>
    <row r="142" spans="2:7">
      <c r="C142" s="530"/>
      <c r="D142" s="530"/>
      <c r="E142" s="530"/>
    </row>
    <row r="143" spans="2:7">
      <c r="C143" s="530"/>
      <c r="D143" s="530"/>
      <c r="E143" s="530"/>
    </row>
    <row r="144" spans="2:7">
      <c r="C144" s="530"/>
      <c r="D144" s="530"/>
      <c r="E144" s="530"/>
    </row>
    <row r="145" spans="2:9">
      <c r="B145" s="1269" t="s">
        <v>1503</v>
      </c>
      <c r="C145" s="1270"/>
      <c r="D145" s="1270"/>
      <c r="E145" s="1270"/>
      <c r="F145" s="1271"/>
      <c r="G145" s="1268"/>
      <c r="H145" s="1268"/>
    </row>
    <row r="146" spans="2:9">
      <c r="B146" s="1272" t="s">
        <v>1504</v>
      </c>
      <c r="C146" s="1273"/>
      <c r="D146" s="1273"/>
      <c r="E146" s="1273"/>
      <c r="F146" s="1274"/>
      <c r="G146" s="1276"/>
      <c r="H146" s="1276"/>
    </row>
    <row r="147" spans="2:9" ht="15.75" thickBot="1">
      <c r="C147" s="530"/>
      <c r="D147" s="530"/>
      <c r="E147" s="530"/>
    </row>
    <row r="148" spans="2:9">
      <c r="B148" s="499" t="s">
        <v>1505</v>
      </c>
      <c r="C148" s="553"/>
      <c r="D148" s="553"/>
      <c r="E148" s="554"/>
      <c r="F148" s="502"/>
      <c r="G148" s="502"/>
      <c r="H148" s="502"/>
      <c r="I148" s="502"/>
    </row>
    <row r="149" spans="2:9">
      <c r="B149" s="506" t="s">
        <v>22</v>
      </c>
      <c r="C149" s="509">
        <f>$C10</f>
        <v>11707.904196665637</v>
      </c>
      <c r="D149" s="290">
        <f>C149/$C154</f>
        <v>0.49471980845442742</v>
      </c>
      <c r="E149" s="524"/>
    </row>
    <row r="150" spans="2:9">
      <c r="B150" s="508" t="s">
        <v>1506</v>
      </c>
      <c r="C150" s="510">
        <f>$C11</f>
        <v>8371.7104289380623</v>
      </c>
      <c r="D150" s="290">
        <f>C150/$C$154</f>
        <v>0.35374828067176156</v>
      </c>
      <c r="E150" s="555">
        <f>D149+D150</f>
        <v>0.84846808912618898</v>
      </c>
    </row>
    <row r="151" spans="2:9">
      <c r="B151" s="508" t="s">
        <v>1465</v>
      </c>
      <c r="C151" s="510">
        <f>$C13</f>
        <v>374</v>
      </c>
      <c r="D151" s="290">
        <f t="shared" ref="D151:D153" si="10">C151/$C$154</f>
        <v>1.5803444002783204E-2</v>
      </c>
      <c r="E151" s="524"/>
    </row>
    <row r="152" spans="2:9">
      <c r="B152" s="508" t="s">
        <v>25</v>
      </c>
      <c r="C152" s="510">
        <f>$C15</f>
        <v>2661.9025403466831</v>
      </c>
      <c r="D152" s="290">
        <f t="shared" si="10"/>
        <v>0.11247921854875712</v>
      </c>
      <c r="E152" s="524"/>
    </row>
    <row r="153" spans="2:9">
      <c r="B153" s="508" t="s">
        <v>26</v>
      </c>
      <c r="C153" s="510">
        <f>$C17</f>
        <v>550.21037635833557</v>
      </c>
      <c r="D153" s="290">
        <f t="shared" si="10"/>
        <v>2.3249248322270662E-2</v>
      </c>
      <c r="E153" s="524"/>
    </row>
    <row r="154" spans="2:9">
      <c r="B154" s="519"/>
      <c r="C154" s="548">
        <f>SUM(C149:C153)</f>
        <v>23665.727542308719</v>
      </c>
      <c r="D154" s="556">
        <f>SUM(D149:D153)</f>
        <v>1</v>
      </c>
      <c r="E154" s="524"/>
    </row>
    <row r="155" spans="2:9" ht="15.75" thickBot="1">
      <c r="B155" s="549"/>
      <c r="C155" s="552"/>
      <c r="D155" s="552"/>
      <c r="E155" s="557"/>
    </row>
    <row r="156" spans="2:9">
      <c r="C156" s="530"/>
      <c r="D156" s="530"/>
      <c r="E156" s="530"/>
    </row>
    <row r="157" spans="2:9" ht="15.75" thickBot="1">
      <c r="B157" s="214"/>
      <c r="C157" s="530"/>
      <c r="D157" s="530"/>
      <c r="E157" s="530"/>
    </row>
    <row r="158" spans="2:9">
      <c r="B158" s="499" t="s">
        <v>1507</v>
      </c>
      <c r="C158" s="553"/>
      <c r="D158" s="553"/>
      <c r="E158" s="554"/>
    </row>
    <row r="159" spans="2:9">
      <c r="B159" s="558" t="s">
        <v>1479</v>
      </c>
      <c r="C159" s="559">
        <f>C61</f>
        <v>900.375</v>
      </c>
      <c r="D159" s="290">
        <f>C159/C163</f>
        <v>0.66009897360703818</v>
      </c>
      <c r="E159" s="524"/>
    </row>
    <row r="160" spans="2:9">
      <c r="B160" s="560" t="s">
        <v>1480</v>
      </c>
      <c r="C160" s="559">
        <f>C63</f>
        <v>419</v>
      </c>
      <c r="D160" s="290">
        <f>C160/C163</f>
        <v>0.30718475073313783</v>
      </c>
      <c r="E160" s="524"/>
    </row>
    <row r="161" spans="2:11">
      <c r="B161" s="560" t="s">
        <v>25</v>
      </c>
      <c r="C161" s="559">
        <f>C65</f>
        <v>35</v>
      </c>
      <c r="D161" s="290">
        <f>C161/C163</f>
        <v>2.5659824046920823E-2</v>
      </c>
      <c r="E161" s="524"/>
    </row>
    <row r="162" spans="2:11">
      <c r="B162" s="560" t="s">
        <v>26</v>
      </c>
      <c r="C162" s="559">
        <f>C67</f>
        <v>9.625</v>
      </c>
      <c r="D162" s="290">
        <f>C162/C163</f>
        <v>7.0564516129032256E-3</v>
      </c>
      <c r="E162" s="524"/>
    </row>
    <row r="163" spans="2:11">
      <c r="B163" s="561" t="s">
        <v>1482</v>
      </c>
      <c r="C163" s="562">
        <f>SUM(C159:C162)</f>
        <v>1364</v>
      </c>
      <c r="D163" s="563">
        <f>SUM(D159:D162)</f>
        <v>1</v>
      </c>
      <c r="E163" s="524"/>
    </row>
    <row r="164" spans="2:11" ht="15.75" thickBot="1">
      <c r="B164" s="538"/>
      <c r="C164" s="564"/>
      <c r="D164" s="552"/>
      <c r="E164" s="557"/>
    </row>
    <row r="165" spans="2:11" ht="15.75" thickBot="1">
      <c r="C165" s="530"/>
      <c r="D165" s="530"/>
      <c r="E165" s="530"/>
    </row>
    <row r="166" spans="2:11">
      <c r="B166" s="499"/>
      <c r="C166" s="565" t="s">
        <v>34</v>
      </c>
      <c r="D166" s="566"/>
      <c r="E166" s="566"/>
      <c r="F166" s="567"/>
      <c r="G166" s="500"/>
      <c r="H166" s="501"/>
    </row>
    <row r="167" spans="2:11">
      <c r="B167" s="503" t="s">
        <v>1485</v>
      </c>
      <c r="C167" s="568" t="s">
        <v>1459</v>
      </c>
      <c r="D167" s="568" t="s">
        <v>1508</v>
      </c>
      <c r="E167" s="568" t="s">
        <v>1509</v>
      </c>
      <c r="F167" s="568" t="s">
        <v>1510</v>
      </c>
      <c r="G167" s="504" t="s">
        <v>1511</v>
      </c>
      <c r="H167" s="518"/>
    </row>
    <row r="168" spans="2:11">
      <c r="B168" s="519" t="s">
        <v>1512</v>
      </c>
      <c r="C168" s="510">
        <f>D92</f>
        <v>743965.85891131521</v>
      </c>
      <c r="D168" s="510">
        <f>D88</f>
        <v>522418.49930748373</v>
      </c>
      <c r="E168" s="510">
        <f>D89</f>
        <v>191306.01042915203</v>
      </c>
      <c r="F168" s="510">
        <f>$D$90*($C$152/($C$152+$C$153))</f>
        <v>25061.237347212205</v>
      </c>
      <c r="G168" s="510">
        <f>$D$90*($C$153/($C$152+$C$153))</f>
        <v>5180.1118274673363</v>
      </c>
      <c r="H168" s="507" t="s">
        <v>2546</v>
      </c>
      <c r="I168" s="511"/>
      <c r="J168" s="502"/>
      <c r="K168" s="502"/>
    </row>
    <row r="169" spans="2:11">
      <c r="B169" s="519" t="s">
        <v>1489</v>
      </c>
      <c r="C169" s="510">
        <f t="shared" ref="C169:C174" si="11">D94</f>
        <v>49854.919792507644</v>
      </c>
      <c r="D169" s="510">
        <f>C169</f>
        <v>49854.919792507644</v>
      </c>
      <c r="E169" s="510"/>
      <c r="F169" s="510"/>
      <c r="G169" s="510"/>
      <c r="H169" s="507" t="s">
        <v>1513</v>
      </c>
      <c r="I169" s="530"/>
    </row>
    <row r="170" spans="2:11">
      <c r="B170" s="519" t="s">
        <v>28</v>
      </c>
      <c r="C170" s="510">
        <f t="shared" si="11"/>
        <v>41664.140806715448</v>
      </c>
      <c r="D170" s="510"/>
      <c r="E170" s="510">
        <f>C170</f>
        <v>41664.140806715448</v>
      </c>
      <c r="F170" s="510"/>
      <c r="G170" s="233"/>
      <c r="H170" s="507" t="s">
        <v>1513</v>
      </c>
      <c r="I170" s="530"/>
    </row>
    <row r="171" spans="2:11">
      <c r="B171" s="519" t="s">
        <v>1490</v>
      </c>
      <c r="C171" s="510">
        <f t="shared" si="11"/>
        <v>47610.469252799499</v>
      </c>
      <c r="D171" s="510">
        <f>C171</f>
        <v>47610.469252799499</v>
      </c>
      <c r="E171" s="510"/>
      <c r="F171" s="510"/>
      <c r="G171" s="233"/>
      <c r="H171" s="507" t="s">
        <v>1513</v>
      </c>
      <c r="I171" s="530"/>
    </row>
    <row r="172" spans="2:11">
      <c r="B172" s="519" t="s">
        <v>1554</v>
      </c>
      <c r="C172" s="510">
        <f t="shared" si="11"/>
        <v>3090.8865999528452</v>
      </c>
      <c r="D172" s="510">
        <f>C172*($C$149/($C$149+$C$152))</f>
        <v>2518.3222612031759</v>
      </c>
      <c r="E172" s="510"/>
      <c r="F172" s="510">
        <f>C172*($C$152/($C$149+$C$152))</f>
        <v>572.5643387496691</v>
      </c>
      <c r="G172" s="233"/>
      <c r="H172" s="569" t="s">
        <v>1515</v>
      </c>
      <c r="I172" s="530"/>
    </row>
    <row r="173" spans="2:11">
      <c r="B173" s="519" t="s">
        <v>1491</v>
      </c>
      <c r="C173" s="510">
        <f t="shared" si="11"/>
        <v>17010.261873559997</v>
      </c>
      <c r="D173" s="510"/>
      <c r="E173" s="510"/>
      <c r="F173" s="510">
        <f>C173</f>
        <v>17010.261873559997</v>
      </c>
      <c r="G173" s="233"/>
      <c r="H173" s="507" t="s">
        <v>1513</v>
      </c>
      <c r="I173" s="530"/>
    </row>
    <row r="174" spans="2:11">
      <c r="B174" s="519" t="s">
        <v>1492</v>
      </c>
      <c r="C174" s="510">
        <f t="shared" si="11"/>
        <v>563.74890165533009</v>
      </c>
      <c r="D174" s="510"/>
      <c r="E174" s="510"/>
      <c r="F174" s="510"/>
      <c r="G174" s="510">
        <f>C174</f>
        <v>563.74890165533009</v>
      </c>
      <c r="H174" s="507" t="s">
        <v>1513</v>
      </c>
      <c r="I174" s="530"/>
    </row>
    <row r="175" spans="2:11">
      <c r="B175" s="519"/>
      <c r="C175" s="548">
        <f>SUM(C168:C174)</f>
        <v>903760.28613850602</v>
      </c>
      <c r="D175" s="548">
        <f>SUM(D168:D174)</f>
        <v>622402.21061399404</v>
      </c>
      <c r="E175" s="548">
        <f t="shared" ref="E175:G175" si="12">SUM(E168:E174)</f>
        <v>232970.15123586747</v>
      </c>
      <c r="F175" s="548">
        <f t="shared" si="12"/>
        <v>42644.06355952187</v>
      </c>
      <c r="G175" s="548">
        <f t="shared" si="12"/>
        <v>5743.8607291226663</v>
      </c>
      <c r="H175" s="507"/>
      <c r="I175" s="530"/>
    </row>
    <row r="176" spans="2:11">
      <c r="B176" s="519"/>
      <c r="C176" s="510"/>
      <c r="D176" s="510"/>
      <c r="E176" s="510"/>
      <c r="F176" s="510"/>
      <c r="G176" s="510"/>
      <c r="H176" s="507"/>
    </row>
    <row r="177" spans="2:10">
      <c r="B177" s="519" t="s">
        <v>1493</v>
      </c>
      <c r="C177" s="510">
        <f t="shared" ref="C177:C182" si="13">D102</f>
        <v>1557.145281190888</v>
      </c>
      <c r="D177" s="510">
        <f>C177*$D$159</f>
        <v>1027.8700018711479</v>
      </c>
      <c r="E177" s="510">
        <f>C177*$D$160</f>
        <v>478.33128505790478</v>
      </c>
      <c r="F177" s="510">
        <f>C177*$D$161</f>
        <v>39.956073930851232</v>
      </c>
      <c r="G177" s="510">
        <f>C177*$D$162</f>
        <v>10.987920330984089</v>
      </c>
      <c r="H177" s="569" t="s">
        <v>1514</v>
      </c>
      <c r="I177" s="530"/>
    </row>
    <row r="178" spans="2:10">
      <c r="B178" s="519" t="s">
        <v>1494</v>
      </c>
      <c r="C178" s="510">
        <f t="shared" si="13"/>
        <v>28137.609572738242</v>
      </c>
      <c r="D178" s="510">
        <f>C178*$D$159</f>
        <v>18573.607198720085</v>
      </c>
      <c r="E178" s="510">
        <f>C178*$D$160</f>
        <v>8643.4445828279495</v>
      </c>
      <c r="F178" s="510">
        <f>C178*$D$161</f>
        <v>722.00611073741823</v>
      </c>
      <c r="G178" s="510">
        <f>C178*$D$162</f>
        <v>198.55168045279001</v>
      </c>
      <c r="H178" s="569" t="s">
        <v>1514</v>
      </c>
      <c r="I178" s="530"/>
    </row>
    <row r="179" spans="2:10">
      <c r="B179" s="519" t="s">
        <v>1495</v>
      </c>
      <c r="C179" s="510">
        <f t="shared" si="13"/>
        <v>2983.3703115803378</v>
      </c>
      <c r="D179" s="510">
        <f>C179*$E$150</f>
        <v>2531.2945074223721</v>
      </c>
      <c r="E179" s="510">
        <f>C179*$D$151</f>
        <v>47.147525658625746</v>
      </c>
      <c r="F179" s="510">
        <f>C179*$D$152</f>
        <v>335.56716128811843</v>
      </c>
      <c r="G179" s="510">
        <f>C179*$D$153</f>
        <v>69.36111721122127</v>
      </c>
      <c r="H179" s="569" t="s">
        <v>1515</v>
      </c>
      <c r="I179" s="530"/>
    </row>
    <row r="180" spans="2:10">
      <c r="B180" s="519" t="s">
        <v>1496</v>
      </c>
      <c r="C180" s="510">
        <f t="shared" si="13"/>
        <v>14290.173616915115</v>
      </c>
      <c r="D180" s="510">
        <f>C180*$D$159</f>
        <v>9432.928937192044</v>
      </c>
      <c r="E180" s="510">
        <f>C180*$D$160</f>
        <v>4389.7234204453325</v>
      </c>
      <c r="F180" s="510">
        <f>C180*$D$161</f>
        <v>366.683340609992</v>
      </c>
      <c r="G180" s="510">
        <f>C180*$D$162</f>
        <v>100.83791866774779</v>
      </c>
      <c r="H180" s="569" t="s">
        <v>1514</v>
      </c>
      <c r="I180" s="530"/>
    </row>
    <row r="181" spans="2:10">
      <c r="B181" s="519" t="s">
        <v>1497</v>
      </c>
      <c r="C181" s="510">
        <f t="shared" si="13"/>
        <v>2625.2477985478163</v>
      </c>
      <c r="D181" s="510"/>
      <c r="E181" s="510"/>
      <c r="F181" s="510">
        <f t="shared" ref="F181" si="14">$D$106</f>
        <v>2625.2477985478163</v>
      </c>
      <c r="G181" s="510"/>
      <c r="H181" s="507" t="s">
        <v>1513</v>
      </c>
      <c r="I181" s="530"/>
    </row>
    <row r="182" spans="2:10">
      <c r="B182" s="519" t="s">
        <v>1498</v>
      </c>
      <c r="C182" s="510">
        <f t="shared" si="13"/>
        <v>24703.902508409737</v>
      </c>
      <c r="D182" s="510">
        <f>C182*$D$159</f>
        <v>16307.020689889603</v>
      </c>
      <c r="E182" s="510">
        <f>C182*$D$160</f>
        <v>7588.6621341815835</v>
      </c>
      <c r="F182" s="510">
        <f>C182*$D$161</f>
        <v>633.89779163807987</v>
      </c>
      <c r="G182" s="510">
        <f>C182*$D$162</f>
        <v>174.32189270047192</v>
      </c>
      <c r="H182" s="569" t="s">
        <v>1514</v>
      </c>
      <c r="I182" s="530"/>
    </row>
    <row r="183" spans="2:10">
      <c r="B183" s="519"/>
      <c r="C183" s="548">
        <f>SUM(C177:C182)</f>
        <v>74297.449089382135</v>
      </c>
      <c r="D183" s="548">
        <f t="shared" ref="D183:F183" si="15">SUM(D177:D182)</f>
        <v>47872.721335095252</v>
      </c>
      <c r="E183" s="548">
        <f t="shared" si="15"/>
        <v>21147.308948171394</v>
      </c>
      <c r="F183" s="548">
        <f t="shared" si="15"/>
        <v>4723.3582767522757</v>
      </c>
      <c r="G183" s="548">
        <f>SUM(G177:G182)</f>
        <v>554.0605293632151</v>
      </c>
      <c r="H183" s="507"/>
      <c r="I183" s="530"/>
    </row>
    <row r="184" spans="2:10">
      <c r="B184" s="519"/>
      <c r="C184" s="510"/>
      <c r="D184" s="510"/>
      <c r="E184" s="510"/>
      <c r="F184" s="510"/>
      <c r="G184" s="233"/>
      <c r="H184" s="507"/>
    </row>
    <row r="185" spans="2:10">
      <c r="B185" s="519" t="s">
        <v>1516</v>
      </c>
      <c r="C185" s="548">
        <f>C175+C183</f>
        <v>978057.73522788822</v>
      </c>
      <c r="D185" s="548">
        <f>D175+D183</f>
        <v>670274.93194908928</v>
      </c>
      <c r="E185" s="548">
        <f t="shared" ref="E185:G185" si="16">E175+E183</f>
        <v>254117.46018403885</v>
      </c>
      <c r="F185" s="548">
        <f t="shared" si="16"/>
        <v>47367.421836274145</v>
      </c>
      <c r="G185" s="548">
        <f t="shared" si="16"/>
        <v>6297.9212584858815</v>
      </c>
      <c r="H185" s="507"/>
      <c r="I185" s="530"/>
    </row>
    <row r="186" spans="2:10">
      <c r="B186" s="519"/>
      <c r="C186" s="510"/>
      <c r="D186" s="510"/>
      <c r="E186" s="510"/>
      <c r="F186" s="510"/>
      <c r="G186" s="233"/>
      <c r="H186" s="507"/>
    </row>
    <row r="187" spans="2:10" ht="15.75" thickBot="1">
      <c r="B187" s="549"/>
      <c r="C187" s="552"/>
      <c r="D187" s="552"/>
      <c r="E187" s="552"/>
      <c r="F187" s="552"/>
      <c r="G187" s="516"/>
      <c r="H187" s="517"/>
    </row>
    <row r="188" spans="2:10">
      <c r="C188" s="530"/>
      <c r="D188" s="530"/>
      <c r="E188" s="530"/>
      <c r="F188" s="530"/>
    </row>
    <row r="189" spans="2:10" ht="15.75" thickBot="1">
      <c r="C189" s="530"/>
      <c r="D189" s="530"/>
      <c r="E189" s="530"/>
      <c r="F189" s="530"/>
    </row>
    <row r="190" spans="2:10">
      <c r="B190" s="499"/>
      <c r="C190" s="565" t="s">
        <v>34</v>
      </c>
      <c r="D190" s="566"/>
      <c r="E190" s="553"/>
      <c r="F190" s="553"/>
      <c r="G190" s="500"/>
      <c r="H190" s="501"/>
      <c r="J190" s="530"/>
    </row>
    <row r="191" spans="2:10">
      <c r="B191" s="503" t="s">
        <v>211</v>
      </c>
      <c r="C191" s="568" t="s">
        <v>1459</v>
      </c>
      <c r="D191" s="568" t="s">
        <v>1508</v>
      </c>
      <c r="E191" s="568" t="s">
        <v>1509</v>
      </c>
      <c r="F191" s="568" t="s">
        <v>1510</v>
      </c>
      <c r="G191" s="504" t="s">
        <v>1511</v>
      </c>
      <c r="H191" s="518"/>
      <c r="J191" s="530"/>
    </row>
    <row r="192" spans="2:10">
      <c r="B192" s="519" t="s">
        <v>1512</v>
      </c>
      <c r="C192" s="510">
        <f>D120</f>
        <v>2603209.6161586009</v>
      </c>
      <c r="D192" s="510">
        <f>D116</f>
        <v>1893130.2956527208</v>
      </c>
      <c r="E192" s="510">
        <f>D117</f>
        <v>703768.48036298517</v>
      </c>
      <c r="F192" s="510">
        <f>$D$118*($C$152/($C$152+$C$153))</f>
        <v>5229.8414917886957</v>
      </c>
      <c r="G192" s="510">
        <f>$D$118*($C$153/($C$152+$C$153))</f>
        <v>1080.9986511064124</v>
      </c>
      <c r="H192" s="507" t="s">
        <v>2546</v>
      </c>
      <c r="J192" s="530"/>
    </row>
    <row r="193" spans="2:12">
      <c r="B193" s="519" t="s">
        <v>1489</v>
      </c>
      <c r="C193" s="510">
        <f>D122</f>
        <v>162641.30840742902</v>
      </c>
      <c r="D193" s="510">
        <f>D122</f>
        <v>162641.30840742902</v>
      </c>
      <c r="E193" s="510"/>
      <c r="F193" s="510"/>
      <c r="G193" s="233"/>
      <c r="H193" s="507" t="s">
        <v>1513</v>
      </c>
      <c r="J193" s="530"/>
    </row>
    <row r="194" spans="2:12">
      <c r="B194" s="519" t="s">
        <v>28</v>
      </c>
      <c r="C194" s="510">
        <f>D123</f>
        <v>303642.07359754929</v>
      </c>
      <c r="D194" s="510"/>
      <c r="E194" s="510">
        <f>C194</f>
        <v>303642.07359754929</v>
      </c>
      <c r="F194" s="510"/>
      <c r="G194" s="233"/>
      <c r="H194" s="507" t="s">
        <v>1513</v>
      </c>
      <c r="J194" s="530"/>
    </row>
    <row r="195" spans="2:12">
      <c r="B195" s="519" t="s">
        <v>1490</v>
      </c>
      <c r="C195" s="510">
        <f>D124</f>
        <v>232352.72880837176</v>
      </c>
      <c r="D195" s="510">
        <f>C195</f>
        <v>232352.72880837176</v>
      </c>
      <c r="E195" s="510"/>
      <c r="F195" s="510"/>
      <c r="G195" s="233"/>
      <c r="H195" s="507" t="s">
        <v>1513</v>
      </c>
      <c r="J195" s="530"/>
    </row>
    <row r="196" spans="2:12">
      <c r="B196" s="519" t="s">
        <v>1554</v>
      </c>
      <c r="C196" s="510">
        <f>D125</f>
        <v>19887.979990949731</v>
      </c>
      <c r="D196" s="510">
        <f>C196*($C$149/($C$149+$C$152))</f>
        <v>16203.875853075986</v>
      </c>
      <c r="E196" s="510"/>
      <c r="F196" s="510">
        <f>C196*($C$152/($C$149+$C$152))</f>
        <v>3684.1041378737436</v>
      </c>
      <c r="G196" s="233"/>
      <c r="H196" s="569" t="s">
        <v>1515</v>
      </c>
      <c r="J196" s="530"/>
    </row>
    <row r="197" spans="2:12">
      <c r="B197" s="519" t="s">
        <v>1491</v>
      </c>
      <c r="C197" s="509">
        <f>+D126</f>
        <v>32029.875803997489</v>
      </c>
      <c r="D197" s="510"/>
      <c r="E197" s="510"/>
      <c r="F197" s="510">
        <f>C197</f>
        <v>32029.875803997489</v>
      </c>
      <c r="G197" s="233"/>
      <c r="H197" s="507" t="s">
        <v>1513</v>
      </c>
      <c r="I197" s="502"/>
      <c r="J197" s="511"/>
      <c r="K197" s="502"/>
      <c r="L197" s="502"/>
    </row>
    <row r="198" spans="2:12">
      <c r="B198" s="519" t="s">
        <v>1492</v>
      </c>
      <c r="C198" s="510">
        <f>+D127</f>
        <v>882.05374114543042</v>
      </c>
      <c r="D198" s="510"/>
      <c r="E198" s="510"/>
      <c r="F198" s="510"/>
      <c r="G198" s="510">
        <f>C198</f>
        <v>882.05374114543042</v>
      </c>
      <c r="H198" s="507" t="s">
        <v>1513</v>
      </c>
      <c r="J198" s="530"/>
    </row>
    <row r="199" spans="2:12">
      <c r="B199" s="519"/>
      <c r="C199" s="548">
        <f>SUM(C192:C198)</f>
        <v>3354645.6365080439</v>
      </c>
      <c r="D199" s="548">
        <f t="shared" ref="D199:G199" si="17">SUM(D192:D198)</f>
        <v>2304328.2087215977</v>
      </c>
      <c r="E199" s="548">
        <f t="shared" si="17"/>
        <v>1007410.5539605345</v>
      </c>
      <c r="F199" s="548">
        <f t="shared" si="17"/>
        <v>40943.821433659927</v>
      </c>
      <c r="G199" s="548">
        <f t="shared" si="17"/>
        <v>1963.0523922518428</v>
      </c>
      <c r="H199" s="507"/>
      <c r="J199" s="530"/>
    </row>
    <row r="200" spans="2:12">
      <c r="B200" s="519"/>
      <c r="C200" s="510"/>
      <c r="D200" s="510"/>
      <c r="E200" s="510"/>
      <c r="F200" s="510"/>
      <c r="G200" s="510"/>
      <c r="H200" s="507"/>
      <c r="J200" s="530"/>
    </row>
    <row r="201" spans="2:12">
      <c r="B201" s="519" t="s">
        <v>1493</v>
      </c>
      <c r="C201" s="510">
        <f t="shared" ref="C201:C208" si="18">D130</f>
        <v>29.916743383443769</v>
      </c>
      <c r="D201" s="510">
        <f>C201*$D$159</f>
        <v>19.748011601076382</v>
      </c>
      <c r="E201" s="510">
        <f>C201*$D$160</f>
        <v>9.1899673589904243</v>
      </c>
      <c r="F201" s="510">
        <f>C201*$D$161</f>
        <v>0.76765837127604986</v>
      </c>
      <c r="G201" s="510">
        <f>C201*$D$162</f>
        <v>0.21110605210091368</v>
      </c>
      <c r="H201" s="569" t="s">
        <v>1514</v>
      </c>
      <c r="I201" s="530"/>
      <c r="J201" s="530"/>
    </row>
    <row r="202" spans="2:12">
      <c r="B202" s="519" t="s">
        <v>1494</v>
      </c>
      <c r="C202" s="510">
        <f t="shared" si="18"/>
        <v>91579.586073342289</v>
      </c>
      <c r="D202" s="510">
        <f>C202*$D$159</f>
        <v>60451.590770370654</v>
      </c>
      <c r="E202" s="510">
        <f>C202*$D$160</f>
        <v>28131.852320183592</v>
      </c>
      <c r="F202" s="510">
        <f>C202*$D$161</f>
        <v>2349.9160649318037</v>
      </c>
      <c r="G202" s="510">
        <f>C202*$D$162</f>
        <v>646.22691785624602</v>
      </c>
      <c r="H202" s="569" t="s">
        <v>1514</v>
      </c>
      <c r="I202" s="530"/>
      <c r="J202" s="530"/>
      <c r="K202" s="530"/>
    </row>
    <row r="203" spans="2:12">
      <c r="B203" s="519" t="s">
        <v>1495</v>
      </c>
      <c r="C203" s="510">
        <f t="shared" si="18"/>
        <v>4611.2497436271469</v>
      </c>
      <c r="D203" s="510">
        <f>C203*$E$150</f>
        <v>3912.4982584589543</v>
      </c>
      <c r="E203" s="510">
        <f>C203*$D$151</f>
        <v>72.873627106260017</v>
      </c>
      <c r="F203" s="510">
        <f>C203*$D$152</f>
        <v>518.66976769633811</v>
      </c>
      <c r="G203" s="510">
        <f>C203*$D$153</f>
        <v>107.20809036559446</v>
      </c>
      <c r="H203" s="569" t="s">
        <v>1515</v>
      </c>
      <c r="I203" s="530"/>
      <c r="J203" s="530"/>
    </row>
    <row r="204" spans="2:12">
      <c r="B204" s="519" t="s">
        <v>1517</v>
      </c>
      <c r="C204" s="510">
        <f t="shared" si="18"/>
        <v>169100.38780016109</v>
      </c>
      <c r="D204" s="510">
        <f>C204*$D$159</f>
        <v>111622.99242343845</v>
      </c>
      <c r="E204" s="510">
        <f>C204*$D$160</f>
        <v>51945.060475269427</v>
      </c>
      <c r="F204" s="510">
        <f>C204*$D$161</f>
        <v>4339.0861972182101</v>
      </c>
      <c r="G204" s="510">
        <f>C204*$D$162</f>
        <v>1193.2487042350076</v>
      </c>
      <c r="H204" s="569" t="s">
        <v>1514</v>
      </c>
      <c r="I204" s="530"/>
      <c r="J204" s="530"/>
    </row>
    <row r="205" spans="2:12">
      <c r="B205" s="519" t="s">
        <v>1497</v>
      </c>
      <c r="C205" s="510">
        <f t="shared" si="18"/>
        <v>31065.432282815626</v>
      </c>
      <c r="D205" s="510"/>
      <c r="E205" s="510"/>
      <c r="F205" s="510">
        <f>C205</f>
        <v>31065.432282815626</v>
      </c>
      <c r="G205" s="233"/>
      <c r="H205" s="507" t="s">
        <v>1518</v>
      </c>
      <c r="I205" s="530"/>
      <c r="J205" s="530"/>
    </row>
    <row r="206" spans="2:12">
      <c r="B206" s="519" t="s">
        <v>1498</v>
      </c>
      <c r="C206" s="510">
        <f t="shared" si="18"/>
        <v>160942.74513848493</v>
      </c>
      <c r="D206" s="510">
        <f>C206*$D$159</f>
        <v>106238.14087541304</v>
      </c>
      <c r="E206" s="510">
        <f>C206*$D$160</f>
        <v>49439.157047672423</v>
      </c>
      <c r="F206" s="510">
        <f>C206*$D$161</f>
        <v>4129.7625218819448</v>
      </c>
      <c r="G206" s="510">
        <f>C206*$D$162</f>
        <v>1135.6846935175347</v>
      </c>
      <c r="H206" s="569" t="s">
        <v>1514</v>
      </c>
      <c r="I206" s="530"/>
      <c r="J206" s="530"/>
    </row>
    <row r="207" spans="2:12">
      <c r="B207" s="519" t="s">
        <v>1500</v>
      </c>
      <c r="C207" s="510">
        <f t="shared" si="18"/>
        <v>233487.39503185501</v>
      </c>
      <c r="D207" s="510">
        <f>C207*$D$159</f>
        <v>154124.78981070855</v>
      </c>
      <c r="E207" s="510">
        <f>C207*$D$160</f>
        <v>71723.767242190064</v>
      </c>
      <c r="F207" s="510">
        <f>C207*$D$161</f>
        <v>5991.2454736912941</v>
      </c>
      <c r="G207" s="510">
        <f>C207*$D$162</f>
        <v>1647.5925052651057</v>
      </c>
      <c r="H207" s="569" t="s">
        <v>1514</v>
      </c>
      <c r="I207" s="530"/>
      <c r="J207" s="530"/>
    </row>
    <row r="208" spans="2:12">
      <c r="B208" s="519" t="s">
        <v>1501</v>
      </c>
      <c r="C208" s="510">
        <f t="shared" si="18"/>
        <v>6464.8892115888802</v>
      </c>
      <c r="D208" s="510"/>
      <c r="E208" s="510"/>
      <c r="F208" s="510">
        <f>C208</f>
        <v>6464.8892115888802</v>
      </c>
      <c r="G208" s="233"/>
      <c r="H208" s="507" t="s">
        <v>1518</v>
      </c>
      <c r="I208" s="530"/>
      <c r="J208" s="530"/>
    </row>
    <row r="209" spans="2:10">
      <c r="B209" s="519" t="s">
        <v>1519</v>
      </c>
      <c r="C209" s="548">
        <f>SUM(C201:C208)</f>
        <v>697281.60202525835</v>
      </c>
      <c r="D209" s="548">
        <f t="shared" ref="D209:G209" si="19">SUM(D201:D208)</f>
        <v>436369.76014999073</v>
      </c>
      <c r="E209" s="548">
        <f t="shared" si="19"/>
        <v>201321.90067978075</v>
      </c>
      <c r="F209" s="548">
        <f t="shared" si="19"/>
        <v>54859.769178195369</v>
      </c>
      <c r="G209" s="548">
        <f t="shared" si="19"/>
        <v>4730.1720172915893</v>
      </c>
      <c r="H209" s="507"/>
      <c r="I209" s="530"/>
      <c r="J209" s="530"/>
    </row>
    <row r="210" spans="2:10">
      <c r="B210" s="519"/>
      <c r="C210" s="510"/>
      <c r="D210" s="510"/>
      <c r="E210" s="510"/>
      <c r="F210" s="233"/>
      <c r="G210" s="233"/>
      <c r="H210" s="507"/>
      <c r="J210" s="530"/>
    </row>
    <row r="211" spans="2:10">
      <c r="B211" s="508" t="s">
        <v>34</v>
      </c>
      <c r="C211" s="548">
        <f>C199+C209</f>
        <v>4051927.2385333022</v>
      </c>
      <c r="D211" s="548">
        <f t="shared" ref="D211:G211" si="20">D199+D209</f>
        <v>2740697.9688715884</v>
      </c>
      <c r="E211" s="548">
        <f t="shared" si="20"/>
        <v>1208732.4546403154</v>
      </c>
      <c r="F211" s="548">
        <f t="shared" si="20"/>
        <v>95803.590611855296</v>
      </c>
      <c r="G211" s="548">
        <f t="shared" si="20"/>
        <v>6693.2244095434326</v>
      </c>
      <c r="H211" s="507"/>
      <c r="J211" s="530"/>
    </row>
    <row r="212" spans="2:10" ht="15.75" thickBot="1">
      <c r="B212" s="549"/>
      <c r="C212" s="552"/>
      <c r="D212" s="552"/>
      <c r="E212" s="552"/>
      <c r="F212" s="516"/>
      <c r="G212" s="516"/>
      <c r="H212" s="517"/>
      <c r="J212" s="530"/>
    </row>
    <row r="213" spans="2:10">
      <c r="C213" s="530"/>
      <c r="D213" s="530"/>
      <c r="E213" s="530"/>
      <c r="J213" s="530"/>
    </row>
    <row r="214" spans="2:10">
      <c r="C214" s="530"/>
      <c r="D214" s="530"/>
      <c r="E214" s="530"/>
    </row>
    <row r="215" spans="2:10">
      <c r="C215" s="530"/>
      <c r="D215" s="530"/>
      <c r="E215" s="530"/>
    </row>
    <row r="216" spans="2:10">
      <c r="C216" s="530"/>
      <c r="D216" s="530"/>
      <c r="E216" s="530"/>
    </row>
    <row r="217" spans="2:10">
      <c r="C217" s="530"/>
      <c r="D217" s="530"/>
      <c r="E217" s="530"/>
    </row>
    <row r="218" spans="2:10">
      <c r="C218" s="530"/>
      <c r="D218" s="530"/>
      <c r="E218" s="530"/>
    </row>
    <row r="219" spans="2:10">
      <c r="C219" s="530"/>
      <c r="D219" s="530"/>
      <c r="E219" s="530"/>
    </row>
    <row r="220" spans="2:10">
      <c r="C220" s="530"/>
      <c r="D220" s="530"/>
      <c r="E220" s="530"/>
    </row>
    <row r="221" spans="2:10">
      <c r="C221" s="530"/>
      <c r="D221" s="530"/>
      <c r="E221" s="530"/>
    </row>
    <row r="222" spans="2:10">
      <c r="C222" s="530"/>
      <c r="D222" s="530"/>
      <c r="E222" s="530"/>
    </row>
    <row r="223" spans="2:10">
      <c r="C223" s="530"/>
      <c r="D223" s="530"/>
      <c r="E223" s="530"/>
    </row>
    <row r="224" spans="2:10">
      <c r="C224" s="530"/>
      <c r="D224" s="530"/>
      <c r="E224" s="530"/>
    </row>
    <row r="225" spans="3:5">
      <c r="C225" s="530"/>
      <c r="D225" s="530"/>
      <c r="E225" s="530"/>
    </row>
    <row r="226" spans="3:5">
      <c r="C226" s="530"/>
      <c r="D226" s="530"/>
      <c r="E226" s="530"/>
    </row>
    <row r="227" spans="3:5">
      <c r="C227" s="530"/>
      <c r="D227" s="530"/>
      <c r="E227" s="530"/>
    </row>
    <row r="228" spans="3:5">
      <c r="C228" s="530"/>
      <c r="D228" s="530"/>
      <c r="E228" s="530"/>
    </row>
    <row r="229" spans="3:5">
      <c r="C229" s="530"/>
      <c r="D229" s="530"/>
      <c r="E229" s="530"/>
    </row>
    <row r="230" spans="3:5">
      <c r="C230" s="530"/>
      <c r="D230" s="530"/>
      <c r="E230" s="530"/>
    </row>
    <row r="231" spans="3:5">
      <c r="C231" s="530"/>
      <c r="D231" s="530"/>
      <c r="E231" s="530"/>
    </row>
    <row r="232" spans="3:5">
      <c r="C232" s="530"/>
      <c r="D232" s="530"/>
      <c r="E232" s="530"/>
    </row>
    <row r="233" spans="3:5">
      <c r="C233" s="530"/>
      <c r="D233" s="530"/>
      <c r="E233" s="530"/>
    </row>
    <row r="234" spans="3:5">
      <c r="C234" s="530"/>
      <c r="D234" s="530"/>
      <c r="E234" s="530"/>
    </row>
    <row r="235" spans="3:5">
      <c r="C235" s="530"/>
      <c r="D235" s="530"/>
      <c r="E235" s="530"/>
    </row>
    <row r="236" spans="3:5">
      <c r="C236" s="530"/>
      <c r="D236" s="530"/>
      <c r="E236" s="530"/>
    </row>
    <row r="237" spans="3:5">
      <c r="C237" s="530"/>
      <c r="D237" s="530"/>
      <c r="E237" s="530"/>
    </row>
    <row r="238" spans="3:5">
      <c r="C238" s="530"/>
      <c r="D238" s="530"/>
      <c r="E238" s="530"/>
    </row>
    <row r="239" spans="3:5">
      <c r="C239" s="530"/>
      <c r="D239" s="530"/>
      <c r="E239" s="530"/>
    </row>
    <row r="240" spans="3:5">
      <c r="C240" s="530"/>
      <c r="D240" s="530"/>
      <c r="E240" s="530"/>
    </row>
    <row r="241" spans="3:5">
      <c r="C241" s="530"/>
      <c r="D241" s="530"/>
      <c r="E241" s="530"/>
    </row>
    <row r="242" spans="3:5">
      <c r="C242" s="530"/>
      <c r="D242" s="530"/>
      <c r="E242" s="530"/>
    </row>
    <row r="243" spans="3:5">
      <c r="C243" s="530"/>
      <c r="D243" s="530"/>
      <c r="E243" s="530"/>
    </row>
    <row r="244" spans="3:5">
      <c r="C244" s="530"/>
      <c r="D244" s="530"/>
      <c r="E244" s="530"/>
    </row>
    <row r="245" spans="3:5">
      <c r="C245" s="530"/>
      <c r="D245" s="530"/>
      <c r="E245" s="530"/>
    </row>
    <row r="246" spans="3:5">
      <c r="C246" s="530"/>
      <c r="D246" s="530"/>
      <c r="E246" s="530"/>
    </row>
    <row r="247" spans="3:5">
      <c r="C247" s="530"/>
      <c r="D247" s="530"/>
      <c r="E247" s="530"/>
    </row>
    <row r="248" spans="3:5">
      <c r="C248" s="530"/>
      <c r="D248" s="530"/>
      <c r="E248" s="530"/>
    </row>
    <row r="249" spans="3:5">
      <c r="C249" s="530"/>
      <c r="D249" s="530"/>
      <c r="E249" s="530"/>
    </row>
    <row r="250" spans="3:5">
      <c r="C250" s="530"/>
      <c r="D250" s="530"/>
      <c r="E250" s="530"/>
    </row>
    <row r="251" spans="3:5">
      <c r="C251" s="530"/>
      <c r="D251" s="530"/>
      <c r="E251" s="530"/>
    </row>
    <row r="252" spans="3:5">
      <c r="C252" s="530"/>
      <c r="D252" s="530"/>
      <c r="E252" s="530"/>
    </row>
    <row r="253" spans="3:5">
      <c r="C253" s="530"/>
      <c r="D253" s="530"/>
      <c r="E253" s="530"/>
    </row>
    <row r="254" spans="3:5">
      <c r="C254" s="530"/>
      <c r="D254" s="530"/>
      <c r="E254" s="530"/>
    </row>
    <row r="255" spans="3:5">
      <c r="C255" s="530"/>
      <c r="D255" s="530"/>
      <c r="E255" s="530"/>
    </row>
    <row r="256" spans="3:5">
      <c r="C256" s="530"/>
      <c r="D256" s="530"/>
      <c r="E256" s="530"/>
    </row>
    <row r="257" spans="3:5">
      <c r="C257" s="530"/>
      <c r="D257" s="530"/>
      <c r="E257" s="530"/>
    </row>
  </sheetData>
  <mergeCells count="1">
    <mergeCell ref="B58:G58"/>
  </mergeCells>
  <pageMargins left="0.45" right="0.45" top="0.5" bottom="0.5" header="0.3" footer="0.3"/>
  <pageSetup scale="67" fitToHeight="5" orientation="landscape" r:id="rId1"/>
  <rowBreaks count="4" manualBreakCount="4">
    <brk id="46" max="8" man="1"/>
    <brk id="85" max="8" man="1"/>
    <brk id="141" max="8" man="1"/>
    <brk id="188"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6"/>
  <sheetViews>
    <sheetView showGridLines="0" view="pageBreakPreview" topLeftCell="A82" zoomScale="60" zoomScaleNormal="85" workbookViewId="0">
      <selection activeCell="G20" sqref="G20"/>
    </sheetView>
  </sheetViews>
  <sheetFormatPr defaultRowHeight="15"/>
  <cols>
    <col min="1" max="1" width="26" customWidth="1"/>
    <col min="2" max="2" width="21.5703125" customWidth="1"/>
    <col min="3" max="3" width="20.140625" customWidth="1"/>
    <col min="4" max="4" width="20.85546875" customWidth="1"/>
    <col min="5" max="5" width="22" bestFit="1" customWidth="1"/>
    <col min="6" max="6" width="18.28515625" customWidth="1"/>
    <col min="7" max="7" width="13.42578125" customWidth="1"/>
    <col min="8" max="8" width="19.5703125" customWidth="1"/>
    <col min="9" max="9" width="16.7109375" customWidth="1"/>
    <col min="10" max="13" width="2.7109375" style="787" hidden="1" customWidth="1"/>
    <col min="14" max="14" width="9.28515625" bestFit="1" customWidth="1"/>
    <col min="15" max="15" width="29.7109375" style="215" bestFit="1" customWidth="1"/>
    <col min="16" max="16" width="17.7109375" bestFit="1" customWidth="1"/>
    <col min="17" max="17" width="12.7109375" customWidth="1"/>
    <col min="18" max="18" width="16.7109375" customWidth="1"/>
    <col min="19" max="19" width="16.140625" customWidth="1"/>
    <col min="20" max="20" width="13.7109375" bestFit="1" customWidth="1"/>
    <col min="21" max="21" width="13.28515625" bestFit="1" customWidth="1"/>
    <col min="22" max="22" width="16" bestFit="1" customWidth="1"/>
    <col min="23" max="23" width="11.5703125" bestFit="1" customWidth="1"/>
    <col min="24" max="24" width="20.5703125" customWidth="1"/>
    <col min="25" max="25" width="2.42578125" customWidth="1"/>
    <col min="26" max="26" width="18.7109375" bestFit="1" customWidth="1"/>
    <col min="27" max="27" width="3.28515625" customWidth="1"/>
  </cols>
  <sheetData>
    <row r="1" spans="1:27">
      <c r="A1" s="214" t="s">
        <v>494</v>
      </c>
      <c r="J1" s="822"/>
      <c r="K1" s="822"/>
      <c r="L1" s="822"/>
      <c r="M1" s="822"/>
    </row>
    <row r="2" spans="1:27">
      <c r="A2" s="282" t="str">
        <f>'Yakima Consolidated IS'!A1</f>
        <v>Yakima Waste Systems, Inc G-89</v>
      </c>
      <c r="C2" s="243"/>
      <c r="J2" s="822"/>
      <c r="K2" s="822"/>
      <c r="L2" s="822"/>
      <c r="M2" s="822"/>
    </row>
    <row r="3" spans="1:27">
      <c r="A3" s="282" t="str">
        <f>'Yakima Consolidated IS'!A3</f>
        <v>Test Period Ending 6-30-2017</v>
      </c>
      <c r="J3" s="822"/>
      <c r="K3" s="822"/>
      <c r="L3" s="822"/>
      <c r="M3" s="822"/>
    </row>
    <row r="4" spans="1:27">
      <c r="J4" s="822"/>
      <c r="K4" s="822"/>
      <c r="L4" s="822"/>
      <c r="M4" s="822"/>
    </row>
    <row r="5" spans="1:27">
      <c r="J5" s="1028"/>
      <c r="K5" s="1028"/>
      <c r="L5" s="1028"/>
      <c r="M5" s="1028"/>
      <c r="N5" s="1424" t="s">
        <v>496</v>
      </c>
      <c r="O5" s="1424"/>
      <c r="P5" s="1424"/>
      <c r="Q5" s="1424"/>
      <c r="R5" s="1424"/>
      <c r="S5" s="1424"/>
      <c r="T5" s="1424"/>
      <c r="U5" s="1424"/>
      <c r="V5" s="1424"/>
      <c r="W5" s="1424"/>
      <c r="X5" s="1424"/>
      <c r="Y5" s="1424"/>
      <c r="Z5" s="1424"/>
    </row>
    <row r="6" spans="1:27">
      <c r="J6" s="822"/>
      <c r="K6" s="822"/>
      <c r="L6" s="822"/>
      <c r="M6" s="822"/>
      <c r="P6" s="217" t="s">
        <v>23</v>
      </c>
      <c r="Q6" s="217" t="s">
        <v>97</v>
      </c>
      <c r="R6" s="217" t="s">
        <v>497</v>
      </c>
      <c r="S6" s="217" t="s">
        <v>162</v>
      </c>
      <c r="T6" s="217" t="s">
        <v>43</v>
      </c>
      <c r="U6" s="217" t="s">
        <v>149</v>
      </c>
      <c r="V6" s="217" t="s">
        <v>104</v>
      </c>
      <c r="W6" s="217" t="s">
        <v>127</v>
      </c>
      <c r="X6" s="217" t="s">
        <v>153</v>
      </c>
      <c r="Y6" s="217"/>
    </row>
    <row r="7" spans="1:27" ht="48" customHeight="1">
      <c r="A7" s="408" t="s">
        <v>495</v>
      </c>
      <c r="B7" s="216"/>
      <c r="C7" s="216"/>
      <c r="D7" s="216"/>
      <c r="E7" s="216"/>
      <c r="F7" s="216"/>
      <c r="G7" s="216"/>
      <c r="H7" s="216"/>
      <c r="I7" s="216"/>
      <c r="J7" s="822"/>
      <c r="K7" s="822"/>
      <c r="L7" s="822"/>
      <c r="M7" s="822"/>
      <c r="P7" s="218" t="s">
        <v>498</v>
      </c>
      <c r="Q7" s="218" t="s">
        <v>499</v>
      </c>
      <c r="R7" s="218" t="s">
        <v>500</v>
      </c>
      <c r="S7" s="218" t="s">
        <v>501</v>
      </c>
      <c r="T7" s="218" t="s">
        <v>502</v>
      </c>
      <c r="U7" s="218" t="s">
        <v>102</v>
      </c>
      <c r="V7" s="218" t="s">
        <v>503</v>
      </c>
      <c r="W7" s="218" t="s">
        <v>504</v>
      </c>
      <c r="X7" s="218" t="s">
        <v>1354</v>
      </c>
      <c r="Y7" s="218"/>
    </row>
    <row r="8" spans="1:27" ht="30">
      <c r="B8" s="218" t="s">
        <v>670</v>
      </c>
      <c r="C8" s="218" t="s">
        <v>505</v>
      </c>
      <c r="D8" s="219" t="s">
        <v>506</v>
      </c>
      <c r="E8" s="219" t="s">
        <v>507</v>
      </c>
      <c r="F8" s="219" t="s">
        <v>508</v>
      </c>
      <c r="H8" s="1423" t="s">
        <v>2169</v>
      </c>
      <c r="I8" s="1423"/>
      <c r="J8" s="1029"/>
      <c r="K8" s="1029"/>
      <c r="L8" s="1029"/>
      <c r="M8" s="1029"/>
      <c r="N8" s="220"/>
      <c r="O8" s="221"/>
    </row>
    <row r="9" spans="1:27">
      <c r="A9" s="215" t="s">
        <v>22</v>
      </c>
      <c r="B9" s="354">
        <f>'Revenue Summary'!B6</f>
        <v>1612539.2500000002</v>
      </c>
      <c r="C9" s="244">
        <f>'Revenue Summary'!M6</f>
        <v>1491236.3799999997</v>
      </c>
      <c r="D9" s="222">
        <f>SUM(B9:C9)</f>
        <v>3103775.63</v>
      </c>
      <c r="E9" s="223">
        <f>'Yakima Consolidated IS'!C10</f>
        <v>3102733.8400000003</v>
      </c>
      <c r="F9" s="222">
        <f t="shared" ref="F9:F15" si="0">D9-E9</f>
        <v>1041.7899999995716</v>
      </c>
      <c r="G9" s="860">
        <f t="shared" ref="G9:G15" si="1">F9/E9</f>
        <v>3.3576518442186826E-4</v>
      </c>
      <c r="H9" s="1251" t="s">
        <v>2170</v>
      </c>
      <c r="I9" s="884">
        <f>+((B9+B12)/(B19-B17))*B17</f>
        <v>17954.541381225681</v>
      </c>
      <c r="J9" s="1030"/>
      <c r="K9" s="1030"/>
      <c r="L9" s="1030"/>
      <c r="M9" s="1030"/>
      <c r="N9" s="220">
        <v>32000</v>
      </c>
      <c r="O9" s="225" t="s">
        <v>22</v>
      </c>
      <c r="P9" s="1027">
        <f t="shared" ref="P9:P15" si="2">F9</f>
        <v>1041.7899999995716</v>
      </c>
      <c r="Q9" s="222"/>
      <c r="Z9" s="228">
        <f t="shared" ref="Z9:Z16" si="3">SUM(P9:Y9)</f>
        <v>1041.7899999995716</v>
      </c>
    </row>
    <row r="10" spans="1:27">
      <c r="A10" s="215" t="s">
        <v>25</v>
      </c>
      <c r="B10" s="354">
        <f>'Revenue Summary'!B7</f>
        <v>305048.69</v>
      </c>
      <c r="C10" s="244"/>
      <c r="D10" s="222">
        <f t="shared" ref="D10:D17" si="4">SUM(B10:C10)</f>
        <v>305048.69</v>
      </c>
      <c r="E10" s="223">
        <f>'Yakima Consolidated IS'!C11</f>
        <v>304631.67999999999</v>
      </c>
      <c r="F10" s="222">
        <f t="shared" si="0"/>
        <v>417.01000000000931</v>
      </c>
      <c r="G10" s="860">
        <f t="shared" si="1"/>
        <v>1.3688989930397564E-3</v>
      </c>
      <c r="H10" s="1251" t="s">
        <v>2171</v>
      </c>
      <c r="I10" s="884">
        <f>+((B13+B14)/(B19-B17))*B17</f>
        <v>8946.153090206697</v>
      </c>
      <c r="J10" s="1030"/>
      <c r="K10" s="1030"/>
      <c r="L10" s="1030"/>
      <c r="M10" s="1030"/>
      <c r="N10" s="220">
        <v>32100</v>
      </c>
      <c r="O10" s="225" t="s">
        <v>25</v>
      </c>
      <c r="P10" s="1027">
        <f t="shared" si="2"/>
        <v>417.01000000000931</v>
      </c>
      <c r="Z10" s="228">
        <f t="shared" si="3"/>
        <v>417.01000000000931</v>
      </c>
    </row>
    <row r="11" spans="1:27">
      <c r="A11" s="215" t="s">
        <v>26</v>
      </c>
      <c r="B11" s="354">
        <f>'Revenue Summary'!B8</f>
        <v>71649.56</v>
      </c>
      <c r="C11" s="244">
        <f>'Revenue Summary'!M8</f>
        <v>32481.79</v>
      </c>
      <c r="D11" s="222">
        <f t="shared" si="4"/>
        <v>104131.35</v>
      </c>
      <c r="E11" s="223">
        <f>'Yakima Consolidated IS'!C12</f>
        <v>104254.82999999999</v>
      </c>
      <c r="F11" s="222">
        <f t="shared" si="0"/>
        <v>-123.47999999998137</v>
      </c>
      <c r="G11" s="860">
        <f t="shared" si="1"/>
        <v>-1.1844055570373229E-3</v>
      </c>
      <c r="H11" s="1251" t="s">
        <v>25</v>
      </c>
      <c r="I11" s="884">
        <f>+((B10)/(B19-B17))*B17</f>
        <v>831.82680262069448</v>
      </c>
      <c r="J11" s="1030"/>
      <c r="K11" s="1030"/>
      <c r="L11" s="1030"/>
      <c r="M11" s="1030"/>
      <c r="N11" s="220">
        <v>32110</v>
      </c>
      <c r="O11" s="225" t="s">
        <v>26</v>
      </c>
      <c r="P11" s="1027">
        <f t="shared" si="2"/>
        <v>-123.47999999998137</v>
      </c>
      <c r="Z11" s="228">
        <f t="shared" si="3"/>
        <v>-123.47999999998137</v>
      </c>
    </row>
    <row r="12" spans="1:27">
      <c r="A12" s="215" t="s">
        <v>27</v>
      </c>
      <c r="B12" s="354">
        <f>'Revenue Summary'!B9</f>
        <v>4971775.3100000005</v>
      </c>
      <c r="C12" s="244">
        <f>'Revenue Summary'!M9</f>
        <v>1412623.8699999999</v>
      </c>
      <c r="D12" s="222">
        <f t="shared" si="4"/>
        <v>6384399.1800000006</v>
      </c>
      <c r="E12" s="223">
        <f>'Yakima Consolidated IS'!C13</f>
        <v>6390168.6900000004</v>
      </c>
      <c r="F12" s="222">
        <f t="shared" si="0"/>
        <v>-5769.5099999997765</v>
      </c>
      <c r="G12" s="860">
        <f t="shared" si="1"/>
        <v>-9.0287287861876085E-4</v>
      </c>
      <c r="H12" s="1251" t="s">
        <v>26</v>
      </c>
      <c r="I12" s="884">
        <f>+((B11)/(B19-B17)*B17)</f>
        <v>195.37872594692868</v>
      </c>
      <c r="J12" s="1030"/>
      <c r="K12" s="1030"/>
      <c r="L12" s="1030"/>
      <c r="M12" s="1030"/>
      <c r="N12" s="220">
        <v>31110</v>
      </c>
      <c r="O12" s="225" t="s">
        <v>27</v>
      </c>
      <c r="P12" s="1027">
        <f t="shared" si="2"/>
        <v>-5769.5099999997765</v>
      </c>
      <c r="Z12" s="228">
        <f t="shared" si="3"/>
        <v>-5769.5099999997765</v>
      </c>
    </row>
    <row r="13" spans="1:27">
      <c r="A13" s="215" t="s">
        <v>28</v>
      </c>
      <c r="B13" s="354">
        <f>'Revenue Summary'!B13</f>
        <v>1896879.29</v>
      </c>
      <c r="C13" s="244">
        <f>'Revenue Summary'!M13+'Revenue Summary'!M16</f>
        <v>851752.7899999998</v>
      </c>
      <c r="D13" s="222">
        <f t="shared" si="4"/>
        <v>2748632.08</v>
      </c>
      <c r="E13" s="223">
        <f>'Yakima Consolidated IS'!C14</f>
        <v>2814414.32</v>
      </c>
      <c r="F13" s="222">
        <f t="shared" si="0"/>
        <v>-65782.239999999758</v>
      </c>
      <c r="G13" s="860">
        <f t="shared" si="1"/>
        <v>-2.3373331898055353E-2</v>
      </c>
      <c r="H13" s="883"/>
      <c r="I13" s="885">
        <f>+SUM(I9:I12)</f>
        <v>27927.899999999998</v>
      </c>
      <c r="J13" s="1026"/>
      <c r="K13" s="1026"/>
      <c r="L13" s="1026"/>
      <c r="M13" s="1026"/>
      <c r="N13" s="220">
        <v>31000</v>
      </c>
      <c r="O13" s="225" t="s">
        <v>28</v>
      </c>
      <c r="P13" s="1027">
        <f t="shared" si="2"/>
        <v>-65782.239999999758</v>
      </c>
      <c r="Z13" s="228">
        <f t="shared" si="3"/>
        <v>-65782.239999999758</v>
      </c>
    </row>
    <row r="14" spans="1:27">
      <c r="A14" s="215" t="s">
        <v>29</v>
      </c>
      <c r="B14" s="354">
        <f>'Revenue Summary'!B15</f>
        <v>1383866.5</v>
      </c>
      <c r="C14" s="244">
        <f>'Revenue Summary'!M15</f>
        <v>486364.50000000006</v>
      </c>
      <c r="D14" s="222">
        <f t="shared" si="4"/>
        <v>1870231</v>
      </c>
      <c r="E14" s="223">
        <f>'Yakima Consolidated IS'!C15</f>
        <v>1880442.79</v>
      </c>
      <c r="F14" s="222">
        <f t="shared" si="0"/>
        <v>-10211.790000000037</v>
      </c>
      <c r="G14" s="860">
        <f t="shared" si="1"/>
        <v>-5.4305241586211925E-3</v>
      </c>
      <c r="H14" s="859"/>
      <c r="J14" s="822"/>
      <c r="K14" s="822"/>
      <c r="L14" s="822"/>
      <c r="M14" s="822"/>
      <c r="N14" s="220">
        <v>31005</v>
      </c>
      <c r="O14" s="225" t="s">
        <v>29</v>
      </c>
      <c r="P14" s="1027">
        <f t="shared" si="2"/>
        <v>-10211.790000000037</v>
      </c>
      <c r="Q14" s="222"/>
      <c r="Z14" s="228">
        <f t="shared" si="3"/>
        <v>-10211.790000000037</v>
      </c>
    </row>
    <row r="15" spans="1:27">
      <c r="A15" s="215" t="s">
        <v>30</v>
      </c>
      <c r="B15" s="354"/>
      <c r="C15" s="244">
        <f>'Revenue Summary'!M12+'Revenue Summary'!M14</f>
        <v>616795.28000000014</v>
      </c>
      <c r="D15" s="222">
        <f t="shared" si="4"/>
        <v>616795.28000000014</v>
      </c>
      <c r="E15" s="223">
        <f>'Yakima Consolidated IS'!C16</f>
        <v>564365.23</v>
      </c>
      <c r="F15" s="222">
        <f t="shared" si="0"/>
        <v>52430.050000000163</v>
      </c>
      <c r="G15" s="860">
        <f t="shared" si="1"/>
        <v>9.2900921624814073E-2</v>
      </c>
      <c r="H15" s="859"/>
      <c r="J15" s="822"/>
      <c r="K15" s="822"/>
      <c r="L15" s="822"/>
      <c r="M15" s="822"/>
      <c r="N15" s="220">
        <v>33020</v>
      </c>
      <c r="O15" s="225" t="s">
        <v>30</v>
      </c>
      <c r="P15" s="1027">
        <f t="shared" si="2"/>
        <v>52430.050000000163</v>
      </c>
      <c r="Q15" s="443"/>
      <c r="R15" s="443"/>
      <c r="S15" s="443"/>
      <c r="T15" s="443"/>
      <c r="U15" s="443"/>
      <c r="V15" s="443"/>
      <c r="W15" s="443"/>
      <c r="X15" s="443"/>
      <c r="Y15" s="443"/>
      <c r="Z15" s="1283">
        <f t="shared" si="3"/>
        <v>52430.050000000163</v>
      </c>
      <c r="AA15" s="443"/>
    </row>
    <row r="16" spans="1:27">
      <c r="A16" s="215"/>
      <c r="B16" s="354"/>
      <c r="C16" s="244"/>
      <c r="D16" s="222"/>
      <c r="E16" s="223"/>
      <c r="F16" s="222"/>
      <c r="G16" s="860"/>
      <c r="H16" s="859"/>
      <c r="J16" s="822"/>
      <c r="K16" s="822"/>
      <c r="L16" s="822"/>
      <c r="M16" s="822"/>
      <c r="N16" s="220">
        <v>35500</v>
      </c>
      <c r="O16" s="225" t="s">
        <v>31</v>
      </c>
      <c r="P16" s="1281"/>
      <c r="Q16" s="214"/>
      <c r="R16" s="214"/>
      <c r="S16" s="214"/>
      <c r="T16" s="214"/>
      <c r="U16" s="214"/>
      <c r="V16" s="214"/>
      <c r="W16" s="214"/>
      <c r="X16" s="214"/>
      <c r="Y16" s="214"/>
      <c r="Z16" s="228">
        <f t="shared" si="3"/>
        <v>0</v>
      </c>
    </row>
    <row r="17" spans="1:26">
      <c r="A17" s="215" t="s">
        <v>32</v>
      </c>
      <c r="B17" s="354">
        <f>'Revenue Summary'!B17</f>
        <v>27927.900000000005</v>
      </c>
      <c r="C17" s="244">
        <f>'Revenue Summary'!M17</f>
        <v>12130.4</v>
      </c>
      <c r="D17" s="222">
        <f t="shared" si="4"/>
        <v>40058.300000000003</v>
      </c>
      <c r="E17" s="223">
        <f>'Yakima Consolidated IS'!C18</f>
        <v>39452.600000000006</v>
      </c>
      <c r="F17" s="222">
        <f>D17-E17</f>
        <v>605.69999999999709</v>
      </c>
      <c r="G17" s="860">
        <f>F17/E17</f>
        <v>1.5352600335592508E-2</v>
      </c>
      <c r="H17" s="859"/>
      <c r="J17" s="822"/>
      <c r="K17" s="822"/>
      <c r="L17" s="822"/>
      <c r="M17" s="822"/>
      <c r="N17" s="220">
        <v>38000</v>
      </c>
      <c r="O17" s="225" t="s">
        <v>32</v>
      </c>
      <c r="P17" s="1027">
        <f>F17</f>
        <v>605.69999999999709</v>
      </c>
      <c r="Z17" s="214"/>
    </row>
    <row r="18" spans="1:26" ht="11.25" customHeight="1">
      <c r="A18" s="215"/>
      <c r="B18" s="429"/>
      <c r="C18" s="429"/>
      <c r="D18" s="227"/>
      <c r="E18" s="229"/>
      <c r="F18" s="227"/>
      <c r="G18" s="860"/>
      <c r="H18" s="859"/>
      <c r="J18" s="822"/>
      <c r="K18" s="822"/>
      <c r="L18" s="822"/>
      <c r="M18" s="822"/>
      <c r="N18" s="220">
        <v>38001</v>
      </c>
      <c r="O18" s="225" t="s">
        <v>33</v>
      </c>
      <c r="P18" s="1282">
        <f>F21</f>
        <v>-15730.259999999998</v>
      </c>
      <c r="Q18" s="226"/>
      <c r="R18" s="226"/>
      <c r="S18" s="226"/>
      <c r="T18" s="227"/>
      <c r="U18" s="226"/>
      <c r="V18" s="226"/>
      <c r="W18" s="226"/>
      <c r="X18" s="226"/>
      <c r="Y18" s="226"/>
      <c r="Z18" s="292">
        <f>SUM(P18:Y18)</f>
        <v>-15730.259999999998</v>
      </c>
    </row>
    <row r="19" spans="1:26">
      <c r="B19" s="251">
        <f>SUM(B9:B18)</f>
        <v>10269686.500000002</v>
      </c>
      <c r="C19" s="228">
        <f>SUM(C9:C18)</f>
        <v>4903385.01</v>
      </c>
      <c r="D19" s="228">
        <f>SUM(D9:D18)</f>
        <v>15173071.510000002</v>
      </c>
      <c r="E19" s="228">
        <f>SUM(E9:E18)</f>
        <v>15200463.980000002</v>
      </c>
      <c r="F19" s="228">
        <f>SUM(F9:F18)</f>
        <v>-27392.469999999812</v>
      </c>
      <c r="G19" s="860">
        <f>F19/E19</f>
        <v>-1.8020811756826259E-3</v>
      </c>
      <c r="H19" s="859"/>
      <c r="J19" s="822"/>
      <c r="K19" s="822"/>
      <c r="L19" s="822"/>
      <c r="M19" s="822"/>
      <c r="P19" s="228">
        <f>SUM(P9:P18)</f>
        <v>-43122.729999999807</v>
      </c>
      <c r="Q19" s="228">
        <f t="shared" ref="Q19:Z19" si="5">SUM(Q9:Q18)</f>
        <v>0</v>
      </c>
      <c r="R19" s="228">
        <f t="shared" si="5"/>
        <v>0</v>
      </c>
      <c r="S19" s="228">
        <f t="shared" si="5"/>
        <v>0</v>
      </c>
      <c r="T19" s="228">
        <f t="shared" si="5"/>
        <v>0</v>
      </c>
      <c r="U19" s="228">
        <f t="shared" si="5"/>
        <v>0</v>
      </c>
      <c r="V19" s="228">
        <f t="shared" si="5"/>
        <v>0</v>
      </c>
      <c r="W19" s="228">
        <f t="shared" si="5"/>
        <v>0</v>
      </c>
      <c r="X19" s="228">
        <f t="shared" si="5"/>
        <v>0</v>
      </c>
      <c r="Y19" s="228">
        <f t="shared" si="5"/>
        <v>0</v>
      </c>
      <c r="Z19" s="228">
        <f t="shared" si="5"/>
        <v>-43728.429999999804</v>
      </c>
    </row>
    <row r="20" spans="1:26">
      <c r="B20" s="228"/>
      <c r="C20" s="228"/>
      <c r="D20" s="228"/>
      <c r="E20" s="228"/>
      <c r="G20" s="860"/>
      <c r="H20" s="859"/>
      <c r="J20" s="822"/>
      <c r="K20" s="822"/>
      <c r="L20" s="822"/>
      <c r="M20" s="822"/>
      <c r="Z20" s="214"/>
    </row>
    <row r="21" spans="1:26">
      <c r="A21" s="215" t="s">
        <v>33</v>
      </c>
      <c r="B21" s="228"/>
      <c r="C21" s="228"/>
      <c r="D21" s="228"/>
      <c r="E21" s="228">
        <f>'Yakima Consolidated IS'!C19</f>
        <v>15730.259999999998</v>
      </c>
      <c r="F21" s="292">
        <f>-E21</f>
        <v>-15730.259999999998</v>
      </c>
      <c r="G21" s="224" t="s">
        <v>671</v>
      </c>
      <c r="J21" s="822"/>
      <c r="K21" s="822"/>
      <c r="L21" s="822"/>
      <c r="M21" s="822"/>
      <c r="Z21" s="214"/>
    </row>
    <row r="22" spans="1:26">
      <c r="F22" s="222">
        <f>F19+F21</f>
        <v>-43122.729999999807</v>
      </c>
      <c r="G22" s="252" t="s">
        <v>23</v>
      </c>
      <c r="J22" s="822"/>
      <c r="K22" s="822"/>
      <c r="L22" s="822"/>
      <c r="M22" s="822"/>
      <c r="Z22" s="214"/>
    </row>
    <row r="23" spans="1:26">
      <c r="J23" s="822"/>
      <c r="K23" s="822"/>
      <c r="L23" s="822"/>
      <c r="M23" s="822"/>
      <c r="Z23" s="214"/>
    </row>
    <row r="24" spans="1:26">
      <c r="A24" s="408" t="s">
        <v>1392</v>
      </c>
      <c r="B24" s="216"/>
      <c r="C24" s="216"/>
      <c r="D24" s="216"/>
      <c r="E24" s="216"/>
      <c r="F24" s="216"/>
      <c r="G24" s="216"/>
      <c r="H24" s="216"/>
      <c r="I24" s="216"/>
      <c r="J24" s="66"/>
      <c r="K24" s="66"/>
      <c r="L24" s="66"/>
      <c r="M24" s="66"/>
      <c r="N24" s="220">
        <v>41200</v>
      </c>
      <c r="O24" s="225" t="s">
        <v>509</v>
      </c>
      <c r="P24" s="787"/>
      <c r="Q24" s="787"/>
      <c r="R24" s="787"/>
      <c r="S24" s="787"/>
      <c r="T24" s="787"/>
      <c r="U24" s="787"/>
      <c r="V24" s="787"/>
      <c r="W24" s="787"/>
      <c r="X24" s="1277"/>
      <c r="Z24" s="228">
        <f t="shared" ref="Z24:Z74" si="6">SUM(P24:Y24)</f>
        <v>0</v>
      </c>
    </row>
    <row r="25" spans="1:26">
      <c r="J25" s="58"/>
      <c r="K25" s="58"/>
      <c r="L25" s="58"/>
      <c r="M25" s="58"/>
      <c r="N25" s="220">
        <v>41310</v>
      </c>
      <c r="O25" s="225" t="s">
        <v>2298</v>
      </c>
      <c r="P25" s="1027"/>
      <c r="Q25" s="787"/>
      <c r="R25" s="787"/>
      <c r="S25" s="787"/>
      <c r="T25" s="1027">
        <f>B82</f>
        <v>4979.7016041509887</v>
      </c>
      <c r="U25" s="787"/>
      <c r="V25" s="787"/>
      <c r="W25" s="787"/>
      <c r="X25" s="1027">
        <f>+B141</f>
        <v>3949.02</v>
      </c>
      <c r="Z25" s="228">
        <f t="shared" si="6"/>
        <v>8928.7216041509892</v>
      </c>
    </row>
    <row r="26" spans="1:26">
      <c r="J26" s="77"/>
      <c r="K26" s="77"/>
      <c r="L26" s="77"/>
      <c r="M26" s="77"/>
      <c r="N26" s="220">
        <v>41311</v>
      </c>
      <c r="O26" s="225" t="s">
        <v>2299</v>
      </c>
      <c r="P26" s="1027"/>
      <c r="Q26" s="787"/>
      <c r="R26" s="787"/>
      <c r="S26" s="787"/>
      <c r="T26" s="787"/>
      <c r="U26" s="787"/>
      <c r="V26" s="787"/>
      <c r="W26" s="787"/>
      <c r="X26" s="1027"/>
      <c r="Z26" s="228">
        <f t="shared" si="6"/>
        <v>0</v>
      </c>
    </row>
    <row r="27" spans="1:26" ht="28.5" customHeight="1">
      <c r="A27" s="231" t="s">
        <v>1388</v>
      </c>
      <c r="B27" s="449">
        <f>SUM(Disposal!B10:B16,Disposal!O10:O16,Disposal!AB10:AB16)</f>
        <v>28045.200000000004</v>
      </c>
      <c r="E27" s="1422" t="s">
        <v>510</v>
      </c>
      <c r="F27" s="1422"/>
      <c r="J27" s="66"/>
      <c r="K27" s="66"/>
      <c r="L27" s="66"/>
      <c r="M27" s="66"/>
      <c r="N27" s="220">
        <v>41320</v>
      </c>
      <c r="O27" s="225" t="s">
        <v>53</v>
      </c>
      <c r="P27" s="1027">
        <f>P18</f>
        <v>-15730.259999999998</v>
      </c>
      <c r="Q27" s="787"/>
      <c r="R27" s="787"/>
      <c r="S27" s="787"/>
      <c r="T27" s="787"/>
      <c r="U27" s="787"/>
      <c r="V27" s="787"/>
      <c r="W27" s="787"/>
      <c r="X27" s="787"/>
      <c r="Z27" s="228">
        <f t="shared" si="6"/>
        <v>-15730.259999999998</v>
      </c>
    </row>
    <row r="28" spans="1:26">
      <c r="A28" t="s">
        <v>511</v>
      </c>
      <c r="B28" s="451">
        <f>32.82-30.89</f>
        <v>1.9299999999999997</v>
      </c>
      <c r="C28" t="s">
        <v>1391</v>
      </c>
      <c r="E28" s="232"/>
      <c r="F28" s="233"/>
      <c r="J28" s="64"/>
      <c r="K28" s="64"/>
      <c r="L28" s="64"/>
      <c r="M28" s="64"/>
      <c r="N28" s="220">
        <v>41330</v>
      </c>
      <c r="O28" s="225" t="s">
        <v>57</v>
      </c>
      <c r="P28" s="787"/>
      <c r="Q28" s="787"/>
      <c r="R28" s="787"/>
      <c r="S28" s="787"/>
      <c r="T28" s="787"/>
      <c r="U28" s="787"/>
      <c r="V28" s="787"/>
      <c r="W28" s="787"/>
      <c r="X28" s="787"/>
      <c r="Z28" s="228">
        <f t="shared" si="6"/>
        <v>0</v>
      </c>
    </row>
    <row r="29" spans="1:26">
      <c r="B29" s="222"/>
      <c r="E29" s="234" t="s">
        <v>512</v>
      </c>
      <c r="F29" s="235">
        <v>1.4999999999999999E-2</v>
      </c>
      <c r="J29" s="64"/>
      <c r="K29" s="64"/>
      <c r="L29" s="64"/>
      <c r="M29" s="64"/>
      <c r="N29" s="220">
        <v>41340</v>
      </c>
      <c r="O29" s="225" t="s">
        <v>58</v>
      </c>
      <c r="P29" s="787"/>
      <c r="Q29" s="787"/>
      <c r="R29" s="787"/>
      <c r="S29" s="787"/>
      <c r="T29" s="787"/>
      <c r="U29" s="787"/>
      <c r="V29" s="787"/>
      <c r="W29" s="787"/>
      <c r="X29" s="787"/>
      <c r="Z29" s="228">
        <f t="shared" si="6"/>
        <v>0</v>
      </c>
    </row>
    <row r="30" spans="1:26">
      <c r="E30" s="234" t="s">
        <v>513</v>
      </c>
      <c r="F30" s="238">
        <v>5.1000000000000004E-3</v>
      </c>
      <c r="J30" s="64"/>
      <c r="K30" s="64"/>
      <c r="L30" s="64"/>
      <c r="M30" s="64"/>
      <c r="N30" s="220">
        <v>41600</v>
      </c>
      <c r="O30" s="225" t="s">
        <v>61</v>
      </c>
      <c r="P30" s="787"/>
      <c r="Q30" s="787"/>
      <c r="R30" s="787"/>
      <c r="S30" s="787"/>
      <c r="T30" s="787"/>
      <c r="U30" s="787"/>
      <c r="V30" s="787"/>
      <c r="W30" s="787"/>
      <c r="X30" s="787"/>
      <c r="Z30" s="228">
        <f t="shared" si="6"/>
        <v>0</v>
      </c>
    </row>
    <row r="31" spans="1:26">
      <c r="A31" s="236" t="s">
        <v>1389</v>
      </c>
      <c r="B31" s="237">
        <f>(B27*B28)/F34</f>
        <v>55191.043360779018</v>
      </c>
      <c r="C31" s="214" t="s">
        <v>1387</v>
      </c>
      <c r="E31" s="234" t="s">
        <v>155</v>
      </c>
      <c r="F31" s="239"/>
      <c r="J31" s="31"/>
      <c r="K31" s="31"/>
      <c r="L31" s="31"/>
      <c r="M31" s="31"/>
      <c r="N31" s="220">
        <v>41800</v>
      </c>
      <c r="O31" s="225" t="s">
        <v>62</v>
      </c>
      <c r="P31" s="787"/>
      <c r="Q31" s="787"/>
      <c r="R31" s="787"/>
      <c r="S31" s="787"/>
      <c r="T31" s="787"/>
      <c r="U31" s="787"/>
      <c r="V31" s="787"/>
      <c r="W31" s="787"/>
      <c r="X31" s="787"/>
      <c r="Z31" s="228">
        <f t="shared" si="6"/>
        <v>0</v>
      </c>
    </row>
    <row r="32" spans="1:26">
      <c r="A32" s="236"/>
      <c r="B32" s="452"/>
      <c r="C32" s="252" t="s">
        <v>97</v>
      </c>
      <c r="E32" s="234" t="s">
        <v>34</v>
      </c>
      <c r="F32" s="240">
        <v>1.9275E-2</v>
      </c>
      <c r="J32" s="66"/>
      <c r="K32" s="66"/>
      <c r="L32" s="66"/>
      <c r="M32" s="66"/>
      <c r="N32" s="220">
        <v>42100</v>
      </c>
      <c r="O32" s="225" t="s">
        <v>75</v>
      </c>
      <c r="P32" s="787"/>
      <c r="Q32" s="787"/>
      <c r="R32" s="787"/>
      <c r="S32" s="787"/>
      <c r="T32" s="1027">
        <f>B83</f>
        <v>1091.55877869863</v>
      </c>
      <c r="U32" s="787"/>
      <c r="V32" s="787"/>
      <c r="W32" s="787"/>
      <c r="X32" s="787"/>
      <c r="Z32" s="228">
        <f t="shared" si="6"/>
        <v>1091.55877869863</v>
      </c>
    </row>
    <row r="33" spans="1:26">
      <c r="B33" s="228"/>
      <c r="J33" s="66"/>
      <c r="K33" s="66"/>
      <c r="L33" s="66"/>
      <c r="M33" s="66"/>
      <c r="N33" s="220">
        <v>42300</v>
      </c>
      <c r="O33" s="225" t="s">
        <v>82</v>
      </c>
      <c r="P33" s="787"/>
      <c r="Q33" s="787"/>
      <c r="R33" s="787"/>
      <c r="S33" s="787"/>
      <c r="T33" s="1027">
        <f>B80+B81</f>
        <v>23159.233275116985</v>
      </c>
      <c r="U33" s="787"/>
      <c r="V33" s="787"/>
      <c r="W33" s="787"/>
      <c r="X33" s="787"/>
      <c r="Z33" s="228">
        <f t="shared" si="6"/>
        <v>23159.233275116985</v>
      </c>
    </row>
    <row r="34" spans="1:26">
      <c r="B34" s="243"/>
      <c r="E34" s="234" t="s">
        <v>516</v>
      </c>
      <c r="F34" s="241">
        <v>0.98072499999999996</v>
      </c>
      <c r="J34" s="66"/>
      <c r="K34" s="66"/>
      <c r="L34" s="66"/>
      <c r="M34" s="66"/>
      <c r="N34" s="220">
        <v>42315</v>
      </c>
      <c r="O34" s="225" t="s">
        <v>63</v>
      </c>
      <c r="P34" s="787"/>
      <c r="Q34" s="787"/>
      <c r="R34" s="787"/>
      <c r="S34" s="787"/>
      <c r="T34" s="1027"/>
      <c r="U34" s="787"/>
      <c r="V34" s="787"/>
      <c r="W34" s="787"/>
      <c r="X34" s="787"/>
      <c r="Z34" s="228">
        <f t="shared" si="6"/>
        <v>0</v>
      </c>
    </row>
    <row r="35" spans="1:26">
      <c r="A35" s="450" t="s">
        <v>518</v>
      </c>
      <c r="B35" s="244">
        <f>D14</f>
        <v>1870231</v>
      </c>
      <c r="J35" s="64"/>
      <c r="K35" s="64"/>
      <c r="L35" s="64"/>
      <c r="M35" s="64"/>
      <c r="N35" s="220">
        <v>42400</v>
      </c>
      <c r="O35" s="225" t="s">
        <v>87</v>
      </c>
      <c r="P35" s="787"/>
      <c r="Q35" s="787"/>
      <c r="R35" s="787"/>
      <c r="S35" s="787"/>
      <c r="T35" s="787"/>
      <c r="U35" s="787"/>
      <c r="V35" s="787"/>
      <c r="W35" s="787"/>
      <c r="X35" s="787"/>
      <c r="Z35" s="228">
        <f t="shared" si="6"/>
        <v>0</v>
      </c>
    </row>
    <row r="36" spans="1:26">
      <c r="A36" s="450" t="s">
        <v>1390</v>
      </c>
      <c r="B36" s="444">
        <f>Disposal!C56+Disposal!C57</f>
        <v>5401.39</v>
      </c>
      <c r="J36" s="64"/>
      <c r="K36" s="64"/>
      <c r="L36" s="64"/>
      <c r="M36" s="64"/>
      <c r="N36" s="220">
        <v>42800</v>
      </c>
      <c r="O36" s="225" t="s">
        <v>88</v>
      </c>
      <c r="P36" s="787"/>
      <c r="Q36" s="787"/>
      <c r="R36" s="787"/>
      <c r="S36" s="787"/>
      <c r="T36" s="787"/>
      <c r="U36" s="787"/>
      <c r="V36" s="787"/>
      <c r="W36" s="787"/>
      <c r="X36" s="787"/>
      <c r="Z36" s="228">
        <f t="shared" si="6"/>
        <v>0</v>
      </c>
    </row>
    <row r="37" spans="1:26">
      <c r="A37" s="243"/>
      <c r="B37" s="260">
        <f>SUM(B35:B36)</f>
        <v>1875632.39</v>
      </c>
      <c r="J37" s="64"/>
      <c r="K37" s="64"/>
      <c r="L37" s="64"/>
      <c r="M37" s="64"/>
      <c r="N37" s="1042">
        <v>40101</v>
      </c>
      <c r="O37" s="225" t="s">
        <v>96</v>
      </c>
      <c r="P37" s="787"/>
      <c r="Q37" s="1027">
        <f>B31</f>
        <v>55191.043360779018</v>
      </c>
      <c r="R37" s="787"/>
      <c r="S37" s="787"/>
      <c r="T37" s="787"/>
      <c r="U37" s="787"/>
      <c r="V37" s="787"/>
      <c r="W37" s="787"/>
      <c r="X37" s="787"/>
      <c r="Z37" s="228">
        <f t="shared" si="6"/>
        <v>55191.043360779018</v>
      </c>
    </row>
    <row r="38" spans="1:26">
      <c r="J38" s="64"/>
      <c r="K38" s="64"/>
      <c r="L38" s="64"/>
      <c r="M38" s="64"/>
      <c r="N38" s="1042"/>
      <c r="O38" s="225" t="s">
        <v>514</v>
      </c>
      <c r="P38" s="787"/>
      <c r="Q38" s="787"/>
      <c r="R38" s="787"/>
      <c r="S38" s="787"/>
      <c r="T38" s="787"/>
      <c r="U38" s="787"/>
      <c r="V38" s="787"/>
      <c r="W38" s="787"/>
      <c r="X38" s="787"/>
      <c r="Z38" s="228">
        <f t="shared" si="6"/>
        <v>0</v>
      </c>
    </row>
    <row r="39" spans="1:26">
      <c r="J39" s="64"/>
      <c r="K39" s="64"/>
      <c r="L39" s="64"/>
      <c r="M39" s="64"/>
      <c r="N39" s="1042">
        <v>40121</v>
      </c>
      <c r="O39" s="225" t="s">
        <v>515</v>
      </c>
      <c r="P39" s="787"/>
      <c r="Q39" s="787"/>
      <c r="R39" s="787"/>
      <c r="S39" s="787"/>
      <c r="T39" s="787"/>
      <c r="U39" s="787"/>
      <c r="V39" s="787"/>
      <c r="W39" s="787"/>
      <c r="X39" s="787"/>
      <c r="Z39" s="228">
        <f t="shared" si="6"/>
        <v>0</v>
      </c>
    </row>
    <row r="40" spans="1:26">
      <c r="A40" s="243"/>
      <c r="J40" s="64"/>
      <c r="K40" s="64"/>
      <c r="L40" s="64"/>
      <c r="M40" s="64"/>
      <c r="N40" s="1042">
        <v>40131</v>
      </c>
      <c r="O40" s="225" t="s">
        <v>517</v>
      </c>
      <c r="P40" s="787"/>
      <c r="Q40" s="787"/>
      <c r="R40" s="787"/>
      <c r="S40" s="787"/>
      <c r="T40" s="787"/>
      <c r="U40" s="787"/>
      <c r="V40" s="787"/>
      <c r="W40" s="787"/>
      <c r="X40" s="787"/>
      <c r="Z40" s="228">
        <f t="shared" si="6"/>
        <v>0</v>
      </c>
    </row>
    <row r="41" spans="1:26">
      <c r="J41" s="64"/>
      <c r="K41" s="64"/>
      <c r="L41" s="64"/>
      <c r="M41" s="64"/>
      <c r="N41" s="220">
        <v>43600</v>
      </c>
      <c r="O41" s="225" t="s">
        <v>95</v>
      </c>
      <c r="P41" s="787"/>
      <c r="Q41" s="787"/>
      <c r="R41" s="787"/>
      <c r="S41" s="787"/>
      <c r="T41" s="787"/>
      <c r="U41" s="787"/>
      <c r="V41" s="787"/>
      <c r="W41" s="787"/>
      <c r="X41" s="787"/>
      <c r="Z41" s="228">
        <f t="shared" si="6"/>
        <v>0</v>
      </c>
    </row>
    <row r="42" spans="1:26">
      <c r="J42" s="31"/>
      <c r="K42" s="31"/>
      <c r="L42" s="31"/>
      <c r="M42" s="31"/>
      <c r="N42" s="220">
        <v>43800</v>
      </c>
      <c r="O42" s="225" t="s">
        <v>519</v>
      </c>
      <c r="P42" s="787"/>
      <c r="Q42" s="787"/>
      <c r="R42" s="787"/>
      <c r="S42" s="787"/>
      <c r="T42" s="787"/>
      <c r="U42" s="787"/>
      <c r="V42" s="787"/>
      <c r="W42" s="787"/>
      <c r="X42" s="787"/>
      <c r="Z42" s="228">
        <f t="shared" si="6"/>
        <v>0</v>
      </c>
    </row>
    <row r="43" spans="1:26">
      <c r="A43" s="408" t="s">
        <v>520</v>
      </c>
      <c r="B43" s="216"/>
      <c r="C43" s="216"/>
      <c r="D43" s="216"/>
      <c r="E43" s="216"/>
      <c r="F43" s="216"/>
      <c r="G43" s="216"/>
      <c r="H43" s="216"/>
      <c r="I43" s="216"/>
      <c r="J43" s="66"/>
      <c r="K43" s="66"/>
      <c r="L43" s="66"/>
      <c r="M43" s="66"/>
      <c r="N43" s="220">
        <v>44000</v>
      </c>
      <c r="O43" s="225" t="s">
        <v>101</v>
      </c>
      <c r="P43" s="787"/>
      <c r="Q43" s="787"/>
      <c r="R43" s="787"/>
      <c r="S43" s="787"/>
      <c r="T43" s="787"/>
      <c r="U43" s="787"/>
      <c r="V43" s="787"/>
      <c r="W43" s="787"/>
      <c r="X43" s="787"/>
      <c r="Z43" s="228">
        <f t="shared" si="6"/>
        <v>0</v>
      </c>
    </row>
    <row r="44" spans="1:26">
      <c r="J44" s="66"/>
      <c r="K44" s="66"/>
      <c r="L44" s="66"/>
      <c r="M44" s="66"/>
      <c r="N44" s="220">
        <v>44300</v>
      </c>
      <c r="O44" s="225" t="s">
        <v>102</v>
      </c>
      <c r="P44" s="787"/>
      <c r="Q44" s="787"/>
      <c r="R44" s="787"/>
      <c r="S44" s="787"/>
      <c r="T44" s="787"/>
      <c r="U44" s="1277">
        <f>B101</f>
        <v>-3672.5355039193382</v>
      </c>
      <c r="V44" s="787"/>
      <c r="W44" s="787"/>
      <c r="X44" s="787"/>
      <c r="Z44" s="228">
        <f t="shared" si="6"/>
        <v>-3672.5355039193382</v>
      </c>
    </row>
    <row r="45" spans="1:26">
      <c r="A45" s="247" t="s">
        <v>521</v>
      </c>
      <c r="J45" s="66"/>
      <c r="K45" s="66"/>
      <c r="L45" s="66"/>
      <c r="M45" s="66"/>
      <c r="N45" s="220">
        <v>44500</v>
      </c>
      <c r="O45" s="225" t="s">
        <v>106</v>
      </c>
      <c r="P45" s="787"/>
      <c r="Q45" s="787"/>
      <c r="R45" s="787"/>
      <c r="S45" s="787"/>
      <c r="T45" s="787"/>
      <c r="U45" s="787"/>
      <c r="V45" s="787"/>
      <c r="W45" s="787"/>
      <c r="X45" s="787"/>
      <c r="Z45" s="228">
        <f t="shared" si="6"/>
        <v>0</v>
      </c>
    </row>
    <row r="46" spans="1:26">
      <c r="J46" s="31"/>
      <c r="K46" s="31"/>
      <c r="L46" s="31"/>
      <c r="M46" s="31"/>
      <c r="N46" s="1042">
        <v>45300</v>
      </c>
      <c r="O46" s="225" t="s">
        <v>112</v>
      </c>
      <c r="P46" s="787"/>
      <c r="Q46" s="787"/>
      <c r="R46" s="787"/>
      <c r="S46" s="1277">
        <f>D76</f>
        <v>8918.98</v>
      </c>
      <c r="T46" s="787"/>
      <c r="U46" s="787"/>
      <c r="V46" s="787"/>
      <c r="W46" s="787"/>
      <c r="X46" s="787"/>
      <c r="Z46" s="228">
        <f t="shared" si="6"/>
        <v>8918.98</v>
      </c>
    </row>
    <row r="47" spans="1:26">
      <c r="A47" s="215" t="s">
        <v>105</v>
      </c>
      <c r="B47" s="248">
        <f>'Yakima Consolidated IS'!H20</f>
        <v>15459517.000000002</v>
      </c>
      <c r="J47" s="66"/>
      <c r="K47" s="66"/>
      <c r="L47" s="66"/>
      <c r="M47" s="66"/>
      <c r="N47" s="220">
        <v>45400</v>
      </c>
      <c r="O47" s="225" t="s">
        <v>116</v>
      </c>
      <c r="P47" s="787"/>
      <c r="Q47" s="787"/>
      <c r="R47" s="787"/>
      <c r="S47" s="787"/>
      <c r="T47" s="787"/>
      <c r="U47" s="787"/>
      <c r="V47" s="787"/>
      <c r="W47" s="787"/>
      <c r="X47" s="787"/>
      <c r="Z47" s="228">
        <f t="shared" si="6"/>
        <v>0</v>
      </c>
    </row>
    <row r="48" spans="1:26">
      <c r="A48" s="215" t="s">
        <v>522</v>
      </c>
      <c r="B48" s="249">
        <f>'Corp OH'!E88</f>
        <v>2.3159669791327921E-2</v>
      </c>
      <c r="J48" s="66"/>
      <c r="K48" s="66"/>
      <c r="L48" s="66"/>
      <c r="M48" s="66"/>
      <c r="N48" s="220">
        <v>46100</v>
      </c>
      <c r="O48" s="225" t="s">
        <v>125</v>
      </c>
      <c r="P48" s="787"/>
      <c r="Q48" s="787"/>
      <c r="R48" s="1277">
        <f>B52</f>
        <v>110723.1088534205</v>
      </c>
      <c r="S48" s="787"/>
      <c r="T48" s="787"/>
      <c r="U48" s="787"/>
      <c r="V48" s="787"/>
      <c r="W48" s="787"/>
      <c r="X48" s="787"/>
      <c r="Z48" s="228">
        <f t="shared" si="6"/>
        <v>110723.1088534205</v>
      </c>
    </row>
    <row r="49" spans="1:26">
      <c r="A49" s="215"/>
      <c r="B49" s="245">
        <f>B47*B48</f>
        <v>358037.30885342049</v>
      </c>
      <c r="J49" s="66"/>
      <c r="K49" s="66"/>
      <c r="L49" s="66"/>
      <c r="M49" s="66"/>
      <c r="N49" s="220">
        <v>46130</v>
      </c>
      <c r="O49" s="225" t="s">
        <v>124</v>
      </c>
      <c r="P49" s="1278"/>
      <c r="Q49" s="1278"/>
      <c r="R49" s="1278"/>
      <c r="S49" s="1278"/>
      <c r="T49" s="1279">
        <f>B84</f>
        <v>2231.7196648972604</v>
      </c>
      <c r="U49" s="1278"/>
      <c r="V49" s="1278"/>
      <c r="W49" s="1278"/>
      <c r="X49" s="1279">
        <f>B137</f>
        <v>22665.762188783203</v>
      </c>
      <c r="Y49" s="283"/>
      <c r="Z49" s="228">
        <f t="shared" si="6"/>
        <v>24897.481853680463</v>
      </c>
    </row>
    <row r="50" spans="1:26">
      <c r="J50" s="31"/>
      <c r="K50" s="31"/>
      <c r="L50" s="31"/>
      <c r="M50" s="31"/>
      <c r="N50" s="220">
        <v>46200</v>
      </c>
      <c r="O50" s="225" t="s">
        <v>141</v>
      </c>
      <c r="P50" s="787"/>
      <c r="Q50" s="787"/>
      <c r="R50" s="787"/>
      <c r="S50" s="787"/>
      <c r="T50" s="787"/>
      <c r="U50" s="787"/>
      <c r="V50" s="787"/>
      <c r="W50" s="787"/>
      <c r="X50" s="787"/>
      <c r="Z50" s="228">
        <f t="shared" si="6"/>
        <v>0</v>
      </c>
    </row>
    <row r="51" spans="1:26">
      <c r="A51" s="215" t="s">
        <v>507</v>
      </c>
      <c r="B51" s="293">
        <f>'Yakima Consolidated IS'!C158</f>
        <v>247314.19999999998</v>
      </c>
      <c r="J51" s="31"/>
      <c r="K51" s="31"/>
      <c r="L51" s="31"/>
      <c r="M51" s="31"/>
      <c r="N51" s="220">
        <v>46300</v>
      </c>
      <c r="O51" s="225" t="s">
        <v>142</v>
      </c>
      <c r="P51" s="787"/>
      <c r="Q51" s="787"/>
      <c r="R51" s="787"/>
      <c r="S51" s="787"/>
      <c r="T51" s="787"/>
      <c r="U51" s="787"/>
      <c r="V51" s="787"/>
      <c r="W51" s="787"/>
      <c r="X51" s="787"/>
      <c r="Z51" s="228">
        <f t="shared" si="6"/>
        <v>0</v>
      </c>
    </row>
    <row r="52" spans="1:26">
      <c r="A52" s="250" t="s">
        <v>508</v>
      </c>
      <c r="B52" s="251">
        <f>B49-B51</f>
        <v>110723.1088534205</v>
      </c>
      <c r="C52" s="252" t="s">
        <v>497</v>
      </c>
      <c r="J52" s="31"/>
      <c r="K52" s="31"/>
      <c r="L52" s="31"/>
      <c r="M52" s="31"/>
      <c r="N52" s="220">
        <v>46400</v>
      </c>
      <c r="O52" s="225" t="s">
        <v>145</v>
      </c>
      <c r="P52" s="787"/>
      <c r="Q52" s="787"/>
      <c r="R52" s="787"/>
      <c r="S52" s="787"/>
      <c r="T52" s="787"/>
      <c r="U52" s="787"/>
      <c r="V52" s="787"/>
      <c r="W52" s="787"/>
      <c r="X52" s="787"/>
      <c r="Z52" s="228">
        <f t="shared" si="6"/>
        <v>0</v>
      </c>
    </row>
    <row r="53" spans="1:26">
      <c r="J53" s="31"/>
      <c r="K53" s="31"/>
      <c r="L53" s="31"/>
      <c r="M53" s="31"/>
      <c r="N53" s="220">
        <v>46410</v>
      </c>
      <c r="O53" s="225" t="s">
        <v>146</v>
      </c>
      <c r="P53" s="787"/>
      <c r="Q53" s="787"/>
      <c r="R53" s="787"/>
      <c r="S53" s="787"/>
      <c r="T53" s="787"/>
      <c r="U53" s="787"/>
      <c r="V53" s="787"/>
      <c r="W53" s="787"/>
      <c r="X53" s="787"/>
      <c r="Z53" s="228">
        <f t="shared" si="6"/>
        <v>0</v>
      </c>
    </row>
    <row r="54" spans="1:26">
      <c r="A54" s="242" t="s">
        <v>523</v>
      </c>
      <c r="J54" s="31"/>
      <c r="K54" s="31"/>
      <c r="L54" s="31"/>
      <c r="M54" s="31"/>
      <c r="N54" s="220">
        <v>46500</v>
      </c>
      <c r="O54" s="225" t="s">
        <v>147</v>
      </c>
      <c r="P54" s="787"/>
      <c r="Q54" s="787"/>
      <c r="R54" s="787"/>
      <c r="S54" s="787"/>
      <c r="T54" s="787"/>
      <c r="U54" s="787"/>
      <c r="V54" s="787"/>
      <c r="W54" s="787"/>
      <c r="X54" s="787"/>
      <c r="Z54" s="228">
        <f t="shared" si="6"/>
        <v>0</v>
      </c>
    </row>
    <row r="55" spans="1:26">
      <c r="J55" s="31"/>
      <c r="K55" s="31"/>
      <c r="L55" s="31"/>
      <c r="M55" s="31"/>
      <c r="N55" s="220">
        <v>46510</v>
      </c>
      <c r="O55" s="225" t="s">
        <v>150</v>
      </c>
      <c r="P55" s="787"/>
      <c r="Q55" s="787"/>
      <c r="R55" s="787"/>
      <c r="S55" s="787"/>
      <c r="T55" s="787"/>
      <c r="U55" s="787"/>
      <c r="V55" s="787"/>
      <c r="W55" s="787"/>
      <c r="X55" s="787"/>
      <c r="Z55" s="228">
        <f t="shared" si="6"/>
        <v>0</v>
      </c>
    </row>
    <row r="56" spans="1:26">
      <c r="A56" t="s">
        <v>507</v>
      </c>
      <c r="B56" s="223">
        <f>'Yakima Consolidated IS'!C217</f>
        <v>58413.84</v>
      </c>
      <c r="J56" s="31"/>
      <c r="K56" s="31"/>
      <c r="L56" s="31"/>
      <c r="M56" s="31"/>
      <c r="N56" s="220">
        <v>46700</v>
      </c>
      <c r="O56" s="225" t="s">
        <v>151</v>
      </c>
      <c r="P56" s="787"/>
      <c r="Q56" s="787"/>
      <c r="R56" s="787"/>
      <c r="S56" s="787"/>
      <c r="T56" s="787"/>
      <c r="U56" s="787"/>
      <c r="V56" s="787"/>
      <c r="W56" s="1280">
        <f>B131</f>
        <v>-498.89000000001397</v>
      </c>
      <c r="X56" s="787"/>
      <c r="Z56" s="228">
        <f t="shared" si="6"/>
        <v>-498.89000000001397</v>
      </c>
    </row>
    <row r="57" spans="1:26">
      <c r="A57" t="s">
        <v>524</v>
      </c>
      <c r="B57" s="668">
        <f>'Region OH Calc'!AJ48</f>
        <v>50025.374609660612</v>
      </c>
      <c r="J57" s="64"/>
      <c r="K57" s="64"/>
      <c r="L57" s="64"/>
      <c r="M57" s="64"/>
      <c r="N57" s="220">
        <v>46900</v>
      </c>
      <c r="O57" s="225" t="s">
        <v>156</v>
      </c>
      <c r="P57" s="787"/>
      <c r="Q57" s="787"/>
      <c r="R57" s="1027">
        <f>B58</f>
        <v>-8388.4653903393846</v>
      </c>
      <c r="S57" s="837">
        <f>D72</f>
        <v>-16079.95</v>
      </c>
      <c r="T57" s="787"/>
      <c r="U57" s="1277"/>
      <c r="V57" s="787"/>
      <c r="W57" s="787"/>
      <c r="X57" s="787"/>
      <c r="Z57" s="228">
        <f t="shared" si="6"/>
        <v>-24468.415390339385</v>
      </c>
    </row>
    <row r="58" spans="1:26">
      <c r="A58" s="250" t="s">
        <v>525</v>
      </c>
      <c r="B58" s="260">
        <f>B57-B56</f>
        <v>-8388.4653903393846</v>
      </c>
      <c r="C58" s="252" t="s">
        <v>497</v>
      </c>
      <c r="J58" s="64"/>
      <c r="K58" s="64"/>
      <c r="L58" s="64"/>
      <c r="M58" s="64"/>
      <c r="N58" s="220">
        <v>51260</v>
      </c>
      <c r="O58" s="225" t="s">
        <v>185</v>
      </c>
      <c r="P58" s="787"/>
      <c r="Q58" s="787"/>
      <c r="R58" s="787"/>
      <c r="S58" s="787"/>
      <c r="T58" s="787"/>
      <c r="U58" s="787"/>
      <c r="V58" s="1027">
        <f>E106</f>
        <v>494725.8837709123</v>
      </c>
      <c r="W58" s="787"/>
      <c r="X58" s="787"/>
      <c r="Z58" s="228">
        <f t="shared" si="6"/>
        <v>494725.8837709123</v>
      </c>
    </row>
    <row r="59" spans="1:26">
      <c r="J59" s="31"/>
      <c r="K59" s="31"/>
      <c r="L59" s="31"/>
      <c r="M59" s="31"/>
      <c r="N59" s="220">
        <v>54260</v>
      </c>
      <c r="O59" s="225" t="s">
        <v>188</v>
      </c>
      <c r="P59" s="787"/>
      <c r="Q59" s="787"/>
      <c r="R59" s="787"/>
      <c r="S59" s="787"/>
      <c r="T59" s="787"/>
      <c r="U59" s="787"/>
      <c r="V59" s="1027">
        <f t="shared" ref="V59:V63" si="7">E107</f>
        <v>67282.898027135059</v>
      </c>
      <c r="W59" s="787"/>
      <c r="X59" s="787"/>
      <c r="Z59" s="228">
        <f t="shared" si="6"/>
        <v>67282.898027135059</v>
      </c>
    </row>
    <row r="60" spans="1:26">
      <c r="A60" s="408" t="s">
        <v>526</v>
      </c>
      <c r="B60" s="216"/>
      <c r="C60" s="216"/>
      <c r="D60" s="216"/>
      <c r="E60" s="216"/>
      <c r="F60" s="216"/>
      <c r="G60" s="216"/>
      <c r="H60" s="216"/>
      <c r="I60" s="216"/>
      <c r="J60" s="66"/>
      <c r="K60" s="66"/>
      <c r="L60" s="66"/>
      <c r="M60" s="66"/>
      <c r="N60" s="220"/>
      <c r="O60" s="225" t="s">
        <v>189</v>
      </c>
      <c r="P60" s="787"/>
      <c r="Q60" s="787"/>
      <c r="R60" s="787"/>
      <c r="S60" s="787"/>
      <c r="T60" s="787"/>
      <c r="U60" s="787"/>
      <c r="V60" s="1027">
        <f t="shared" si="7"/>
        <v>2287.9133333333493</v>
      </c>
      <c r="W60" s="787"/>
      <c r="X60" s="787"/>
      <c r="Z60" s="228">
        <f t="shared" si="6"/>
        <v>2287.9133333333493</v>
      </c>
    </row>
    <row r="61" spans="1:26">
      <c r="J61" s="31"/>
      <c r="K61" s="31"/>
      <c r="L61" s="31"/>
      <c r="M61" s="31"/>
      <c r="N61" s="220">
        <v>57260</v>
      </c>
      <c r="O61" s="225" t="s">
        <v>190</v>
      </c>
      <c r="P61" s="787"/>
      <c r="Q61" s="787"/>
      <c r="R61" s="787"/>
      <c r="S61" s="787"/>
      <c r="T61" s="787"/>
      <c r="U61" s="787"/>
      <c r="V61" s="1027">
        <f t="shared" si="7"/>
        <v>-46788.314380524898</v>
      </c>
      <c r="W61" s="787"/>
      <c r="X61" s="787"/>
      <c r="Z61" s="228">
        <f t="shared" si="6"/>
        <v>-46788.314380524898</v>
      </c>
    </row>
    <row r="62" spans="1:26">
      <c r="C62" s="253" t="s">
        <v>507</v>
      </c>
      <c r="D62" s="253" t="s">
        <v>528</v>
      </c>
      <c r="E62" s="253" t="s">
        <v>672</v>
      </c>
      <c r="J62" s="31"/>
      <c r="K62" s="31"/>
      <c r="L62" s="31"/>
      <c r="M62" s="31"/>
      <c r="N62" s="220">
        <v>70260</v>
      </c>
      <c r="O62" s="225" t="s">
        <v>191</v>
      </c>
      <c r="P62" s="787"/>
      <c r="Q62" s="787"/>
      <c r="R62" s="787"/>
      <c r="S62" s="787"/>
      <c r="T62" s="787"/>
      <c r="U62" s="787"/>
      <c r="V62" s="1027">
        <f t="shared" si="7"/>
        <v>-22466.164095238106</v>
      </c>
      <c r="W62" s="787"/>
      <c r="X62" s="787"/>
      <c r="Z62" s="228">
        <f t="shared" si="6"/>
        <v>-22466.164095238106</v>
      </c>
    </row>
    <row r="63" spans="1:26">
      <c r="A63" s="230">
        <f>'Yakima Consolidated IS'!A210</f>
        <v>56108</v>
      </c>
      <c r="B63" s="230" t="str">
        <f>'Yakima Consolidated IS'!B210</f>
        <v>School Tuition</v>
      </c>
      <c r="C63" s="248">
        <f>'Yakima Consolidated IS'!C210</f>
        <v>617.67999999999995</v>
      </c>
      <c r="D63" s="248">
        <f>-C63</f>
        <v>-617.67999999999995</v>
      </c>
      <c r="E63" s="254" t="s">
        <v>529</v>
      </c>
      <c r="J63" s="31"/>
      <c r="K63" s="31"/>
      <c r="L63" s="31"/>
      <c r="M63" s="31"/>
      <c r="N63" s="220"/>
      <c r="O63" s="215" t="s">
        <v>192</v>
      </c>
      <c r="P63" s="787"/>
      <c r="Q63" s="787"/>
      <c r="R63" s="787"/>
      <c r="S63" s="787"/>
      <c r="T63" s="787"/>
      <c r="U63" s="787"/>
      <c r="V63" s="1027">
        <f t="shared" si="7"/>
        <v>78017.440333333332</v>
      </c>
      <c r="W63" s="787"/>
      <c r="X63" s="787"/>
      <c r="Z63" s="228">
        <f t="shared" si="6"/>
        <v>78017.440333333332</v>
      </c>
    </row>
    <row r="64" spans="1:26">
      <c r="A64" s="230">
        <f>'Yakima Consolidated IS'!A212</f>
        <v>70095</v>
      </c>
      <c r="B64" s="230" t="str">
        <f>'Yakima Consolidated IS'!B212</f>
        <v>Employee Comm Activity</v>
      </c>
      <c r="C64" s="248">
        <f>'Yakima Consolidated IS'!C212</f>
        <v>10289.119999999999</v>
      </c>
      <c r="D64" s="354">
        <f>-'70095 Detail'!E173</f>
        <v>-218</v>
      </c>
      <c r="E64" s="254" t="s">
        <v>529</v>
      </c>
      <c r="F64" s="252"/>
      <c r="J64" s="31"/>
      <c r="K64" s="31"/>
      <c r="L64" s="31"/>
      <c r="M64" s="31"/>
      <c r="N64" s="220">
        <v>70264</v>
      </c>
      <c r="O64" s="215" t="s">
        <v>193</v>
      </c>
      <c r="P64" s="787"/>
      <c r="Q64" s="787"/>
      <c r="R64" s="787"/>
      <c r="S64" s="787"/>
      <c r="T64" s="787"/>
      <c r="U64" s="787"/>
      <c r="V64" s="1027"/>
      <c r="W64" s="787"/>
      <c r="X64" s="787"/>
      <c r="Z64" s="228">
        <f t="shared" si="6"/>
        <v>0</v>
      </c>
    </row>
    <row r="65" spans="1:26">
      <c r="A65" s="230">
        <f>'Yakima Consolidated IS'!A214</f>
        <v>70108</v>
      </c>
      <c r="B65" s="230" t="str">
        <f>'Yakima Consolidated IS'!B214</f>
        <v>School Tuition</v>
      </c>
      <c r="C65" s="248">
        <f>'Yakima Consolidated IS'!C214</f>
        <v>3087.04</v>
      </c>
      <c r="D65" s="248">
        <f>-C65</f>
        <v>-3087.04</v>
      </c>
      <c r="E65" s="254" t="s">
        <v>529</v>
      </c>
      <c r="J65" s="31"/>
      <c r="K65" s="31"/>
      <c r="L65" s="31"/>
      <c r="M65" s="31"/>
      <c r="N65" s="220">
        <v>91010</v>
      </c>
      <c r="O65" s="225" t="s">
        <v>194</v>
      </c>
      <c r="P65" s="787"/>
      <c r="Q65" s="787"/>
      <c r="R65" s="787"/>
      <c r="S65" s="787"/>
      <c r="T65" s="787"/>
      <c r="U65" s="787"/>
      <c r="V65" s="787"/>
      <c r="W65" s="787"/>
      <c r="X65" s="787"/>
      <c r="Z65" s="228">
        <f t="shared" si="6"/>
        <v>0</v>
      </c>
    </row>
    <row r="66" spans="1:26">
      <c r="A66" s="230">
        <f>'Yakima Consolidated IS'!A215</f>
        <v>70110</v>
      </c>
      <c r="B66" s="230" t="str">
        <f>'Yakima Consolidated IS'!B215</f>
        <v>Contributions</v>
      </c>
      <c r="C66" s="248">
        <f>'Yakima Consolidated IS'!C215</f>
        <v>3668</v>
      </c>
      <c r="D66" s="248">
        <f>-C66</f>
        <v>-3668</v>
      </c>
      <c r="E66" s="254" t="s">
        <v>529</v>
      </c>
      <c r="F66" s="252"/>
      <c r="J66" s="31"/>
      <c r="K66" s="31"/>
      <c r="L66" s="31"/>
      <c r="M66" s="31"/>
      <c r="N66" s="220">
        <v>52000</v>
      </c>
      <c r="O66" s="225" t="s">
        <v>195</v>
      </c>
      <c r="P66" s="787"/>
      <c r="Q66" s="787"/>
      <c r="R66" s="787"/>
      <c r="S66" s="787"/>
      <c r="T66" s="787"/>
      <c r="U66" s="787"/>
      <c r="V66" s="787"/>
      <c r="W66" s="787"/>
      <c r="X66" s="787"/>
      <c r="Z66" s="228">
        <f t="shared" si="6"/>
        <v>0</v>
      </c>
    </row>
    <row r="67" spans="1:26">
      <c r="A67" s="230">
        <f>'Yakima Consolidated IS'!A216</f>
        <v>70112</v>
      </c>
      <c r="B67" s="230" t="str">
        <f>'Yakima Consolidated IS'!B216</f>
        <v>Political Contribution</v>
      </c>
      <c r="C67" s="248">
        <f>'Yakima Consolidated IS'!C216</f>
        <v>1500</v>
      </c>
      <c r="D67" s="248">
        <f>-C67</f>
        <v>-1500</v>
      </c>
      <c r="E67" s="254" t="s">
        <v>529</v>
      </c>
      <c r="F67" s="252"/>
      <c r="J67" s="31"/>
      <c r="K67" s="31"/>
      <c r="L67" s="31"/>
      <c r="M67" s="31"/>
      <c r="N67" s="220">
        <v>52030</v>
      </c>
      <c r="O67" s="225" t="s">
        <v>199</v>
      </c>
      <c r="P67" s="787"/>
      <c r="Q67" s="787"/>
      <c r="R67" s="787"/>
      <c r="S67" s="787"/>
      <c r="T67" s="787"/>
      <c r="U67" s="787"/>
      <c r="V67" s="787"/>
      <c r="W67" s="787"/>
      <c r="X67" s="787"/>
      <c r="Z67" s="228">
        <f t="shared" si="6"/>
        <v>0</v>
      </c>
    </row>
    <row r="68" spans="1:26">
      <c r="A68" s="230">
        <f>'Yakima Consolidated IS'!A221</f>
        <v>70195</v>
      </c>
      <c r="B68" s="230" t="str">
        <f>'Yakima Consolidated IS'!B221</f>
        <v>Dues &amp; Subscriptions</v>
      </c>
      <c r="C68" s="248">
        <f>'Yakima Consolidated IS'!C221</f>
        <v>7213.17</v>
      </c>
      <c r="D68" s="248">
        <f>-'70195 Detail'!D64</f>
        <v>-1271</v>
      </c>
      <c r="E68" s="254" t="s">
        <v>529</v>
      </c>
      <c r="F68" s="252"/>
      <c r="J68" s="31"/>
      <c r="K68" s="31"/>
      <c r="L68" s="31"/>
      <c r="M68" s="31"/>
      <c r="N68" s="220">
        <v>52200</v>
      </c>
      <c r="O68" s="225" t="s">
        <v>201</v>
      </c>
      <c r="P68" s="787"/>
      <c r="Q68" s="787"/>
      <c r="R68" s="787"/>
      <c r="S68" s="787"/>
      <c r="T68" s="787"/>
      <c r="U68" s="787"/>
      <c r="V68" s="787"/>
      <c r="W68" s="787"/>
      <c r="X68" s="787"/>
      <c r="Z68" s="228">
        <f t="shared" si="6"/>
        <v>0</v>
      </c>
    </row>
    <row r="69" spans="1:26">
      <c r="A69" s="230">
        <f>'Yakima Consolidated IS'!A228</f>
        <v>70207</v>
      </c>
      <c r="B69" s="230" t="str">
        <f>'Yakima Consolidated IS'!B228</f>
        <v>Meals with Customers</v>
      </c>
      <c r="C69" s="248">
        <f>'Yakima Consolidated IS'!C228</f>
        <v>31</v>
      </c>
      <c r="D69" s="248">
        <f>-C69</f>
        <v>-31</v>
      </c>
      <c r="E69" s="254" t="s">
        <v>529</v>
      </c>
      <c r="F69" s="252"/>
      <c r="J69" s="66"/>
      <c r="K69" s="66"/>
      <c r="L69" s="66"/>
      <c r="M69" s="66"/>
      <c r="N69" s="220">
        <v>52300</v>
      </c>
      <c r="O69" s="225" t="s">
        <v>275</v>
      </c>
      <c r="P69" s="787"/>
      <c r="Q69" s="787"/>
      <c r="R69" s="787"/>
      <c r="S69" s="787"/>
      <c r="T69" s="787"/>
      <c r="U69" s="787"/>
      <c r="V69" s="787"/>
      <c r="W69" s="787"/>
      <c r="X69" s="787"/>
      <c r="Z69" s="228">
        <f t="shared" si="6"/>
        <v>0</v>
      </c>
    </row>
    <row r="70" spans="1:26">
      <c r="A70" s="230">
        <f>'Yakima Consolidated IS'!A230</f>
        <v>70220</v>
      </c>
      <c r="B70" s="230" t="str">
        <f>'Yakima Consolidated IS'!B230</f>
        <v>Sponshorships</v>
      </c>
      <c r="C70" s="248">
        <f>'Yakima Consolidated IS'!C230</f>
        <v>1100</v>
      </c>
      <c r="D70" s="248">
        <f>-C70</f>
        <v>-1100</v>
      </c>
      <c r="E70" s="254" t="s">
        <v>529</v>
      </c>
      <c r="F70" s="252"/>
      <c r="J70" s="66"/>
      <c r="K70" s="66"/>
      <c r="L70" s="66"/>
      <c r="M70" s="66"/>
      <c r="N70" s="220">
        <v>52400</v>
      </c>
      <c r="O70" s="225" t="s">
        <v>204</v>
      </c>
      <c r="P70" s="787"/>
      <c r="Q70" s="787"/>
      <c r="R70" s="787"/>
      <c r="S70" s="787"/>
      <c r="T70" s="1027">
        <f>B93</f>
        <v>2406.8593191990853</v>
      </c>
      <c r="U70" s="787"/>
      <c r="V70" s="787"/>
      <c r="W70" s="787"/>
      <c r="X70" s="1027">
        <f>B138</f>
        <v>1733.930807441915</v>
      </c>
      <c r="Z70" s="228">
        <f t="shared" si="6"/>
        <v>4140.7901266410008</v>
      </c>
    </row>
    <row r="71" spans="1:26">
      <c r="A71" s="230">
        <f>'Yakima Consolidated IS'!A232</f>
        <v>70255</v>
      </c>
      <c r="B71" s="230" t="str">
        <f>'Yakima Consolidated IS'!B232</f>
        <v>Other Professional Fees</v>
      </c>
      <c r="C71" s="255">
        <f>'Yakima Consolidated IS'!C232</f>
        <v>6976.7300000000005</v>
      </c>
      <c r="D71" s="255">
        <f>-'70255 Detail'!E128</f>
        <v>-4587.2300000000005</v>
      </c>
      <c r="E71" s="254" t="s">
        <v>529</v>
      </c>
      <c r="F71" s="252"/>
      <c r="J71" s="66"/>
      <c r="K71" s="66"/>
      <c r="L71" s="66"/>
      <c r="M71" s="66"/>
      <c r="N71" s="1042">
        <v>52700</v>
      </c>
      <c r="O71" s="225" t="s">
        <v>527</v>
      </c>
      <c r="P71" s="787"/>
      <c r="Q71" s="787"/>
      <c r="R71" s="787"/>
      <c r="S71" s="787"/>
      <c r="T71" s="787"/>
      <c r="U71" s="787"/>
      <c r="V71" s="787"/>
      <c r="W71" s="787"/>
      <c r="X71" s="787"/>
      <c r="Z71" s="228">
        <f t="shared" si="6"/>
        <v>0</v>
      </c>
    </row>
    <row r="72" spans="1:26">
      <c r="C72" s="256">
        <f>SUM(C63:C71)</f>
        <v>34482.740000000005</v>
      </c>
      <c r="D72" s="256">
        <f>SUM(D63:D71)</f>
        <v>-16079.95</v>
      </c>
      <c r="E72" s="252" t="s">
        <v>162</v>
      </c>
      <c r="J72" s="31"/>
      <c r="K72" s="31"/>
      <c r="L72" s="31"/>
      <c r="M72" s="31"/>
      <c r="N72" s="220">
        <v>53200</v>
      </c>
      <c r="O72" s="225" t="s">
        <v>206</v>
      </c>
      <c r="Z72" s="228">
        <f t="shared" si="6"/>
        <v>0</v>
      </c>
    </row>
    <row r="73" spans="1:26">
      <c r="C73" s="248"/>
      <c r="D73" s="248"/>
      <c r="E73" s="257"/>
      <c r="J73" s="31"/>
      <c r="K73" s="31"/>
      <c r="L73" s="31"/>
      <c r="M73" s="31"/>
      <c r="N73" s="220">
        <v>70269</v>
      </c>
      <c r="O73" s="225" t="s">
        <v>193</v>
      </c>
      <c r="P73" s="226"/>
      <c r="Q73" s="226"/>
      <c r="R73" s="226"/>
      <c r="S73" s="226"/>
      <c r="T73" s="226"/>
      <c r="U73" s="226"/>
      <c r="V73" s="226"/>
      <c r="W73" s="226"/>
      <c r="X73" s="226"/>
      <c r="Y73" s="226"/>
      <c r="Z73" s="228">
        <f t="shared" si="6"/>
        <v>0</v>
      </c>
    </row>
    <row r="74" spans="1:26">
      <c r="A74" s="230"/>
      <c r="B74" s="230"/>
      <c r="C74" s="248"/>
      <c r="D74" s="248"/>
      <c r="E74" s="252"/>
      <c r="J74" s="66"/>
      <c r="K74" s="66"/>
      <c r="L74" s="66"/>
      <c r="M74" s="66"/>
      <c r="P74" s="223">
        <f t="shared" ref="P74:Y74" si="8">SUM(P18:P73)</f>
        <v>-74583.249999999796</v>
      </c>
      <c r="Q74" s="223">
        <f t="shared" si="8"/>
        <v>55191.043360779018</v>
      </c>
      <c r="R74" s="223">
        <f t="shared" si="8"/>
        <v>102334.64346308113</v>
      </c>
      <c r="S74" s="223">
        <f t="shared" si="8"/>
        <v>-7160.9700000000012</v>
      </c>
      <c r="T74" s="223">
        <f t="shared" si="8"/>
        <v>33869.072642062951</v>
      </c>
      <c r="U74" s="223">
        <f t="shared" si="8"/>
        <v>-3672.5355039193382</v>
      </c>
      <c r="V74" s="223">
        <f t="shared" si="8"/>
        <v>573059.65698895103</v>
      </c>
      <c r="W74" s="223">
        <f t="shared" si="8"/>
        <v>-498.89000000001397</v>
      </c>
      <c r="X74" s="223">
        <f t="shared" si="8"/>
        <v>28348.71299622512</v>
      </c>
      <c r="Y74" s="223">
        <f t="shared" si="8"/>
        <v>0</v>
      </c>
      <c r="Z74" s="228">
        <f t="shared" si="6"/>
        <v>706887.4839471801</v>
      </c>
    </row>
    <row r="75" spans="1:26">
      <c r="C75" s="248"/>
      <c r="D75" s="248"/>
      <c r="J75" s="66"/>
      <c r="K75" s="66"/>
      <c r="L75" s="66"/>
      <c r="M75" s="66"/>
      <c r="Z75" s="214"/>
    </row>
    <row r="76" spans="1:26">
      <c r="A76" s="1301">
        <v>59344</v>
      </c>
      <c r="B76" s="1301" t="s">
        <v>283</v>
      </c>
      <c r="C76" s="248">
        <f>'Yakima Consolidated IS'!C142</f>
        <v>-8918.98</v>
      </c>
      <c r="D76" s="248">
        <f>-C76</f>
        <v>8918.98</v>
      </c>
      <c r="E76" s="1301">
        <v>45300</v>
      </c>
      <c r="F76" s="252" t="s">
        <v>162</v>
      </c>
      <c r="G76" s="1425" t="s">
        <v>2175</v>
      </c>
      <c r="H76" s="1425"/>
      <c r="I76" s="1425"/>
      <c r="J76" s="1425"/>
      <c r="K76" s="66"/>
      <c r="L76" s="66"/>
      <c r="M76" s="66"/>
      <c r="Z76" s="214"/>
    </row>
    <row r="77" spans="1:26">
      <c r="G77" s="1425"/>
      <c r="H77" s="1425"/>
      <c r="I77" s="1425"/>
      <c r="J77" s="1425"/>
      <c r="K77" s="31"/>
      <c r="L77" s="31"/>
      <c r="M77" s="31"/>
      <c r="Z77" s="214"/>
    </row>
    <row r="78" spans="1:26">
      <c r="A78" s="408" t="s">
        <v>2483</v>
      </c>
      <c r="B78" s="216"/>
      <c r="C78" s="216"/>
      <c r="D78" s="216"/>
      <c r="E78" s="216"/>
      <c r="F78" s="216"/>
      <c r="G78" s="216"/>
      <c r="H78" s="216"/>
      <c r="I78" s="216"/>
      <c r="J78" s="66"/>
      <c r="K78" s="66"/>
      <c r="L78" s="66"/>
      <c r="M78" s="66"/>
      <c r="Z78" s="214"/>
    </row>
    <row r="79" spans="1:26">
      <c r="A79" s="243"/>
      <c r="B79" s="442" t="s">
        <v>530</v>
      </c>
      <c r="C79" s="243"/>
      <c r="D79" s="243"/>
      <c r="E79" s="243"/>
      <c r="J79" s="66"/>
      <c r="K79" s="66"/>
      <c r="L79" s="66"/>
      <c r="M79" s="66"/>
      <c r="Z79" s="214"/>
    </row>
    <row r="80" spans="1:26">
      <c r="A80" s="1238" t="s">
        <v>531</v>
      </c>
      <c r="B80" s="244">
        <f>'Yakima Payroll'!Y64</f>
        <v>22919.914580870409</v>
      </c>
      <c r="C80" s="1239">
        <v>42300</v>
      </c>
      <c r="D80" s="1240"/>
      <c r="E80" s="243"/>
      <c r="J80" s="66"/>
      <c r="K80" s="66"/>
      <c r="L80" s="66"/>
      <c r="M80" s="66"/>
      <c r="Z80" s="214"/>
    </row>
    <row r="81" spans="1:26">
      <c r="A81" s="1238" t="s">
        <v>205</v>
      </c>
      <c r="B81" s="244">
        <f>'Yakima Payroll'!Y106</f>
        <v>239.31869424657535</v>
      </c>
      <c r="C81" s="1239">
        <v>42300</v>
      </c>
      <c r="D81" s="1240"/>
      <c r="E81" s="243"/>
      <c r="J81" s="31"/>
      <c r="K81" s="31"/>
      <c r="L81" s="31"/>
      <c r="M81" s="31"/>
      <c r="Z81" s="214"/>
    </row>
    <row r="82" spans="1:26">
      <c r="A82" s="1238" t="s">
        <v>532</v>
      </c>
      <c r="B82" s="244">
        <f>'Yakima Payroll'!Y80</f>
        <v>4979.7016041509887</v>
      </c>
      <c r="C82" s="1239">
        <v>41150</v>
      </c>
      <c r="D82" s="1240"/>
      <c r="E82" s="243"/>
      <c r="J82" s="31"/>
      <c r="K82" s="31"/>
      <c r="L82" s="31"/>
      <c r="M82" s="31"/>
      <c r="Z82" s="214"/>
    </row>
    <row r="83" spans="1:26">
      <c r="A83" s="1238" t="s">
        <v>533</v>
      </c>
      <c r="B83" s="244">
        <f>'Yakima Payroll'!Y112</f>
        <v>1091.55877869863</v>
      </c>
      <c r="C83" s="1239">
        <v>42100</v>
      </c>
      <c r="D83" s="1240"/>
      <c r="E83" s="243"/>
      <c r="J83" s="66"/>
      <c r="K83" s="66"/>
      <c r="L83" s="66"/>
      <c r="M83" s="66"/>
      <c r="Z83" s="214"/>
    </row>
    <row r="84" spans="1:26">
      <c r="A84" s="1238" t="s">
        <v>304</v>
      </c>
      <c r="B84" s="444">
        <f>'Yakima Payroll'!Y100</f>
        <v>2231.7196648972604</v>
      </c>
      <c r="C84" s="1239">
        <v>46130</v>
      </c>
      <c r="D84" s="243"/>
      <c r="E84" s="243"/>
      <c r="J84" s="66"/>
      <c r="K84" s="66"/>
      <c r="L84" s="66"/>
      <c r="M84" s="66"/>
      <c r="Z84" s="214"/>
    </row>
    <row r="85" spans="1:26">
      <c r="A85" s="243"/>
      <c r="B85" s="246">
        <f>SUM(B80:B84)</f>
        <v>31462.213322863863</v>
      </c>
      <c r="C85" s="1240" t="s">
        <v>43</v>
      </c>
      <c r="D85" s="243"/>
      <c r="E85" s="243"/>
      <c r="J85" s="66"/>
      <c r="K85" s="66"/>
      <c r="L85" s="66"/>
      <c r="M85" s="66"/>
      <c r="Z85" s="214"/>
    </row>
    <row r="86" spans="1:26">
      <c r="A86" s="243"/>
      <c r="B86" s="243"/>
      <c r="C86" s="243"/>
      <c r="D86" s="243"/>
      <c r="E86" s="243"/>
      <c r="J86" s="31"/>
      <c r="K86" s="31"/>
      <c r="L86" s="31"/>
      <c r="M86" s="31"/>
      <c r="Z86" s="214"/>
    </row>
    <row r="87" spans="1:26">
      <c r="A87" s="243"/>
      <c r="B87" s="442" t="s">
        <v>326</v>
      </c>
      <c r="C87" s="243"/>
      <c r="D87" s="243"/>
      <c r="E87" s="243"/>
      <c r="J87" s="31"/>
      <c r="K87" s="31"/>
      <c r="L87" s="31"/>
      <c r="M87" s="31"/>
      <c r="Z87" s="214"/>
    </row>
    <row r="88" spans="1:26">
      <c r="A88" s="1238" t="s">
        <v>531</v>
      </c>
      <c r="B88" s="244">
        <f>(B80)*0.0765</f>
        <v>1753.3734654365862</v>
      </c>
      <c r="C88" s="1239"/>
      <c r="D88" s="243"/>
      <c r="E88" s="243"/>
      <c r="J88" s="66"/>
      <c r="K88" s="66"/>
      <c r="L88" s="66"/>
      <c r="M88" s="66"/>
      <c r="Z88" s="214"/>
    </row>
    <row r="89" spans="1:26">
      <c r="A89" s="1238" t="s">
        <v>205</v>
      </c>
      <c r="B89" s="244">
        <f>B81*0.0765</f>
        <v>18.307880109863014</v>
      </c>
      <c r="C89" s="1239"/>
      <c r="D89" s="243"/>
      <c r="E89" s="243"/>
      <c r="J89" s="66"/>
      <c r="K89" s="66"/>
      <c r="L89" s="66"/>
      <c r="M89" s="66"/>
      <c r="Z89" s="214"/>
    </row>
    <row r="90" spans="1:26">
      <c r="A90" s="1238" t="s">
        <v>532</v>
      </c>
      <c r="B90" s="244">
        <f>B82*0.0765</f>
        <v>380.94717271755064</v>
      </c>
      <c r="C90" s="1239"/>
      <c r="D90" s="243"/>
      <c r="E90" s="243"/>
      <c r="J90" s="31"/>
      <c r="K90" s="31"/>
      <c r="L90" s="31"/>
      <c r="M90" s="31"/>
      <c r="Z90" s="214"/>
    </row>
    <row r="91" spans="1:26">
      <c r="A91" s="1238" t="s">
        <v>533</v>
      </c>
      <c r="B91" s="244">
        <f>B83*0.0765</f>
        <v>83.50424657044519</v>
      </c>
      <c r="C91" s="1239"/>
      <c r="D91" s="243"/>
      <c r="E91" s="243"/>
      <c r="J91" s="66"/>
      <c r="K91" s="66"/>
      <c r="L91" s="66"/>
      <c r="M91" s="66"/>
      <c r="Z91" s="214"/>
    </row>
    <row r="92" spans="1:26">
      <c r="A92" s="1238" t="s">
        <v>304</v>
      </c>
      <c r="B92" s="444">
        <f>B84*0.0765</f>
        <v>170.72655436464041</v>
      </c>
      <c r="C92" s="1239"/>
      <c r="D92" s="243"/>
      <c r="E92" s="243"/>
      <c r="J92" s="31"/>
      <c r="K92" s="31"/>
      <c r="L92" s="31"/>
      <c r="M92" s="31"/>
      <c r="Z92" s="214"/>
    </row>
    <row r="93" spans="1:26">
      <c r="A93" s="243"/>
      <c r="B93" s="246">
        <f>SUM(B88:B92)</f>
        <v>2406.8593191990853</v>
      </c>
      <c r="C93" s="1240" t="s">
        <v>43</v>
      </c>
      <c r="D93" s="260">
        <f>B85+B93</f>
        <v>33869.072642062951</v>
      </c>
      <c r="E93" s="1240" t="s">
        <v>43</v>
      </c>
      <c r="J93" s="31"/>
      <c r="K93" s="31"/>
      <c r="L93" s="31"/>
      <c r="M93" s="31"/>
      <c r="Z93" s="214"/>
    </row>
    <row r="94" spans="1:26">
      <c r="A94" s="408" t="s">
        <v>2176</v>
      </c>
      <c r="B94" s="216"/>
      <c r="C94" s="216"/>
      <c r="D94" s="216"/>
      <c r="E94" s="216"/>
      <c r="F94" s="216"/>
      <c r="G94" s="216"/>
      <c r="H94" s="216"/>
      <c r="I94" s="216"/>
      <c r="J94" s="31"/>
      <c r="K94" s="31"/>
      <c r="L94" s="31"/>
      <c r="M94" s="31"/>
      <c r="Z94" s="214"/>
    </row>
    <row r="95" spans="1:26">
      <c r="J95" s="31"/>
      <c r="K95" s="31"/>
      <c r="L95" s="31"/>
      <c r="M95" s="31"/>
      <c r="Z95" s="214"/>
    </row>
    <row r="96" spans="1:26">
      <c r="A96" s="215" t="s">
        <v>535</v>
      </c>
      <c r="B96" s="248">
        <f>'Yakima Consolidated IS'!J20</f>
        <v>10305973.43060405</v>
      </c>
      <c r="J96" s="31"/>
      <c r="K96" s="31"/>
      <c r="L96" s="31"/>
      <c r="M96" s="31"/>
      <c r="Z96" s="214"/>
    </row>
    <row r="97" spans="1:26">
      <c r="A97" s="215" t="s">
        <v>103</v>
      </c>
      <c r="B97" s="261">
        <v>5.1000000000000004E-3</v>
      </c>
      <c r="J97" s="31"/>
      <c r="K97" s="31"/>
      <c r="L97" s="31"/>
      <c r="M97" s="31"/>
      <c r="Z97" s="214"/>
    </row>
    <row r="98" spans="1:26">
      <c r="A98" s="215" t="s">
        <v>536</v>
      </c>
      <c r="B98" s="248">
        <f>B96*B97</f>
        <v>52560.464496080662</v>
      </c>
      <c r="J98" s="66"/>
      <c r="K98" s="66"/>
      <c r="L98" s="66"/>
      <c r="M98" s="66"/>
      <c r="Z98" s="214"/>
    </row>
    <row r="99" spans="1:26">
      <c r="J99" s="66"/>
      <c r="K99" s="66"/>
      <c r="L99" s="66"/>
      <c r="M99" s="66"/>
      <c r="Z99" s="214"/>
    </row>
    <row r="100" spans="1:26">
      <c r="A100" s="215" t="s">
        <v>537</v>
      </c>
      <c r="B100" s="229">
        <f>'Yakima Consolidated IS'!C127</f>
        <v>56233</v>
      </c>
      <c r="J100" s="66"/>
      <c r="K100" s="66"/>
      <c r="L100" s="66"/>
      <c r="M100" s="66"/>
      <c r="Z100" s="214"/>
    </row>
    <row r="101" spans="1:26">
      <c r="A101" s="250" t="s">
        <v>534</v>
      </c>
      <c r="B101" s="251">
        <f>B98-B100</f>
        <v>-3672.5355039193382</v>
      </c>
      <c r="C101" s="252" t="s">
        <v>149</v>
      </c>
      <c r="J101" s="31"/>
      <c r="K101" s="31"/>
      <c r="L101" s="31"/>
      <c r="M101" s="31"/>
      <c r="Z101" s="214"/>
    </row>
    <row r="102" spans="1:26">
      <c r="C102" s="262" t="s">
        <v>538</v>
      </c>
      <c r="J102" s="66"/>
      <c r="K102" s="66"/>
      <c r="L102" s="66"/>
      <c r="M102" s="66"/>
      <c r="Z102" s="214"/>
    </row>
    <row r="103" spans="1:26">
      <c r="A103" s="408" t="s">
        <v>2177</v>
      </c>
      <c r="B103" s="216"/>
      <c r="C103" s="216"/>
      <c r="D103" s="216"/>
      <c r="E103" s="216"/>
      <c r="F103" s="216"/>
      <c r="G103" s="216"/>
      <c r="H103" s="216"/>
      <c r="I103" s="216"/>
      <c r="J103" s="66"/>
      <c r="K103" s="66"/>
      <c r="L103" s="66"/>
      <c r="M103" s="66"/>
      <c r="Z103" s="214"/>
    </row>
    <row r="104" spans="1:26">
      <c r="J104" s="66"/>
      <c r="K104" s="66"/>
      <c r="L104" s="66"/>
      <c r="M104" s="66"/>
      <c r="Z104" s="214"/>
    </row>
    <row r="105" spans="1:26">
      <c r="C105" s="258" t="s">
        <v>507</v>
      </c>
      <c r="D105" s="258" t="s">
        <v>539</v>
      </c>
      <c r="E105" s="258" t="s">
        <v>534</v>
      </c>
      <c r="J105" s="31"/>
      <c r="K105" s="31"/>
      <c r="L105" s="31"/>
      <c r="M105" s="31"/>
      <c r="Z105" s="214"/>
    </row>
    <row r="106" spans="1:26">
      <c r="A106" s="215">
        <v>51260</v>
      </c>
      <c r="B106" s="215" t="s">
        <v>185</v>
      </c>
      <c r="C106" s="223">
        <f>'Yakima Consolidated IS'!C236</f>
        <v>594128.04999999993</v>
      </c>
      <c r="D106" s="244">
        <f>Ratios!C92</f>
        <v>1088853.9337709122</v>
      </c>
      <c r="E106" s="222">
        <f>D106-C106</f>
        <v>494725.8837709123</v>
      </c>
      <c r="Z106" s="214"/>
    </row>
    <row r="107" spans="1:26">
      <c r="A107" s="215">
        <v>54260</v>
      </c>
      <c r="B107" s="215" t="s">
        <v>188</v>
      </c>
      <c r="C107" s="223">
        <f>'Yakima Consolidated IS'!C237</f>
        <v>160510.12</v>
      </c>
      <c r="D107" s="244">
        <f>Ratios!C100</f>
        <v>227793.01802713505</v>
      </c>
      <c r="E107" s="222">
        <f t="shared" ref="E107:E113" si="9">D107-C107</f>
        <v>67282.898027135059</v>
      </c>
      <c r="Z107" s="214"/>
    </row>
    <row r="108" spans="1:26">
      <c r="A108" s="215"/>
      <c r="B108" s="215" t="s">
        <v>189</v>
      </c>
      <c r="C108" s="223">
        <f>'Yakima Consolidated IS'!C238</f>
        <v>0</v>
      </c>
      <c r="D108" s="244">
        <f>Ratios!C102</f>
        <v>2287.9133333333493</v>
      </c>
      <c r="E108" s="222">
        <f t="shared" si="9"/>
        <v>2287.9133333333493</v>
      </c>
      <c r="Z108" s="214"/>
    </row>
    <row r="109" spans="1:26">
      <c r="A109" s="215">
        <v>57260</v>
      </c>
      <c r="B109" s="215" t="s">
        <v>190</v>
      </c>
      <c r="C109" s="223">
        <f>'Yakima Consolidated IS'!C239</f>
        <v>88130.9</v>
      </c>
      <c r="D109" s="244">
        <f>Ratios!C103</f>
        <v>41342.585619475096</v>
      </c>
      <c r="E109" s="222">
        <f t="shared" si="9"/>
        <v>-46788.314380524898</v>
      </c>
      <c r="Z109" s="214"/>
    </row>
    <row r="110" spans="1:26">
      <c r="A110" s="215">
        <v>70260</v>
      </c>
      <c r="B110" s="215" t="s">
        <v>191</v>
      </c>
      <c r="C110" s="223">
        <f>'Yakima Consolidated IS'!C240</f>
        <v>26796.33</v>
      </c>
      <c r="D110" s="244">
        <f>Ratios!C104</f>
        <v>4330.1659047618978</v>
      </c>
      <c r="E110" s="222">
        <f t="shared" si="9"/>
        <v>-22466.164095238106</v>
      </c>
      <c r="Z110" s="214"/>
    </row>
    <row r="111" spans="1:26">
      <c r="A111" s="215"/>
      <c r="B111" s="215" t="s">
        <v>192</v>
      </c>
      <c r="C111" s="223">
        <f>'Yakima Consolidated IS'!C241</f>
        <v>0</v>
      </c>
      <c r="D111" s="432">
        <f>SUM(Ratios!C105:C107)</f>
        <v>78017.440333333332</v>
      </c>
      <c r="E111" s="352">
        <f t="shared" si="9"/>
        <v>78017.440333333332</v>
      </c>
      <c r="F111" s="263"/>
      <c r="Z111" s="214"/>
    </row>
    <row r="112" spans="1:26">
      <c r="A112" s="230"/>
      <c r="B112" s="230"/>
      <c r="C112" s="229"/>
      <c r="D112" s="444"/>
      <c r="E112" s="227"/>
      <c r="F112" s="263"/>
      <c r="Z112" s="214"/>
    </row>
    <row r="113" spans="1:26">
      <c r="A113" s="230"/>
      <c r="B113" s="230"/>
      <c r="C113" s="223">
        <f>SUM(C106:C112)</f>
        <v>869565.39999999991</v>
      </c>
      <c r="D113" s="223">
        <f>SUM(D106:D112)</f>
        <v>1442625.0569889511</v>
      </c>
      <c r="E113" s="222">
        <f t="shared" si="9"/>
        <v>573059.65698895114</v>
      </c>
      <c r="F113" s="252" t="s">
        <v>104</v>
      </c>
      <c r="Z113" s="214"/>
    </row>
    <row r="114" spans="1:26">
      <c r="A114" s="230"/>
      <c r="B114" s="230"/>
      <c r="C114" s="230"/>
      <c r="Z114" s="214"/>
    </row>
    <row r="115" spans="1:26">
      <c r="A115" s="408" t="s">
        <v>2178</v>
      </c>
      <c r="B115" s="216"/>
      <c r="C115" s="216"/>
      <c r="D115" s="216"/>
      <c r="E115" s="216"/>
      <c r="F115" s="216"/>
      <c r="G115" s="216"/>
      <c r="H115" s="216"/>
      <c r="I115" s="216"/>
      <c r="Z115" s="214"/>
    </row>
    <row r="116" spans="1:26">
      <c r="A116" s="230"/>
      <c r="B116" s="230"/>
      <c r="C116" s="230"/>
      <c r="Z116" s="214"/>
    </row>
    <row r="117" spans="1:26">
      <c r="A117" s="264" t="s">
        <v>540</v>
      </c>
      <c r="B117" s="265"/>
      <c r="C117" s="266"/>
      <c r="D117" s="267"/>
      <c r="Z117" s="214"/>
    </row>
    <row r="118" spans="1:26">
      <c r="A118" s="268" t="s">
        <v>541</v>
      </c>
      <c r="B118" s="265"/>
      <c r="C118" s="266"/>
      <c r="D118" s="250" t="s">
        <v>542</v>
      </c>
      <c r="E118" s="269">
        <f>B127/SUM('Yakima Consolidated IS'!H10:H15)</f>
        <v>4.1173865181838021E-3</v>
      </c>
      <c r="Z118" s="214"/>
    </row>
    <row r="119" spans="1:26">
      <c r="A119" s="270" t="s">
        <v>543</v>
      </c>
      <c r="B119" s="271">
        <f>'6.30.16 BS'!P35</f>
        <v>655883.93000000005</v>
      </c>
      <c r="C119" s="272"/>
      <c r="D119" s="267"/>
      <c r="Z119" s="214"/>
    </row>
    <row r="120" spans="1:26">
      <c r="A120" s="273" t="s">
        <v>544</v>
      </c>
      <c r="B120" s="974">
        <f>+'Yakima BS'!AC30</f>
        <v>749099.65</v>
      </c>
      <c r="C120" s="274"/>
      <c r="D120" s="267"/>
      <c r="Z120" s="214"/>
    </row>
    <row r="121" spans="1:26">
      <c r="A121" s="264"/>
      <c r="B121" s="275">
        <f>B120-B119</f>
        <v>93215.719999999972</v>
      </c>
      <c r="C121" s="274"/>
      <c r="D121" s="267"/>
      <c r="Z121" s="214"/>
    </row>
    <row r="122" spans="1:26">
      <c r="A122" s="264" t="s">
        <v>545</v>
      </c>
      <c r="B122" s="276"/>
      <c r="C122" s="274"/>
      <c r="D122" s="267"/>
      <c r="Z122" s="214"/>
    </row>
    <row r="123" spans="1:26">
      <c r="A123" s="270" t="s">
        <v>543</v>
      </c>
      <c r="B123" s="277">
        <f>-'6.30.16 BS'!P36</f>
        <v>131056.46</v>
      </c>
      <c r="C123" s="274"/>
      <c r="D123" s="267"/>
      <c r="Z123" s="214"/>
    </row>
    <row r="124" spans="1:26">
      <c r="A124" s="273" t="s">
        <v>544</v>
      </c>
      <c r="B124" s="975">
        <f>-'Yakima BS'!AC31</f>
        <v>164503.29999999999</v>
      </c>
      <c r="C124" s="274"/>
      <c r="D124" s="267"/>
      <c r="Z124" s="214"/>
    </row>
    <row r="125" spans="1:26">
      <c r="A125" s="273"/>
      <c r="B125" s="278">
        <f>B124-B123</f>
        <v>33446.839999999982</v>
      </c>
      <c r="C125" s="274"/>
      <c r="D125" s="267"/>
      <c r="Z125" s="214"/>
    </row>
    <row r="126" spans="1:26">
      <c r="A126" s="273"/>
      <c r="B126" s="276"/>
      <c r="C126" s="274"/>
      <c r="D126" s="267"/>
      <c r="Z126" s="214"/>
    </row>
    <row r="127" spans="1:26">
      <c r="A127" s="264" t="s">
        <v>546</v>
      </c>
      <c r="B127" s="275">
        <f>B121-B125</f>
        <v>59768.87999999999</v>
      </c>
      <c r="C127" s="274"/>
      <c r="D127" s="267"/>
      <c r="Z127" s="214"/>
    </row>
    <row r="128" spans="1:26">
      <c r="A128" s="273"/>
      <c r="B128" s="276"/>
      <c r="C128" s="274"/>
      <c r="D128" s="267"/>
      <c r="Z128" s="214"/>
    </row>
    <row r="129" spans="1:26">
      <c r="A129" s="273" t="s">
        <v>334</v>
      </c>
      <c r="B129" s="276">
        <f>'Yakima Consolidated IS'!C205</f>
        <v>60267.770000000004</v>
      </c>
      <c r="C129" s="279"/>
      <c r="D129" s="267"/>
      <c r="Z129" s="214"/>
    </row>
    <row r="130" spans="1:26">
      <c r="A130" s="273"/>
      <c r="B130" s="276"/>
      <c r="C130" s="274"/>
      <c r="D130" s="267"/>
      <c r="Z130" s="214"/>
    </row>
    <row r="131" spans="1:26">
      <c r="A131" s="280" t="s">
        <v>534</v>
      </c>
      <c r="B131" s="278">
        <f>B127-B129</f>
        <v>-498.89000000001397</v>
      </c>
      <c r="C131" s="252" t="s">
        <v>127</v>
      </c>
      <c r="D131" s="267"/>
      <c r="Z131" s="214"/>
    </row>
    <row r="132" spans="1:26">
      <c r="A132" s="280"/>
      <c r="B132" s="275"/>
      <c r="C132" s="281" t="s">
        <v>547</v>
      </c>
      <c r="D132" s="267"/>
      <c r="Z132" s="214"/>
    </row>
    <row r="133" spans="1:26">
      <c r="Z133" s="214"/>
    </row>
    <row r="134" spans="1:26">
      <c r="Z134" s="214"/>
    </row>
    <row r="135" spans="1:26">
      <c r="A135" s="408" t="s">
        <v>2179</v>
      </c>
      <c r="B135" s="216"/>
      <c r="C135" s="216"/>
      <c r="D135" s="216"/>
      <c r="E135" s="216"/>
      <c r="F135" s="216"/>
      <c r="G135" s="216"/>
      <c r="H135" s="216"/>
      <c r="I135" s="216"/>
    </row>
    <row r="137" spans="1:26">
      <c r="A137" t="s">
        <v>1353</v>
      </c>
      <c r="B137" s="246">
        <f>'DivCon-DVP Alloc In'!C25</f>
        <v>22665.762188783203</v>
      </c>
      <c r="C137" s="252" t="s">
        <v>153</v>
      </c>
    </row>
    <row r="138" spans="1:26">
      <c r="A138" t="s">
        <v>548</v>
      </c>
      <c r="B138" s="246">
        <f>'DivCon-DVP Alloc In'!C26</f>
        <v>1733.930807441915</v>
      </c>
      <c r="C138" s="252" t="s">
        <v>153</v>
      </c>
    </row>
    <row r="139" spans="1:26">
      <c r="A139" s="226"/>
      <c r="B139" s="226"/>
      <c r="C139" s="226"/>
      <c r="D139" s="226"/>
    </row>
    <row r="141" spans="1:26">
      <c r="A141" t="s">
        <v>2486</v>
      </c>
      <c r="B141" s="246">
        <f>+'A-Team Summary'!$L$13</f>
        <v>3949.02</v>
      </c>
      <c r="C141" s="928" t="s">
        <v>153</v>
      </c>
      <c r="D141" s="1043"/>
      <c r="E141" s="787"/>
      <c r="F141" s="787"/>
    </row>
    <row r="144" spans="1:26">
      <c r="A144" s="226"/>
      <c r="B144" s="226"/>
      <c r="C144" s="226"/>
      <c r="D144" s="226"/>
    </row>
    <row r="145" spans="1:4">
      <c r="A145" s="417"/>
      <c r="B145" s="417"/>
      <c r="C145" s="417"/>
      <c r="D145" s="417"/>
    </row>
    <row r="146" spans="1:4" ht="35.25" customHeight="1">
      <c r="A146" s="417"/>
      <c r="B146" s="417"/>
      <c r="C146" s="417"/>
      <c r="D146" s="417"/>
    </row>
  </sheetData>
  <mergeCells count="4">
    <mergeCell ref="E27:F27"/>
    <mergeCell ref="H8:I8"/>
    <mergeCell ref="N5:Z5"/>
    <mergeCell ref="G76:J77"/>
  </mergeCells>
  <pageMargins left="0.45" right="0.45" top="0.5" bottom="0.5" header="0.05" footer="0.05"/>
  <pageSetup scale="59" orientation="landscape" r:id="rId1"/>
  <rowBreaks count="1" manualBreakCount="1">
    <brk id="58" max="25" man="1"/>
  </rowBreaks>
  <colBreaks count="1" manualBreakCount="1">
    <brk id="11" max="14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1"/>
  <sheetViews>
    <sheetView showGridLines="0" view="pageBreakPreview" zoomScale="115" zoomScaleNormal="100" zoomScaleSheetLayoutView="115" workbookViewId="0">
      <selection activeCell="G20" sqref="G20"/>
    </sheetView>
  </sheetViews>
  <sheetFormatPr defaultRowHeight="12"/>
  <cols>
    <col min="1" max="1" width="25.28515625" style="886" customWidth="1"/>
    <col min="2" max="2" width="13" style="886" customWidth="1"/>
    <col min="3" max="3" width="14.7109375" style="886" customWidth="1"/>
    <col min="4" max="4" width="11.7109375" style="886" customWidth="1"/>
    <col min="5" max="5" width="4.28515625" style="886" bestFit="1" customWidth="1"/>
    <col min="6" max="6" width="16.140625" style="886" customWidth="1"/>
    <col min="7" max="256" width="9.140625" style="886"/>
    <col min="257" max="257" width="19.140625" style="886" customWidth="1"/>
    <col min="258" max="258" width="13" style="886" customWidth="1"/>
    <col min="259" max="259" width="9.140625" style="886"/>
    <col min="260" max="260" width="11.7109375" style="886" customWidth="1"/>
    <col min="261" max="512" width="9.140625" style="886"/>
    <col min="513" max="513" width="19.140625" style="886" customWidth="1"/>
    <col min="514" max="514" width="13" style="886" customWidth="1"/>
    <col min="515" max="515" width="9.140625" style="886"/>
    <col min="516" max="516" width="11.7109375" style="886" customWidth="1"/>
    <col min="517" max="768" width="9.140625" style="886"/>
    <col min="769" max="769" width="19.140625" style="886" customWidth="1"/>
    <col min="770" max="770" width="13" style="886" customWidth="1"/>
    <col min="771" max="771" width="9.140625" style="886"/>
    <col min="772" max="772" width="11.7109375" style="886" customWidth="1"/>
    <col min="773" max="1024" width="9.140625" style="886"/>
    <col min="1025" max="1025" width="19.140625" style="886" customWidth="1"/>
    <col min="1026" max="1026" width="13" style="886" customWidth="1"/>
    <col min="1027" max="1027" width="9.140625" style="886"/>
    <col min="1028" max="1028" width="11.7109375" style="886" customWidth="1"/>
    <col min="1029" max="1280" width="9.140625" style="886"/>
    <col min="1281" max="1281" width="19.140625" style="886" customWidth="1"/>
    <col min="1282" max="1282" width="13" style="886" customWidth="1"/>
    <col min="1283" max="1283" width="9.140625" style="886"/>
    <col min="1284" max="1284" width="11.7109375" style="886" customWidth="1"/>
    <col min="1285" max="1536" width="9.140625" style="886"/>
    <col min="1537" max="1537" width="19.140625" style="886" customWidth="1"/>
    <col min="1538" max="1538" width="13" style="886" customWidth="1"/>
    <col min="1539" max="1539" width="9.140625" style="886"/>
    <col min="1540" max="1540" width="11.7109375" style="886" customWidth="1"/>
    <col min="1541" max="1792" width="9.140625" style="886"/>
    <col min="1793" max="1793" width="19.140625" style="886" customWidth="1"/>
    <col min="1794" max="1794" width="13" style="886" customWidth="1"/>
    <col min="1795" max="1795" width="9.140625" style="886"/>
    <col min="1796" max="1796" width="11.7109375" style="886" customWidth="1"/>
    <col min="1797" max="2048" width="9.140625" style="886"/>
    <col min="2049" max="2049" width="19.140625" style="886" customWidth="1"/>
    <col min="2050" max="2050" width="13" style="886" customWidth="1"/>
    <col min="2051" max="2051" width="9.140625" style="886"/>
    <col min="2052" max="2052" width="11.7109375" style="886" customWidth="1"/>
    <col min="2053" max="2304" width="9.140625" style="886"/>
    <col min="2305" max="2305" width="19.140625" style="886" customWidth="1"/>
    <col min="2306" max="2306" width="13" style="886" customWidth="1"/>
    <col min="2307" max="2307" width="9.140625" style="886"/>
    <col min="2308" max="2308" width="11.7109375" style="886" customWidth="1"/>
    <col min="2309" max="2560" width="9.140625" style="886"/>
    <col min="2561" max="2561" width="19.140625" style="886" customWidth="1"/>
    <col min="2562" max="2562" width="13" style="886" customWidth="1"/>
    <col min="2563" max="2563" width="9.140625" style="886"/>
    <col min="2564" max="2564" width="11.7109375" style="886" customWidth="1"/>
    <col min="2565" max="2816" width="9.140625" style="886"/>
    <col min="2817" max="2817" width="19.140625" style="886" customWidth="1"/>
    <col min="2818" max="2818" width="13" style="886" customWidth="1"/>
    <col min="2819" max="2819" width="9.140625" style="886"/>
    <col min="2820" max="2820" width="11.7109375" style="886" customWidth="1"/>
    <col min="2821" max="3072" width="9.140625" style="886"/>
    <col min="3073" max="3073" width="19.140625" style="886" customWidth="1"/>
    <col min="3074" max="3074" width="13" style="886" customWidth="1"/>
    <col min="3075" max="3075" width="9.140625" style="886"/>
    <col min="3076" max="3076" width="11.7109375" style="886" customWidth="1"/>
    <col min="3077" max="3328" width="9.140625" style="886"/>
    <col min="3329" max="3329" width="19.140625" style="886" customWidth="1"/>
    <col min="3330" max="3330" width="13" style="886" customWidth="1"/>
    <col min="3331" max="3331" width="9.140625" style="886"/>
    <col min="3332" max="3332" width="11.7109375" style="886" customWidth="1"/>
    <col min="3333" max="3584" width="9.140625" style="886"/>
    <col min="3585" max="3585" width="19.140625" style="886" customWidth="1"/>
    <col min="3586" max="3586" width="13" style="886" customWidth="1"/>
    <col min="3587" max="3587" width="9.140625" style="886"/>
    <col min="3588" max="3588" width="11.7109375" style="886" customWidth="1"/>
    <col min="3589" max="3840" width="9.140625" style="886"/>
    <col min="3841" max="3841" width="19.140625" style="886" customWidth="1"/>
    <col min="3842" max="3842" width="13" style="886" customWidth="1"/>
    <col min="3843" max="3843" width="9.140625" style="886"/>
    <col min="3844" max="3844" width="11.7109375" style="886" customWidth="1"/>
    <col min="3845" max="4096" width="9.140625" style="886"/>
    <col min="4097" max="4097" width="19.140625" style="886" customWidth="1"/>
    <col min="4098" max="4098" width="13" style="886" customWidth="1"/>
    <col min="4099" max="4099" width="9.140625" style="886"/>
    <col min="4100" max="4100" width="11.7109375" style="886" customWidth="1"/>
    <col min="4101" max="4352" width="9.140625" style="886"/>
    <col min="4353" max="4353" width="19.140625" style="886" customWidth="1"/>
    <col min="4354" max="4354" width="13" style="886" customWidth="1"/>
    <col min="4355" max="4355" width="9.140625" style="886"/>
    <col min="4356" max="4356" width="11.7109375" style="886" customWidth="1"/>
    <col min="4357" max="4608" width="9.140625" style="886"/>
    <col min="4609" max="4609" width="19.140625" style="886" customWidth="1"/>
    <col min="4610" max="4610" width="13" style="886" customWidth="1"/>
    <col min="4611" max="4611" width="9.140625" style="886"/>
    <col min="4612" max="4612" width="11.7109375" style="886" customWidth="1"/>
    <col min="4613" max="4864" width="9.140625" style="886"/>
    <col min="4865" max="4865" width="19.140625" style="886" customWidth="1"/>
    <col min="4866" max="4866" width="13" style="886" customWidth="1"/>
    <col min="4867" max="4867" width="9.140625" style="886"/>
    <col min="4868" max="4868" width="11.7109375" style="886" customWidth="1"/>
    <col min="4869" max="5120" width="9.140625" style="886"/>
    <col min="5121" max="5121" width="19.140625" style="886" customWidth="1"/>
    <col min="5122" max="5122" width="13" style="886" customWidth="1"/>
    <col min="5123" max="5123" width="9.140625" style="886"/>
    <col min="5124" max="5124" width="11.7109375" style="886" customWidth="1"/>
    <col min="5125" max="5376" width="9.140625" style="886"/>
    <col min="5377" max="5377" width="19.140625" style="886" customWidth="1"/>
    <col min="5378" max="5378" width="13" style="886" customWidth="1"/>
    <col min="5379" max="5379" width="9.140625" style="886"/>
    <col min="5380" max="5380" width="11.7109375" style="886" customWidth="1"/>
    <col min="5381" max="5632" width="9.140625" style="886"/>
    <col min="5633" max="5633" width="19.140625" style="886" customWidth="1"/>
    <col min="5634" max="5634" width="13" style="886" customWidth="1"/>
    <col min="5635" max="5635" width="9.140625" style="886"/>
    <col min="5636" max="5636" width="11.7109375" style="886" customWidth="1"/>
    <col min="5637" max="5888" width="9.140625" style="886"/>
    <col min="5889" max="5889" width="19.140625" style="886" customWidth="1"/>
    <col min="5890" max="5890" width="13" style="886" customWidth="1"/>
    <col min="5891" max="5891" width="9.140625" style="886"/>
    <col min="5892" max="5892" width="11.7109375" style="886" customWidth="1"/>
    <col min="5893" max="6144" width="9.140625" style="886"/>
    <col min="6145" max="6145" width="19.140625" style="886" customWidth="1"/>
    <col min="6146" max="6146" width="13" style="886" customWidth="1"/>
    <col min="6147" max="6147" width="9.140625" style="886"/>
    <col min="6148" max="6148" width="11.7109375" style="886" customWidth="1"/>
    <col min="6149" max="6400" width="9.140625" style="886"/>
    <col min="6401" max="6401" width="19.140625" style="886" customWidth="1"/>
    <col min="6402" max="6402" width="13" style="886" customWidth="1"/>
    <col min="6403" max="6403" width="9.140625" style="886"/>
    <col min="6404" max="6404" width="11.7109375" style="886" customWidth="1"/>
    <col min="6405" max="6656" width="9.140625" style="886"/>
    <col min="6657" max="6657" width="19.140625" style="886" customWidth="1"/>
    <col min="6658" max="6658" width="13" style="886" customWidth="1"/>
    <col min="6659" max="6659" width="9.140625" style="886"/>
    <col min="6660" max="6660" width="11.7109375" style="886" customWidth="1"/>
    <col min="6661" max="6912" width="9.140625" style="886"/>
    <col min="6913" max="6913" width="19.140625" style="886" customWidth="1"/>
    <col min="6914" max="6914" width="13" style="886" customWidth="1"/>
    <col min="6915" max="6915" width="9.140625" style="886"/>
    <col min="6916" max="6916" width="11.7109375" style="886" customWidth="1"/>
    <col min="6917" max="7168" width="9.140625" style="886"/>
    <col min="7169" max="7169" width="19.140625" style="886" customWidth="1"/>
    <col min="7170" max="7170" width="13" style="886" customWidth="1"/>
    <col min="7171" max="7171" width="9.140625" style="886"/>
    <col min="7172" max="7172" width="11.7109375" style="886" customWidth="1"/>
    <col min="7173" max="7424" width="9.140625" style="886"/>
    <col min="7425" max="7425" width="19.140625" style="886" customWidth="1"/>
    <col min="7426" max="7426" width="13" style="886" customWidth="1"/>
    <col min="7427" max="7427" width="9.140625" style="886"/>
    <col min="7428" max="7428" width="11.7109375" style="886" customWidth="1"/>
    <col min="7429" max="7680" width="9.140625" style="886"/>
    <col min="7681" max="7681" width="19.140625" style="886" customWidth="1"/>
    <col min="7682" max="7682" width="13" style="886" customWidth="1"/>
    <col min="7683" max="7683" width="9.140625" style="886"/>
    <col min="7684" max="7684" width="11.7109375" style="886" customWidth="1"/>
    <col min="7685" max="7936" width="9.140625" style="886"/>
    <col min="7937" max="7937" width="19.140625" style="886" customWidth="1"/>
    <col min="7938" max="7938" width="13" style="886" customWidth="1"/>
    <col min="7939" max="7939" width="9.140625" style="886"/>
    <col min="7940" max="7940" width="11.7109375" style="886" customWidth="1"/>
    <col min="7941" max="8192" width="9.140625" style="886"/>
    <col min="8193" max="8193" width="19.140625" style="886" customWidth="1"/>
    <col min="8194" max="8194" width="13" style="886" customWidth="1"/>
    <col min="8195" max="8195" width="9.140625" style="886"/>
    <col min="8196" max="8196" width="11.7109375" style="886" customWidth="1"/>
    <col min="8197" max="8448" width="9.140625" style="886"/>
    <col min="8449" max="8449" width="19.140625" style="886" customWidth="1"/>
    <col min="8450" max="8450" width="13" style="886" customWidth="1"/>
    <col min="8451" max="8451" width="9.140625" style="886"/>
    <col min="8452" max="8452" width="11.7109375" style="886" customWidth="1"/>
    <col min="8453" max="8704" width="9.140625" style="886"/>
    <col min="8705" max="8705" width="19.140625" style="886" customWidth="1"/>
    <col min="8706" max="8706" width="13" style="886" customWidth="1"/>
    <col min="8707" max="8707" width="9.140625" style="886"/>
    <col min="8708" max="8708" width="11.7109375" style="886" customWidth="1"/>
    <col min="8709" max="8960" width="9.140625" style="886"/>
    <col min="8961" max="8961" width="19.140625" style="886" customWidth="1"/>
    <col min="8962" max="8962" width="13" style="886" customWidth="1"/>
    <col min="8963" max="8963" width="9.140625" style="886"/>
    <col min="8964" max="8964" width="11.7109375" style="886" customWidth="1"/>
    <col min="8965" max="9216" width="9.140625" style="886"/>
    <col min="9217" max="9217" width="19.140625" style="886" customWidth="1"/>
    <col min="9218" max="9218" width="13" style="886" customWidth="1"/>
    <col min="9219" max="9219" width="9.140625" style="886"/>
    <col min="9220" max="9220" width="11.7109375" style="886" customWidth="1"/>
    <col min="9221" max="9472" width="9.140625" style="886"/>
    <col min="9473" max="9473" width="19.140625" style="886" customWidth="1"/>
    <col min="9474" max="9474" width="13" style="886" customWidth="1"/>
    <col min="9475" max="9475" width="9.140625" style="886"/>
    <col min="9476" max="9476" width="11.7109375" style="886" customWidth="1"/>
    <col min="9477" max="9728" width="9.140625" style="886"/>
    <col min="9729" max="9729" width="19.140625" style="886" customWidth="1"/>
    <col min="9730" max="9730" width="13" style="886" customWidth="1"/>
    <col min="9731" max="9731" width="9.140625" style="886"/>
    <col min="9732" max="9732" width="11.7109375" style="886" customWidth="1"/>
    <col min="9733" max="9984" width="9.140625" style="886"/>
    <col min="9985" max="9985" width="19.140625" style="886" customWidth="1"/>
    <col min="9986" max="9986" width="13" style="886" customWidth="1"/>
    <col min="9987" max="9987" width="9.140625" style="886"/>
    <col min="9988" max="9988" width="11.7109375" style="886" customWidth="1"/>
    <col min="9989" max="10240" width="9.140625" style="886"/>
    <col min="10241" max="10241" width="19.140625" style="886" customWidth="1"/>
    <col min="10242" max="10242" width="13" style="886" customWidth="1"/>
    <col min="10243" max="10243" width="9.140625" style="886"/>
    <col min="10244" max="10244" width="11.7109375" style="886" customWidth="1"/>
    <col min="10245" max="10496" width="9.140625" style="886"/>
    <col min="10497" max="10497" width="19.140625" style="886" customWidth="1"/>
    <col min="10498" max="10498" width="13" style="886" customWidth="1"/>
    <col min="10499" max="10499" width="9.140625" style="886"/>
    <col min="10500" max="10500" width="11.7109375" style="886" customWidth="1"/>
    <col min="10501" max="10752" width="9.140625" style="886"/>
    <col min="10753" max="10753" width="19.140625" style="886" customWidth="1"/>
    <col min="10754" max="10754" width="13" style="886" customWidth="1"/>
    <col min="10755" max="10755" width="9.140625" style="886"/>
    <col min="10756" max="10756" width="11.7109375" style="886" customWidth="1"/>
    <col min="10757" max="11008" width="9.140625" style="886"/>
    <col min="11009" max="11009" width="19.140625" style="886" customWidth="1"/>
    <col min="11010" max="11010" width="13" style="886" customWidth="1"/>
    <col min="11011" max="11011" width="9.140625" style="886"/>
    <col min="11012" max="11012" width="11.7109375" style="886" customWidth="1"/>
    <col min="11013" max="11264" width="9.140625" style="886"/>
    <col min="11265" max="11265" width="19.140625" style="886" customWidth="1"/>
    <col min="11266" max="11266" width="13" style="886" customWidth="1"/>
    <col min="11267" max="11267" width="9.140625" style="886"/>
    <col min="11268" max="11268" width="11.7109375" style="886" customWidth="1"/>
    <col min="11269" max="11520" width="9.140625" style="886"/>
    <col min="11521" max="11521" width="19.140625" style="886" customWidth="1"/>
    <col min="11522" max="11522" width="13" style="886" customWidth="1"/>
    <col min="11523" max="11523" width="9.140625" style="886"/>
    <col min="11524" max="11524" width="11.7109375" style="886" customWidth="1"/>
    <col min="11525" max="11776" width="9.140625" style="886"/>
    <col min="11777" max="11777" width="19.140625" style="886" customWidth="1"/>
    <col min="11778" max="11778" width="13" style="886" customWidth="1"/>
    <col min="11779" max="11779" width="9.140625" style="886"/>
    <col min="11780" max="11780" width="11.7109375" style="886" customWidth="1"/>
    <col min="11781" max="12032" width="9.140625" style="886"/>
    <col min="12033" max="12033" width="19.140625" style="886" customWidth="1"/>
    <col min="12034" max="12034" width="13" style="886" customWidth="1"/>
    <col min="12035" max="12035" width="9.140625" style="886"/>
    <col min="12036" max="12036" width="11.7109375" style="886" customWidth="1"/>
    <col min="12037" max="12288" width="9.140625" style="886"/>
    <col min="12289" max="12289" width="19.140625" style="886" customWidth="1"/>
    <col min="12290" max="12290" width="13" style="886" customWidth="1"/>
    <col min="12291" max="12291" width="9.140625" style="886"/>
    <col min="12292" max="12292" width="11.7109375" style="886" customWidth="1"/>
    <col min="12293" max="12544" width="9.140625" style="886"/>
    <col min="12545" max="12545" width="19.140625" style="886" customWidth="1"/>
    <col min="12546" max="12546" width="13" style="886" customWidth="1"/>
    <col min="12547" max="12547" width="9.140625" style="886"/>
    <col min="12548" max="12548" width="11.7109375" style="886" customWidth="1"/>
    <col min="12549" max="12800" width="9.140625" style="886"/>
    <col min="12801" max="12801" width="19.140625" style="886" customWidth="1"/>
    <col min="12802" max="12802" width="13" style="886" customWidth="1"/>
    <col min="12803" max="12803" width="9.140625" style="886"/>
    <col min="12804" max="12804" width="11.7109375" style="886" customWidth="1"/>
    <col min="12805" max="13056" width="9.140625" style="886"/>
    <col min="13057" max="13057" width="19.140625" style="886" customWidth="1"/>
    <col min="13058" max="13058" width="13" style="886" customWidth="1"/>
    <col min="13059" max="13059" width="9.140625" style="886"/>
    <col min="13060" max="13060" width="11.7109375" style="886" customWidth="1"/>
    <col min="13061" max="13312" width="9.140625" style="886"/>
    <col min="13313" max="13313" width="19.140625" style="886" customWidth="1"/>
    <col min="13314" max="13314" width="13" style="886" customWidth="1"/>
    <col min="13315" max="13315" width="9.140625" style="886"/>
    <col min="13316" max="13316" width="11.7109375" style="886" customWidth="1"/>
    <col min="13317" max="13568" width="9.140625" style="886"/>
    <col min="13569" max="13569" width="19.140625" style="886" customWidth="1"/>
    <col min="13570" max="13570" width="13" style="886" customWidth="1"/>
    <col min="13571" max="13571" width="9.140625" style="886"/>
    <col min="13572" max="13572" width="11.7109375" style="886" customWidth="1"/>
    <col min="13573" max="13824" width="9.140625" style="886"/>
    <col min="13825" max="13825" width="19.140625" style="886" customWidth="1"/>
    <col min="13826" max="13826" width="13" style="886" customWidth="1"/>
    <col min="13827" max="13827" width="9.140625" style="886"/>
    <col min="13828" max="13828" width="11.7109375" style="886" customWidth="1"/>
    <col min="13829" max="14080" width="9.140625" style="886"/>
    <col min="14081" max="14081" width="19.140625" style="886" customWidth="1"/>
    <col min="14082" max="14082" width="13" style="886" customWidth="1"/>
    <col min="14083" max="14083" width="9.140625" style="886"/>
    <col min="14084" max="14084" width="11.7109375" style="886" customWidth="1"/>
    <col min="14085" max="14336" width="9.140625" style="886"/>
    <col min="14337" max="14337" width="19.140625" style="886" customWidth="1"/>
    <col min="14338" max="14338" width="13" style="886" customWidth="1"/>
    <col min="14339" max="14339" width="9.140625" style="886"/>
    <col min="14340" max="14340" width="11.7109375" style="886" customWidth="1"/>
    <col min="14341" max="14592" width="9.140625" style="886"/>
    <col min="14593" max="14593" width="19.140625" style="886" customWidth="1"/>
    <col min="14594" max="14594" width="13" style="886" customWidth="1"/>
    <col min="14595" max="14595" width="9.140625" style="886"/>
    <col min="14596" max="14596" width="11.7109375" style="886" customWidth="1"/>
    <col min="14597" max="14848" width="9.140625" style="886"/>
    <col min="14849" max="14849" width="19.140625" style="886" customWidth="1"/>
    <col min="14850" max="14850" width="13" style="886" customWidth="1"/>
    <col min="14851" max="14851" width="9.140625" style="886"/>
    <col min="14852" max="14852" width="11.7109375" style="886" customWidth="1"/>
    <col min="14853" max="15104" width="9.140625" style="886"/>
    <col min="15105" max="15105" width="19.140625" style="886" customWidth="1"/>
    <col min="15106" max="15106" width="13" style="886" customWidth="1"/>
    <col min="15107" max="15107" width="9.140625" style="886"/>
    <col min="15108" max="15108" width="11.7109375" style="886" customWidth="1"/>
    <col min="15109" max="15360" width="9.140625" style="886"/>
    <col min="15361" max="15361" width="19.140625" style="886" customWidth="1"/>
    <col min="15362" max="15362" width="13" style="886" customWidth="1"/>
    <col min="15363" max="15363" width="9.140625" style="886"/>
    <col min="15364" max="15364" width="11.7109375" style="886" customWidth="1"/>
    <col min="15365" max="15616" width="9.140625" style="886"/>
    <col min="15617" max="15617" width="19.140625" style="886" customWidth="1"/>
    <col min="15618" max="15618" width="13" style="886" customWidth="1"/>
    <col min="15619" max="15619" width="9.140625" style="886"/>
    <col min="15620" max="15620" width="11.7109375" style="886" customWidth="1"/>
    <col min="15621" max="15872" width="9.140625" style="886"/>
    <col min="15873" max="15873" width="19.140625" style="886" customWidth="1"/>
    <col min="15874" max="15874" width="13" style="886" customWidth="1"/>
    <col min="15875" max="15875" width="9.140625" style="886"/>
    <col min="15876" max="15876" width="11.7109375" style="886" customWidth="1"/>
    <col min="15877" max="16128" width="9.140625" style="886"/>
    <col min="16129" max="16129" width="19.140625" style="886" customWidth="1"/>
    <col min="16130" max="16130" width="13" style="886" customWidth="1"/>
    <col min="16131" max="16131" width="9.140625" style="886"/>
    <col min="16132" max="16132" width="11.7109375" style="886" customWidth="1"/>
    <col min="16133" max="16384" width="9.140625" style="886"/>
  </cols>
  <sheetData>
    <row r="1" spans="1:7" ht="12.75">
      <c r="A1" s="919" t="s">
        <v>494</v>
      </c>
    </row>
    <row r="2" spans="1:7" ht="12.75">
      <c r="A2" s="920" t="str">
        <f>'Yakima Consolidated IS'!A1</f>
        <v>Yakima Waste Systems, Inc G-89</v>
      </c>
    </row>
    <row r="3" spans="1:7" ht="12.75">
      <c r="A3" s="920" t="str">
        <f>'Yakima Consolidated IS'!A3</f>
        <v>Test Period Ending 6-30-2017</v>
      </c>
    </row>
    <row r="5" spans="1:7">
      <c r="A5" s="888" t="s">
        <v>2181</v>
      </c>
      <c r="B5" s="889"/>
      <c r="C5" s="889"/>
      <c r="D5" s="889"/>
      <c r="E5" s="889"/>
      <c r="F5" s="889"/>
      <c r="G5" s="889"/>
    </row>
    <row r="6" spans="1:7">
      <c r="A6" s="921" t="s">
        <v>2182</v>
      </c>
      <c r="B6" s="890"/>
      <c r="C6" s="890"/>
      <c r="D6" s="890"/>
      <c r="E6" s="890"/>
      <c r="F6" s="890"/>
      <c r="G6" s="890"/>
    </row>
    <row r="7" spans="1:7">
      <c r="A7" s="891" t="s">
        <v>2183</v>
      </c>
      <c r="B7" s="892"/>
      <c r="C7" s="892"/>
      <c r="D7" s="893"/>
      <c r="E7" s="893"/>
      <c r="F7" s="893"/>
      <c r="G7" s="893"/>
    </row>
    <row r="8" spans="1:7">
      <c r="A8" s="894" t="s">
        <v>2184</v>
      </c>
      <c r="B8" s="1241">
        <f>'Yakima Payroll'!AD64</f>
        <v>39497.889248855761</v>
      </c>
      <c r="C8" s="896"/>
    </row>
    <row r="9" spans="1:7">
      <c r="A9" s="894" t="s">
        <v>205</v>
      </c>
      <c r="B9" s="1241">
        <f>'Yakima Payroll'!AD106</f>
        <v>1008.8245738849315</v>
      </c>
      <c r="C9" s="896"/>
    </row>
    <row r="10" spans="1:7">
      <c r="A10" s="894" t="s">
        <v>2185</v>
      </c>
      <c r="B10" s="1241">
        <f>'Yakima Payroll'!AD80</f>
        <v>25888.809985913063</v>
      </c>
      <c r="C10" s="896"/>
    </row>
    <row r="11" spans="1:7">
      <c r="A11" s="894" t="s">
        <v>2186</v>
      </c>
      <c r="B11" s="1241">
        <f>'Yakima Payroll'!AD112</f>
        <v>2492.6463955739723</v>
      </c>
      <c r="C11" s="896"/>
    </row>
    <row r="12" spans="1:7">
      <c r="A12" s="894" t="s">
        <v>1495</v>
      </c>
      <c r="B12" s="1241">
        <f>'Yakima Payroll'!AD100</f>
        <v>8873.7295636445724</v>
      </c>
      <c r="C12" s="896"/>
    </row>
    <row r="13" spans="1:7">
      <c r="A13" s="894"/>
      <c r="B13" s="895"/>
      <c r="C13" s="896"/>
    </row>
    <row r="14" spans="1:7">
      <c r="A14" s="894" t="s">
        <v>34</v>
      </c>
      <c r="B14" s="897">
        <f>SUM(B8:B12)</f>
        <v>77761.89976787231</v>
      </c>
      <c r="C14" s="896" t="s">
        <v>2182</v>
      </c>
    </row>
    <row r="15" spans="1:7">
      <c r="A15" s="894"/>
      <c r="B15" s="895"/>
      <c r="C15" s="895"/>
    </row>
    <row r="16" spans="1:7">
      <c r="A16" s="891" t="s">
        <v>2187</v>
      </c>
      <c r="B16" s="892"/>
      <c r="C16" s="892"/>
      <c r="D16" s="898"/>
      <c r="E16" s="898"/>
      <c r="F16" s="898"/>
      <c r="G16" s="898"/>
    </row>
    <row r="17" spans="1:7">
      <c r="A17" s="894" t="s">
        <v>2184</v>
      </c>
      <c r="B17" s="895">
        <f>B8*0.0765</f>
        <v>3021.5885275374658</v>
      </c>
      <c r="C17" s="895"/>
    </row>
    <row r="18" spans="1:7">
      <c r="A18" s="894" t="s">
        <v>205</v>
      </c>
      <c r="B18" s="895">
        <f>B9*0.0765</f>
        <v>77.175079902197254</v>
      </c>
      <c r="C18" s="895"/>
    </row>
    <row r="19" spans="1:7">
      <c r="A19" s="894" t="s">
        <v>2185</v>
      </c>
      <c r="B19" s="895">
        <f>B10*0.0765</f>
        <v>1980.4939639223494</v>
      </c>
      <c r="C19" s="895"/>
    </row>
    <row r="20" spans="1:7">
      <c r="A20" s="894" t="s">
        <v>2186</v>
      </c>
      <c r="B20" s="895">
        <f>B11*0.0765</f>
        <v>190.68744926140889</v>
      </c>
      <c r="C20" s="895"/>
    </row>
    <row r="21" spans="1:7">
      <c r="A21" s="894" t="s">
        <v>1495</v>
      </c>
      <c r="B21" s="895">
        <f>B12*0.0765</f>
        <v>678.84031161880978</v>
      </c>
      <c r="C21" s="895"/>
    </row>
    <row r="22" spans="1:7">
      <c r="A22" s="894"/>
      <c r="B22" s="895"/>
      <c r="C22" s="895"/>
    </row>
    <row r="23" spans="1:7">
      <c r="A23" s="894" t="s">
        <v>34</v>
      </c>
      <c r="B23" s="897">
        <f>SUM(B17:B21)</f>
        <v>5948.7853322422316</v>
      </c>
      <c r="C23" s="980" t="s">
        <v>2182</v>
      </c>
    </row>
    <row r="24" spans="1:7" ht="13.5" customHeight="1">
      <c r="A24" s="894"/>
      <c r="B24" s="899"/>
      <c r="C24" s="896"/>
    </row>
    <row r="25" spans="1:7">
      <c r="A25" s="894"/>
      <c r="B25" s="899"/>
      <c r="C25" s="896"/>
    </row>
    <row r="26" spans="1:7" ht="12.75" thickBot="1">
      <c r="A26" s="901" t="s">
        <v>2188</v>
      </c>
      <c r="B26" s="902">
        <f>B14+B23</f>
        <v>83710.685100114541</v>
      </c>
      <c r="C26" s="980" t="s">
        <v>2182</v>
      </c>
    </row>
    <row r="27" spans="1:7" ht="12.75" thickTop="1">
      <c r="A27" s="887"/>
    </row>
    <row r="28" spans="1:7">
      <c r="A28" s="903" t="s">
        <v>2189</v>
      </c>
      <c r="B28" s="889"/>
      <c r="C28" s="889"/>
      <c r="D28" s="889"/>
      <c r="E28" s="889"/>
      <c r="F28" s="889"/>
      <c r="G28" s="889"/>
    </row>
    <row r="29" spans="1:7">
      <c r="A29" s="904" t="s">
        <v>2190</v>
      </c>
      <c r="B29" s="890"/>
      <c r="C29" s="890"/>
      <c r="D29" s="890"/>
      <c r="E29" s="890"/>
      <c r="F29" s="890"/>
      <c r="G29" s="890"/>
    </row>
    <row r="30" spans="1:7">
      <c r="A30" s="905"/>
      <c r="B30" s="925" t="s">
        <v>2191</v>
      </c>
      <c r="C30" s="925" t="s">
        <v>2192</v>
      </c>
      <c r="D30" s="925" t="s">
        <v>2193</v>
      </c>
      <c r="E30" s="905"/>
      <c r="F30" s="905"/>
      <c r="G30" s="905"/>
    </row>
    <row r="31" spans="1:7">
      <c r="A31" s="886" t="s">
        <v>2194</v>
      </c>
      <c r="B31" s="906">
        <f>Ratios!C10</f>
        <v>11707.904196665637</v>
      </c>
    </row>
    <row r="32" spans="1:7">
      <c r="A32" s="886" t="s">
        <v>2195</v>
      </c>
      <c r="B32" s="906">
        <f>Ratios!C11</f>
        <v>8371.7104289380623</v>
      </c>
      <c r="D32" s="906"/>
    </row>
    <row r="33" spans="1:7">
      <c r="A33" s="886" t="s">
        <v>1465</v>
      </c>
      <c r="B33" s="906">
        <f>Ratios!C13</f>
        <v>374</v>
      </c>
      <c r="C33" s="926">
        <v>0.6</v>
      </c>
      <c r="D33" s="923">
        <f>SUM(B31:B33)*C33</f>
        <v>12272.168775362219</v>
      </c>
    </row>
    <row r="34" spans="1:7">
      <c r="B34" s="906"/>
      <c r="D34" s="906"/>
    </row>
    <row r="35" spans="1:7" ht="12.75" thickBot="1">
      <c r="C35" s="922" t="s">
        <v>2199</v>
      </c>
      <c r="D35" s="924">
        <f>D33/2</f>
        <v>6136.0843876811095</v>
      </c>
      <c r="E35" s="980" t="s">
        <v>2190</v>
      </c>
      <c r="F35" s="980"/>
    </row>
    <row r="36" spans="1:7" ht="12.75" thickTop="1">
      <c r="D36" s="908"/>
      <c r="E36" s="907"/>
    </row>
    <row r="37" spans="1:7">
      <c r="A37" s="900"/>
      <c r="B37" s="894"/>
      <c r="C37" s="894"/>
      <c r="D37" s="894"/>
      <c r="E37" s="927">
        <f>SUM(B31:B32)/SUM(B31:B33)</f>
        <v>0.98171472344395161</v>
      </c>
      <c r="F37" s="886" t="s">
        <v>2200</v>
      </c>
    </row>
    <row r="38" spans="1:7">
      <c r="A38" s="910" t="s">
        <v>2198</v>
      </c>
      <c r="B38" s="910"/>
      <c r="C38" s="910"/>
      <c r="D38" s="910"/>
      <c r="E38" s="910"/>
      <c r="F38" s="911"/>
      <c r="G38" s="911"/>
    </row>
    <row r="39" spans="1:7">
      <c r="A39" s="904" t="s">
        <v>2196</v>
      </c>
      <c r="B39" s="890"/>
      <c r="C39" s="890"/>
      <c r="D39" s="890"/>
      <c r="E39" s="890"/>
      <c r="F39" s="890"/>
      <c r="G39" s="890"/>
    </row>
    <row r="40" spans="1:7" ht="12" customHeight="1">
      <c r="A40" s="1426" t="s">
        <v>2287</v>
      </c>
      <c r="B40" s="1426"/>
      <c r="C40" s="1426"/>
      <c r="D40" s="1426"/>
      <c r="E40" s="1426"/>
      <c r="F40" s="1426"/>
      <c r="G40" s="1426"/>
    </row>
    <row r="41" spans="1:7">
      <c r="A41" s="887"/>
    </row>
    <row r="42" spans="1:7" ht="12.75" thickBot="1">
      <c r="A42" s="887" t="s">
        <v>2197</v>
      </c>
      <c r="B42" s="973">
        <f>+'Fuel Schedule'!B39</f>
        <v>2349.7995013614564</v>
      </c>
      <c r="C42" s="980" t="s">
        <v>2196</v>
      </c>
    </row>
    <row r="43" spans="1:7" ht="12.75" thickTop="1">
      <c r="B43" s="906"/>
    </row>
    <row r="45" spans="1:7">
      <c r="A45" s="910" t="s">
        <v>2291</v>
      </c>
      <c r="B45" s="910"/>
      <c r="C45" s="910"/>
      <c r="D45" s="910"/>
      <c r="E45" s="910"/>
      <c r="F45" s="911"/>
      <c r="G45" s="911"/>
    </row>
    <row r="46" spans="1:7">
      <c r="A46" s="904" t="s">
        <v>2292</v>
      </c>
      <c r="B46" s="890"/>
      <c r="C46" s="890"/>
      <c r="D46" s="890"/>
      <c r="E46" s="890"/>
      <c r="F46" s="890"/>
      <c r="G46" s="890"/>
    </row>
    <row r="47" spans="1:7">
      <c r="A47" s="976"/>
      <c r="B47" s="976"/>
      <c r="C47" s="976"/>
      <c r="D47" s="976"/>
    </row>
    <row r="48" spans="1:7">
      <c r="A48" s="977" t="s">
        <v>2289</v>
      </c>
      <c r="B48" s="978">
        <v>28850</v>
      </c>
      <c r="C48" s="976"/>
      <c r="D48" s="976"/>
    </row>
    <row r="49" spans="1:7">
      <c r="A49" s="977" t="s">
        <v>2290</v>
      </c>
      <c r="B49" s="979">
        <f>B48/3</f>
        <v>9616.6666666666661</v>
      </c>
      <c r="C49" s="980" t="s">
        <v>2292</v>
      </c>
      <c r="D49" s="976"/>
    </row>
    <row r="50" spans="1:7">
      <c r="A50" s="976"/>
      <c r="B50" s="976"/>
      <c r="C50" s="976"/>
      <c r="D50" s="976"/>
      <c r="E50" s="906"/>
    </row>
    <row r="51" spans="1:7" ht="54.75" customHeight="1">
      <c r="A51" s="1427" t="s">
        <v>2552</v>
      </c>
      <c r="B51" s="1427"/>
      <c r="C51" s="1427"/>
      <c r="D51" s="1427"/>
      <c r="E51" s="1427"/>
      <c r="F51" s="1427"/>
      <c r="G51" s="1427"/>
    </row>
    <row r="52" spans="1:7">
      <c r="A52" s="906"/>
      <c r="B52" s="913"/>
      <c r="C52" s="906"/>
      <c r="E52" s="906"/>
    </row>
    <row r="53" spans="1:7">
      <c r="A53" s="906"/>
      <c r="B53" s="913"/>
      <c r="C53" s="906"/>
      <c r="E53" s="906"/>
    </row>
    <row r="54" spans="1:7">
      <c r="A54" s="906"/>
      <c r="B54" s="913"/>
      <c r="C54" s="914"/>
      <c r="E54" s="906"/>
    </row>
    <row r="55" spans="1:7">
      <c r="A55" s="887"/>
      <c r="B55" s="912"/>
      <c r="C55" s="915"/>
    </row>
    <row r="56" spans="1:7">
      <c r="A56" s="914"/>
      <c r="B56" s="912"/>
      <c r="C56" s="916"/>
    </row>
    <row r="57" spans="1:7">
      <c r="A57" s="914"/>
      <c r="B57" s="912"/>
      <c r="C57" s="916"/>
    </row>
    <row r="58" spans="1:7">
      <c r="A58" s="914"/>
      <c r="B58" s="912"/>
      <c r="C58" s="916"/>
    </row>
    <row r="59" spans="1:7">
      <c r="A59" s="859"/>
      <c r="B59" s="912"/>
      <c r="C59" s="916"/>
    </row>
    <row r="60" spans="1:7">
      <c r="A60" s="914"/>
      <c r="B60" s="912"/>
      <c r="C60" s="916"/>
    </row>
    <row r="61" spans="1:7">
      <c r="A61" s="914"/>
      <c r="B61" s="912"/>
      <c r="C61" s="916"/>
    </row>
    <row r="62" spans="1:7">
      <c r="A62" s="887"/>
      <c r="B62" s="912"/>
      <c r="C62" s="915"/>
    </row>
    <row r="63" spans="1:7">
      <c r="A63" s="887"/>
      <c r="B63" s="912"/>
      <c r="C63" s="916"/>
      <c r="E63" s="909"/>
    </row>
    <row r="64" spans="1:7">
      <c r="A64" s="887"/>
      <c r="B64" s="912"/>
      <c r="C64" s="916"/>
    </row>
    <row r="65" spans="1:5">
      <c r="A65" s="887"/>
      <c r="B65" s="912"/>
      <c r="C65" s="916"/>
      <c r="E65" s="917"/>
    </row>
    <row r="66" spans="1:5">
      <c r="A66" s="887"/>
      <c r="B66" s="912"/>
      <c r="C66" s="916"/>
      <c r="E66" s="917"/>
    </row>
    <row r="67" spans="1:5">
      <c r="A67" s="887"/>
      <c r="B67" s="912"/>
      <c r="C67" s="916"/>
      <c r="E67" s="917"/>
    </row>
    <row r="68" spans="1:5">
      <c r="A68" s="887"/>
      <c r="B68" s="912"/>
      <c r="C68" s="916"/>
      <c r="E68" s="917"/>
    </row>
    <row r="69" spans="1:5">
      <c r="A69" s="887"/>
      <c r="B69" s="912"/>
      <c r="C69" s="918"/>
      <c r="D69" s="907"/>
      <c r="E69" s="917"/>
    </row>
    <row r="71" spans="1:5">
      <c r="A71" s="894"/>
      <c r="B71" s="894"/>
      <c r="C71" s="894"/>
      <c r="D71" s="894"/>
      <c r="E71" s="894"/>
    </row>
  </sheetData>
  <mergeCells count="2">
    <mergeCell ref="A40:G40"/>
    <mergeCell ref="A51:G51"/>
  </mergeCells>
  <pageMargins left="0.75" right="0.75" top="1" bottom="1" header="0.5" footer="0.5"/>
  <pageSetup scale="94"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9"/>
  <sheetViews>
    <sheetView view="pageBreakPreview" zoomScale="85" zoomScaleNormal="115" zoomScaleSheetLayoutView="85" workbookViewId="0">
      <selection activeCell="G20" sqref="G20"/>
    </sheetView>
  </sheetViews>
  <sheetFormatPr defaultRowHeight="11.25"/>
  <cols>
    <col min="1" max="1" width="2.140625" style="458" customWidth="1"/>
    <col min="2" max="2" width="5" style="458" customWidth="1"/>
    <col min="3" max="3" width="16.85546875" style="458" bestFit="1" customWidth="1"/>
    <col min="4" max="4" width="3.28515625" style="458" customWidth="1"/>
    <col min="5" max="5" width="11.7109375" style="458" bestFit="1" customWidth="1"/>
    <col min="6" max="6" width="9.28515625" style="458" bestFit="1" customWidth="1"/>
    <col min="7" max="7" width="6.7109375" style="458" customWidth="1"/>
    <col min="8" max="8" width="7.42578125" style="458" bestFit="1" customWidth="1"/>
    <col min="9" max="9" width="4" style="458" bestFit="1" customWidth="1"/>
    <col min="10" max="10" width="5.42578125" style="458" bestFit="1" customWidth="1"/>
    <col min="11" max="11" width="7.5703125" style="458" bestFit="1" customWidth="1"/>
    <col min="12" max="13" width="1.85546875" style="458" customWidth="1"/>
    <col min="14" max="14" width="10.7109375" style="458" bestFit="1" customWidth="1"/>
    <col min="15" max="15" width="11.140625" style="458" bestFit="1" customWidth="1"/>
    <col min="16" max="16" width="1.7109375" style="458" customWidth="1"/>
    <col min="17" max="19" width="9.140625" style="458"/>
    <col min="20" max="20" width="1.7109375" style="458" customWidth="1"/>
    <col min="21" max="21" width="12.42578125" style="458" customWidth="1"/>
    <col min="22" max="22" width="10.85546875" style="458" bestFit="1" customWidth="1"/>
    <col min="23" max="23" width="6.42578125" style="458" bestFit="1" customWidth="1"/>
    <col min="24" max="24" width="7.140625" style="458" bestFit="1" customWidth="1"/>
    <col min="25" max="25" width="5.42578125" style="458" bestFit="1" customWidth="1"/>
    <col min="26" max="26" width="5" style="458" bestFit="1" customWidth="1"/>
    <col min="27" max="27" width="7.28515625" style="458" bestFit="1" customWidth="1"/>
    <col min="28" max="28" width="10.42578125" style="458" bestFit="1" customWidth="1"/>
    <col min="29" max="29" width="6.42578125" style="458" bestFit="1" customWidth="1"/>
    <col min="30" max="30" width="9.28515625" style="458" bestFit="1" customWidth="1"/>
    <col min="31" max="31" width="7.42578125" style="458" bestFit="1" customWidth="1"/>
    <col min="32" max="32" width="9.28515625" style="458" bestFit="1" customWidth="1"/>
    <col min="33" max="33" width="2.140625" style="458" customWidth="1"/>
    <col min="34" max="34" width="2.7109375" style="458" customWidth="1"/>
    <col min="35" max="35" width="12.5703125" style="458" bestFit="1" customWidth="1"/>
    <col min="36" max="44" width="9.28515625" style="458" bestFit="1" customWidth="1"/>
    <col min="45" max="256" width="9.140625" style="458"/>
    <col min="257" max="257" width="2.140625" style="458" customWidth="1"/>
    <col min="258" max="260" width="9.140625" style="458"/>
    <col min="261" max="261" width="11.7109375" style="458" bestFit="1" customWidth="1"/>
    <col min="262" max="262" width="9.28515625" style="458" bestFit="1" customWidth="1"/>
    <col min="263" max="263" width="9.140625" style="458"/>
    <col min="264" max="264" width="9.28515625" style="458" bestFit="1" customWidth="1"/>
    <col min="265" max="265" width="9.140625" style="458"/>
    <col min="266" max="266" width="9.28515625" style="458" bestFit="1" customWidth="1"/>
    <col min="267" max="267" width="10" style="458" bestFit="1" customWidth="1"/>
    <col min="268" max="276" width="9.140625" style="458"/>
    <col min="277" max="277" width="12.42578125" style="458" customWidth="1"/>
    <col min="278" max="285" width="9.28515625" style="458" bestFit="1" customWidth="1"/>
    <col min="286" max="286" width="9.85546875" style="458" bestFit="1" customWidth="1"/>
    <col min="287" max="291" width="9.140625" style="458"/>
    <col min="292" max="292" width="11" style="458" customWidth="1"/>
    <col min="293" max="294" width="11.28515625" style="458" customWidth="1"/>
    <col min="295" max="295" width="11.5703125" style="458" customWidth="1"/>
    <col min="296" max="296" width="11.28515625" style="458" customWidth="1"/>
    <col min="297" max="297" width="11.7109375" style="458" customWidth="1"/>
    <col min="298" max="298" width="10.7109375" style="458" customWidth="1"/>
    <col min="299" max="299" width="9.5703125" style="458" customWidth="1"/>
    <col min="300" max="300" width="10.28515625" style="458" customWidth="1"/>
    <col min="301" max="512" width="9.140625" style="458"/>
    <col min="513" max="513" width="2.140625" style="458" customWidth="1"/>
    <col min="514" max="516" width="9.140625" style="458"/>
    <col min="517" max="517" width="11.7109375" style="458" bestFit="1" customWidth="1"/>
    <col min="518" max="518" width="9.28515625" style="458" bestFit="1" customWidth="1"/>
    <col min="519" max="519" width="9.140625" style="458"/>
    <col min="520" max="520" width="9.28515625" style="458" bestFit="1" customWidth="1"/>
    <col min="521" max="521" width="9.140625" style="458"/>
    <col min="522" max="522" width="9.28515625" style="458" bestFit="1" customWidth="1"/>
    <col min="523" max="523" width="10" style="458" bestFit="1" customWidth="1"/>
    <col min="524" max="532" width="9.140625" style="458"/>
    <col min="533" max="533" width="12.42578125" style="458" customWidth="1"/>
    <col min="534" max="541" width="9.28515625" style="458" bestFit="1" customWidth="1"/>
    <col min="542" max="542" width="9.85546875" style="458" bestFit="1" customWidth="1"/>
    <col min="543" max="547" width="9.140625" style="458"/>
    <col min="548" max="548" width="11" style="458" customWidth="1"/>
    <col min="549" max="550" width="11.28515625" style="458" customWidth="1"/>
    <col min="551" max="551" width="11.5703125" style="458" customWidth="1"/>
    <col min="552" max="552" width="11.28515625" style="458" customWidth="1"/>
    <col min="553" max="553" width="11.7109375" style="458" customWidth="1"/>
    <col min="554" max="554" width="10.7109375" style="458" customWidth="1"/>
    <col min="555" max="555" width="9.5703125" style="458" customWidth="1"/>
    <col min="556" max="556" width="10.28515625" style="458" customWidth="1"/>
    <col min="557" max="768" width="9.140625" style="458"/>
    <col min="769" max="769" width="2.140625" style="458" customWidth="1"/>
    <col min="770" max="772" width="9.140625" style="458"/>
    <col min="773" max="773" width="11.7109375" style="458" bestFit="1" customWidth="1"/>
    <col min="774" max="774" width="9.28515625" style="458" bestFit="1" customWidth="1"/>
    <col min="775" max="775" width="9.140625" style="458"/>
    <col min="776" max="776" width="9.28515625" style="458" bestFit="1" customWidth="1"/>
    <col min="777" max="777" width="9.140625" style="458"/>
    <col min="778" max="778" width="9.28515625" style="458" bestFit="1" customWidth="1"/>
    <col min="779" max="779" width="10" style="458" bestFit="1" customWidth="1"/>
    <col min="780" max="788" width="9.140625" style="458"/>
    <col min="789" max="789" width="12.42578125" style="458" customWidth="1"/>
    <col min="790" max="797" width="9.28515625" style="458" bestFit="1" customWidth="1"/>
    <col min="798" max="798" width="9.85546875" style="458" bestFit="1" customWidth="1"/>
    <col min="799" max="803" width="9.140625" style="458"/>
    <col min="804" max="804" width="11" style="458" customWidth="1"/>
    <col min="805" max="806" width="11.28515625" style="458" customWidth="1"/>
    <col min="807" max="807" width="11.5703125" style="458" customWidth="1"/>
    <col min="808" max="808" width="11.28515625" style="458" customWidth="1"/>
    <col min="809" max="809" width="11.7109375" style="458" customWidth="1"/>
    <col min="810" max="810" width="10.7109375" style="458" customWidth="1"/>
    <col min="811" max="811" width="9.5703125" style="458" customWidth="1"/>
    <col min="812" max="812" width="10.28515625" style="458" customWidth="1"/>
    <col min="813" max="1024" width="9.140625" style="458"/>
    <col min="1025" max="1025" width="2.140625" style="458" customWidth="1"/>
    <col min="1026" max="1028" width="9.140625" style="458"/>
    <col min="1029" max="1029" width="11.7109375" style="458" bestFit="1" customWidth="1"/>
    <col min="1030" max="1030" width="9.28515625" style="458" bestFit="1" customWidth="1"/>
    <col min="1031" max="1031" width="9.140625" style="458"/>
    <col min="1032" max="1032" width="9.28515625" style="458" bestFit="1" customWidth="1"/>
    <col min="1033" max="1033" width="9.140625" style="458"/>
    <col min="1034" max="1034" width="9.28515625" style="458" bestFit="1" customWidth="1"/>
    <col min="1035" max="1035" width="10" style="458" bestFit="1" customWidth="1"/>
    <col min="1036" max="1044" width="9.140625" style="458"/>
    <col min="1045" max="1045" width="12.42578125" style="458" customWidth="1"/>
    <col min="1046" max="1053" width="9.28515625" style="458" bestFit="1" customWidth="1"/>
    <col min="1054" max="1054" width="9.85546875" style="458" bestFit="1" customWidth="1"/>
    <col min="1055" max="1059" width="9.140625" style="458"/>
    <col min="1060" max="1060" width="11" style="458" customWidth="1"/>
    <col min="1061" max="1062" width="11.28515625" style="458" customWidth="1"/>
    <col min="1063" max="1063" width="11.5703125" style="458" customWidth="1"/>
    <col min="1064" max="1064" width="11.28515625" style="458" customWidth="1"/>
    <col min="1065" max="1065" width="11.7109375" style="458" customWidth="1"/>
    <col min="1066" max="1066" width="10.7109375" style="458" customWidth="1"/>
    <col min="1067" max="1067" width="9.5703125" style="458" customWidth="1"/>
    <col min="1068" max="1068" width="10.28515625" style="458" customWidth="1"/>
    <col min="1069" max="1280" width="9.140625" style="458"/>
    <col min="1281" max="1281" width="2.140625" style="458" customWidth="1"/>
    <col min="1282" max="1284" width="9.140625" style="458"/>
    <col min="1285" max="1285" width="11.7109375" style="458" bestFit="1" customWidth="1"/>
    <col min="1286" max="1286" width="9.28515625" style="458" bestFit="1" customWidth="1"/>
    <col min="1287" max="1287" width="9.140625" style="458"/>
    <col min="1288" max="1288" width="9.28515625" style="458" bestFit="1" customWidth="1"/>
    <col min="1289" max="1289" width="9.140625" style="458"/>
    <col min="1290" max="1290" width="9.28515625" style="458" bestFit="1" customWidth="1"/>
    <col min="1291" max="1291" width="10" style="458" bestFit="1" customWidth="1"/>
    <col min="1292" max="1300" width="9.140625" style="458"/>
    <col min="1301" max="1301" width="12.42578125" style="458" customWidth="1"/>
    <col min="1302" max="1309" width="9.28515625" style="458" bestFit="1" customWidth="1"/>
    <col min="1310" max="1310" width="9.85546875" style="458" bestFit="1" customWidth="1"/>
    <col min="1311" max="1315" width="9.140625" style="458"/>
    <col min="1316" max="1316" width="11" style="458" customWidth="1"/>
    <col min="1317" max="1318" width="11.28515625" style="458" customWidth="1"/>
    <col min="1319" max="1319" width="11.5703125" style="458" customWidth="1"/>
    <col min="1320" max="1320" width="11.28515625" style="458" customWidth="1"/>
    <col min="1321" max="1321" width="11.7109375" style="458" customWidth="1"/>
    <col min="1322" max="1322" width="10.7109375" style="458" customWidth="1"/>
    <col min="1323" max="1323" width="9.5703125" style="458" customWidth="1"/>
    <col min="1324" max="1324" width="10.28515625" style="458" customWidth="1"/>
    <col min="1325" max="1536" width="9.140625" style="458"/>
    <col min="1537" max="1537" width="2.140625" style="458" customWidth="1"/>
    <col min="1538" max="1540" width="9.140625" style="458"/>
    <col min="1541" max="1541" width="11.7109375" style="458" bestFit="1" customWidth="1"/>
    <col min="1542" max="1542" width="9.28515625" style="458" bestFit="1" customWidth="1"/>
    <col min="1543" max="1543" width="9.140625" style="458"/>
    <col min="1544" max="1544" width="9.28515625" style="458" bestFit="1" customWidth="1"/>
    <col min="1545" max="1545" width="9.140625" style="458"/>
    <col min="1546" max="1546" width="9.28515625" style="458" bestFit="1" customWidth="1"/>
    <col min="1547" max="1547" width="10" style="458" bestFit="1" customWidth="1"/>
    <col min="1548" max="1556" width="9.140625" style="458"/>
    <col min="1557" max="1557" width="12.42578125" style="458" customWidth="1"/>
    <col min="1558" max="1565" width="9.28515625" style="458" bestFit="1" customWidth="1"/>
    <col min="1566" max="1566" width="9.85546875" style="458" bestFit="1" customWidth="1"/>
    <col min="1567" max="1571" width="9.140625" style="458"/>
    <col min="1572" max="1572" width="11" style="458" customWidth="1"/>
    <col min="1573" max="1574" width="11.28515625" style="458" customWidth="1"/>
    <col min="1575" max="1575" width="11.5703125" style="458" customWidth="1"/>
    <col min="1576" max="1576" width="11.28515625" style="458" customWidth="1"/>
    <col min="1577" max="1577" width="11.7109375" style="458" customWidth="1"/>
    <col min="1578" max="1578" width="10.7109375" style="458" customWidth="1"/>
    <col min="1579" max="1579" width="9.5703125" style="458" customWidth="1"/>
    <col min="1580" max="1580" width="10.28515625" style="458" customWidth="1"/>
    <col min="1581" max="1792" width="9.140625" style="458"/>
    <col min="1793" max="1793" width="2.140625" style="458" customWidth="1"/>
    <col min="1794" max="1796" width="9.140625" style="458"/>
    <col min="1797" max="1797" width="11.7109375" style="458" bestFit="1" customWidth="1"/>
    <col min="1798" max="1798" width="9.28515625" style="458" bestFit="1" customWidth="1"/>
    <col min="1799" max="1799" width="9.140625" style="458"/>
    <col min="1800" max="1800" width="9.28515625" style="458" bestFit="1" customWidth="1"/>
    <col min="1801" max="1801" width="9.140625" style="458"/>
    <col min="1802" max="1802" width="9.28515625" style="458" bestFit="1" customWidth="1"/>
    <col min="1803" max="1803" width="10" style="458" bestFit="1" customWidth="1"/>
    <col min="1804" max="1812" width="9.140625" style="458"/>
    <col min="1813" max="1813" width="12.42578125" style="458" customWidth="1"/>
    <col min="1814" max="1821" width="9.28515625" style="458" bestFit="1" customWidth="1"/>
    <col min="1822" max="1822" width="9.85546875" style="458" bestFit="1" customWidth="1"/>
    <col min="1823" max="1827" width="9.140625" style="458"/>
    <col min="1828" max="1828" width="11" style="458" customWidth="1"/>
    <col min="1829" max="1830" width="11.28515625" style="458" customWidth="1"/>
    <col min="1831" max="1831" width="11.5703125" style="458" customWidth="1"/>
    <col min="1832" max="1832" width="11.28515625" style="458" customWidth="1"/>
    <col min="1833" max="1833" width="11.7109375" style="458" customWidth="1"/>
    <col min="1834" max="1834" width="10.7109375" style="458" customWidth="1"/>
    <col min="1835" max="1835" width="9.5703125" style="458" customWidth="1"/>
    <col min="1836" max="1836" width="10.28515625" style="458" customWidth="1"/>
    <col min="1837" max="2048" width="9.140625" style="458"/>
    <col min="2049" max="2049" width="2.140625" style="458" customWidth="1"/>
    <col min="2050" max="2052" width="9.140625" style="458"/>
    <col min="2053" max="2053" width="11.7109375" style="458" bestFit="1" customWidth="1"/>
    <col min="2054" max="2054" width="9.28515625" style="458" bestFit="1" customWidth="1"/>
    <col min="2055" max="2055" width="9.140625" style="458"/>
    <col min="2056" max="2056" width="9.28515625" style="458" bestFit="1" customWidth="1"/>
    <col min="2057" max="2057" width="9.140625" style="458"/>
    <col min="2058" max="2058" width="9.28515625" style="458" bestFit="1" customWidth="1"/>
    <col min="2059" max="2059" width="10" style="458" bestFit="1" customWidth="1"/>
    <col min="2060" max="2068" width="9.140625" style="458"/>
    <col min="2069" max="2069" width="12.42578125" style="458" customWidth="1"/>
    <col min="2070" max="2077" width="9.28515625" style="458" bestFit="1" customWidth="1"/>
    <col min="2078" max="2078" width="9.85546875" style="458" bestFit="1" customWidth="1"/>
    <col min="2079" max="2083" width="9.140625" style="458"/>
    <col min="2084" max="2084" width="11" style="458" customWidth="1"/>
    <col min="2085" max="2086" width="11.28515625" style="458" customWidth="1"/>
    <col min="2087" max="2087" width="11.5703125" style="458" customWidth="1"/>
    <col min="2088" max="2088" width="11.28515625" style="458" customWidth="1"/>
    <col min="2089" max="2089" width="11.7109375" style="458" customWidth="1"/>
    <col min="2090" max="2090" width="10.7109375" style="458" customWidth="1"/>
    <col min="2091" max="2091" width="9.5703125" style="458" customWidth="1"/>
    <col min="2092" max="2092" width="10.28515625" style="458" customWidth="1"/>
    <col min="2093" max="2304" width="9.140625" style="458"/>
    <col min="2305" max="2305" width="2.140625" style="458" customWidth="1"/>
    <col min="2306" max="2308" width="9.140625" style="458"/>
    <col min="2309" max="2309" width="11.7109375" style="458" bestFit="1" customWidth="1"/>
    <col min="2310" max="2310" width="9.28515625" style="458" bestFit="1" customWidth="1"/>
    <col min="2311" max="2311" width="9.140625" style="458"/>
    <col min="2312" max="2312" width="9.28515625" style="458" bestFit="1" customWidth="1"/>
    <col min="2313" max="2313" width="9.140625" style="458"/>
    <col min="2314" max="2314" width="9.28515625" style="458" bestFit="1" customWidth="1"/>
    <col min="2315" max="2315" width="10" style="458" bestFit="1" customWidth="1"/>
    <col min="2316" max="2324" width="9.140625" style="458"/>
    <col min="2325" max="2325" width="12.42578125" style="458" customWidth="1"/>
    <col min="2326" max="2333" width="9.28515625" style="458" bestFit="1" customWidth="1"/>
    <col min="2334" max="2334" width="9.85546875" style="458" bestFit="1" customWidth="1"/>
    <col min="2335" max="2339" width="9.140625" style="458"/>
    <col min="2340" max="2340" width="11" style="458" customWidth="1"/>
    <col min="2341" max="2342" width="11.28515625" style="458" customWidth="1"/>
    <col min="2343" max="2343" width="11.5703125" style="458" customWidth="1"/>
    <col min="2344" max="2344" width="11.28515625" style="458" customWidth="1"/>
    <col min="2345" max="2345" width="11.7109375" style="458" customWidth="1"/>
    <col min="2346" max="2346" width="10.7109375" style="458" customWidth="1"/>
    <col min="2347" max="2347" width="9.5703125" style="458" customWidth="1"/>
    <col min="2348" max="2348" width="10.28515625" style="458" customWidth="1"/>
    <col min="2349" max="2560" width="9.140625" style="458"/>
    <col min="2561" max="2561" width="2.140625" style="458" customWidth="1"/>
    <col min="2562" max="2564" width="9.140625" style="458"/>
    <col min="2565" max="2565" width="11.7109375" style="458" bestFit="1" customWidth="1"/>
    <col min="2566" max="2566" width="9.28515625" style="458" bestFit="1" customWidth="1"/>
    <col min="2567" max="2567" width="9.140625" style="458"/>
    <col min="2568" max="2568" width="9.28515625" style="458" bestFit="1" customWidth="1"/>
    <col min="2569" max="2569" width="9.140625" style="458"/>
    <col min="2570" max="2570" width="9.28515625" style="458" bestFit="1" customWidth="1"/>
    <col min="2571" max="2571" width="10" style="458" bestFit="1" customWidth="1"/>
    <col min="2572" max="2580" width="9.140625" style="458"/>
    <col min="2581" max="2581" width="12.42578125" style="458" customWidth="1"/>
    <col min="2582" max="2589" width="9.28515625" style="458" bestFit="1" customWidth="1"/>
    <col min="2590" max="2590" width="9.85546875" style="458" bestFit="1" customWidth="1"/>
    <col min="2591" max="2595" width="9.140625" style="458"/>
    <col min="2596" max="2596" width="11" style="458" customWidth="1"/>
    <col min="2597" max="2598" width="11.28515625" style="458" customWidth="1"/>
    <col min="2599" max="2599" width="11.5703125" style="458" customWidth="1"/>
    <col min="2600" max="2600" width="11.28515625" style="458" customWidth="1"/>
    <col min="2601" max="2601" width="11.7109375" style="458" customWidth="1"/>
    <col min="2602" max="2602" width="10.7109375" style="458" customWidth="1"/>
    <col min="2603" max="2603" width="9.5703125" style="458" customWidth="1"/>
    <col min="2604" max="2604" width="10.28515625" style="458" customWidth="1"/>
    <col min="2605" max="2816" width="9.140625" style="458"/>
    <col min="2817" max="2817" width="2.140625" style="458" customWidth="1"/>
    <col min="2818" max="2820" width="9.140625" style="458"/>
    <col min="2821" max="2821" width="11.7109375" style="458" bestFit="1" customWidth="1"/>
    <col min="2822" max="2822" width="9.28515625" style="458" bestFit="1" customWidth="1"/>
    <col min="2823" max="2823" width="9.140625" style="458"/>
    <col min="2824" max="2824" width="9.28515625" style="458" bestFit="1" customWidth="1"/>
    <col min="2825" max="2825" width="9.140625" style="458"/>
    <col min="2826" max="2826" width="9.28515625" style="458" bestFit="1" customWidth="1"/>
    <col min="2827" max="2827" width="10" style="458" bestFit="1" customWidth="1"/>
    <col min="2828" max="2836" width="9.140625" style="458"/>
    <col min="2837" max="2837" width="12.42578125" style="458" customWidth="1"/>
    <col min="2838" max="2845" width="9.28515625" style="458" bestFit="1" customWidth="1"/>
    <col min="2846" max="2846" width="9.85546875" style="458" bestFit="1" customWidth="1"/>
    <col min="2847" max="2851" width="9.140625" style="458"/>
    <col min="2852" max="2852" width="11" style="458" customWidth="1"/>
    <col min="2853" max="2854" width="11.28515625" style="458" customWidth="1"/>
    <col min="2855" max="2855" width="11.5703125" style="458" customWidth="1"/>
    <col min="2856" max="2856" width="11.28515625" style="458" customWidth="1"/>
    <col min="2857" max="2857" width="11.7109375" style="458" customWidth="1"/>
    <col min="2858" max="2858" width="10.7109375" style="458" customWidth="1"/>
    <col min="2859" max="2859" width="9.5703125" style="458" customWidth="1"/>
    <col min="2860" max="2860" width="10.28515625" style="458" customWidth="1"/>
    <col min="2861" max="3072" width="9.140625" style="458"/>
    <col min="3073" max="3073" width="2.140625" style="458" customWidth="1"/>
    <col min="3074" max="3076" width="9.140625" style="458"/>
    <col min="3077" max="3077" width="11.7109375" style="458" bestFit="1" customWidth="1"/>
    <col min="3078" max="3078" width="9.28515625" style="458" bestFit="1" customWidth="1"/>
    <col min="3079" max="3079" width="9.140625" style="458"/>
    <col min="3080" max="3080" width="9.28515625" style="458" bestFit="1" customWidth="1"/>
    <col min="3081" max="3081" width="9.140625" style="458"/>
    <col min="3082" max="3082" width="9.28515625" style="458" bestFit="1" customWidth="1"/>
    <col min="3083" max="3083" width="10" style="458" bestFit="1" customWidth="1"/>
    <col min="3084" max="3092" width="9.140625" style="458"/>
    <col min="3093" max="3093" width="12.42578125" style="458" customWidth="1"/>
    <col min="3094" max="3101" width="9.28515625" style="458" bestFit="1" customWidth="1"/>
    <col min="3102" max="3102" width="9.85546875" style="458" bestFit="1" customWidth="1"/>
    <col min="3103" max="3107" width="9.140625" style="458"/>
    <col min="3108" max="3108" width="11" style="458" customWidth="1"/>
    <col min="3109" max="3110" width="11.28515625" style="458" customWidth="1"/>
    <col min="3111" max="3111" width="11.5703125" style="458" customWidth="1"/>
    <col min="3112" max="3112" width="11.28515625" style="458" customWidth="1"/>
    <col min="3113" max="3113" width="11.7109375" style="458" customWidth="1"/>
    <col min="3114" max="3114" width="10.7109375" style="458" customWidth="1"/>
    <col min="3115" max="3115" width="9.5703125" style="458" customWidth="1"/>
    <col min="3116" max="3116" width="10.28515625" style="458" customWidth="1"/>
    <col min="3117" max="3328" width="9.140625" style="458"/>
    <col min="3329" max="3329" width="2.140625" style="458" customWidth="1"/>
    <col min="3330" max="3332" width="9.140625" style="458"/>
    <col min="3333" max="3333" width="11.7109375" style="458" bestFit="1" customWidth="1"/>
    <col min="3334" max="3334" width="9.28515625" style="458" bestFit="1" customWidth="1"/>
    <col min="3335" max="3335" width="9.140625" style="458"/>
    <col min="3336" max="3336" width="9.28515625" style="458" bestFit="1" customWidth="1"/>
    <col min="3337" max="3337" width="9.140625" style="458"/>
    <col min="3338" max="3338" width="9.28515625" style="458" bestFit="1" customWidth="1"/>
    <col min="3339" max="3339" width="10" style="458" bestFit="1" customWidth="1"/>
    <col min="3340" max="3348" width="9.140625" style="458"/>
    <col min="3349" max="3349" width="12.42578125" style="458" customWidth="1"/>
    <col min="3350" max="3357" width="9.28515625" style="458" bestFit="1" customWidth="1"/>
    <col min="3358" max="3358" width="9.85546875" style="458" bestFit="1" customWidth="1"/>
    <col min="3359" max="3363" width="9.140625" style="458"/>
    <col min="3364" max="3364" width="11" style="458" customWidth="1"/>
    <col min="3365" max="3366" width="11.28515625" style="458" customWidth="1"/>
    <col min="3367" max="3367" width="11.5703125" style="458" customWidth="1"/>
    <col min="3368" max="3368" width="11.28515625" style="458" customWidth="1"/>
    <col min="3369" max="3369" width="11.7109375" style="458" customWidth="1"/>
    <col min="3370" max="3370" width="10.7109375" style="458" customWidth="1"/>
    <col min="3371" max="3371" width="9.5703125" style="458" customWidth="1"/>
    <col min="3372" max="3372" width="10.28515625" style="458" customWidth="1"/>
    <col min="3373" max="3584" width="9.140625" style="458"/>
    <col min="3585" max="3585" width="2.140625" style="458" customWidth="1"/>
    <col min="3586" max="3588" width="9.140625" style="458"/>
    <col min="3589" max="3589" width="11.7109375" style="458" bestFit="1" customWidth="1"/>
    <col min="3590" max="3590" width="9.28515625" style="458" bestFit="1" customWidth="1"/>
    <col min="3591" max="3591" width="9.140625" style="458"/>
    <col min="3592" max="3592" width="9.28515625" style="458" bestFit="1" customWidth="1"/>
    <col min="3593" max="3593" width="9.140625" style="458"/>
    <col min="3594" max="3594" width="9.28515625" style="458" bestFit="1" customWidth="1"/>
    <col min="3595" max="3595" width="10" style="458" bestFit="1" customWidth="1"/>
    <col min="3596" max="3604" width="9.140625" style="458"/>
    <col min="3605" max="3605" width="12.42578125" style="458" customWidth="1"/>
    <col min="3606" max="3613" width="9.28515625" style="458" bestFit="1" customWidth="1"/>
    <col min="3614" max="3614" width="9.85546875" style="458" bestFit="1" customWidth="1"/>
    <col min="3615" max="3619" width="9.140625" style="458"/>
    <col min="3620" max="3620" width="11" style="458" customWidth="1"/>
    <col min="3621" max="3622" width="11.28515625" style="458" customWidth="1"/>
    <col min="3623" max="3623" width="11.5703125" style="458" customWidth="1"/>
    <col min="3624" max="3624" width="11.28515625" style="458" customWidth="1"/>
    <col min="3625" max="3625" width="11.7109375" style="458" customWidth="1"/>
    <col min="3626" max="3626" width="10.7109375" style="458" customWidth="1"/>
    <col min="3627" max="3627" width="9.5703125" style="458" customWidth="1"/>
    <col min="3628" max="3628" width="10.28515625" style="458" customWidth="1"/>
    <col min="3629" max="3840" width="9.140625" style="458"/>
    <col min="3841" max="3841" width="2.140625" style="458" customWidth="1"/>
    <col min="3842" max="3844" width="9.140625" style="458"/>
    <col min="3845" max="3845" width="11.7109375" style="458" bestFit="1" customWidth="1"/>
    <col min="3846" max="3846" width="9.28515625" style="458" bestFit="1" customWidth="1"/>
    <col min="3847" max="3847" width="9.140625" style="458"/>
    <col min="3848" max="3848" width="9.28515625" style="458" bestFit="1" customWidth="1"/>
    <col min="3849" max="3849" width="9.140625" style="458"/>
    <col min="3850" max="3850" width="9.28515625" style="458" bestFit="1" customWidth="1"/>
    <col min="3851" max="3851" width="10" style="458" bestFit="1" customWidth="1"/>
    <col min="3852" max="3860" width="9.140625" style="458"/>
    <col min="3861" max="3861" width="12.42578125" style="458" customWidth="1"/>
    <col min="3862" max="3869" width="9.28515625" style="458" bestFit="1" customWidth="1"/>
    <col min="3870" max="3870" width="9.85546875" style="458" bestFit="1" customWidth="1"/>
    <col min="3871" max="3875" width="9.140625" style="458"/>
    <col min="3876" max="3876" width="11" style="458" customWidth="1"/>
    <col min="3877" max="3878" width="11.28515625" style="458" customWidth="1"/>
    <col min="3879" max="3879" width="11.5703125" style="458" customWidth="1"/>
    <col min="3880" max="3880" width="11.28515625" style="458" customWidth="1"/>
    <col min="3881" max="3881" width="11.7109375" style="458" customWidth="1"/>
    <col min="3882" max="3882" width="10.7109375" style="458" customWidth="1"/>
    <col min="3883" max="3883" width="9.5703125" style="458" customWidth="1"/>
    <col min="3884" max="3884" width="10.28515625" style="458" customWidth="1"/>
    <col min="3885" max="4096" width="9.140625" style="458"/>
    <col min="4097" max="4097" width="2.140625" style="458" customWidth="1"/>
    <col min="4098" max="4100" width="9.140625" style="458"/>
    <col min="4101" max="4101" width="11.7109375" style="458" bestFit="1" customWidth="1"/>
    <col min="4102" max="4102" width="9.28515625" style="458" bestFit="1" customWidth="1"/>
    <col min="4103" max="4103" width="9.140625" style="458"/>
    <col min="4104" max="4104" width="9.28515625" style="458" bestFit="1" customWidth="1"/>
    <col min="4105" max="4105" width="9.140625" style="458"/>
    <col min="4106" max="4106" width="9.28515625" style="458" bestFit="1" customWidth="1"/>
    <col min="4107" max="4107" width="10" style="458" bestFit="1" customWidth="1"/>
    <col min="4108" max="4116" width="9.140625" style="458"/>
    <col min="4117" max="4117" width="12.42578125" style="458" customWidth="1"/>
    <col min="4118" max="4125" width="9.28515625" style="458" bestFit="1" customWidth="1"/>
    <col min="4126" max="4126" width="9.85546875" style="458" bestFit="1" customWidth="1"/>
    <col min="4127" max="4131" width="9.140625" style="458"/>
    <col min="4132" max="4132" width="11" style="458" customWidth="1"/>
    <col min="4133" max="4134" width="11.28515625" style="458" customWidth="1"/>
    <col min="4135" max="4135" width="11.5703125" style="458" customWidth="1"/>
    <col min="4136" max="4136" width="11.28515625" style="458" customWidth="1"/>
    <col min="4137" max="4137" width="11.7109375" style="458" customWidth="1"/>
    <col min="4138" max="4138" width="10.7109375" style="458" customWidth="1"/>
    <col min="4139" max="4139" width="9.5703125" style="458" customWidth="1"/>
    <col min="4140" max="4140" width="10.28515625" style="458" customWidth="1"/>
    <col min="4141" max="4352" width="9.140625" style="458"/>
    <col min="4353" max="4353" width="2.140625" style="458" customWidth="1"/>
    <col min="4354" max="4356" width="9.140625" style="458"/>
    <col min="4357" max="4357" width="11.7109375" style="458" bestFit="1" customWidth="1"/>
    <col min="4358" max="4358" width="9.28515625" style="458" bestFit="1" customWidth="1"/>
    <col min="4359" max="4359" width="9.140625" style="458"/>
    <col min="4360" max="4360" width="9.28515625" style="458" bestFit="1" customWidth="1"/>
    <col min="4361" max="4361" width="9.140625" style="458"/>
    <col min="4362" max="4362" width="9.28515625" style="458" bestFit="1" customWidth="1"/>
    <col min="4363" max="4363" width="10" style="458" bestFit="1" customWidth="1"/>
    <col min="4364" max="4372" width="9.140625" style="458"/>
    <col min="4373" max="4373" width="12.42578125" style="458" customWidth="1"/>
    <col min="4374" max="4381" width="9.28515625" style="458" bestFit="1" customWidth="1"/>
    <col min="4382" max="4382" width="9.85546875" style="458" bestFit="1" customWidth="1"/>
    <col min="4383" max="4387" width="9.140625" style="458"/>
    <col min="4388" max="4388" width="11" style="458" customWidth="1"/>
    <col min="4389" max="4390" width="11.28515625" style="458" customWidth="1"/>
    <col min="4391" max="4391" width="11.5703125" style="458" customWidth="1"/>
    <col min="4392" max="4392" width="11.28515625" style="458" customWidth="1"/>
    <col min="4393" max="4393" width="11.7109375" style="458" customWidth="1"/>
    <col min="4394" max="4394" width="10.7109375" style="458" customWidth="1"/>
    <col min="4395" max="4395" width="9.5703125" style="458" customWidth="1"/>
    <col min="4396" max="4396" width="10.28515625" style="458" customWidth="1"/>
    <col min="4397" max="4608" width="9.140625" style="458"/>
    <col min="4609" max="4609" width="2.140625" style="458" customWidth="1"/>
    <col min="4610" max="4612" width="9.140625" style="458"/>
    <col min="4613" max="4613" width="11.7109375" style="458" bestFit="1" customWidth="1"/>
    <col min="4614" max="4614" width="9.28515625" style="458" bestFit="1" customWidth="1"/>
    <col min="4615" max="4615" width="9.140625" style="458"/>
    <col min="4616" max="4616" width="9.28515625" style="458" bestFit="1" customWidth="1"/>
    <col min="4617" max="4617" width="9.140625" style="458"/>
    <col min="4618" max="4618" width="9.28515625" style="458" bestFit="1" customWidth="1"/>
    <col min="4619" max="4619" width="10" style="458" bestFit="1" customWidth="1"/>
    <col min="4620" max="4628" width="9.140625" style="458"/>
    <col min="4629" max="4629" width="12.42578125" style="458" customWidth="1"/>
    <col min="4630" max="4637" width="9.28515625" style="458" bestFit="1" customWidth="1"/>
    <col min="4638" max="4638" width="9.85546875" style="458" bestFit="1" customWidth="1"/>
    <col min="4639" max="4643" width="9.140625" style="458"/>
    <col min="4644" max="4644" width="11" style="458" customWidth="1"/>
    <col min="4645" max="4646" width="11.28515625" style="458" customWidth="1"/>
    <col min="4647" max="4647" width="11.5703125" style="458" customWidth="1"/>
    <col min="4648" max="4648" width="11.28515625" style="458" customWidth="1"/>
    <col min="4649" max="4649" width="11.7109375" style="458" customWidth="1"/>
    <col min="4650" max="4650" width="10.7109375" style="458" customWidth="1"/>
    <col min="4651" max="4651" width="9.5703125" style="458" customWidth="1"/>
    <col min="4652" max="4652" width="10.28515625" style="458" customWidth="1"/>
    <col min="4653" max="4864" width="9.140625" style="458"/>
    <col min="4865" max="4865" width="2.140625" style="458" customWidth="1"/>
    <col min="4866" max="4868" width="9.140625" style="458"/>
    <col min="4869" max="4869" width="11.7109375" style="458" bestFit="1" customWidth="1"/>
    <col min="4870" max="4870" width="9.28515625" style="458" bestFit="1" customWidth="1"/>
    <col min="4871" max="4871" width="9.140625" style="458"/>
    <col min="4872" max="4872" width="9.28515625" style="458" bestFit="1" customWidth="1"/>
    <col min="4873" max="4873" width="9.140625" style="458"/>
    <col min="4874" max="4874" width="9.28515625" style="458" bestFit="1" customWidth="1"/>
    <col min="4875" max="4875" width="10" style="458" bestFit="1" customWidth="1"/>
    <col min="4876" max="4884" width="9.140625" style="458"/>
    <col min="4885" max="4885" width="12.42578125" style="458" customWidth="1"/>
    <col min="4886" max="4893" width="9.28515625" style="458" bestFit="1" customWidth="1"/>
    <col min="4894" max="4894" width="9.85546875" style="458" bestFit="1" customWidth="1"/>
    <col min="4895" max="4899" width="9.140625" style="458"/>
    <col min="4900" max="4900" width="11" style="458" customWidth="1"/>
    <col min="4901" max="4902" width="11.28515625" style="458" customWidth="1"/>
    <col min="4903" max="4903" width="11.5703125" style="458" customWidth="1"/>
    <col min="4904" max="4904" width="11.28515625" style="458" customWidth="1"/>
    <col min="4905" max="4905" width="11.7109375" style="458" customWidth="1"/>
    <col min="4906" max="4906" width="10.7109375" style="458" customWidth="1"/>
    <col min="4907" max="4907" width="9.5703125" style="458" customWidth="1"/>
    <col min="4908" max="4908" width="10.28515625" style="458" customWidth="1"/>
    <col min="4909" max="5120" width="9.140625" style="458"/>
    <col min="5121" max="5121" width="2.140625" style="458" customWidth="1"/>
    <col min="5122" max="5124" width="9.140625" style="458"/>
    <col min="5125" max="5125" width="11.7109375" style="458" bestFit="1" customWidth="1"/>
    <col min="5126" max="5126" width="9.28515625" style="458" bestFit="1" customWidth="1"/>
    <col min="5127" max="5127" width="9.140625" style="458"/>
    <col min="5128" max="5128" width="9.28515625" style="458" bestFit="1" customWidth="1"/>
    <col min="5129" max="5129" width="9.140625" style="458"/>
    <col min="5130" max="5130" width="9.28515625" style="458" bestFit="1" customWidth="1"/>
    <col min="5131" max="5131" width="10" style="458" bestFit="1" customWidth="1"/>
    <col min="5132" max="5140" width="9.140625" style="458"/>
    <col min="5141" max="5141" width="12.42578125" style="458" customWidth="1"/>
    <col min="5142" max="5149" width="9.28515625" style="458" bestFit="1" customWidth="1"/>
    <col min="5150" max="5150" width="9.85546875" style="458" bestFit="1" customWidth="1"/>
    <col min="5151" max="5155" width="9.140625" style="458"/>
    <col min="5156" max="5156" width="11" style="458" customWidth="1"/>
    <col min="5157" max="5158" width="11.28515625" style="458" customWidth="1"/>
    <col min="5159" max="5159" width="11.5703125" style="458" customWidth="1"/>
    <col min="5160" max="5160" width="11.28515625" style="458" customWidth="1"/>
    <col min="5161" max="5161" width="11.7109375" style="458" customWidth="1"/>
    <col min="5162" max="5162" width="10.7109375" style="458" customWidth="1"/>
    <col min="5163" max="5163" width="9.5703125" style="458" customWidth="1"/>
    <col min="5164" max="5164" width="10.28515625" style="458" customWidth="1"/>
    <col min="5165" max="5376" width="9.140625" style="458"/>
    <col min="5377" max="5377" width="2.140625" style="458" customWidth="1"/>
    <col min="5378" max="5380" width="9.140625" style="458"/>
    <col min="5381" max="5381" width="11.7109375" style="458" bestFit="1" customWidth="1"/>
    <col min="5382" max="5382" width="9.28515625" style="458" bestFit="1" customWidth="1"/>
    <col min="5383" max="5383" width="9.140625" style="458"/>
    <col min="5384" max="5384" width="9.28515625" style="458" bestFit="1" customWidth="1"/>
    <col min="5385" max="5385" width="9.140625" style="458"/>
    <col min="5386" max="5386" width="9.28515625" style="458" bestFit="1" customWidth="1"/>
    <col min="5387" max="5387" width="10" style="458" bestFit="1" customWidth="1"/>
    <col min="5388" max="5396" width="9.140625" style="458"/>
    <col min="5397" max="5397" width="12.42578125" style="458" customWidth="1"/>
    <col min="5398" max="5405" width="9.28515625" style="458" bestFit="1" customWidth="1"/>
    <col min="5406" max="5406" width="9.85546875" style="458" bestFit="1" customWidth="1"/>
    <col min="5407" max="5411" width="9.140625" style="458"/>
    <col min="5412" max="5412" width="11" style="458" customWidth="1"/>
    <col min="5413" max="5414" width="11.28515625" style="458" customWidth="1"/>
    <col min="5415" max="5415" width="11.5703125" style="458" customWidth="1"/>
    <col min="5416" max="5416" width="11.28515625" style="458" customWidth="1"/>
    <col min="5417" max="5417" width="11.7109375" style="458" customWidth="1"/>
    <col min="5418" max="5418" width="10.7109375" style="458" customWidth="1"/>
    <col min="5419" max="5419" width="9.5703125" style="458" customWidth="1"/>
    <col min="5420" max="5420" width="10.28515625" style="458" customWidth="1"/>
    <col min="5421" max="5632" width="9.140625" style="458"/>
    <col min="5633" max="5633" width="2.140625" style="458" customWidth="1"/>
    <col min="5634" max="5636" width="9.140625" style="458"/>
    <col min="5637" max="5637" width="11.7109375" style="458" bestFit="1" customWidth="1"/>
    <col min="5638" max="5638" width="9.28515625" style="458" bestFit="1" customWidth="1"/>
    <col min="5639" max="5639" width="9.140625" style="458"/>
    <col min="5640" max="5640" width="9.28515625" style="458" bestFit="1" customWidth="1"/>
    <col min="5641" max="5641" width="9.140625" style="458"/>
    <col min="5642" max="5642" width="9.28515625" style="458" bestFit="1" customWidth="1"/>
    <col min="5643" max="5643" width="10" style="458" bestFit="1" customWidth="1"/>
    <col min="5644" max="5652" width="9.140625" style="458"/>
    <col min="5653" max="5653" width="12.42578125" style="458" customWidth="1"/>
    <col min="5654" max="5661" width="9.28515625" style="458" bestFit="1" customWidth="1"/>
    <col min="5662" max="5662" width="9.85546875" style="458" bestFit="1" customWidth="1"/>
    <col min="5663" max="5667" width="9.140625" style="458"/>
    <col min="5668" max="5668" width="11" style="458" customWidth="1"/>
    <col min="5669" max="5670" width="11.28515625" style="458" customWidth="1"/>
    <col min="5671" max="5671" width="11.5703125" style="458" customWidth="1"/>
    <col min="5672" max="5672" width="11.28515625" style="458" customWidth="1"/>
    <col min="5673" max="5673" width="11.7109375" style="458" customWidth="1"/>
    <col min="5674" max="5674" width="10.7109375" style="458" customWidth="1"/>
    <col min="5675" max="5675" width="9.5703125" style="458" customWidth="1"/>
    <col min="5676" max="5676" width="10.28515625" style="458" customWidth="1"/>
    <col min="5677" max="5888" width="9.140625" style="458"/>
    <col min="5889" max="5889" width="2.140625" style="458" customWidth="1"/>
    <col min="5890" max="5892" width="9.140625" style="458"/>
    <col min="5893" max="5893" width="11.7109375" style="458" bestFit="1" customWidth="1"/>
    <col min="5894" max="5894" width="9.28515625" style="458" bestFit="1" customWidth="1"/>
    <col min="5895" max="5895" width="9.140625" style="458"/>
    <col min="5896" max="5896" width="9.28515625" style="458" bestFit="1" customWidth="1"/>
    <col min="5897" max="5897" width="9.140625" style="458"/>
    <col min="5898" max="5898" width="9.28515625" style="458" bestFit="1" customWidth="1"/>
    <col min="5899" max="5899" width="10" style="458" bestFit="1" customWidth="1"/>
    <col min="5900" max="5908" width="9.140625" style="458"/>
    <col min="5909" max="5909" width="12.42578125" style="458" customWidth="1"/>
    <col min="5910" max="5917" width="9.28515625" style="458" bestFit="1" customWidth="1"/>
    <col min="5918" max="5918" width="9.85546875" style="458" bestFit="1" customWidth="1"/>
    <col min="5919" max="5923" width="9.140625" style="458"/>
    <col min="5924" max="5924" width="11" style="458" customWidth="1"/>
    <col min="5925" max="5926" width="11.28515625" style="458" customWidth="1"/>
    <col min="5927" max="5927" width="11.5703125" style="458" customWidth="1"/>
    <col min="5928" max="5928" width="11.28515625" style="458" customWidth="1"/>
    <col min="5929" max="5929" width="11.7109375" style="458" customWidth="1"/>
    <col min="5930" max="5930" width="10.7109375" style="458" customWidth="1"/>
    <col min="5931" max="5931" width="9.5703125" style="458" customWidth="1"/>
    <col min="5932" max="5932" width="10.28515625" style="458" customWidth="1"/>
    <col min="5933" max="6144" width="9.140625" style="458"/>
    <col min="6145" max="6145" width="2.140625" style="458" customWidth="1"/>
    <col min="6146" max="6148" width="9.140625" style="458"/>
    <col min="6149" max="6149" width="11.7109375" style="458" bestFit="1" customWidth="1"/>
    <col min="6150" max="6150" width="9.28515625" style="458" bestFit="1" customWidth="1"/>
    <col min="6151" max="6151" width="9.140625" style="458"/>
    <col min="6152" max="6152" width="9.28515625" style="458" bestFit="1" customWidth="1"/>
    <col min="6153" max="6153" width="9.140625" style="458"/>
    <col min="6154" max="6154" width="9.28515625" style="458" bestFit="1" customWidth="1"/>
    <col min="6155" max="6155" width="10" style="458" bestFit="1" customWidth="1"/>
    <col min="6156" max="6164" width="9.140625" style="458"/>
    <col min="6165" max="6165" width="12.42578125" style="458" customWidth="1"/>
    <col min="6166" max="6173" width="9.28515625" style="458" bestFit="1" customWidth="1"/>
    <col min="6174" max="6174" width="9.85546875" style="458" bestFit="1" customWidth="1"/>
    <col min="6175" max="6179" width="9.140625" style="458"/>
    <col min="6180" max="6180" width="11" style="458" customWidth="1"/>
    <col min="6181" max="6182" width="11.28515625" style="458" customWidth="1"/>
    <col min="6183" max="6183" width="11.5703125" style="458" customWidth="1"/>
    <col min="6184" max="6184" width="11.28515625" style="458" customWidth="1"/>
    <col min="6185" max="6185" width="11.7109375" style="458" customWidth="1"/>
    <col min="6186" max="6186" width="10.7109375" style="458" customWidth="1"/>
    <col min="6187" max="6187" width="9.5703125" style="458" customWidth="1"/>
    <col min="6188" max="6188" width="10.28515625" style="458" customWidth="1"/>
    <col min="6189" max="6400" width="9.140625" style="458"/>
    <col min="6401" max="6401" width="2.140625" style="458" customWidth="1"/>
    <col min="6402" max="6404" width="9.140625" style="458"/>
    <col min="6405" max="6405" width="11.7109375" style="458" bestFit="1" customWidth="1"/>
    <col min="6406" max="6406" width="9.28515625" style="458" bestFit="1" customWidth="1"/>
    <col min="6407" max="6407" width="9.140625" style="458"/>
    <col min="6408" max="6408" width="9.28515625" style="458" bestFit="1" customWidth="1"/>
    <col min="6409" max="6409" width="9.140625" style="458"/>
    <col min="6410" max="6410" width="9.28515625" style="458" bestFit="1" customWidth="1"/>
    <col min="6411" max="6411" width="10" style="458" bestFit="1" customWidth="1"/>
    <col min="6412" max="6420" width="9.140625" style="458"/>
    <col min="6421" max="6421" width="12.42578125" style="458" customWidth="1"/>
    <col min="6422" max="6429" width="9.28515625" style="458" bestFit="1" customWidth="1"/>
    <col min="6430" max="6430" width="9.85546875" style="458" bestFit="1" customWidth="1"/>
    <col min="6431" max="6435" width="9.140625" style="458"/>
    <col min="6436" max="6436" width="11" style="458" customWidth="1"/>
    <col min="6437" max="6438" width="11.28515625" style="458" customWidth="1"/>
    <col min="6439" max="6439" width="11.5703125" style="458" customWidth="1"/>
    <col min="6440" max="6440" width="11.28515625" style="458" customWidth="1"/>
    <col min="6441" max="6441" width="11.7109375" style="458" customWidth="1"/>
    <col min="6442" max="6442" width="10.7109375" style="458" customWidth="1"/>
    <col min="6443" max="6443" width="9.5703125" style="458" customWidth="1"/>
    <col min="6444" max="6444" width="10.28515625" style="458" customWidth="1"/>
    <col min="6445" max="6656" width="9.140625" style="458"/>
    <col min="6657" max="6657" width="2.140625" style="458" customWidth="1"/>
    <col min="6658" max="6660" width="9.140625" style="458"/>
    <col min="6661" max="6661" width="11.7109375" style="458" bestFit="1" customWidth="1"/>
    <col min="6662" max="6662" width="9.28515625" style="458" bestFit="1" customWidth="1"/>
    <col min="6663" max="6663" width="9.140625" style="458"/>
    <col min="6664" max="6664" width="9.28515625" style="458" bestFit="1" customWidth="1"/>
    <col min="6665" max="6665" width="9.140625" style="458"/>
    <col min="6666" max="6666" width="9.28515625" style="458" bestFit="1" customWidth="1"/>
    <col min="6667" max="6667" width="10" style="458" bestFit="1" customWidth="1"/>
    <col min="6668" max="6676" width="9.140625" style="458"/>
    <col min="6677" max="6677" width="12.42578125" style="458" customWidth="1"/>
    <col min="6678" max="6685" width="9.28515625" style="458" bestFit="1" customWidth="1"/>
    <col min="6686" max="6686" width="9.85546875" style="458" bestFit="1" customWidth="1"/>
    <col min="6687" max="6691" width="9.140625" style="458"/>
    <col min="6692" max="6692" width="11" style="458" customWidth="1"/>
    <col min="6693" max="6694" width="11.28515625" style="458" customWidth="1"/>
    <col min="6695" max="6695" width="11.5703125" style="458" customWidth="1"/>
    <col min="6696" max="6696" width="11.28515625" style="458" customWidth="1"/>
    <col min="6697" max="6697" width="11.7109375" style="458" customWidth="1"/>
    <col min="6698" max="6698" width="10.7109375" style="458" customWidth="1"/>
    <col min="6699" max="6699" width="9.5703125" style="458" customWidth="1"/>
    <col min="6700" max="6700" width="10.28515625" style="458" customWidth="1"/>
    <col min="6701" max="6912" width="9.140625" style="458"/>
    <col min="6913" max="6913" width="2.140625" style="458" customWidth="1"/>
    <col min="6914" max="6916" width="9.140625" style="458"/>
    <col min="6917" max="6917" width="11.7109375" style="458" bestFit="1" customWidth="1"/>
    <col min="6918" max="6918" width="9.28515625" style="458" bestFit="1" customWidth="1"/>
    <col min="6919" max="6919" width="9.140625" style="458"/>
    <col min="6920" max="6920" width="9.28515625" style="458" bestFit="1" customWidth="1"/>
    <col min="6921" max="6921" width="9.140625" style="458"/>
    <col min="6922" max="6922" width="9.28515625" style="458" bestFit="1" customWidth="1"/>
    <col min="6923" max="6923" width="10" style="458" bestFit="1" customWidth="1"/>
    <col min="6924" max="6932" width="9.140625" style="458"/>
    <col min="6933" max="6933" width="12.42578125" style="458" customWidth="1"/>
    <col min="6934" max="6941" width="9.28515625" style="458" bestFit="1" customWidth="1"/>
    <col min="6942" max="6942" width="9.85546875" style="458" bestFit="1" customWidth="1"/>
    <col min="6943" max="6947" width="9.140625" style="458"/>
    <col min="6948" max="6948" width="11" style="458" customWidth="1"/>
    <col min="6949" max="6950" width="11.28515625" style="458" customWidth="1"/>
    <col min="6951" max="6951" width="11.5703125" style="458" customWidth="1"/>
    <col min="6952" max="6952" width="11.28515625" style="458" customWidth="1"/>
    <col min="6953" max="6953" width="11.7109375" style="458" customWidth="1"/>
    <col min="6954" max="6954" width="10.7109375" style="458" customWidth="1"/>
    <col min="6955" max="6955" width="9.5703125" style="458" customWidth="1"/>
    <col min="6956" max="6956" width="10.28515625" style="458" customWidth="1"/>
    <col min="6957" max="7168" width="9.140625" style="458"/>
    <col min="7169" max="7169" width="2.140625" style="458" customWidth="1"/>
    <col min="7170" max="7172" width="9.140625" style="458"/>
    <col min="7173" max="7173" width="11.7109375" style="458" bestFit="1" customWidth="1"/>
    <col min="7174" max="7174" width="9.28515625" style="458" bestFit="1" customWidth="1"/>
    <col min="7175" max="7175" width="9.140625" style="458"/>
    <col min="7176" max="7176" width="9.28515625" style="458" bestFit="1" customWidth="1"/>
    <col min="7177" max="7177" width="9.140625" style="458"/>
    <col min="7178" max="7178" width="9.28515625" style="458" bestFit="1" customWidth="1"/>
    <col min="7179" max="7179" width="10" style="458" bestFit="1" customWidth="1"/>
    <col min="7180" max="7188" width="9.140625" style="458"/>
    <col min="7189" max="7189" width="12.42578125" style="458" customWidth="1"/>
    <col min="7190" max="7197" width="9.28515625" style="458" bestFit="1" customWidth="1"/>
    <col min="7198" max="7198" width="9.85546875" style="458" bestFit="1" customWidth="1"/>
    <col min="7199" max="7203" width="9.140625" style="458"/>
    <col min="7204" max="7204" width="11" style="458" customWidth="1"/>
    <col min="7205" max="7206" width="11.28515625" style="458" customWidth="1"/>
    <col min="7207" max="7207" width="11.5703125" style="458" customWidth="1"/>
    <col min="7208" max="7208" width="11.28515625" style="458" customWidth="1"/>
    <col min="7209" max="7209" width="11.7109375" style="458" customWidth="1"/>
    <col min="7210" max="7210" width="10.7109375" style="458" customWidth="1"/>
    <col min="7211" max="7211" width="9.5703125" style="458" customWidth="1"/>
    <col min="7212" max="7212" width="10.28515625" style="458" customWidth="1"/>
    <col min="7213" max="7424" width="9.140625" style="458"/>
    <col min="7425" max="7425" width="2.140625" style="458" customWidth="1"/>
    <col min="7426" max="7428" width="9.140625" style="458"/>
    <col min="7429" max="7429" width="11.7109375" style="458" bestFit="1" customWidth="1"/>
    <col min="7430" max="7430" width="9.28515625" style="458" bestFit="1" customWidth="1"/>
    <col min="7431" max="7431" width="9.140625" style="458"/>
    <col min="7432" max="7432" width="9.28515625" style="458" bestFit="1" customWidth="1"/>
    <col min="7433" max="7433" width="9.140625" style="458"/>
    <col min="7434" max="7434" width="9.28515625" style="458" bestFit="1" customWidth="1"/>
    <col min="7435" max="7435" width="10" style="458" bestFit="1" customWidth="1"/>
    <col min="7436" max="7444" width="9.140625" style="458"/>
    <col min="7445" max="7445" width="12.42578125" style="458" customWidth="1"/>
    <col min="7446" max="7453" width="9.28515625" style="458" bestFit="1" customWidth="1"/>
    <col min="7454" max="7454" width="9.85546875" style="458" bestFit="1" customWidth="1"/>
    <col min="7455" max="7459" width="9.140625" style="458"/>
    <col min="7460" max="7460" width="11" style="458" customWidth="1"/>
    <col min="7461" max="7462" width="11.28515625" style="458" customWidth="1"/>
    <col min="7463" max="7463" width="11.5703125" style="458" customWidth="1"/>
    <col min="7464" max="7464" width="11.28515625" style="458" customWidth="1"/>
    <col min="7465" max="7465" width="11.7109375" style="458" customWidth="1"/>
    <col min="7466" max="7466" width="10.7109375" style="458" customWidth="1"/>
    <col min="7467" max="7467" width="9.5703125" style="458" customWidth="1"/>
    <col min="7468" max="7468" width="10.28515625" style="458" customWidth="1"/>
    <col min="7469" max="7680" width="9.140625" style="458"/>
    <col min="7681" max="7681" width="2.140625" style="458" customWidth="1"/>
    <col min="7682" max="7684" width="9.140625" style="458"/>
    <col min="7685" max="7685" width="11.7109375" style="458" bestFit="1" customWidth="1"/>
    <col min="7686" max="7686" width="9.28515625" style="458" bestFit="1" customWidth="1"/>
    <col min="7687" max="7687" width="9.140625" style="458"/>
    <col min="7688" max="7688" width="9.28515625" style="458" bestFit="1" customWidth="1"/>
    <col min="7689" max="7689" width="9.140625" style="458"/>
    <col min="7690" max="7690" width="9.28515625" style="458" bestFit="1" customWidth="1"/>
    <col min="7691" max="7691" width="10" style="458" bestFit="1" customWidth="1"/>
    <col min="7692" max="7700" width="9.140625" style="458"/>
    <col min="7701" max="7701" width="12.42578125" style="458" customWidth="1"/>
    <col min="7702" max="7709" width="9.28515625" style="458" bestFit="1" customWidth="1"/>
    <col min="7710" max="7710" width="9.85546875" style="458" bestFit="1" customWidth="1"/>
    <col min="7711" max="7715" width="9.140625" style="458"/>
    <col min="7716" max="7716" width="11" style="458" customWidth="1"/>
    <col min="7717" max="7718" width="11.28515625" style="458" customWidth="1"/>
    <col min="7719" max="7719" width="11.5703125" style="458" customWidth="1"/>
    <col min="7720" max="7720" width="11.28515625" style="458" customWidth="1"/>
    <col min="7721" max="7721" width="11.7109375" style="458" customWidth="1"/>
    <col min="7722" max="7722" width="10.7109375" style="458" customWidth="1"/>
    <col min="7723" max="7723" width="9.5703125" style="458" customWidth="1"/>
    <col min="7724" max="7724" width="10.28515625" style="458" customWidth="1"/>
    <col min="7725" max="7936" width="9.140625" style="458"/>
    <col min="7937" max="7937" width="2.140625" style="458" customWidth="1"/>
    <col min="7938" max="7940" width="9.140625" style="458"/>
    <col min="7941" max="7941" width="11.7109375" style="458" bestFit="1" customWidth="1"/>
    <col min="7942" max="7942" width="9.28515625" style="458" bestFit="1" customWidth="1"/>
    <col min="7943" max="7943" width="9.140625" style="458"/>
    <col min="7944" max="7944" width="9.28515625" style="458" bestFit="1" customWidth="1"/>
    <col min="7945" max="7945" width="9.140625" style="458"/>
    <col min="7946" max="7946" width="9.28515625" style="458" bestFit="1" customWidth="1"/>
    <col min="7947" max="7947" width="10" style="458" bestFit="1" customWidth="1"/>
    <col min="7948" max="7956" width="9.140625" style="458"/>
    <col min="7957" max="7957" width="12.42578125" style="458" customWidth="1"/>
    <col min="7958" max="7965" width="9.28515625" style="458" bestFit="1" customWidth="1"/>
    <col min="7966" max="7966" width="9.85546875" style="458" bestFit="1" customWidth="1"/>
    <col min="7967" max="7971" width="9.140625" style="458"/>
    <col min="7972" max="7972" width="11" style="458" customWidth="1"/>
    <col min="7973" max="7974" width="11.28515625" style="458" customWidth="1"/>
    <col min="7975" max="7975" width="11.5703125" style="458" customWidth="1"/>
    <col min="7976" max="7976" width="11.28515625" style="458" customWidth="1"/>
    <col min="7977" max="7977" width="11.7109375" style="458" customWidth="1"/>
    <col min="7978" max="7978" width="10.7109375" style="458" customWidth="1"/>
    <col min="7979" max="7979" width="9.5703125" style="458" customWidth="1"/>
    <col min="7980" max="7980" width="10.28515625" style="458" customWidth="1"/>
    <col min="7981" max="8192" width="9.140625" style="458"/>
    <col min="8193" max="8193" width="2.140625" style="458" customWidth="1"/>
    <col min="8194" max="8196" width="9.140625" style="458"/>
    <col min="8197" max="8197" width="11.7109375" style="458" bestFit="1" customWidth="1"/>
    <col min="8198" max="8198" width="9.28515625" style="458" bestFit="1" customWidth="1"/>
    <col min="8199" max="8199" width="9.140625" style="458"/>
    <col min="8200" max="8200" width="9.28515625" style="458" bestFit="1" customWidth="1"/>
    <col min="8201" max="8201" width="9.140625" style="458"/>
    <col min="8202" max="8202" width="9.28515625" style="458" bestFit="1" customWidth="1"/>
    <col min="8203" max="8203" width="10" style="458" bestFit="1" customWidth="1"/>
    <col min="8204" max="8212" width="9.140625" style="458"/>
    <col min="8213" max="8213" width="12.42578125" style="458" customWidth="1"/>
    <col min="8214" max="8221" width="9.28515625" style="458" bestFit="1" customWidth="1"/>
    <col min="8222" max="8222" width="9.85546875" style="458" bestFit="1" customWidth="1"/>
    <col min="8223" max="8227" width="9.140625" style="458"/>
    <col min="8228" max="8228" width="11" style="458" customWidth="1"/>
    <col min="8229" max="8230" width="11.28515625" style="458" customWidth="1"/>
    <col min="8231" max="8231" width="11.5703125" style="458" customWidth="1"/>
    <col min="8232" max="8232" width="11.28515625" style="458" customWidth="1"/>
    <col min="8233" max="8233" width="11.7109375" style="458" customWidth="1"/>
    <col min="8234" max="8234" width="10.7109375" style="458" customWidth="1"/>
    <col min="8235" max="8235" width="9.5703125" style="458" customWidth="1"/>
    <col min="8236" max="8236" width="10.28515625" style="458" customWidth="1"/>
    <col min="8237" max="8448" width="9.140625" style="458"/>
    <col min="8449" max="8449" width="2.140625" style="458" customWidth="1"/>
    <col min="8450" max="8452" width="9.140625" style="458"/>
    <col min="8453" max="8453" width="11.7109375" style="458" bestFit="1" customWidth="1"/>
    <col min="8454" max="8454" width="9.28515625" style="458" bestFit="1" customWidth="1"/>
    <col min="8455" max="8455" width="9.140625" style="458"/>
    <col min="8456" max="8456" width="9.28515625" style="458" bestFit="1" customWidth="1"/>
    <col min="8457" max="8457" width="9.140625" style="458"/>
    <col min="8458" max="8458" width="9.28515625" style="458" bestFit="1" customWidth="1"/>
    <col min="8459" max="8459" width="10" style="458" bestFit="1" customWidth="1"/>
    <col min="8460" max="8468" width="9.140625" style="458"/>
    <col min="8469" max="8469" width="12.42578125" style="458" customWidth="1"/>
    <col min="8470" max="8477" width="9.28515625" style="458" bestFit="1" customWidth="1"/>
    <col min="8478" max="8478" width="9.85546875" style="458" bestFit="1" customWidth="1"/>
    <col min="8479" max="8483" width="9.140625" style="458"/>
    <col min="8484" max="8484" width="11" style="458" customWidth="1"/>
    <col min="8485" max="8486" width="11.28515625" style="458" customWidth="1"/>
    <col min="8487" max="8487" width="11.5703125" style="458" customWidth="1"/>
    <col min="8488" max="8488" width="11.28515625" style="458" customWidth="1"/>
    <col min="8489" max="8489" width="11.7109375" style="458" customWidth="1"/>
    <col min="8490" max="8490" width="10.7109375" style="458" customWidth="1"/>
    <col min="8491" max="8491" width="9.5703125" style="458" customWidth="1"/>
    <col min="8492" max="8492" width="10.28515625" style="458" customWidth="1"/>
    <col min="8493" max="8704" width="9.140625" style="458"/>
    <col min="8705" max="8705" width="2.140625" style="458" customWidth="1"/>
    <col min="8706" max="8708" width="9.140625" style="458"/>
    <col min="8709" max="8709" width="11.7109375" style="458" bestFit="1" customWidth="1"/>
    <col min="8710" max="8710" width="9.28515625" style="458" bestFit="1" customWidth="1"/>
    <col min="8711" max="8711" width="9.140625" style="458"/>
    <col min="8712" max="8712" width="9.28515625" style="458" bestFit="1" customWidth="1"/>
    <col min="8713" max="8713" width="9.140625" style="458"/>
    <col min="8714" max="8714" width="9.28515625" style="458" bestFit="1" customWidth="1"/>
    <col min="8715" max="8715" width="10" style="458" bestFit="1" customWidth="1"/>
    <col min="8716" max="8724" width="9.140625" style="458"/>
    <col min="8725" max="8725" width="12.42578125" style="458" customWidth="1"/>
    <col min="8726" max="8733" width="9.28515625" style="458" bestFit="1" customWidth="1"/>
    <col min="8734" max="8734" width="9.85546875" style="458" bestFit="1" customWidth="1"/>
    <col min="8735" max="8739" width="9.140625" style="458"/>
    <col min="8740" max="8740" width="11" style="458" customWidth="1"/>
    <col min="8741" max="8742" width="11.28515625" style="458" customWidth="1"/>
    <col min="8743" max="8743" width="11.5703125" style="458" customWidth="1"/>
    <col min="8744" max="8744" width="11.28515625" style="458" customWidth="1"/>
    <col min="8745" max="8745" width="11.7109375" style="458" customWidth="1"/>
    <col min="8746" max="8746" width="10.7109375" style="458" customWidth="1"/>
    <col min="8747" max="8747" width="9.5703125" style="458" customWidth="1"/>
    <col min="8748" max="8748" width="10.28515625" style="458" customWidth="1"/>
    <col min="8749" max="8960" width="9.140625" style="458"/>
    <col min="8961" max="8961" width="2.140625" style="458" customWidth="1"/>
    <col min="8962" max="8964" width="9.140625" style="458"/>
    <col min="8965" max="8965" width="11.7109375" style="458" bestFit="1" customWidth="1"/>
    <col min="8966" max="8966" width="9.28515625" style="458" bestFit="1" customWidth="1"/>
    <col min="8967" max="8967" width="9.140625" style="458"/>
    <col min="8968" max="8968" width="9.28515625" style="458" bestFit="1" customWidth="1"/>
    <col min="8969" max="8969" width="9.140625" style="458"/>
    <col min="8970" max="8970" width="9.28515625" style="458" bestFit="1" customWidth="1"/>
    <col min="8971" max="8971" width="10" style="458" bestFit="1" customWidth="1"/>
    <col min="8972" max="8980" width="9.140625" style="458"/>
    <col min="8981" max="8981" width="12.42578125" style="458" customWidth="1"/>
    <col min="8982" max="8989" width="9.28515625" style="458" bestFit="1" customWidth="1"/>
    <col min="8990" max="8990" width="9.85546875" style="458" bestFit="1" customWidth="1"/>
    <col min="8991" max="8995" width="9.140625" style="458"/>
    <col min="8996" max="8996" width="11" style="458" customWidth="1"/>
    <col min="8997" max="8998" width="11.28515625" style="458" customWidth="1"/>
    <col min="8999" max="8999" width="11.5703125" style="458" customWidth="1"/>
    <col min="9000" max="9000" width="11.28515625" style="458" customWidth="1"/>
    <col min="9001" max="9001" width="11.7109375" style="458" customWidth="1"/>
    <col min="9002" max="9002" width="10.7109375" style="458" customWidth="1"/>
    <col min="9003" max="9003" width="9.5703125" style="458" customWidth="1"/>
    <col min="9004" max="9004" width="10.28515625" style="458" customWidth="1"/>
    <col min="9005" max="9216" width="9.140625" style="458"/>
    <col min="9217" max="9217" width="2.140625" style="458" customWidth="1"/>
    <col min="9218" max="9220" width="9.140625" style="458"/>
    <col min="9221" max="9221" width="11.7109375" style="458" bestFit="1" customWidth="1"/>
    <col min="9222" max="9222" width="9.28515625" style="458" bestFit="1" customWidth="1"/>
    <col min="9223" max="9223" width="9.140625" style="458"/>
    <col min="9224" max="9224" width="9.28515625" style="458" bestFit="1" customWidth="1"/>
    <col min="9225" max="9225" width="9.140625" style="458"/>
    <col min="9226" max="9226" width="9.28515625" style="458" bestFit="1" customWidth="1"/>
    <col min="9227" max="9227" width="10" style="458" bestFit="1" customWidth="1"/>
    <col min="9228" max="9236" width="9.140625" style="458"/>
    <col min="9237" max="9237" width="12.42578125" style="458" customWidth="1"/>
    <col min="9238" max="9245" width="9.28515625" style="458" bestFit="1" customWidth="1"/>
    <col min="9246" max="9246" width="9.85546875" style="458" bestFit="1" customWidth="1"/>
    <col min="9247" max="9251" width="9.140625" style="458"/>
    <col min="9252" max="9252" width="11" style="458" customWidth="1"/>
    <col min="9253" max="9254" width="11.28515625" style="458" customWidth="1"/>
    <col min="9255" max="9255" width="11.5703125" style="458" customWidth="1"/>
    <col min="9256" max="9256" width="11.28515625" style="458" customWidth="1"/>
    <col min="9257" max="9257" width="11.7109375" style="458" customWidth="1"/>
    <col min="9258" max="9258" width="10.7109375" style="458" customWidth="1"/>
    <col min="9259" max="9259" width="9.5703125" style="458" customWidth="1"/>
    <col min="9260" max="9260" width="10.28515625" style="458" customWidth="1"/>
    <col min="9261" max="9472" width="9.140625" style="458"/>
    <col min="9473" max="9473" width="2.140625" style="458" customWidth="1"/>
    <col min="9474" max="9476" width="9.140625" style="458"/>
    <col min="9477" max="9477" width="11.7109375" style="458" bestFit="1" customWidth="1"/>
    <col min="9478" max="9478" width="9.28515625" style="458" bestFit="1" customWidth="1"/>
    <col min="9479" max="9479" width="9.140625" style="458"/>
    <col min="9480" max="9480" width="9.28515625" style="458" bestFit="1" customWidth="1"/>
    <col min="9481" max="9481" width="9.140625" style="458"/>
    <col min="9482" max="9482" width="9.28515625" style="458" bestFit="1" customWidth="1"/>
    <col min="9483" max="9483" width="10" style="458" bestFit="1" customWidth="1"/>
    <col min="9484" max="9492" width="9.140625" style="458"/>
    <col min="9493" max="9493" width="12.42578125" style="458" customWidth="1"/>
    <col min="9494" max="9501" width="9.28515625" style="458" bestFit="1" customWidth="1"/>
    <col min="9502" max="9502" width="9.85546875" style="458" bestFit="1" customWidth="1"/>
    <col min="9503" max="9507" width="9.140625" style="458"/>
    <col min="9508" max="9508" width="11" style="458" customWidth="1"/>
    <col min="9509" max="9510" width="11.28515625" style="458" customWidth="1"/>
    <col min="9511" max="9511" width="11.5703125" style="458" customWidth="1"/>
    <col min="9512" max="9512" width="11.28515625" style="458" customWidth="1"/>
    <col min="9513" max="9513" width="11.7109375" style="458" customWidth="1"/>
    <col min="9514" max="9514" width="10.7109375" style="458" customWidth="1"/>
    <col min="9515" max="9515" width="9.5703125" style="458" customWidth="1"/>
    <col min="9516" max="9516" width="10.28515625" style="458" customWidth="1"/>
    <col min="9517" max="9728" width="9.140625" style="458"/>
    <col min="9729" max="9729" width="2.140625" style="458" customWidth="1"/>
    <col min="9730" max="9732" width="9.140625" style="458"/>
    <col min="9733" max="9733" width="11.7109375" style="458" bestFit="1" customWidth="1"/>
    <col min="9734" max="9734" width="9.28515625" style="458" bestFit="1" customWidth="1"/>
    <col min="9735" max="9735" width="9.140625" style="458"/>
    <col min="9736" max="9736" width="9.28515625" style="458" bestFit="1" customWidth="1"/>
    <col min="9737" max="9737" width="9.140625" style="458"/>
    <col min="9738" max="9738" width="9.28515625" style="458" bestFit="1" customWidth="1"/>
    <col min="9739" max="9739" width="10" style="458" bestFit="1" customWidth="1"/>
    <col min="9740" max="9748" width="9.140625" style="458"/>
    <col min="9749" max="9749" width="12.42578125" style="458" customWidth="1"/>
    <col min="9750" max="9757" width="9.28515625" style="458" bestFit="1" customWidth="1"/>
    <col min="9758" max="9758" width="9.85546875" style="458" bestFit="1" customWidth="1"/>
    <col min="9759" max="9763" width="9.140625" style="458"/>
    <col min="9764" max="9764" width="11" style="458" customWidth="1"/>
    <col min="9765" max="9766" width="11.28515625" style="458" customWidth="1"/>
    <col min="9767" max="9767" width="11.5703125" style="458" customWidth="1"/>
    <col min="9768" max="9768" width="11.28515625" style="458" customWidth="1"/>
    <col min="9769" max="9769" width="11.7109375" style="458" customWidth="1"/>
    <col min="9770" max="9770" width="10.7109375" style="458" customWidth="1"/>
    <col min="9771" max="9771" width="9.5703125" style="458" customWidth="1"/>
    <col min="9772" max="9772" width="10.28515625" style="458" customWidth="1"/>
    <col min="9773" max="9984" width="9.140625" style="458"/>
    <col min="9985" max="9985" width="2.140625" style="458" customWidth="1"/>
    <col min="9986" max="9988" width="9.140625" style="458"/>
    <col min="9989" max="9989" width="11.7109375" style="458" bestFit="1" customWidth="1"/>
    <col min="9990" max="9990" width="9.28515625" style="458" bestFit="1" customWidth="1"/>
    <col min="9991" max="9991" width="9.140625" style="458"/>
    <col min="9992" max="9992" width="9.28515625" style="458" bestFit="1" customWidth="1"/>
    <col min="9993" max="9993" width="9.140625" style="458"/>
    <col min="9994" max="9994" width="9.28515625" style="458" bestFit="1" customWidth="1"/>
    <col min="9995" max="9995" width="10" style="458" bestFit="1" customWidth="1"/>
    <col min="9996" max="10004" width="9.140625" style="458"/>
    <col min="10005" max="10005" width="12.42578125" style="458" customWidth="1"/>
    <col min="10006" max="10013" width="9.28515625" style="458" bestFit="1" customWidth="1"/>
    <col min="10014" max="10014" width="9.85546875" style="458" bestFit="1" customWidth="1"/>
    <col min="10015" max="10019" width="9.140625" style="458"/>
    <col min="10020" max="10020" width="11" style="458" customWidth="1"/>
    <col min="10021" max="10022" width="11.28515625" style="458" customWidth="1"/>
    <col min="10023" max="10023" width="11.5703125" style="458" customWidth="1"/>
    <col min="10024" max="10024" width="11.28515625" style="458" customWidth="1"/>
    <col min="10025" max="10025" width="11.7109375" style="458" customWidth="1"/>
    <col min="10026" max="10026" width="10.7109375" style="458" customWidth="1"/>
    <col min="10027" max="10027" width="9.5703125" style="458" customWidth="1"/>
    <col min="10028" max="10028" width="10.28515625" style="458" customWidth="1"/>
    <col min="10029" max="10240" width="9.140625" style="458"/>
    <col min="10241" max="10241" width="2.140625" style="458" customWidth="1"/>
    <col min="10242" max="10244" width="9.140625" style="458"/>
    <col min="10245" max="10245" width="11.7109375" style="458" bestFit="1" customWidth="1"/>
    <col min="10246" max="10246" width="9.28515625" style="458" bestFit="1" customWidth="1"/>
    <col min="10247" max="10247" width="9.140625" style="458"/>
    <col min="10248" max="10248" width="9.28515625" style="458" bestFit="1" customWidth="1"/>
    <col min="10249" max="10249" width="9.140625" style="458"/>
    <col min="10250" max="10250" width="9.28515625" style="458" bestFit="1" customWidth="1"/>
    <col min="10251" max="10251" width="10" style="458" bestFit="1" customWidth="1"/>
    <col min="10252" max="10260" width="9.140625" style="458"/>
    <col min="10261" max="10261" width="12.42578125" style="458" customWidth="1"/>
    <col min="10262" max="10269" width="9.28515625" style="458" bestFit="1" customWidth="1"/>
    <col min="10270" max="10270" width="9.85546875" style="458" bestFit="1" customWidth="1"/>
    <col min="10271" max="10275" width="9.140625" style="458"/>
    <col min="10276" max="10276" width="11" style="458" customWidth="1"/>
    <col min="10277" max="10278" width="11.28515625" style="458" customWidth="1"/>
    <col min="10279" max="10279" width="11.5703125" style="458" customWidth="1"/>
    <col min="10280" max="10280" width="11.28515625" style="458" customWidth="1"/>
    <col min="10281" max="10281" width="11.7109375" style="458" customWidth="1"/>
    <col min="10282" max="10282" width="10.7109375" style="458" customWidth="1"/>
    <col min="10283" max="10283" width="9.5703125" style="458" customWidth="1"/>
    <col min="10284" max="10284" width="10.28515625" style="458" customWidth="1"/>
    <col min="10285" max="10496" width="9.140625" style="458"/>
    <col min="10497" max="10497" width="2.140625" style="458" customWidth="1"/>
    <col min="10498" max="10500" width="9.140625" style="458"/>
    <col min="10501" max="10501" width="11.7109375" style="458" bestFit="1" customWidth="1"/>
    <col min="10502" max="10502" width="9.28515625" style="458" bestFit="1" customWidth="1"/>
    <col min="10503" max="10503" width="9.140625" style="458"/>
    <col min="10504" max="10504" width="9.28515625" style="458" bestFit="1" customWidth="1"/>
    <col min="10505" max="10505" width="9.140625" style="458"/>
    <col min="10506" max="10506" width="9.28515625" style="458" bestFit="1" customWidth="1"/>
    <col min="10507" max="10507" width="10" style="458" bestFit="1" customWidth="1"/>
    <col min="10508" max="10516" width="9.140625" style="458"/>
    <col min="10517" max="10517" width="12.42578125" style="458" customWidth="1"/>
    <col min="10518" max="10525" width="9.28515625" style="458" bestFit="1" customWidth="1"/>
    <col min="10526" max="10526" width="9.85546875" style="458" bestFit="1" customWidth="1"/>
    <col min="10527" max="10531" width="9.140625" style="458"/>
    <col min="10532" max="10532" width="11" style="458" customWidth="1"/>
    <col min="10533" max="10534" width="11.28515625" style="458" customWidth="1"/>
    <col min="10535" max="10535" width="11.5703125" style="458" customWidth="1"/>
    <col min="10536" max="10536" width="11.28515625" style="458" customWidth="1"/>
    <col min="10537" max="10537" width="11.7109375" style="458" customWidth="1"/>
    <col min="10538" max="10538" width="10.7109375" style="458" customWidth="1"/>
    <col min="10539" max="10539" width="9.5703125" style="458" customWidth="1"/>
    <col min="10540" max="10540" width="10.28515625" style="458" customWidth="1"/>
    <col min="10541" max="10752" width="9.140625" style="458"/>
    <col min="10753" max="10753" width="2.140625" style="458" customWidth="1"/>
    <col min="10754" max="10756" width="9.140625" style="458"/>
    <col min="10757" max="10757" width="11.7109375" style="458" bestFit="1" customWidth="1"/>
    <col min="10758" max="10758" width="9.28515625" style="458" bestFit="1" customWidth="1"/>
    <col min="10759" max="10759" width="9.140625" style="458"/>
    <col min="10760" max="10760" width="9.28515625" style="458" bestFit="1" customWidth="1"/>
    <col min="10761" max="10761" width="9.140625" style="458"/>
    <col min="10762" max="10762" width="9.28515625" style="458" bestFit="1" customWidth="1"/>
    <col min="10763" max="10763" width="10" style="458" bestFit="1" customWidth="1"/>
    <col min="10764" max="10772" width="9.140625" style="458"/>
    <col min="10773" max="10773" width="12.42578125" style="458" customWidth="1"/>
    <col min="10774" max="10781" width="9.28515625" style="458" bestFit="1" customWidth="1"/>
    <col min="10782" max="10782" width="9.85546875" style="458" bestFit="1" customWidth="1"/>
    <col min="10783" max="10787" width="9.140625" style="458"/>
    <col min="10788" max="10788" width="11" style="458" customWidth="1"/>
    <col min="10789" max="10790" width="11.28515625" style="458" customWidth="1"/>
    <col min="10791" max="10791" width="11.5703125" style="458" customWidth="1"/>
    <col min="10792" max="10792" width="11.28515625" style="458" customWidth="1"/>
    <col min="10793" max="10793" width="11.7109375" style="458" customWidth="1"/>
    <col min="10794" max="10794" width="10.7109375" style="458" customWidth="1"/>
    <col min="10795" max="10795" width="9.5703125" style="458" customWidth="1"/>
    <col min="10796" max="10796" width="10.28515625" style="458" customWidth="1"/>
    <col min="10797" max="11008" width="9.140625" style="458"/>
    <col min="11009" max="11009" width="2.140625" style="458" customWidth="1"/>
    <col min="11010" max="11012" width="9.140625" style="458"/>
    <col min="11013" max="11013" width="11.7109375" style="458" bestFit="1" customWidth="1"/>
    <col min="11014" max="11014" width="9.28515625" style="458" bestFit="1" customWidth="1"/>
    <col min="11015" max="11015" width="9.140625" style="458"/>
    <col min="11016" max="11016" width="9.28515625" style="458" bestFit="1" customWidth="1"/>
    <col min="11017" max="11017" width="9.140625" style="458"/>
    <col min="11018" max="11018" width="9.28515625" style="458" bestFit="1" customWidth="1"/>
    <col min="11019" max="11019" width="10" style="458" bestFit="1" customWidth="1"/>
    <col min="11020" max="11028" width="9.140625" style="458"/>
    <col min="11029" max="11029" width="12.42578125" style="458" customWidth="1"/>
    <col min="11030" max="11037" width="9.28515625" style="458" bestFit="1" customWidth="1"/>
    <col min="11038" max="11038" width="9.85546875" style="458" bestFit="1" customWidth="1"/>
    <col min="11039" max="11043" width="9.140625" style="458"/>
    <col min="11044" max="11044" width="11" style="458" customWidth="1"/>
    <col min="11045" max="11046" width="11.28515625" style="458" customWidth="1"/>
    <col min="11047" max="11047" width="11.5703125" style="458" customWidth="1"/>
    <col min="11048" max="11048" width="11.28515625" style="458" customWidth="1"/>
    <col min="11049" max="11049" width="11.7109375" style="458" customWidth="1"/>
    <col min="11050" max="11050" width="10.7109375" style="458" customWidth="1"/>
    <col min="11051" max="11051" width="9.5703125" style="458" customWidth="1"/>
    <col min="11052" max="11052" width="10.28515625" style="458" customWidth="1"/>
    <col min="11053" max="11264" width="9.140625" style="458"/>
    <col min="11265" max="11265" width="2.140625" style="458" customWidth="1"/>
    <col min="11266" max="11268" width="9.140625" style="458"/>
    <col min="11269" max="11269" width="11.7109375" style="458" bestFit="1" customWidth="1"/>
    <col min="11270" max="11270" width="9.28515625" style="458" bestFit="1" customWidth="1"/>
    <col min="11271" max="11271" width="9.140625" style="458"/>
    <col min="11272" max="11272" width="9.28515625" style="458" bestFit="1" customWidth="1"/>
    <col min="11273" max="11273" width="9.140625" style="458"/>
    <col min="11274" max="11274" width="9.28515625" style="458" bestFit="1" customWidth="1"/>
    <col min="11275" max="11275" width="10" style="458" bestFit="1" customWidth="1"/>
    <col min="11276" max="11284" width="9.140625" style="458"/>
    <col min="11285" max="11285" width="12.42578125" style="458" customWidth="1"/>
    <col min="11286" max="11293" width="9.28515625" style="458" bestFit="1" customWidth="1"/>
    <col min="11294" max="11294" width="9.85546875" style="458" bestFit="1" customWidth="1"/>
    <col min="11295" max="11299" width="9.140625" style="458"/>
    <col min="11300" max="11300" width="11" style="458" customWidth="1"/>
    <col min="11301" max="11302" width="11.28515625" style="458" customWidth="1"/>
    <col min="11303" max="11303" width="11.5703125" style="458" customWidth="1"/>
    <col min="11304" max="11304" width="11.28515625" style="458" customWidth="1"/>
    <col min="11305" max="11305" width="11.7109375" style="458" customWidth="1"/>
    <col min="11306" max="11306" width="10.7109375" style="458" customWidth="1"/>
    <col min="11307" max="11307" width="9.5703125" style="458" customWidth="1"/>
    <col min="11308" max="11308" width="10.28515625" style="458" customWidth="1"/>
    <col min="11309" max="11520" width="9.140625" style="458"/>
    <col min="11521" max="11521" width="2.140625" style="458" customWidth="1"/>
    <col min="11522" max="11524" width="9.140625" style="458"/>
    <col min="11525" max="11525" width="11.7109375" style="458" bestFit="1" customWidth="1"/>
    <col min="11526" max="11526" width="9.28515625" style="458" bestFit="1" customWidth="1"/>
    <col min="11527" max="11527" width="9.140625" style="458"/>
    <col min="11528" max="11528" width="9.28515625" style="458" bestFit="1" customWidth="1"/>
    <col min="11529" max="11529" width="9.140625" style="458"/>
    <col min="11530" max="11530" width="9.28515625" style="458" bestFit="1" customWidth="1"/>
    <col min="11531" max="11531" width="10" style="458" bestFit="1" customWidth="1"/>
    <col min="11532" max="11540" width="9.140625" style="458"/>
    <col min="11541" max="11541" width="12.42578125" style="458" customWidth="1"/>
    <col min="11542" max="11549" width="9.28515625" style="458" bestFit="1" customWidth="1"/>
    <col min="11550" max="11550" width="9.85546875" style="458" bestFit="1" customWidth="1"/>
    <col min="11551" max="11555" width="9.140625" style="458"/>
    <col min="11556" max="11556" width="11" style="458" customWidth="1"/>
    <col min="11557" max="11558" width="11.28515625" style="458" customWidth="1"/>
    <col min="11559" max="11559" width="11.5703125" style="458" customWidth="1"/>
    <col min="11560" max="11560" width="11.28515625" style="458" customWidth="1"/>
    <col min="11561" max="11561" width="11.7109375" style="458" customWidth="1"/>
    <col min="11562" max="11562" width="10.7109375" style="458" customWidth="1"/>
    <col min="11563" max="11563" width="9.5703125" style="458" customWidth="1"/>
    <col min="11564" max="11564" width="10.28515625" style="458" customWidth="1"/>
    <col min="11565" max="11776" width="9.140625" style="458"/>
    <col min="11777" max="11777" width="2.140625" style="458" customWidth="1"/>
    <col min="11778" max="11780" width="9.140625" style="458"/>
    <col min="11781" max="11781" width="11.7109375" style="458" bestFit="1" customWidth="1"/>
    <col min="11782" max="11782" width="9.28515625" style="458" bestFit="1" customWidth="1"/>
    <col min="11783" max="11783" width="9.140625" style="458"/>
    <col min="11784" max="11784" width="9.28515625" style="458" bestFit="1" customWidth="1"/>
    <col min="11785" max="11785" width="9.140625" style="458"/>
    <col min="11786" max="11786" width="9.28515625" style="458" bestFit="1" customWidth="1"/>
    <col min="11787" max="11787" width="10" style="458" bestFit="1" customWidth="1"/>
    <col min="11788" max="11796" width="9.140625" style="458"/>
    <col min="11797" max="11797" width="12.42578125" style="458" customWidth="1"/>
    <col min="11798" max="11805" width="9.28515625" style="458" bestFit="1" customWidth="1"/>
    <col min="11806" max="11806" width="9.85546875" style="458" bestFit="1" customWidth="1"/>
    <col min="11807" max="11811" width="9.140625" style="458"/>
    <col min="11812" max="11812" width="11" style="458" customWidth="1"/>
    <col min="11813" max="11814" width="11.28515625" style="458" customWidth="1"/>
    <col min="11815" max="11815" width="11.5703125" style="458" customWidth="1"/>
    <col min="11816" max="11816" width="11.28515625" style="458" customWidth="1"/>
    <col min="11817" max="11817" width="11.7109375" style="458" customWidth="1"/>
    <col min="11818" max="11818" width="10.7109375" style="458" customWidth="1"/>
    <col min="11819" max="11819" width="9.5703125" style="458" customWidth="1"/>
    <col min="11820" max="11820" width="10.28515625" style="458" customWidth="1"/>
    <col min="11821" max="12032" width="9.140625" style="458"/>
    <col min="12033" max="12033" width="2.140625" style="458" customWidth="1"/>
    <col min="12034" max="12036" width="9.140625" style="458"/>
    <col min="12037" max="12037" width="11.7109375" style="458" bestFit="1" customWidth="1"/>
    <col min="12038" max="12038" width="9.28515625" style="458" bestFit="1" customWidth="1"/>
    <col min="12039" max="12039" width="9.140625" style="458"/>
    <col min="12040" max="12040" width="9.28515625" style="458" bestFit="1" customWidth="1"/>
    <col min="12041" max="12041" width="9.140625" style="458"/>
    <col min="12042" max="12042" width="9.28515625" style="458" bestFit="1" customWidth="1"/>
    <col min="12043" max="12043" width="10" style="458" bestFit="1" customWidth="1"/>
    <col min="12044" max="12052" width="9.140625" style="458"/>
    <col min="12053" max="12053" width="12.42578125" style="458" customWidth="1"/>
    <col min="12054" max="12061" width="9.28515625" style="458" bestFit="1" customWidth="1"/>
    <col min="12062" max="12062" width="9.85546875" style="458" bestFit="1" customWidth="1"/>
    <col min="12063" max="12067" width="9.140625" style="458"/>
    <col min="12068" max="12068" width="11" style="458" customWidth="1"/>
    <col min="12069" max="12070" width="11.28515625" style="458" customWidth="1"/>
    <col min="12071" max="12071" width="11.5703125" style="458" customWidth="1"/>
    <col min="12072" max="12072" width="11.28515625" style="458" customWidth="1"/>
    <col min="12073" max="12073" width="11.7109375" style="458" customWidth="1"/>
    <col min="12074" max="12074" width="10.7109375" style="458" customWidth="1"/>
    <col min="12075" max="12075" width="9.5703125" style="458" customWidth="1"/>
    <col min="12076" max="12076" width="10.28515625" style="458" customWidth="1"/>
    <col min="12077" max="12288" width="9.140625" style="458"/>
    <col min="12289" max="12289" width="2.140625" style="458" customWidth="1"/>
    <col min="12290" max="12292" width="9.140625" style="458"/>
    <col min="12293" max="12293" width="11.7109375" style="458" bestFit="1" customWidth="1"/>
    <col min="12294" max="12294" width="9.28515625" style="458" bestFit="1" customWidth="1"/>
    <col min="12295" max="12295" width="9.140625" style="458"/>
    <col min="12296" max="12296" width="9.28515625" style="458" bestFit="1" customWidth="1"/>
    <col min="12297" max="12297" width="9.140625" style="458"/>
    <col min="12298" max="12298" width="9.28515625" style="458" bestFit="1" customWidth="1"/>
    <col min="12299" max="12299" width="10" style="458" bestFit="1" customWidth="1"/>
    <col min="12300" max="12308" width="9.140625" style="458"/>
    <col min="12309" max="12309" width="12.42578125" style="458" customWidth="1"/>
    <col min="12310" max="12317" width="9.28515625" style="458" bestFit="1" customWidth="1"/>
    <col min="12318" max="12318" width="9.85546875" style="458" bestFit="1" customWidth="1"/>
    <col min="12319" max="12323" width="9.140625" style="458"/>
    <col min="12324" max="12324" width="11" style="458" customWidth="1"/>
    <col min="12325" max="12326" width="11.28515625" style="458" customWidth="1"/>
    <col min="12327" max="12327" width="11.5703125" style="458" customWidth="1"/>
    <col min="12328" max="12328" width="11.28515625" style="458" customWidth="1"/>
    <col min="12329" max="12329" width="11.7109375" style="458" customWidth="1"/>
    <col min="12330" max="12330" width="10.7109375" style="458" customWidth="1"/>
    <col min="12331" max="12331" width="9.5703125" style="458" customWidth="1"/>
    <col min="12332" max="12332" width="10.28515625" style="458" customWidth="1"/>
    <col min="12333" max="12544" width="9.140625" style="458"/>
    <col min="12545" max="12545" width="2.140625" style="458" customWidth="1"/>
    <col min="12546" max="12548" width="9.140625" style="458"/>
    <col min="12549" max="12549" width="11.7109375" style="458" bestFit="1" customWidth="1"/>
    <col min="12550" max="12550" width="9.28515625" style="458" bestFit="1" customWidth="1"/>
    <col min="12551" max="12551" width="9.140625" style="458"/>
    <col min="12552" max="12552" width="9.28515625" style="458" bestFit="1" customWidth="1"/>
    <col min="12553" max="12553" width="9.140625" style="458"/>
    <col min="12554" max="12554" width="9.28515625" style="458" bestFit="1" customWidth="1"/>
    <col min="12555" max="12555" width="10" style="458" bestFit="1" customWidth="1"/>
    <col min="12556" max="12564" width="9.140625" style="458"/>
    <col min="12565" max="12565" width="12.42578125" style="458" customWidth="1"/>
    <col min="12566" max="12573" width="9.28515625" style="458" bestFit="1" customWidth="1"/>
    <col min="12574" max="12574" width="9.85546875" style="458" bestFit="1" customWidth="1"/>
    <col min="12575" max="12579" width="9.140625" style="458"/>
    <col min="12580" max="12580" width="11" style="458" customWidth="1"/>
    <col min="12581" max="12582" width="11.28515625" style="458" customWidth="1"/>
    <col min="12583" max="12583" width="11.5703125" style="458" customWidth="1"/>
    <col min="12584" max="12584" width="11.28515625" style="458" customWidth="1"/>
    <col min="12585" max="12585" width="11.7109375" style="458" customWidth="1"/>
    <col min="12586" max="12586" width="10.7109375" style="458" customWidth="1"/>
    <col min="12587" max="12587" width="9.5703125" style="458" customWidth="1"/>
    <col min="12588" max="12588" width="10.28515625" style="458" customWidth="1"/>
    <col min="12589" max="12800" width="9.140625" style="458"/>
    <col min="12801" max="12801" width="2.140625" style="458" customWidth="1"/>
    <col min="12802" max="12804" width="9.140625" style="458"/>
    <col min="12805" max="12805" width="11.7109375" style="458" bestFit="1" customWidth="1"/>
    <col min="12806" max="12806" width="9.28515625" style="458" bestFit="1" customWidth="1"/>
    <col min="12807" max="12807" width="9.140625" style="458"/>
    <col min="12808" max="12808" width="9.28515625" style="458" bestFit="1" customWidth="1"/>
    <col min="12809" max="12809" width="9.140625" style="458"/>
    <col min="12810" max="12810" width="9.28515625" style="458" bestFit="1" customWidth="1"/>
    <col min="12811" max="12811" width="10" style="458" bestFit="1" customWidth="1"/>
    <col min="12812" max="12820" width="9.140625" style="458"/>
    <col min="12821" max="12821" width="12.42578125" style="458" customWidth="1"/>
    <col min="12822" max="12829" width="9.28515625" style="458" bestFit="1" customWidth="1"/>
    <col min="12830" max="12830" width="9.85546875" style="458" bestFit="1" customWidth="1"/>
    <col min="12831" max="12835" width="9.140625" style="458"/>
    <col min="12836" max="12836" width="11" style="458" customWidth="1"/>
    <col min="12837" max="12838" width="11.28515625" style="458" customWidth="1"/>
    <col min="12839" max="12839" width="11.5703125" style="458" customWidth="1"/>
    <col min="12840" max="12840" width="11.28515625" style="458" customWidth="1"/>
    <col min="12841" max="12841" width="11.7109375" style="458" customWidth="1"/>
    <col min="12842" max="12842" width="10.7109375" style="458" customWidth="1"/>
    <col min="12843" max="12843" width="9.5703125" style="458" customWidth="1"/>
    <col min="12844" max="12844" width="10.28515625" style="458" customWidth="1"/>
    <col min="12845" max="13056" width="9.140625" style="458"/>
    <col min="13057" max="13057" width="2.140625" style="458" customWidth="1"/>
    <col min="13058" max="13060" width="9.140625" style="458"/>
    <col min="13061" max="13061" width="11.7109375" style="458" bestFit="1" customWidth="1"/>
    <col min="13062" max="13062" width="9.28515625" style="458" bestFit="1" customWidth="1"/>
    <col min="13063" max="13063" width="9.140625" style="458"/>
    <col min="13064" max="13064" width="9.28515625" style="458" bestFit="1" customWidth="1"/>
    <col min="13065" max="13065" width="9.140625" style="458"/>
    <col min="13066" max="13066" width="9.28515625" style="458" bestFit="1" customWidth="1"/>
    <col min="13067" max="13067" width="10" style="458" bestFit="1" customWidth="1"/>
    <col min="13068" max="13076" width="9.140625" style="458"/>
    <col min="13077" max="13077" width="12.42578125" style="458" customWidth="1"/>
    <col min="13078" max="13085" width="9.28515625" style="458" bestFit="1" customWidth="1"/>
    <col min="13086" max="13086" width="9.85546875" style="458" bestFit="1" customWidth="1"/>
    <col min="13087" max="13091" width="9.140625" style="458"/>
    <col min="13092" max="13092" width="11" style="458" customWidth="1"/>
    <col min="13093" max="13094" width="11.28515625" style="458" customWidth="1"/>
    <col min="13095" max="13095" width="11.5703125" style="458" customWidth="1"/>
    <col min="13096" max="13096" width="11.28515625" style="458" customWidth="1"/>
    <col min="13097" max="13097" width="11.7109375" style="458" customWidth="1"/>
    <col min="13098" max="13098" width="10.7109375" style="458" customWidth="1"/>
    <col min="13099" max="13099" width="9.5703125" style="458" customWidth="1"/>
    <col min="13100" max="13100" width="10.28515625" style="458" customWidth="1"/>
    <col min="13101" max="13312" width="9.140625" style="458"/>
    <col min="13313" max="13313" width="2.140625" style="458" customWidth="1"/>
    <col min="13314" max="13316" width="9.140625" style="458"/>
    <col min="13317" max="13317" width="11.7109375" style="458" bestFit="1" customWidth="1"/>
    <col min="13318" max="13318" width="9.28515625" style="458" bestFit="1" customWidth="1"/>
    <col min="13319" max="13319" width="9.140625" style="458"/>
    <col min="13320" max="13320" width="9.28515625" style="458" bestFit="1" customWidth="1"/>
    <col min="13321" max="13321" width="9.140625" style="458"/>
    <col min="13322" max="13322" width="9.28515625" style="458" bestFit="1" customWidth="1"/>
    <col min="13323" max="13323" width="10" style="458" bestFit="1" customWidth="1"/>
    <col min="13324" max="13332" width="9.140625" style="458"/>
    <col min="13333" max="13333" width="12.42578125" style="458" customWidth="1"/>
    <col min="13334" max="13341" width="9.28515625" style="458" bestFit="1" customWidth="1"/>
    <col min="13342" max="13342" width="9.85546875" style="458" bestFit="1" customWidth="1"/>
    <col min="13343" max="13347" width="9.140625" style="458"/>
    <col min="13348" max="13348" width="11" style="458" customWidth="1"/>
    <col min="13349" max="13350" width="11.28515625" style="458" customWidth="1"/>
    <col min="13351" max="13351" width="11.5703125" style="458" customWidth="1"/>
    <col min="13352" max="13352" width="11.28515625" style="458" customWidth="1"/>
    <col min="13353" max="13353" width="11.7109375" style="458" customWidth="1"/>
    <col min="13354" max="13354" width="10.7109375" style="458" customWidth="1"/>
    <col min="13355" max="13355" width="9.5703125" style="458" customWidth="1"/>
    <col min="13356" max="13356" width="10.28515625" style="458" customWidth="1"/>
    <col min="13357" max="13568" width="9.140625" style="458"/>
    <col min="13569" max="13569" width="2.140625" style="458" customWidth="1"/>
    <col min="13570" max="13572" width="9.140625" style="458"/>
    <col min="13573" max="13573" width="11.7109375" style="458" bestFit="1" customWidth="1"/>
    <col min="13574" max="13574" width="9.28515625" style="458" bestFit="1" customWidth="1"/>
    <col min="13575" max="13575" width="9.140625" style="458"/>
    <col min="13576" max="13576" width="9.28515625" style="458" bestFit="1" customWidth="1"/>
    <col min="13577" max="13577" width="9.140625" style="458"/>
    <col min="13578" max="13578" width="9.28515625" style="458" bestFit="1" customWidth="1"/>
    <col min="13579" max="13579" width="10" style="458" bestFit="1" customWidth="1"/>
    <col min="13580" max="13588" width="9.140625" style="458"/>
    <col min="13589" max="13589" width="12.42578125" style="458" customWidth="1"/>
    <col min="13590" max="13597" width="9.28515625" style="458" bestFit="1" customWidth="1"/>
    <col min="13598" max="13598" width="9.85546875" style="458" bestFit="1" customWidth="1"/>
    <col min="13599" max="13603" width="9.140625" style="458"/>
    <col min="13604" max="13604" width="11" style="458" customWidth="1"/>
    <col min="13605" max="13606" width="11.28515625" style="458" customWidth="1"/>
    <col min="13607" max="13607" width="11.5703125" style="458" customWidth="1"/>
    <col min="13608" max="13608" width="11.28515625" style="458" customWidth="1"/>
    <col min="13609" max="13609" width="11.7109375" style="458" customWidth="1"/>
    <col min="13610" max="13610" width="10.7109375" style="458" customWidth="1"/>
    <col min="13611" max="13611" width="9.5703125" style="458" customWidth="1"/>
    <col min="13612" max="13612" width="10.28515625" style="458" customWidth="1"/>
    <col min="13613" max="13824" width="9.140625" style="458"/>
    <col min="13825" max="13825" width="2.140625" style="458" customWidth="1"/>
    <col min="13826" max="13828" width="9.140625" style="458"/>
    <col min="13829" max="13829" width="11.7109375" style="458" bestFit="1" customWidth="1"/>
    <col min="13830" max="13830" width="9.28515625" style="458" bestFit="1" customWidth="1"/>
    <col min="13831" max="13831" width="9.140625" style="458"/>
    <col min="13832" max="13832" width="9.28515625" style="458" bestFit="1" customWidth="1"/>
    <col min="13833" max="13833" width="9.140625" style="458"/>
    <col min="13834" max="13834" width="9.28515625" style="458" bestFit="1" customWidth="1"/>
    <col min="13835" max="13835" width="10" style="458" bestFit="1" customWidth="1"/>
    <col min="13836" max="13844" width="9.140625" style="458"/>
    <col min="13845" max="13845" width="12.42578125" style="458" customWidth="1"/>
    <col min="13846" max="13853" width="9.28515625" style="458" bestFit="1" customWidth="1"/>
    <col min="13854" max="13854" width="9.85546875" style="458" bestFit="1" customWidth="1"/>
    <col min="13855" max="13859" width="9.140625" style="458"/>
    <col min="13860" max="13860" width="11" style="458" customWidth="1"/>
    <col min="13861" max="13862" width="11.28515625" style="458" customWidth="1"/>
    <col min="13863" max="13863" width="11.5703125" style="458" customWidth="1"/>
    <col min="13864" max="13864" width="11.28515625" style="458" customWidth="1"/>
    <col min="13865" max="13865" width="11.7109375" style="458" customWidth="1"/>
    <col min="13866" max="13866" width="10.7109375" style="458" customWidth="1"/>
    <col min="13867" max="13867" width="9.5703125" style="458" customWidth="1"/>
    <col min="13868" max="13868" width="10.28515625" style="458" customWidth="1"/>
    <col min="13869" max="14080" width="9.140625" style="458"/>
    <col min="14081" max="14081" width="2.140625" style="458" customWidth="1"/>
    <col min="14082" max="14084" width="9.140625" style="458"/>
    <col min="14085" max="14085" width="11.7109375" style="458" bestFit="1" customWidth="1"/>
    <col min="14086" max="14086" width="9.28515625" style="458" bestFit="1" customWidth="1"/>
    <col min="14087" max="14087" width="9.140625" style="458"/>
    <col min="14088" max="14088" width="9.28515625" style="458" bestFit="1" customWidth="1"/>
    <col min="14089" max="14089" width="9.140625" style="458"/>
    <col min="14090" max="14090" width="9.28515625" style="458" bestFit="1" customWidth="1"/>
    <col min="14091" max="14091" width="10" style="458" bestFit="1" customWidth="1"/>
    <col min="14092" max="14100" width="9.140625" style="458"/>
    <col min="14101" max="14101" width="12.42578125" style="458" customWidth="1"/>
    <col min="14102" max="14109" width="9.28515625" style="458" bestFit="1" customWidth="1"/>
    <col min="14110" max="14110" width="9.85546875" style="458" bestFit="1" customWidth="1"/>
    <col min="14111" max="14115" width="9.140625" style="458"/>
    <col min="14116" max="14116" width="11" style="458" customWidth="1"/>
    <col min="14117" max="14118" width="11.28515625" style="458" customWidth="1"/>
    <col min="14119" max="14119" width="11.5703125" style="458" customWidth="1"/>
    <col min="14120" max="14120" width="11.28515625" style="458" customWidth="1"/>
    <col min="14121" max="14121" width="11.7109375" style="458" customWidth="1"/>
    <col min="14122" max="14122" width="10.7109375" style="458" customWidth="1"/>
    <col min="14123" max="14123" width="9.5703125" style="458" customWidth="1"/>
    <col min="14124" max="14124" width="10.28515625" style="458" customWidth="1"/>
    <col min="14125" max="14336" width="9.140625" style="458"/>
    <col min="14337" max="14337" width="2.140625" style="458" customWidth="1"/>
    <col min="14338" max="14340" width="9.140625" style="458"/>
    <col min="14341" max="14341" width="11.7109375" style="458" bestFit="1" customWidth="1"/>
    <col min="14342" max="14342" width="9.28515625" style="458" bestFit="1" customWidth="1"/>
    <col min="14343" max="14343" width="9.140625" style="458"/>
    <col min="14344" max="14344" width="9.28515625" style="458" bestFit="1" customWidth="1"/>
    <col min="14345" max="14345" width="9.140625" style="458"/>
    <col min="14346" max="14346" width="9.28515625" style="458" bestFit="1" customWidth="1"/>
    <col min="14347" max="14347" width="10" style="458" bestFit="1" customWidth="1"/>
    <col min="14348" max="14356" width="9.140625" style="458"/>
    <col min="14357" max="14357" width="12.42578125" style="458" customWidth="1"/>
    <col min="14358" max="14365" width="9.28515625" style="458" bestFit="1" customWidth="1"/>
    <col min="14366" max="14366" width="9.85546875" style="458" bestFit="1" customWidth="1"/>
    <col min="14367" max="14371" width="9.140625" style="458"/>
    <col min="14372" max="14372" width="11" style="458" customWidth="1"/>
    <col min="14373" max="14374" width="11.28515625" style="458" customWidth="1"/>
    <col min="14375" max="14375" width="11.5703125" style="458" customWidth="1"/>
    <col min="14376" max="14376" width="11.28515625" style="458" customWidth="1"/>
    <col min="14377" max="14377" width="11.7109375" style="458" customWidth="1"/>
    <col min="14378" max="14378" width="10.7109375" style="458" customWidth="1"/>
    <col min="14379" max="14379" width="9.5703125" style="458" customWidth="1"/>
    <col min="14380" max="14380" width="10.28515625" style="458" customWidth="1"/>
    <col min="14381" max="14592" width="9.140625" style="458"/>
    <col min="14593" max="14593" width="2.140625" style="458" customWidth="1"/>
    <col min="14594" max="14596" width="9.140625" style="458"/>
    <col min="14597" max="14597" width="11.7109375" style="458" bestFit="1" customWidth="1"/>
    <col min="14598" max="14598" width="9.28515625" style="458" bestFit="1" customWidth="1"/>
    <col min="14599" max="14599" width="9.140625" style="458"/>
    <col min="14600" max="14600" width="9.28515625" style="458" bestFit="1" customWidth="1"/>
    <col min="14601" max="14601" width="9.140625" style="458"/>
    <col min="14602" max="14602" width="9.28515625" style="458" bestFit="1" customWidth="1"/>
    <col min="14603" max="14603" width="10" style="458" bestFit="1" customWidth="1"/>
    <col min="14604" max="14612" width="9.140625" style="458"/>
    <col min="14613" max="14613" width="12.42578125" style="458" customWidth="1"/>
    <col min="14614" max="14621" width="9.28515625" style="458" bestFit="1" customWidth="1"/>
    <col min="14622" max="14622" width="9.85546875" style="458" bestFit="1" customWidth="1"/>
    <col min="14623" max="14627" width="9.140625" style="458"/>
    <col min="14628" max="14628" width="11" style="458" customWidth="1"/>
    <col min="14629" max="14630" width="11.28515625" style="458" customWidth="1"/>
    <col min="14631" max="14631" width="11.5703125" style="458" customWidth="1"/>
    <col min="14632" max="14632" width="11.28515625" style="458" customWidth="1"/>
    <col min="14633" max="14633" width="11.7109375" style="458" customWidth="1"/>
    <col min="14634" max="14634" width="10.7109375" style="458" customWidth="1"/>
    <col min="14635" max="14635" width="9.5703125" style="458" customWidth="1"/>
    <col min="14636" max="14636" width="10.28515625" style="458" customWidth="1"/>
    <col min="14637" max="14848" width="9.140625" style="458"/>
    <col min="14849" max="14849" width="2.140625" style="458" customWidth="1"/>
    <col min="14850" max="14852" width="9.140625" style="458"/>
    <col min="14853" max="14853" width="11.7109375" style="458" bestFit="1" customWidth="1"/>
    <col min="14854" max="14854" width="9.28515625" style="458" bestFit="1" customWidth="1"/>
    <col min="14855" max="14855" width="9.140625" style="458"/>
    <col min="14856" max="14856" width="9.28515625" style="458" bestFit="1" customWidth="1"/>
    <col min="14857" max="14857" width="9.140625" style="458"/>
    <col min="14858" max="14858" width="9.28515625" style="458" bestFit="1" customWidth="1"/>
    <col min="14859" max="14859" width="10" style="458" bestFit="1" customWidth="1"/>
    <col min="14860" max="14868" width="9.140625" style="458"/>
    <col min="14869" max="14869" width="12.42578125" style="458" customWidth="1"/>
    <col min="14870" max="14877" width="9.28515625" style="458" bestFit="1" customWidth="1"/>
    <col min="14878" max="14878" width="9.85546875" style="458" bestFit="1" customWidth="1"/>
    <col min="14879" max="14883" width="9.140625" style="458"/>
    <col min="14884" max="14884" width="11" style="458" customWidth="1"/>
    <col min="14885" max="14886" width="11.28515625" style="458" customWidth="1"/>
    <col min="14887" max="14887" width="11.5703125" style="458" customWidth="1"/>
    <col min="14888" max="14888" width="11.28515625" style="458" customWidth="1"/>
    <col min="14889" max="14889" width="11.7109375" style="458" customWidth="1"/>
    <col min="14890" max="14890" width="10.7109375" style="458" customWidth="1"/>
    <col min="14891" max="14891" width="9.5703125" style="458" customWidth="1"/>
    <col min="14892" max="14892" width="10.28515625" style="458" customWidth="1"/>
    <col min="14893" max="15104" width="9.140625" style="458"/>
    <col min="15105" max="15105" width="2.140625" style="458" customWidth="1"/>
    <col min="15106" max="15108" width="9.140625" style="458"/>
    <col min="15109" max="15109" width="11.7109375" style="458" bestFit="1" customWidth="1"/>
    <col min="15110" max="15110" width="9.28515625" style="458" bestFit="1" customWidth="1"/>
    <col min="15111" max="15111" width="9.140625" style="458"/>
    <col min="15112" max="15112" width="9.28515625" style="458" bestFit="1" customWidth="1"/>
    <col min="15113" max="15113" width="9.140625" style="458"/>
    <col min="15114" max="15114" width="9.28515625" style="458" bestFit="1" customWidth="1"/>
    <col min="15115" max="15115" width="10" style="458" bestFit="1" customWidth="1"/>
    <col min="15116" max="15124" width="9.140625" style="458"/>
    <col min="15125" max="15125" width="12.42578125" style="458" customWidth="1"/>
    <col min="15126" max="15133" width="9.28515625" style="458" bestFit="1" customWidth="1"/>
    <col min="15134" max="15134" width="9.85546875" style="458" bestFit="1" customWidth="1"/>
    <col min="15135" max="15139" width="9.140625" style="458"/>
    <col min="15140" max="15140" width="11" style="458" customWidth="1"/>
    <col min="15141" max="15142" width="11.28515625" style="458" customWidth="1"/>
    <col min="15143" max="15143" width="11.5703125" style="458" customWidth="1"/>
    <col min="15144" max="15144" width="11.28515625" style="458" customWidth="1"/>
    <col min="15145" max="15145" width="11.7109375" style="458" customWidth="1"/>
    <col min="15146" max="15146" width="10.7109375" style="458" customWidth="1"/>
    <col min="15147" max="15147" width="9.5703125" style="458" customWidth="1"/>
    <col min="15148" max="15148" width="10.28515625" style="458" customWidth="1"/>
    <col min="15149" max="15360" width="9.140625" style="458"/>
    <col min="15361" max="15361" width="2.140625" style="458" customWidth="1"/>
    <col min="15362" max="15364" width="9.140625" style="458"/>
    <col min="15365" max="15365" width="11.7109375" style="458" bestFit="1" customWidth="1"/>
    <col min="15366" max="15366" width="9.28515625" style="458" bestFit="1" customWidth="1"/>
    <col min="15367" max="15367" width="9.140625" style="458"/>
    <col min="15368" max="15368" width="9.28515625" style="458" bestFit="1" customWidth="1"/>
    <col min="15369" max="15369" width="9.140625" style="458"/>
    <col min="15370" max="15370" width="9.28515625" style="458" bestFit="1" customWidth="1"/>
    <col min="15371" max="15371" width="10" style="458" bestFit="1" customWidth="1"/>
    <col min="15372" max="15380" width="9.140625" style="458"/>
    <col min="15381" max="15381" width="12.42578125" style="458" customWidth="1"/>
    <col min="15382" max="15389" width="9.28515625" style="458" bestFit="1" customWidth="1"/>
    <col min="15390" max="15390" width="9.85546875" style="458" bestFit="1" customWidth="1"/>
    <col min="15391" max="15395" width="9.140625" style="458"/>
    <col min="15396" max="15396" width="11" style="458" customWidth="1"/>
    <col min="15397" max="15398" width="11.28515625" style="458" customWidth="1"/>
    <col min="15399" max="15399" width="11.5703125" style="458" customWidth="1"/>
    <col min="15400" max="15400" width="11.28515625" style="458" customWidth="1"/>
    <col min="15401" max="15401" width="11.7109375" style="458" customWidth="1"/>
    <col min="15402" max="15402" width="10.7109375" style="458" customWidth="1"/>
    <col min="15403" max="15403" width="9.5703125" style="458" customWidth="1"/>
    <col min="15404" max="15404" width="10.28515625" style="458" customWidth="1"/>
    <col min="15405" max="15616" width="9.140625" style="458"/>
    <col min="15617" max="15617" width="2.140625" style="458" customWidth="1"/>
    <col min="15618" max="15620" width="9.140625" style="458"/>
    <col min="15621" max="15621" width="11.7109375" style="458" bestFit="1" customWidth="1"/>
    <col min="15622" max="15622" width="9.28515625" style="458" bestFit="1" customWidth="1"/>
    <col min="15623" max="15623" width="9.140625" style="458"/>
    <col min="15624" max="15624" width="9.28515625" style="458" bestFit="1" customWidth="1"/>
    <col min="15625" max="15625" width="9.140625" style="458"/>
    <col min="15626" max="15626" width="9.28515625" style="458" bestFit="1" customWidth="1"/>
    <col min="15627" max="15627" width="10" style="458" bestFit="1" customWidth="1"/>
    <col min="15628" max="15636" width="9.140625" style="458"/>
    <col min="15637" max="15637" width="12.42578125" style="458" customWidth="1"/>
    <col min="15638" max="15645" width="9.28515625" style="458" bestFit="1" customWidth="1"/>
    <col min="15646" max="15646" width="9.85546875" style="458" bestFit="1" customWidth="1"/>
    <col min="15647" max="15651" width="9.140625" style="458"/>
    <col min="15652" max="15652" width="11" style="458" customWidth="1"/>
    <col min="15653" max="15654" width="11.28515625" style="458" customWidth="1"/>
    <col min="15655" max="15655" width="11.5703125" style="458" customWidth="1"/>
    <col min="15656" max="15656" width="11.28515625" style="458" customWidth="1"/>
    <col min="15657" max="15657" width="11.7109375" style="458" customWidth="1"/>
    <col min="15658" max="15658" width="10.7109375" style="458" customWidth="1"/>
    <col min="15659" max="15659" width="9.5703125" style="458" customWidth="1"/>
    <col min="15660" max="15660" width="10.28515625" style="458" customWidth="1"/>
    <col min="15661" max="15872" width="9.140625" style="458"/>
    <col min="15873" max="15873" width="2.140625" style="458" customWidth="1"/>
    <col min="15874" max="15876" width="9.140625" style="458"/>
    <col min="15877" max="15877" width="11.7109375" style="458" bestFit="1" customWidth="1"/>
    <col min="15878" max="15878" width="9.28515625" style="458" bestFit="1" customWidth="1"/>
    <col min="15879" max="15879" width="9.140625" style="458"/>
    <col min="15880" max="15880" width="9.28515625" style="458" bestFit="1" customWidth="1"/>
    <col min="15881" max="15881" width="9.140625" style="458"/>
    <col min="15882" max="15882" width="9.28515625" style="458" bestFit="1" customWidth="1"/>
    <col min="15883" max="15883" width="10" style="458" bestFit="1" customWidth="1"/>
    <col min="15884" max="15892" width="9.140625" style="458"/>
    <col min="15893" max="15893" width="12.42578125" style="458" customWidth="1"/>
    <col min="15894" max="15901" width="9.28515625" style="458" bestFit="1" customWidth="1"/>
    <col min="15902" max="15902" width="9.85546875" style="458" bestFit="1" customWidth="1"/>
    <col min="15903" max="15907" width="9.140625" style="458"/>
    <col min="15908" max="15908" width="11" style="458" customWidth="1"/>
    <col min="15909" max="15910" width="11.28515625" style="458" customWidth="1"/>
    <col min="15911" max="15911" width="11.5703125" style="458" customWidth="1"/>
    <col min="15912" max="15912" width="11.28515625" style="458" customWidth="1"/>
    <col min="15913" max="15913" width="11.7109375" style="458" customWidth="1"/>
    <col min="15914" max="15914" width="10.7109375" style="458" customWidth="1"/>
    <col min="15915" max="15915" width="9.5703125" style="458" customWidth="1"/>
    <col min="15916" max="15916" width="10.28515625" style="458" customWidth="1"/>
    <col min="15917" max="16128" width="9.140625" style="458"/>
    <col min="16129" max="16129" width="2.140625" style="458" customWidth="1"/>
    <col min="16130" max="16132" width="9.140625" style="458"/>
    <col min="16133" max="16133" width="11.7109375" style="458" bestFit="1" customWidth="1"/>
    <col min="16134" max="16134" width="9.28515625" style="458" bestFit="1" customWidth="1"/>
    <col min="16135" max="16135" width="9.140625" style="458"/>
    <col min="16136" max="16136" width="9.28515625" style="458" bestFit="1" customWidth="1"/>
    <col min="16137" max="16137" width="9.140625" style="458"/>
    <col min="16138" max="16138" width="9.28515625" style="458" bestFit="1" customWidth="1"/>
    <col min="16139" max="16139" width="10" style="458" bestFit="1" customWidth="1"/>
    <col min="16140" max="16148" width="9.140625" style="458"/>
    <col min="16149" max="16149" width="12.42578125" style="458" customWidth="1"/>
    <col min="16150" max="16157" width="9.28515625" style="458" bestFit="1" customWidth="1"/>
    <col min="16158" max="16158" width="9.85546875" style="458" bestFit="1" customWidth="1"/>
    <col min="16159" max="16163" width="9.140625" style="458"/>
    <col min="16164" max="16164" width="11" style="458" customWidth="1"/>
    <col min="16165" max="16166" width="11.28515625" style="458" customWidth="1"/>
    <col min="16167" max="16167" width="11.5703125" style="458" customWidth="1"/>
    <col min="16168" max="16168" width="11.28515625" style="458" customWidth="1"/>
    <col min="16169" max="16169" width="11.7109375" style="458" customWidth="1"/>
    <col min="16170" max="16170" width="10.7109375" style="458" customWidth="1"/>
    <col min="16171" max="16171" width="9.5703125" style="458" customWidth="1"/>
    <col min="16172" max="16172" width="10.28515625" style="458" customWidth="1"/>
    <col min="16173" max="16384" width="9.140625" style="458"/>
  </cols>
  <sheetData>
    <row r="1" spans="1:62" ht="12.75">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row>
    <row r="2" spans="1:62" ht="12.75">
      <c r="A2" s="457"/>
      <c r="B2" s="457"/>
      <c r="C2" s="457"/>
      <c r="D2" s="457"/>
      <c r="E2" s="457"/>
      <c r="F2" s="457"/>
      <c r="G2" s="457"/>
      <c r="H2" s="457"/>
      <c r="I2" s="457"/>
      <c r="J2" s="457"/>
      <c r="K2" s="459"/>
      <c r="L2" s="459"/>
      <c r="M2" s="459"/>
      <c r="N2" s="459"/>
      <c r="O2" s="459"/>
      <c r="P2" s="459"/>
      <c r="Q2" s="459"/>
      <c r="R2" s="459"/>
      <c r="S2" s="459"/>
      <c r="T2" s="459"/>
      <c r="U2" s="459"/>
      <c r="V2" s="459"/>
      <c r="W2" s="459"/>
      <c r="X2" s="459"/>
      <c r="Y2" s="459"/>
      <c r="Z2" s="459"/>
      <c r="AA2" s="459"/>
      <c r="AB2" s="459"/>
      <c r="AC2" s="459"/>
      <c r="AD2" s="459"/>
      <c r="AE2" s="460" t="s">
        <v>1393</v>
      </c>
      <c r="AF2" s="460" t="s">
        <v>1394</v>
      </c>
      <c r="AG2" s="459"/>
      <c r="AH2" s="459"/>
      <c r="AI2" s="459" t="s">
        <v>1395</v>
      </c>
      <c r="AJ2" s="459"/>
      <c r="AK2" s="459"/>
      <c r="AL2" s="459"/>
      <c r="AM2" s="459"/>
      <c r="AN2" s="459"/>
      <c r="AO2" s="459"/>
      <c r="AP2" s="459"/>
      <c r="AQ2" s="459"/>
      <c r="AR2" s="459"/>
      <c r="AS2" s="457"/>
      <c r="AT2" s="457"/>
      <c r="AU2" s="457"/>
      <c r="AV2" s="457"/>
      <c r="AW2" s="457"/>
      <c r="AX2" s="457"/>
      <c r="AY2" s="457"/>
      <c r="AZ2" s="457"/>
      <c r="BA2" s="457"/>
      <c r="BB2" s="457"/>
      <c r="BC2" s="457"/>
      <c r="BD2" s="457"/>
      <c r="BE2" s="457"/>
      <c r="BF2" s="457"/>
      <c r="BG2" s="457"/>
      <c r="BH2" s="457"/>
      <c r="BI2" s="457"/>
      <c r="BJ2" s="457"/>
    </row>
    <row r="3" spans="1:62" ht="12.75">
      <c r="A3" s="457"/>
      <c r="B3" s="459" t="s">
        <v>1396</v>
      </c>
      <c r="C3" s="457"/>
      <c r="D3" s="457"/>
      <c r="E3" s="457"/>
      <c r="F3" s="457"/>
      <c r="G3" s="457"/>
      <c r="H3" s="457"/>
      <c r="I3" s="457"/>
      <c r="J3" s="1242"/>
      <c r="K3" s="459"/>
      <c r="L3" s="459"/>
      <c r="M3" s="459"/>
      <c r="N3" s="459"/>
      <c r="O3" s="459"/>
      <c r="P3" s="459"/>
      <c r="Q3" s="459"/>
      <c r="R3" s="459"/>
      <c r="S3" s="459"/>
      <c r="T3" s="459"/>
      <c r="U3" s="459"/>
      <c r="V3" s="459"/>
      <c r="W3" s="459"/>
      <c r="X3" s="459"/>
      <c r="Y3" s="459"/>
      <c r="Z3" s="459"/>
      <c r="AA3" s="459"/>
      <c r="AB3" s="459"/>
      <c r="AC3" s="459"/>
      <c r="AD3" s="459"/>
      <c r="AE3" s="460"/>
      <c r="AF3" s="460"/>
      <c r="AG3" s="459"/>
      <c r="AH3" s="459"/>
      <c r="AI3" s="459"/>
      <c r="AJ3" s="459"/>
      <c r="AK3" s="459"/>
      <c r="AL3" s="459"/>
      <c r="AM3" s="459"/>
      <c r="AN3" s="459"/>
      <c r="AO3" s="459"/>
      <c r="AP3" s="459"/>
      <c r="AQ3" s="459"/>
      <c r="AR3" s="459"/>
      <c r="AS3" s="457"/>
      <c r="AT3" s="457"/>
      <c r="AU3" s="457"/>
      <c r="AV3" s="457"/>
      <c r="AW3" s="457"/>
      <c r="AX3" s="457"/>
      <c r="AY3" s="457"/>
      <c r="AZ3" s="457"/>
      <c r="BA3" s="457"/>
      <c r="BB3" s="457"/>
      <c r="BC3" s="457"/>
      <c r="BD3" s="457"/>
      <c r="BE3" s="457"/>
      <c r="BF3" s="457"/>
      <c r="BG3" s="457"/>
      <c r="BH3" s="457"/>
      <c r="BI3" s="457"/>
      <c r="BJ3" s="457"/>
    </row>
    <row r="4" spans="1:62" ht="12.75">
      <c r="A4" s="457"/>
      <c r="B4" s="461"/>
      <c r="C4" s="459"/>
      <c r="D4" s="459"/>
      <c r="E4" s="462"/>
      <c r="F4" s="459"/>
      <c r="G4" s="463"/>
      <c r="H4" s="459"/>
      <c r="I4" s="459"/>
      <c r="J4" s="459"/>
      <c r="K4" s="459"/>
      <c r="L4" s="459"/>
      <c r="M4" s="459"/>
      <c r="N4" s="459" t="s">
        <v>1397</v>
      </c>
      <c r="O4" s="459"/>
      <c r="P4" s="459"/>
      <c r="Q4" s="459"/>
      <c r="R4" s="459"/>
      <c r="S4" s="459"/>
      <c r="T4" s="459"/>
      <c r="U4" s="460" t="s">
        <v>1398</v>
      </c>
      <c r="V4" s="460" t="s">
        <v>1399</v>
      </c>
      <c r="W4" s="460" t="s">
        <v>1400</v>
      </c>
      <c r="X4" s="460" t="s">
        <v>1401</v>
      </c>
      <c r="Y4" s="460" t="s">
        <v>1402</v>
      </c>
      <c r="Z4" s="459"/>
      <c r="AA4" s="460" t="s">
        <v>1403</v>
      </c>
      <c r="AB4" s="459" t="s">
        <v>1404</v>
      </c>
      <c r="AC4" s="460" t="s">
        <v>1405</v>
      </c>
      <c r="AD4" s="460" t="s">
        <v>565</v>
      </c>
      <c r="AE4" s="460" t="s">
        <v>1406</v>
      </c>
      <c r="AF4" s="459"/>
      <c r="AG4" s="459"/>
      <c r="AH4" s="459"/>
      <c r="AI4" s="459" t="s">
        <v>1407</v>
      </c>
      <c r="AJ4" s="459"/>
      <c r="AK4" s="459"/>
      <c r="AL4" s="459"/>
      <c r="AM4" s="459"/>
      <c r="AN4" s="459"/>
      <c r="AO4" s="459"/>
      <c r="AP4" s="459"/>
      <c r="AQ4" s="459"/>
      <c r="AR4" s="459"/>
      <c r="AS4" s="457"/>
      <c r="AT4" s="457"/>
      <c r="AU4" s="457"/>
      <c r="AV4" s="457"/>
      <c r="AW4" s="457"/>
      <c r="AX4" s="457"/>
      <c r="AY4" s="457"/>
      <c r="AZ4" s="457"/>
      <c r="BA4" s="457"/>
      <c r="BB4" s="457"/>
      <c r="BC4" s="457"/>
      <c r="BD4" s="457"/>
      <c r="BE4" s="457"/>
      <c r="BF4" s="457"/>
      <c r="BG4" s="457"/>
      <c r="BH4" s="457"/>
      <c r="BI4" s="457"/>
      <c r="BJ4" s="457"/>
    </row>
    <row r="5" spans="1:62" ht="12.75">
      <c r="A5" s="457"/>
      <c r="B5" s="464" t="s">
        <v>1408</v>
      </c>
      <c r="C5" s="464" t="s">
        <v>1409</v>
      </c>
      <c r="D5" s="459"/>
      <c r="E5" s="462">
        <f>E7+E6</f>
        <v>11040423.160202356</v>
      </c>
      <c r="F5" s="464" t="s">
        <v>1410</v>
      </c>
      <c r="G5" s="459"/>
      <c r="H5" s="459"/>
      <c r="I5" s="459"/>
      <c r="J5" s="464"/>
      <c r="K5" s="459"/>
      <c r="L5" s="465"/>
      <c r="M5" s="459"/>
      <c r="N5" s="464" t="s">
        <v>1411</v>
      </c>
      <c r="O5" s="459"/>
      <c r="P5" s="459"/>
      <c r="Q5" s="464" t="s">
        <v>1412</v>
      </c>
      <c r="R5" s="459"/>
      <c r="S5" s="459"/>
      <c r="T5" s="459"/>
      <c r="U5" s="466">
        <f>$E$8*1.25</f>
        <v>12558847.973813366</v>
      </c>
      <c r="V5" s="467">
        <f>100*(+U5/$E$9)</f>
        <v>309.94751964893032</v>
      </c>
      <c r="W5" s="468">
        <f>EXP(5.7226-(0.68367*LN(+V5)))</f>
        <v>6.054448957493527</v>
      </c>
      <c r="X5" s="468">
        <f>(+W5*V5)/100</f>
        <v>18.765614372161707</v>
      </c>
      <c r="Y5" s="467">
        <f>100*((((X5/100)-((X5/100)-0.03574)*$E$21)-0.03574-0.00619)/0.344)</f>
        <v>27.347283388449789</v>
      </c>
      <c r="Z5" s="459">
        <f>$E$20</f>
        <v>0.25</v>
      </c>
      <c r="AA5" s="467">
        <f>Y5+Z5</f>
        <v>27.597283388449789</v>
      </c>
      <c r="AB5" s="467">
        <f>100*($E$17*$E$19+($E$18*(AA5/100))/(1-$E$21))</f>
        <v>26.106637314601667</v>
      </c>
      <c r="AC5" s="468">
        <f>AB5/V5</f>
        <v>8.4229218366296307E-2</v>
      </c>
      <c r="AD5" s="466">
        <f>$E$8/(1-AC5)</f>
        <v>10971171.586329767</v>
      </c>
      <c r="AE5" s="459" t="str">
        <f>IF(AD5=$U$5,"yes","not yet")</f>
        <v>not yet</v>
      </c>
      <c r="AF5" s="467">
        <f>100*(1-AC5)</f>
        <v>91.577078163370373</v>
      </c>
      <c r="AG5" s="459"/>
      <c r="AH5" s="459"/>
      <c r="AI5" s="459">
        <v>0</v>
      </c>
      <c r="AJ5" s="459">
        <v>1</v>
      </c>
      <c r="AK5" s="459"/>
      <c r="AL5" s="459"/>
      <c r="AM5" s="459"/>
      <c r="AN5" s="459"/>
      <c r="AO5" s="459"/>
      <c r="AP5" s="459"/>
      <c r="AQ5" s="459"/>
      <c r="AR5" s="459"/>
      <c r="AS5" s="457"/>
      <c r="AT5" s="457"/>
      <c r="AU5" s="457"/>
      <c r="AV5" s="457"/>
      <c r="AW5" s="457"/>
      <c r="AX5" s="457"/>
      <c r="AY5" s="457"/>
      <c r="AZ5" s="457"/>
      <c r="BA5" s="457"/>
      <c r="BB5" s="457"/>
      <c r="BC5" s="457"/>
      <c r="BD5" s="457"/>
      <c r="BE5" s="457"/>
      <c r="BF5" s="457"/>
      <c r="BG5" s="457"/>
      <c r="BH5" s="457"/>
      <c r="BI5" s="457"/>
      <c r="BJ5" s="457"/>
    </row>
    <row r="6" spans="1:62" ht="12.75">
      <c r="A6" s="457"/>
      <c r="B6" s="464" t="s">
        <v>1408</v>
      </c>
      <c r="C6" s="464" t="s">
        <v>1413</v>
      </c>
      <c r="D6" s="459"/>
      <c r="E6" s="462">
        <f>(+E8-((H15/100)*E7))/H25</f>
        <v>734449.72959830647</v>
      </c>
      <c r="F6" s="469" t="s">
        <v>1410</v>
      </c>
      <c r="G6" s="459"/>
      <c r="H6" s="459"/>
      <c r="I6" s="459"/>
      <c r="J6" s="470">
        <f>E6/E7</f>
        <v>7.1264469537377723E-2</v>
      </c>
      <c r="K6" s="459" t="s">
        <v>1414</v>
      </c>
      <c r="L6" s="465"/>
      <c r="M6" s="459"/>
      <c r="N6" s="464" t="s">
        <v>1415</v>
      </c>
      <c r="O6" s="459"/>
      <c r="P6" s="459"/>
      <c r="Q6" s="464" t="s">
        <v>1416</v>
      </c>
      <c r="R6" s="459"/>
      <c r="S6" s="459"/>
      <c r="T6" s="459"/>
      <c r="U6" s="466">
        <f>$E$8*1.25</f>
        <v>12558847.973813366</v>
      </c>
      <c r="V6" s="467">
        <f>100*(+U6/$E$9)</f>
        <v>309.94751964893032</v>
      </c>
      <c r="W6" s="468">
        <f>EXP(5.70827-(0.68367*LN(+V6)))</f>
        <v>5.9683073824029309</v>
      </c>
      <c r="X6" s="468">
        <f>(+W6*V6)/100</f>
        <v>18.498620696781884</v>
      </c>
      <c r="Y6" s="467">
        <f>100*((((X6/100)-((X6/100)-0.03574)*$E$21)-0.03574-0.00619)/0.344)</f>
        <v>26.835028081035013</v>
      </c>
      <c r="Z6" s="459">
        <f>$E$20</f>
        <v>0.25</v>
      </c>
      <c r="AA6" s="467">
        <f>Y6+Z6</f>
        <v>27.085028081035013</v>
      </c>
      <c r="AB6" s="467">
        <f>100*($E$17*$E$19+($E$18*(AA6/100))/(1-$E$21))</f>
        <v>25.640950671497325</v>
      </c>
      <c r="AC6" s="468">
        <f>AB6/V6</f>
        <v>8.2726749033320793E-2</v>
      </c>
      <c r="AD6" s="466">
        <f>$E$8/(1-AC6)</f>
        <v>10953201.097341998</v>
      </c>
      <c r="AE6" s="459" t="str">
        <f>IF(AD6=$U$6,"yes","not yet")</f>
        <v>not yet</v>
      </c>
      <c r="AF6" s="467">
        <f>100*(1-AC6)</f>
        <v>91.727325096667926</v>
      </c>
      <c r="AG6" s="459"/>
      <c r="AH6" s="459"/>
      <c r="AI6" s="459">
        <v>50</v>
      </c>
      <c r="AJ6" s="459">
        <v>2</v>
      </c>
      <c r="AK6" s="459"/>
      <c r="AL6" s="459"/>
      <c r="AM6" s="459"/>
      <c r="AN6" s="459"/>
      <c r="AO6" s="459"/>
      <c r="AP6" s="459"/>
      <c r="AQ6" s="459"/>
      <c r="AR6" s="459"/>
      <c r="AS6" s="457"/>
      <c r="AT6" s="457"/>
      <c r="AU6" s="457"/>
      <c r="AV6" s="457"/>
      <c r="AW6" s="457"/>
      <c r="AX6" s="457"/>
      <c r="AY6" s="457"/>
      <c r="AZ6" s="457"/>
      <c r="BA6" s="457"/>
      <c r="BB6" s="457"/>
      <c r="BC6" s="457"/>
      <c r="BD6" s="457"/>
      <c r="BE6" s="457"/>
      <c r="BF6" s="457"/>
      <c r="BG6" s="457"/>
      <c r="BH6" s="457"/>
      <c r="BI6" s="457"/>
      <c r="BJ6" s="457"/>
    </row>
    <row r="7" spans="1:62" ht="12.75">
      <c r="A7" s="457"/>
      <c r="B7" s="471" t="s">
        <v>550</v>
      </c>
      <c r="C7" s="464" t="s">
        <v>105</v>
      </c>
      <c r="D7" s="471" t="s">
        <v>1417</v>
      </c>
      <c r="E7" s="462">
        <f>'Yakima Consolidated IS'!N20</f>
        <v>10305973.43060405</v>
      </c>
      <c r="F7" s="464" t="s">
        <v>1418</v>
      </c>
      <c r="G7" s="459"/>
      <c r="H7" s="459"/>
      <c r="I7" s="459"/>
      <c r="J7" s="464"/>
      <c r="K7" s="459"/>
      <c r="L7" s="465"/>
      <c r="M7" s="459"/>
      <c r="N7" s="464" t="s">
        <v>1419</v>
      </c>
      <c r="O7" s="459"/>
      <c r="P7" s="459"/>
      <c r="Q7" s="464" t="s">
        <v>1420</v>
      </c>
      <c r="R7" s="459"/>
      <c r="S7" s="459"/>
      <c r="T7" s="459"/>
      <c r="U7" s="466">
        <f>$E$8*1.25</f>
        <v>12558847.973813366</v>
      </c>
      <c r="V7" s="467">
        <f>100*(+U7/$E$9)</f>
        <v>309.94751964893032</v>
      </c>
      <c r="W7" s="468">
        <f>EXP(5.6985-(0.68367*LN(V7)))</f>
        <v>5.9102809400132124</v>
      </c>
      <c r="X7" s="468">
        <f>(+W7*V7)/100</f>
        <v>18.318769177854435</v>
      </c>
      <c r="Y7" s="467">
        <f>100*((((X7/100)-((X7/100)-0.03574)*$E$21)-0.03574-0.00619)/0.344)</f>
        <v>26.489964120302112</v>
      </c>
      <c r="Z7" s="459">
        <f>$E$20</f>
        <v>0.25</v>
      </c>
      <c r="AA7" s="467">
        <f>Y7+Z7</f>
        <v>26.739964120302112</v>
      </c>
      <c r="AB7" s="467">
        <f>100*($E$17*$E$19+($E$18*(AA7/100))/(1-$E$21))</f>
        <v>25.327256161740149</v>
      </c>
      <c r="AC7" s="468">
        <f>AB7/V7</f>
        <v>8.1714659921872213E-2</v>
      </c>
      <c r="AD7" s="466">
        <f>$E$8/(1-AC7)</f>
        <v>10941129.015732611</v>
      </c>
      <c r="AE7" s="459" t="str">
        <f>IF(AD7=$U$7,"yes","not yet")</f>
        <v>not yet</v>
      </c>
      <c r="AF7" s="467">
        <f>100*(1-AC7)</f>
        <v>91.828534007812777</v>
      </c>
      <c r="AG7" s="459"/>
      <c r="AH7" s="459"/>
      <c r="AI7" s="459">
        <v>125</v>
      </c>
      <c r="AJ7" s="459">
        <v>3</v>
      </c>
      <c r="AK7" s="459"/>
      <c r="AL7" s="459"/>
      <c r="AM7" s="459"/>
      <c r="AN7" s="459"/>
      <c r="AO7" s="459"/>
      <c r="AP7" s="459"/>
      <c r="AQ7" s="459"/>
      <c r="AR7" s="459"/>
      <c r="AS7" s="457"/>
      <c r="AT7" s="457"/>
      <c r="AU7" s="457"/>
      <c r="AV7" s="457"/>
      <c r="AW7" s="457"/>
      <c r="AX7" s="457"/>
      <c r="AY7" s="457"/>
      <c r="AZ7" s="457"/>
      <c r="BA7" s="457"/>
      <c r="BB7" s="457"/>
      <c r="BC7" s="457"/>
      <c r="BD7" s="457"/>
      <c r="BE7" s="457"/>
      <c r="BF7" s="457"/>
      <c r="BG7" s="457"/>
      <c r="BH7" s="457"/>
      <c r="BI7" s="457"/>
      <c r="BJ7" s="457"/>
    </row>
    <row r="8" spans="1:62" ht="12.75">
      <c r="A8" s="457"/>
      <c r="B8" s="471" t="s">
        <v>550</v>
      </c>
      <c r="C8" s="464" t="s">
        <v>1421</v>
      </c>
      <c r="D8" s="471" t="s">
        <v>1417</v>
      </c>
      <c r="E8" s="462">
        <f>'Yakima Consolidated IS'!N276</f>
        <v>10047078.379050693</v>
      </c>
      <c r="F8" s="464" t="s">
        <v>1418</v>
      </c>
      <c r="G8" s="459"/>
      <c r="H8" s="459"/>
      <c r="I8" s="459"/>
      <c r="J8" s="470"/>
      <c r="K8" s="472"/>
      <c r="L8" s="465"/>
      <c r="M8" s="459"/>
      <c r="N8" s="464" t="s">
        <v>1422</v>
      </c>
      <c r="O8" s="459"/>
      <c r="P8" s="459"/>
      <c r="Q8" s="464" t="s">
        <v>1423</v>
      </c>
      <c r="R8" s="459"/>
      <c r="S8" s="459"/>
      <c r="T8" s="459"/>
      <c r="U8" s="466">
        <f>$E$8*1.25</f>
        <v>12558847.973813366</v>
      </c>
      <c r="V8" s="467">
        <f>100*(+U8/$E$9)</f>
        <v>309.94751964893032</v>
      </c>
      <c r="W8" s="468">
        <f>EXP(5.6922-(0.68367*LN(V8)))</f>
        <v>5.8731632136958254</v>
      </c>
      <c r="X8" s="468">
        <f>(+W8*V8)/100</f>
        <v>18.203723705783617</v>
      </c>
      <c r="Y8" s="467">
        <f>100*((((X8/100)-((X8/100)-0.03574)*$E$21)-0.03574-0.00619)/0.344)</f>
        <v>26.269237342491831</v>
      </c>
      <c r="Z8" s="459">
        <f>$E$20</f>
        <v>0.25</v>
      </c>
      <c r="AA8" s="467">
        <f>Y8+Z8</f>
        <v>26.519237342491831</v>
      </c>
      <c r="AB8" s="467">
        <f>100*($E$17*$E$19+($E$18*(AA8/100))/(1-$E$21))</f>
        <v>25.12659545463989</v>
      </c>
      <c r="AC8" s="468">
        <f>AB8/V8</f>
        <v>8.1067257718662009E-2</v>
      </c>
      <c r="AD8" s="466">
        <f>$E$8/(1-AC8)</f>
        <v>10933420.822625021</v>
      </c>
      <c r="AE8" s="459" t="str">
        <f>IF(AD8=$U$8,"yes","not yet")</f>
        <v>not yet</v>
      </c>
      <c r="AF8" s="467">
        <f>100*(1-AC8)</f>
        <v>91.893274228133805</v>
      </c>
      <c r="AG8" s="459"/>
      <c r="AH8" s="459"/>
      <c r="AI8" s="459">
        <v>401</v>
      </c>
      <c r="AJ8" s="459">
        <v>4</v>
      </c>
      <c r="AK8" s="459"/>
      <c r="AL8" s="459"/>
      <c r="AM8" s="459"/>
      <c r="AN8" s="459"/>
      <c r="AO8" s="459"/>
      <c r="AP8" s="459"/>
      <c r="AQ8" s="459"/>
      <c r="AR8" s="459"/>
      <c r="AS8" s="457"/>
      <c r="AT8" s="457"/>
      <c r="AU8" s="457"/>
      <c r="AV8" s="457"/>
      <c r="AW8" s="457"/>
      <c r="AX8" s="457"/>
      <c r="AY8" s="457"/>
      <c r="AZ8" s="457"/>
      <c r="BA8" s="457"/>
      <c r="BB8" s="457"/>
      <c r="BC8" s="457"/>
      <c r="BD8" s="457"/>
      <c r="BE8" s="457"/>
      <c r="BF8" s="457"/>
      <c r="BG8" s="457"/>
      <c r="BH8" s="457"/>
      <c r="BI8" s="457"/>
      <c r="BJ8" s="457"/>
    </row>
    <row r="9" spans="1:62" ht="12.75">
      <c r="A9" s="457"/>
      <c r="B9" s="471" t="s">
        <v>550</v>
      </c>
      <c r="C9" s="464" t="s">
        <v>1424</v>
      </c>
      <c r="D9" s="459"/>
      <c r="E9" s="462">
        <f>Ratios!D140</f>
        <v>4051927.2385333022</v>
      </c>
      <c r="F9" s="464" t="s">
        <v>1418</v>
      </c>
      <c r="G9" s="459"/>
      <c r="H9" s="459"/>
      <c r="I9" s="459"/>
      <c r="J9" s="464"/>
      <c r="K9" s="459"/>
      <c r="L9" s="465"/>
      <c r="M9" s="459"/>
      <c r="N9" s="459"/>
      <c r="O9" s="459"/>
      <c r="P9" s="459"/>
      <c r="Q9" s="459"/>
      <c r="R9" s="459"/>
      <c r="S9" s="459"/>
      <c r="T9" s="459"/>
      <c r="U9" s="459"/>
      <c r="V9" s="459"/>
      <c r="W9" s="459"/>
      <c r="X9" s="459"/>
      <c r="Y9" s="459"/>
      <c r="Z9" s="459"/>
      <c r="AA9" s="467"/>
      <c r="AB9" s="459"/>
      <c r="AC9" s="459"/>
      <c r="AD9" s="459"/>
      <c r="AE9" s="459"/>
      <c r="AF9" s="459"/>
      <c r="AG9" s="459"/>
      <c r="AH9" s="459"/>
      <c r="AI9" s="459"/>
      <c r="AJ9" s="459"/>
      <c r="AK9" s="459"/>
      <c r="AL9" s="459"/>
      <c r="AM9" s="459"/>
      <c r="AN9" s="459"/>
      <c r="AO9" s="459"/>
      <c r="AP9" s="459"/>
      <c r="AQ9" s="459"/>
      <c r="AR9" s="459"/>
      <c r="AS9" s="457"/>
      <c r="AT9" s="457"/>
      <c r="AU9" s="457"/>
      <c r="AV9" s="457"/>
      <c r="AW9" s="457"/>
      <c r="AX9" s="457"/>
      <c r="AY9" s="457"/>
      <c r="AZ9" s="457"/>
      <c r="BA9" s="457"/>
      <c r="BB9" s="457"/>
      <c r="BC9" s="457"/>
      <c r="BD9" s="457"/>
      <c r="BE9" s="457"/>
      <c r="BF9" s="457"/>
      <c r="BG9" s="457"/>
      <c r="BH9" s="457"/>
      <c r="BI9" s="457"/>
      <c r="BJ9" s="457"/>
    </row>
    <row r="10" spans="1:62" ht="12.75">
      <c r="A10" s="457"/>
      <c r="B10" s="461"/>
      <c r="C10" s="464" t="s">
        <v>1425</v>
      </c>
      <c r="D10" s="459"/>
      <c r="E10" s="467">
        <f>V5</f>
        <v>309.94751964893032</v>
      </c>
      <c r="F10" s="464" t="s">
        <v>1426</v>
      </c>
      <c r="G10" s="459"/>
      <c r="H10" s="467"/>
      <c r="I10" s="467"/>
      <c r="J10" s="461"/>
      <c r="K10" s="463"/>
      <c r="L10" s="459"/>
      <c r="M10" s="459"/>
      <c r="N10" s="459"/>
      <c r="O10" s="459"/>
      <c r="P10" s="459"/>
      <c r="Q10" s="459"/>
      <c r="R10" s="459"/>
      <c r="S10" s="459"/>
      <c r="T10" s="459"/>
      <c r="U10" s="459"/>
      <c r="V10" s="473" t="s">
        <v>1427</v>
      </c>
      <c r="W10" s="473" t="s">
        <v>1400</v>
      </c>
      <c r="X10" s="473" t="s">
        <v>1401</v>
      </c>
      <c r="Y10" s="473" t="s">
        <v>1402</v>
      </c>
      <c r="Z10" s="459"/>
      <c r="AA10" s="467"/>
      <c r="AB10" s="459"/>
      <c r="AC10" s="459"/>
      <c r="AD10" s="459"/>
      <c r="AE10" s="459"/>
      <c r="AF10" s="459"/>
      <c r="AG10" s="459"/>
      <c r="AH10" s="459"/>
      <c r="AI10" s="459" t="s">
        <v>1428</v>
      </c>
      <c r="AJ10" s="459"/>
      <c r="AK10" s="459"/>
      <c r="AL10" s="459"/>
      <c r="AM10" s="459"/>
      <c r="AN10" s="459"/>
      <c r="AO10" s="459"/>
      <c r="AP10" s="459"/>
      <c r="AQ10" s="459"/>
      <c r="AR10" s="459"/>
      <c r="AS10" s="457"/>
      <c r="AT10" s="457"/>
      <c r="AU10" s="457"/>
      <c r="AV10" s="457"/>
      <c r="AW10" s="457"/>
      <c r="AX10" s="457"/>
      <c r="AY10" s="457"/>
      <c r="AZ10" s="457"/>
      <c r="BA10" s="457"/>
      <c r="BB10" s="457"/>
      <c r="BC10" s="457"/>
      <c r="BD10" s="457"/>
      <c r="BE10" s="457"/>
      <c r="BF10" s="457"/>
      <c r="BG10" s="457"/>
      <c r="BH10" s="457"/>
      <c r="BI10" s="457"/>
      <c r="BJ10" s="457"/>
    </row>
    <row r="11" spans="1:62" ht="12.75">
      <c r="A11" s="457"/>
      <c r="B11" s="461"/>
      <c r="C11" s="464" t="s">
        <v>1429</v>
      </c>
      <c r="D11" s="459"/>
      <c r="E11" s="467">
        <f>HLOOKUP($AJ$34,$AJ$28:$AR$32,($E$12)+1)</f>
        <v>271.99187821519956</v>
      </c>
      <c r="F11" s="464" t="s">
        <v>1426</v>
      </c>
      <c r="G11" s="459"/>
      <c r="H11" s="459"/>
      <c r="I11" s="459"/>
      <c r="J11" s="471"/>
      <c r="K11" s="462"/>
      <c r="L11" s="459"/>
      <c r="M11" s="459"/>
      <c r="N11" s="459"/>
      <c r="O11" s="459"/>
      <c r="P11" s="459"/>
      <c r="Q11" s="459"/>
      <c r="R11" s="459"/>
      <c r="S11" s="459"/>
      <c r="T11" s="459"/>
      <c r="U11" s="459"/>
      <c r="V11" s="467">
        <f>100*(+AD5/$E$9)</f>
        <v>270.76427932849703</v>
      </c>
      <c r="W11" s="474">
        <f>EXP(5.7226-(0.68367*LN(+V11)))</f>
        <v>6.6405470886390967</v>
      </c>
      <c r="X11" s="468">
        <f>(+W11*V11)/100</f>
        <v>17.98022946802314</v>
      </c>
      <c r="Y11" s="467">
        <f>100*((((X11/100)-((X11/100)-0.03574)*$E$21)-0.03574-0.00619)/0.344)</f>
        <v>25.840440258416493</v>
      </c>
      <c r="Z11" s="459">
        <f>$E$20</f>
        <v>0.25</v>
      </c>
      <c r="AA11" s="467">
        <f>Y11+Z11</f>
        <v>26.090440258416493</v>
      </c>
      <c r="AB11" s="467">
        <f>100*($E$17*$E$19+($E$18*(AA11/100))/(1-$E$21))</f>
        <v>24.736779923662308</v>
      </c>
      <c r="AC11" s="468">
        <f>AB11/V11</f>
        <v>9.1359096499029388E-2</v>
      </c>
      <c r="AD11" s="466">
        <f>$E$8/(1-AC11)</f>
        <v>11057259.628462192</v>
      </c>
      <c r="AE11" s="459" t="str">
        <f>IF(AD11=AD5,"yes","not yet")</f>
        <v>not yet</v>
      </c>
      <c r="AF11" s="467">
        <f>100*(1-AC11)</f>
        <v>90.864090350097058</v>
      </c>
      <c r="AG11" s="459"/>
      <c r="AH11" s="459"/>
      <c r="AI11" s="459"/>
      <c r="AJ11" s="459"/>
      <c r="AK11" s="459"/>
      <c r="AL11" s="459"/>
      <c r="AM11" s="459"/>
      <c r="AN11" s="459"/>
      <c r="AO11" s="459"/>
      <c r="AP11" s="459"/>
      <c r="AQ11" s="459"/>
      <c r="AR11" s="459"/>
      <c r="AS11" s="457"/>
      <c r="AT11" s="457"/>
      <c r="AU11" s="457"/>
      <c r="AV11" s="457"/>
      <c r="AW11" s="457"/>
      <c r="AX11" s="457"/>
      <c r="AY11" s="457"/>
      <c r="AZ11" s="457"/>
      <c r="BA11" s="457"/>
      <c r="BB11" s="457"/>
      <c r="BC11" s="457"/>
      <c r="BD11" s="457"/>
      <c r="BE11" s="457"/>
      <c r="BF11" s="457"/>
      <c r="BG11" s="457"/>
      <c r="BH11" s="457"/>
      <c r="BI11" s="457"/>
      <c r="BJ11" s="457"/>
    </row>
    <row r="12" spans="1:62" ht="12.75">
      <c r="A12" s="457"/>
      <c r="B12" s="461"/>
      <c r="C12" s="464" t="s">
        <v>1430</v>
      </c>
      <c r="D12" s="459"/>
      <c r="E12" s="459">
        <f>VLOOKUP(E10,AI5:AJ8,2)</f>
        <v>3</v>
      </c>
      <c r="F12" s="464" t="s">
        <v>1426</v>
      </c>
      <c r="G12" s="459"/>
      <c r="H12" s="459"/>
      <c r="I12" s="459"/>
      <c r="J12" s="471"/>
      <c r="K12" s="462"/>
      <c r="L12" s="459"/>
      <c r="M12" s="459"/>
      <c r="N12" s="459"/>
      <c r="O12" s="459"/>
      <c r="P12" s="459"/>
      <c r="Q12" s="459"/>
      <c r="R12" s="459"/>
      <c r="S12" s="459"/>
      <c r="T12" s="459"/>
      <c r="U12" s="459"/>
      <c r="V12" s="467">
        <f>100*(+AD6/$E$9)</f>
        <v>270.32077459778833</v>
      </c>
      <c r="W12" s="474">
        <f>EXP(5.70827-(0.68367*LN(+V12)))</f>
        <v>6.5534072450373371</v>
      </c>
      <c r="X12" s="468">
        <f>(+W12*V12)/100</f>
        <v>17.71522122733251</v>
      </c>
      <c r="Y12" s="467">
        <f>100*((((X12/100)-((X12/100)-0.03574)*$E$21)-0.03574-0.00619)/0.344)</f>
        <v>25.331994215230985</v>
      </c>
      <c r="Z12" s="459">
        <f>$E$20</f>
        <v>0.25</v>
      </c>
      <c r="AA12" s="467">
        <f>Y12+Z12</f>
        <v>25.581994215230985</v>
      </c>
      <c r="AB12" s="467">
        <f>100*($E$17*$E$19+($E$18*(AA12/100))/(1-$E$21))</f>
        <v>24.274556248039119</v>
      </c>
      <c r="AC12" s="468">
        <f>AB12/V12</f>
        <v>8.9799077722225965E-2</v>
      </c>
      <c r="AD12" s="466">
        <f>$E$8/(1-AC12)</f>
        <v>11038308.282426171</v>
      </c>
      <c r="AE12" s="459" t="str">
        <f>IF(AD12=AD6,"yes","not yet")</f>
        <v>not yet</v>
      </c>
      <c r="AF12" s="467">
        <f>100*(1-AC12)</f>
        <v>91.020092227777411</v>
      </c>
      <c r="AG12" s="459"/>
      <c r="AH12" s="459"/>
      <c r="AI12" s="459"/>
      <c r="AJ12" s="459"/>
      <c r="AK12" s="459"/>
      <c r="AL12" s="459"/>
      <c r="AM12" s="459"/>
      <c r="AN12" s="459"/>
      <c r="AO12" s="459"/>
      <c r="AP12" s="459"/>
      <c r="AQ12" s="459"/>
      <c r="AR12" s="459"/>
      <c r="AS12" s="457"/>
      <c r="AT12" s="457"/>
      <c r="AU12" s="457"/>
      <c r="AV12" s="457"/>
      <c r="AW12" s="457"/>
      <c r="AX12" s="457"/>
      <c r="AY12" s="457"/>
      <c r="AZ12" s="457"/>
      <c r="BA12" s="457"/>
      <c r="BB12" s="457"/>
      <c r="BC12" s="457"/>
      <c r="BD12" s="457"/>
      <c r="BE12" s="457"/>
      <c r="BF12" s="457"/>
      <c r="BG12" s="457"/>
      <c r="BH12" s="457"/>
      <c r="BI12" s="457"/>
      <c r="BJ12" s="457"/>
    </row>
    <row r="13" spans="1:62" ht="12.75">
      <c r="A13" s="457"/>
      <c r="B13" s="461"/>
      <c r="C13" s="459"/>
      <c r="D13" s="459"/>
      <c r="E13" s="459"/>
      <c r="F13" s="459"/>
      <c r="G13" s="459"/>
      <c r="H13" s="459"/>
      <c r="I13" s="459"/>
      <c r="J13" s="496"/>
      <c r="K13" s="497"/>
      <c r="L13" s="493"/>
      <c r="M13" s="459"/>
      <c r="N13" s="459"/>
      <c r="O13" s="459"/>
      <c r="P13" s="459"/>
      <c r="Q13" s="459"/>
      <c r="R13" s="459"/>
      <c r="S13" s="459"/>
      <c r="T13" s="459"/>
      <c r="U13" s="459"/>
      <c r="V13" s="467">
        <f>100*(+AD7/$E$9)</f>
        <v>270.02284028409724</v>
      </c>
      <c r="W13" s="474">
        <f>EXP(5.6985-(0.68367*LN(V13)))</f>
        <v>6.4945867848642367</v>
      </c>
      <c r="X13" s="468">
        <f>(+W13*V13)/100</f>
        <v>17.536867701206045</v>
      </c>
      <c r="Y13" s="467">
        <f>100*((((X13/100)-((X13/100)-0.03574)*$E$21)-0.03574-0.00619)/0.344)</f>
        <v>24.989804310453458</v>
      </c>
      <c r="Z13" s="459">
        <f>$E$20</f>
        <v>0.25</v>
      </c>
      <c r="AA13" s="467">
        <f>Y13+Z13</f>
        <v>25.239804310453458</v>
      </c>
      <c r="AB13" s="467">
        <f>100*($E$17*$E$19+($E$18*(AA13/100))/(1-$E$21))</f>
        <v>23.963474516423187</v>
      </c>
      <c r="AC13" s="468">
        <f>AB13/V13</f>
        <v>8.8746101963858556E-2</v>
      </c>
      <c r="AD13" s="466">
        <f>$E$8/(1-AC13)</f>
        <v>11025553.252176281</v>
      </c>
      <c r="AE13" s="459" t="str">
        <f>IF(AD13=AD7,"yes","not yet")</f>
        <v>not yet</v>
      </c>
      <c r="AF13" s="467">
        <f>100*(1-AC13)</f>
        <v>91.125389803614141</v>
      </c>
      <c r="AG13" s="459"/>
      <c r="AH13" s="459"/>
      <c r="AI13" s="459"/>
      <c r="AJ13" s="459">
        <v>1</v>
      </c>
      <c r="AK13" s="459">
        <v>2</v>
      </c>
      <c r="AL13" s="459">
        <v>3</v>
      </c>
      <c r="AM13" s="459">
        <v>4</v>
      </c>
      <c r="AN13" s="459">
        <v>5</v>
      </c>
      <c r="AO13" s="459">
        <v>6</v>
      </c>
      <c r="AP13" s="459">
        <v>7</v>
      </c>
      <c r="AQ13" s="459">
        <v>8</v>
      </c>
      <c r="AR13" s="459">
        <v>9</v>
      </c>
      <c r="AS13" s="457"/>
      <c r="AT13" s="457"/>
      <c r="AU13" s="457"/>
      <c r="AV13" s="457"/>
      <c r="AW13" s="457"/>
      <c r="AX13" s="457"/>
      <c r="AY13" s="457"/>
      <c r="AZ13" s="457"/>
      <c r="BA13" s="457"/>
      <c r="BB13" s="457"/>
      <c r="BC13" s="457"/>
      <c r="BD13" s="457"/>
      <c r="BE13" s="457"/>
      <c r="BF13" s="457"/>
      <c r="BG13" s="457"/>
      <c r="BH13" s="457"/>
      <c r="BI13" s="457"/>
      <c r="BJ13" s="457"/>
    </row>
    <row r="14" spans="1:62" ht="12.75">
      <c r="A14" s="457"/>
      <c r="B14" s="461"/>
      <c r="C14" s="464" t="s">
        <v>1431</v>
      </c>
      <c r="D14" s="459"/>
      <c r="E14" s="459"/>
      <c r="F14" s="459"/>
      <c r="G14" s="459"/>
      <c r="H14" s="459"/>
      <c r="I14" s="459"/>
      <c r="J14" s="461"/>
      <c r="K14" s="462"/>
      <c r="L14" s="459"/>
      <c r="M14" s="459"/>
      <c r="N14" s="459"/>
      <c r="O14" s="459"/>
      <c r="P14" s="459"/>
      <c r="Q14" s="459"/>
      <c r="R14" s="459"/>
      <c r="S14" s="459"/>
      <c r="T14" s="459"/>
      <c r="U14" s="459"/>
      <c r="V14" s="467">
        <f>100*(+AD8/$E$9)</f>
        <v>269.83260505395077</v>
      </c>
      <c r="W14" s="474">
        <f>EXP(5.6922-(0.68367*LN(V14)))</f>
        <v>6.4569098589582739</v>
      </c>
      <c r="X14" s="468">
        <f>(+W14*V14)/100</f>
        <v>17.422848078412489</v>
      </c>
      <c r="Y14" s="467">
        <f>100*((((X14/100)-((X14/100)-0.03574)*$E$21)-0.03574-0.00619)/0.344)</f>
        <v>24.771045731837916</v>
      </c>
      <c r="Z14" s="459">
        <f>$E$20</f>
        <v>0.25</v>
      </c>
      <c r="AA14" s="467">
        <f>Y14+Z14</f>
        <v>25.021045731837916</v>
      </c>
      <c r="AB14" s="467">
        <f>100*($E$17*$E$19+($E$18*(AA14/100))/(1-$E$21))</f>
        <v>23.76460308131815</v>
      </c>
      <c r="AC14" s="468">
        <f>AB14/V14</f>
        <v>8.8071651224530909E-2</v>
      </c>
      <c r="AD14" s="466">
        <f>$E$8/(1-AC14)</f>
        <v>11017398.891636429</v>
      </c>
      <c r="AE14" s="459" t="str">
        <f>IF(AD14=AD8,"yes","not yet")</f>
        <v>not yet</v>
      </c>
      <c r="AF14" s="467">
        <f>100*(1-AC14)</f>
        <v>91.192834877546915</v>
      </c>
      <c r="AG14" s="459"/>
      <c r="AH14" s="459"/>
      <c r="AI14" s="459"/>
      <c r="AJ14" s="459" t="str">
        <f>AE5</f>
        <v>not yet</v>
      </c>
      <c r="AK14" s="459" t="str">
        <f>AE11</f>
        <v>not yet</v>
      </c>
      <c r="AL14" s="459" t="str">
        <f>AE17</f>
        <v>not yet</v>
      </c>
      <c r="AM14" s="459" t="str">
        <f>AE23</f>
        <v>not yet</v>
      </c>
      <c r="AN14" s="459" t="str">
        <f>AE29</f>
        <v>not yet</v>
      </c>
      <c r="AO14" s="459" t="str">
        <f>AE35</f>
        <v>not yet</v>
      </c>
      <c r="AP14" s="459" t="str">
        <f>AE41</f>
        <v>yes</v>
      </c>
      <c r="AQ14" s="459" t="str">
        <f>AE47</f>
        <v>yes</v>
      </c>
      <c r="AR14" s="459" t="str">
        <f>AE53</f>
        <v>yes</v>
      </c>
      <c r="AS14" s="457"/>
      <c r="AT14" s="457"/>
      <c r="AU14" s="457"/>
      <c r="AV14" s="457"/>
      <c r="AW14" s="457"/>
      <c r="AX14" s="457"/>
      <c r="AY14" s="457"/>
      <c r="AZ14" s="457"/>
      <c r="BA14" s="457"/>
      <c r="BB14" s="457"/>
      <c r="BC14" s="457"/>
      <c r="BD14" s="457"/>
      <c r="BE14" s="457"/>
      <c r="BF14" s="457"/>
      <c r="BG14" s="457"/>
      <c r="BH14" s="457"/>
      <c r="BI14" s="457"/>
      <c r="BJ14" s="457"/>
    </row>
    <row r="15" spans="1:62" ht="14.25">
      <c r="A15" s="457"/>
      <c r="B15" s="461"/>
      <c r="C15" s="464" t="s">
        <v>1432</v>
      </c>
      <c r="D15" s="459"/>
      <c r="E15" s="471" t="s">
        <v>1408</v>
      </c>
      <c r="F15" s="464" t="s">
        <v>1433</v>
      </c>
      <c r="G15" s="459"/>
      <c r="H15" s="467">
        <f>HLOOKUP($AJ$25,$AJ$19:$AR$23,($E$12)+1)</f>
        <v>91.16375963116684</v>
      </c>
      <c r="I15" s="464" t="s">
        <v>1410</v>
      </c>
      <c r="J15" s="457"/>
      <c r="K15" s="475"/>
      <c r="L15" s="459"/>
      <c r="M15" s="459"/>
      <c r="N15" s="459"/>
      <c r="O15" s="459"/>
      <c r="P15" s="459"/>
      <c r="Q15" s="459"/>
      <c r="R15" s="459"/>
      <c r="S15" s="459"/>
      <c r="T15" s="459"/>
      <c r="U15" s="459"/>
      <c r="V15" s="459"/>
      <c r="W15" s="459"/>
      <c r="X15" s="459"/>
      <c r="Y15" s="459"/>
      <c r="Z15" s="459"/>
      <c r="AA15" s="467"/>
      <c r="AB15" s="459"/>
      <c r="AC15" s="459"/>
      <c r="AD15" s="459"/>
      <c r="AE15" s="459"/>
      <c r="AF15" s="459"/>
      <c r="AG15" s="459"/>
      <c r="AH15" s="459"/>
      <c r="AI15" s="459"/>
      <c r="AJ15" s="459" t="str">
        <f>AE6</f>
        <v>not yet</v>
      </c>
      <c r="AK15" s="459" t="str">
        <f>AE12</f>
        <v>not yet</v>
      </c>
      <c r="AL15" s="459" t="str">
        <f>AE18</f>
        <v>not yet</v>
      </c>
      <c r="AM15" s="459" t="str">
        <f>AE24</f>
        <v>not yet</v>
      </c>
      <c r="AN15" s="459" t="str">
        <f>AE30</f>
        <v>not yet</v>
      </c>
      <c r="AO15" s="459" t="str">
        <f>AE36</f>
        <v>not yet</v>
      </c>
      <c r="AP15" s="459" t="str">
        <f>AE42</f>
        <v>yes</v>
      </c>
      <c r="AQ15" s="459" t="str">
        <f>AE48</f>
        <v>yes</v>
      </c>
      <c r="AR15" s="459" t="str">
        <f>AE54</f>
        <v>yes</v>
      </c>
      <c r="AS15" s="457"/>
      <c r="AT15" s="457"/>
      <c r="AU15" s="457"/>
      <c r="AV15" s="457"/>
      <c r="AW15" s="457"/>
      <c r="AX15" s="457"/>
      <c r="AY15" s="457"/>
      <c r="AZ15" s="457"/>
      <c r="BA15" s="457"/>
      <c r="BB15" s="457"/>
      <c r="BC15" s="457"/>
      <c r="BD15" s="457"/>
      <c r="BE15" s="457"/>
      <c r="BF15" s="457"/>
      <c r="BG15" s="457"/>
      <c r="BH15" s="457"/>
      <c r="BI15" s="457"/>
      <c r="BJ15" s="457"/>
    </row>
    <row r="16" spans="1:62" ht="14.25">
      <c r="A16" s="457"/>
      <c r="B16" s="461"/>
      <c r="C16" s="476"/>
      <c r="D16" s="476"/>
      <c r="E16" s="477"/>
      <c r="F16" s="459"/>
      <c r="G16" s="459"/>
      <c r="H16" s="476"/>
      <c r="I16" s="461"/>
      <c r="J16" s="457"/>
      <c r="L16" s="478"/>
      <c r="M16" s="478"/>
      <c r="N16" s="478"/>
      <c r="O16" s="459"/>
      <c r="P16" s="459"/>
      <c r="Q16" s="459"/>
      <c r="R16" s="459"/>
      <c r="S16" s="459"/>
      <c r="T16" s="459"/>
      <c r="U16" s="459"/>
      <c r="V16" s="464" t="s">
        <v>1434</v>
      </c>
      <c r="W16" s="473" t="s">
        <v>1400</v>
      </c>
      <c r="X16" s="473" t="s">
        <v>1401</v>
      </c>
      <c r="Y16" s="473" t="s">
        <v>1402</v>
      </c>
      <c r="Z16" s="459"/>
      <c r="AA16" s="467"/>
      <c r="AB16" s="459"/>
      <c r="AC16" s="459"/>
      <c r="AD16" s="459"/>
      <c r="AE16" s="459"/>
      <c r="AF16" s="459"/>
      <c r="AG16" s="459"/>
      <c r="AH16" s="459"/>
      <c r="AI16" s="459"/>
      <c r="AJ16" s="459" t="str">
        <f>AE7</f>
        <v>not yet</v>
      </c>
      <c r="AK16" s="459" t="str">
        <f>AE13</f>
        <v>not yet</v>
      </c>
      <c r="AL16" s="459" t="str">
        <f>AE19</f>
        <v>not yet</v>
      </c>
      <c r="AM16" s="459" t="str">
        <f>AE25</f>
        <v>not yet</v>
      </c>
      <c r="AN16" s="459" t="str">
        <f>AE31</f>
        <v>not yet</v>
      </c>
      <c r="AO16" s="459" t="str">
        <f>AE37</f>
        <v>not yet</v>
      </c>
      <c r="AP16" s="459" t="str">
        <f>AE43</f>
        <v>yes</v>
      </c>
      <c r="AQ16" s="459" t="str">
        <f>AE49</f>
        <v>yes</v>
      </c>
      <c r="AR16" s="459" t="str">
        <f>AE55</f>
        <v>yes</v>
      </c>
      <c r="AS16" s="457"/>
      <c r="AT16" s="457"/>
      <c r="AU16" s="457"/>
      <c r="AV16" s="457"/>
      <c r="AW16" s="457"/>
      <c r="AX16" s="457"/>
      <c r="AY16" s="457"/>
      <c r="AZ16" s="457"/>
      <c r="BA16" s="457"/>
      <c r="BB16" s="457"/>
      <c r="BC16" s="457"/>
      <c r="BD16" s="457"/>
      <c r="BE16" s="457"/>
      <c r="BF16" s="457"/>
      <c r="BG16" s="457"/>
      <c r="BH16" s="457"/>
      <c r="BI16" s="457"/>
      <c r="BJ16" s="457"/>
    </row>
    <row r="17" spans="1:62" ht="12.75">
      <c r="A17" s="457"/>
      <c r="B17" s="471" t="s">
        <v>550</v>
      </c>
      <c r="C17" s="464" t="s">
        <v>1435</v>
      </c>
      <c r="D17" s="459"/>
      <c r="E17" s="465">
        <f>'WCI BS'!E67</f>
        <v>0.4</v>
      </c>
      <c r="F17" s="464" t="s">
        <v>1436</v>
      </c>
      <c r="G17" s="459"/>
      <c r="H17" s="459"/>
      <c r="I17" s="461"/>
      <c r="J17" s="457"/>
      <c r="K17" s="459"/>
      <c r="L17" s="479"/>
      <c r="M17" s="479"/>
      <c r="N17" s="480"/>
      <c r="O17" s="481"/>
      <c r="P17" s="459"/>
      <c r="Q17" s="459"/>
      <c r="R17" s="459"/>
      <c r="S17" s="459"/>
      <c r="T17" s="459"/>
      <c r="U17" s="459"/>
      <c r="V17" s="467">
        <f>100*(+AD11/$E$9)</f>
        <v>272.88889897402618</v>
      </c>
      <c r="W17" s="474">
        <f>EXP(5.7226-(0.68367*LN(+V17)))</f>
        <v>6.6051569707048952</v>
      </c>
      <c r="X17" s="468">
        <f>(+W17*V17)/100</f>
        <v>18.024740132862732</v>
      </c>
      <c r="Y17" s="467">
        <f>100*((((X17/100)-((X17/100)-0.03574)*$E$21)-0.03574-0.00619)/0.344)</f>
        <v>25.925838627004076</v>
      </c>
      <c r="Z17" s="459">
        <f>$E$20</f>
        <v>0.25</v>
      </c>
      <c r="AA17" s="467">
        <f>Y17+Z17</f>
        <v>26.175838627004076</v>
      </c>
      <c r="AB17" s="467">
        <f>100*($E$17*$E$19+($E$18*(AA17/100))/(1-$E$21))</f>
        <v>24.814414804196478</v>
      </c>
      <c r="AC17" s="468">
        <f>AB17/V17</f>
        <v>9.093229844632976E-2</v>
      </c>
      <c r="AD17" s="466">
        <f>$E$8/(1-AC17)</f>
        <v>11052068.35737253</v>
      </c>
      <c r="AE17" s="459" t="str">
        <f>IF(AD17=AD11,"yes","not yet")</f>
        <v>not yet</v>
      </c>
      <c r="AF17" s="467">
        <f>100*(1-AC17)</f>
        <v>90.906770155367028</v>
      </c>
      <c r="AG17" s="459"/>
      <c r="AH17" s="459"/>
      <c r="AI17" s="459"/>
      <c r="AJ17" s="459" t="str">
        <f>AE8</f>
        <v>not yet</v>
      </c>
      <c r="AK17" s="459" t="str">
        <f>AE14</f>
        <v>not yet</v>
      </c>
      <c r="AL17" s="459" t="str">
        <f>AE20</f>
        <v>not yet</v>
      </c>
      <c r="AM17" s="459" t="str">
        <f>AE26</f>
        <v>not yet</v>
      </c>
      <c r="AN17" s="459" t="str">
        <f>AE32</f>
        <v>not yet</v>
      </c>
      <c r="AO17" s="459" t="str">
        <f>AE38</f>
        <v>not yet</v>
      </c>
      <c r="AP17" s="459" t="str">
        <f>AE44</f>
        <v>yes</v>
      </c>
      <c r="AQ17" s="459" t="str">
        <f>AE50</f>
        <v>yes</v>
      </c>
      <c r="AR17" s="459" t="str">
        <f>AE56</f>
        <v>yes</v>
      </c>
      <c r="AS17" s="457"/>
      <c r="AT17" s="457"/>
      <c r="AU17" s="457"/>
      <c r="AV17" s="457"/>
      <c r="AW17" s="457"/>
      <c r="AX17" s="457"/>
      <c r="AY17" s="457"/>
      <c r="AZ17" s="457"/>
      <c r="BA17" s="457"/>
      <c r="BB17" s="457"/>
      <c r="BC17" s="457"/>
      <c r="BD17" s="457"/>
      <c r="BE17" s="457"/>
      <c r="BF17" s="457"/>
      <c r="BG17" s="457"/>
      <c r="BH17" s="457"/>
      <c r="BI17" s="457"/>
      <c r="BJ17" s="457"/>
    </row>
    <row r="18" spans="1:62" ht="12.75">
      <c r="A18" s="457"/>
      <c r="B18" s="471" t="s">
        <v>550</v>
      </c>
      <c r="C18" s="464" t="s">
        <v>1437</v>
      </c>
      <c r="D18" s="459"/>
      <c r="E18" s="465">
        <f>'WCI BS'!E68</f>
        <v>0.6</v>
      </c>
      <c r="F18" s="464" t="s">
        <v>1438</v>
      </c>
      <c r="G18" s="459"/>
      <c r="H18" s="465">
        <v>1.4999999999999999E-2</v>
      </c>
      <c r="I18" s="464" t="s">
        <v>550</v>
      </c>
      <c r="J18" s="457"/>
      <c r="K18" s="459"/>
      <c r="L18" s="479"/>
      <c r="M18" s="479"/>
      <c r="N18" s="480"/>
      <c r="O18" s="481"/>
      <c r="P18" s="459"/>
      <c r="Q18" s="459"/>
      <c r="R18" s="459"/>
      <c r="S18" s="459"/>
      <c r="T18" s="459"/>
      <c r="U18" s="459"/>
      <c r="V18" s="467">
        <f>100*(+AD12/$E$9)</f>
        <v>272.42118707002658</v>
      </c>
      <c r="W18" s="474">
        <f>EXP(5.70827-(0.68367*LN(+V18)))</f>
        <v>6.5188205969480464</v>
      </c>
      <c r="X18" s="468">
        <f>(+W18*V18)/100</f>
        <v>17.758648453171261</v>
      </c>
      <c r="Y18" s="467">
        <f>100*((((X18/100)-((X18/100)-0.03574)*$E$21)-0.03574-0.00619)/0.344)</f>
        <v>25.415313892712309</v>
      </c>
      <c r="Z18" s="459">
        <f>$E$20</f>
        <v>0.25</v>
      </c>
      <c r="AA18" s="467">
        <f>Y18+Z18</f>
        <v>25.665313892712309</v>
      </c>
      <c r="AB18" s="467">
        <f>100*($E$17*$E$19+($E$18*(AA18/100))/(1-$E$21))</f>
        <v>24.350301409385782</v>
      </c>
      <c r="AC18" s="468">
        <f>AB18/V18</f>
        <v>8.9384756271275165E-2</v>
      </c>
      <c r="AD18" s="466">
        <f>$E$8/(1-AC18)</f>
        <v>11033285.955010599</v>
      </c>
      <c r="AE18" s="459" t="str">
        <f>IF(AD18=AD12,"yes","not yet")</f>
        <v>not yet</v>
      </c>
      <c r="AF18" s="467">
        <f>100*(1-AC18)</f>
        <v>91.061524372872483</v>
      </c>
      <c r="AG18" s="459"/>
      <c r="AH18" s="459"/>
      <c r="AI18" s="459"/>
      <c r="AJ18" s="459"/>
      <c r="AK18" s="459"/>
      <c r="AL18" s="459"/>
      <c r="AM18" s="459"/>
      <c r="AN18" s="459"/>
      <c r="AO18" s="459"/>
      <c r="AP18" s="459"/>
      <c r="AQ18" s="459"/>
      <c r="AR18" s="459"/>
      <c r="AS18" s="457"/>
      <c r="AT18" s="457"/>
      <c r="AU18" s="457"/>
      <c r="AV18" s="457"/>
      <c r="AW18" s="457"/>
      <c r="AX18" s="457"/>
      <c r="AY18" s="457"/>
      <c r="AZ18" s="457"/>
      <c r="BA18" s="457"/>
      <c r="BB18" s="457"/>
      <c r="BC18" s="457"/>
      <c r="BD18" s="457"/>
      <c r="BE18" s="457"/>
      <c r="BF18" s="457"/>
      <c r="BG18" s="457"/>
      <c r="BH18" s="457"/>
      <c r="BI18" s="457"/>
      <c r="BJ18" s="457"/>
    </row>
    <row r="19" spans="1:62" ht="12.75">
      <c r="A19" s="457"/>
      <c r="B19" s="471" t="s">
        <v>550</v>
      </c>
      <c r="C19" s="464" t="s">
        <v>1439</v>
      </c>
      <c r="D19" s="459"/>
      <c r="E19" s="465">
        <f>'WCI BS'!C76</f>
        <v>2.5454946763910118E-2</v>
      </c>
      <c r="F19" s="464" t="s">
        <v>1440</v>
      </c>
      <c r="G19" s="459"/>
      <c r="H19" s="1284">
        <v>5.1000000000000004E-3</v>
      </c>
      <c r="I19" s="464" t="s">
        <v>550</v>
      </c>
      <c r="J19" s="457"/>
      <c r="K19" s="459"/>
      <c r="L19" s="479"/>
      <c r="M19" s="459"/>
      <c r="N19" s="480"/>
      <c r="O19" s="482"/>
      <c r="P19" s="459"/>
      <c r="Q19" s="459"/>
      <c r="R19" s="459"/>
      <c r="S19" s="459"/>
      <c r="T19" s="459"/>
      <c r="U19" s="459"/>
      <c r="V19" s="467">
        <f>100*(+AD13/$E$9)</f>
        <v>272.10639784754028</v>
      </c>
      <c r="W19" s="474">
        <f>EXP(5.6985-(0.68367*LN(V19)))</f>
        <v>6.4605465754585811</v>
      </c>
      <c r="X19" s="468">
        <f>(+W19*V19)/100</f>
        <v>17.579560567742966</v>
      </c>
      <c r="Y19" s="467">
        <f>100*((((X19/100)-((X19/100)-0.03574)*$E$21)-0.03574-0.00619)/0.344)</f>
        <v>25.071715042762673</v>
      </c>
      <c r="Z19" s="459">
        <f>$E$20</f>
        <v>0.25</v>
      </c>
      <c r="AA19" s="467">
        <f>Y19+Z19</f>
        <v>25.321715042762673</v>
      </c>
      <c r="AB19" s="467">
        <f>100*($E$17*$E$19+($E$18*(AA19/100))/(1-$E$21))</f>
        <v>24.037938818522477</v>
      </c>
      <c r="AC19" s="468">
        <f>AB19/V19</f>
        <v>8.8340219152034799E-2</v>
      </c>
      <c r="AD19" s="466">
        <f>$E$8/(1-AC19)</f>
        <v>11020644.532224039</v>
      </c>
      <c r="AE19" s="459" t="str">
        <f>IF(AD19=AD13,"yes","not yet")</f>
        <v>not yet</v>
      </c>
      <c r="AF19" s="467">
        <f>100*(1-AC19)</f>
        <v>91.165978084796521</v>
      </c>
      <c r="AG19" s="459"/>
      <c r="AH19" s="459"/>
      <c r="AI19" s="459"/>
      <c r="AJ19" s="459" t="str">
        <f>HLOOKUP(1,$AJ$13:$AR$17,($E$12)+1)</f>
        <v>not yet</v>
      </c>
      <c r="AK19" s="459" t="str">
        <f>HLOOKUP(2,$AJ$13:$AR$17,($E$12)+1)</f>
        <v>not yet</v>
      </c>
      <c r="AL19" s="459" t="str">
        <f>HLOOKUP(3,$AJ$13:$AR$17,($E$12)+1)</f>
        <v>not yet</v>
      </c>
      <c r="AM19" s="459" t="str">
        <f>HLOOKUP(4,$AJ$13:$AR$17,($E$12)+1)</f>
        <v>not yet</v>
      </c>
      <c r="AN19" s="459" t="str">
        <f>HLOOKUP(5,$AJ$13:$AR$17,($E$12)+1)</f>
        <v>not yet</v>
      </c>
      <c r="AO19" s="459" t="str">
        <f>HLOOKUP(6,$AJ$13:$AR$17,($E$12)+1)</f>
        <v>not yet</v>
      </c>
      <c r="AP19" s="459" t="str">
        <f>HLOOKUP(7,$AJ$13:$AR$17,($E$12)+1)</f>
        <v>yes</v>
      </c>
      <c r="AQ19" s="459" t="str">
        <f>HLOOKUP(8,$AJ$13:$AR$17,($E$12)+1)</f>
        <v>yes</v>
      </c>
      <c r="AR19" s="459" t="str">
        <f>HLOOKUP(9,$AJ$13:$AR$17,($E$12)+1)</f>
        <v>yes</v>
      </c>
      <c r="AS19" s="457"/>
      <c r="AT19" s="457"/>
      <c r="AU19" s="457"/>
      <c r="AV19" s="457"/>
      <c r="AW19" s="457"/>
      <c r="AX19" s="457"/>
      <c r="AY19" s="457"/>
      <c r="AZ19" s="457"/>
      <c r="BA19" s="457"/>
      <c r="BB19" s="457"/>
      <c r="BC19" s="457"/>
      <c r="BD19" s="457"/>
      <c r="BE19" s="457"/>
      <c r="BF19" s="457"/>
      <c r="BG19" s="457"/>
      <c r="BH19" s="457"/>
      <c r="BI19" s="457"/>
      <c r="BJ19" s="457"/>
    </row>
    <row r="20" spans="1:62" ht="12.75">
      <c r="A20" s="457"/>
      <c r="B20" s="471" t="s">
        <v>550</v>
      </c>
      <c r="C20" s="464" t="s">
        <v>1441</v>
      </c>
      <c r="D20" s="459"/>
      <c r="E20" s="483">
        <v>0.25</v>
      </c>
      <c r="F20" s="464" t="s">
        <v>1442</v>
      </c>
      <c r="G20" s="459"/>
      <c r="H20" s="465"/>
      <c r="I20" s="464" t="s">
        <v>550</v>
      </c>
      <c r="J20" s="457"/>
      <c r="K20" s="459"/>
      <c r="L20" s="459"/>
      <c r="M20" s="459"/>
      <c r="N20" s="459"/>
      <c r="O20" s="484"/>
      <c r="P20" s="459"/>
      <c r="Q20" s="459"/>
      <c r="R20" s="459"/>
      <c r="S20" s="459"/>
      <c r="T20" s="459"/>
      <c r="U20" s="459"/>
      <c r="V20" s="467">
        <f>100*(+AD14/$E$9)</f>
        <v>271.90515137740863</v>
      </c>
      <c r="W20" s="474">
        <f>EXP(5.6922-(0.68367*LN(V20)))</f>
        <v>6.4232212501547075</v>
      </c>
      <c r="X20" s="468">
        <f>(+W20*V20)/100</f>
        <v>17.465069463539038</v>
      </c>
      <c r="Y20" s="467">
        <f>100*((((X20/100)-((X20/100)-0.03574)*$E$21)-0.03574-0.00619)/0.344)</f>
        <v>24.852051877720246</v>
      </c>
      <c r="Z20" s="459">
        <f>$E$20</f>
        <v>0.25</v>
      </c>
      <c r="AA20" s="467">
        <f>Y20+Z20</f>
        <v>25.102051877720246</v>
      </c>
      <c r="AB20" s="467">
        <f>100*($E$17*$E$19+($E$18*(AA20/100))/(1-$E$21))</f>
        <v>23.838245032120266</v>
      </c>
      <c r="AC20" s="468">
        <f>AB20/V20</f>
        <v>8.7671178392028357E-2</v>
      </c>
      <c r="AD20" s="466">
        <f>$E$8/(1-AC20)</f>
        <v>11012562.730773762</v>
      </c>
      <c r="AE20" s="459" t="str">
        <f>IF(AD20=AD14,"yes","not yet")</f>
        <v>not yet</v>
      </c>
      <c r="AF20" s="467">
        <f>100*(1-AC20)</f>
        <v>91.232882160797175</v>
      </c>
      <c r="AG20" s="459"/>
      <c r="AH20" s="459"/>
      <c r="AI20" s="459">
        <v>1</v>
      </c>
      <c r="AJ20" s="467">
        <f>AF5</f>
        <v>91.577078163370373</v>
      </c>
      <c r="AK20" s="467">
        <f>AF11</f>
        <v>90.864090350097058</v>
      </c>
      <c r="AL20" s="467">
        <f>AF17</f>
        <v>90.906770155367028</v>
      </c>
      <c r="AM20" s="467">
        <f>AF23</f>
        <v>90.904211020034225</v>
      </c>
      <c r="AN20" s="467">
        <f>AF29</f>
        <v>90.904364453553328</v>
      </c>
      <c r="AO20" s="467">
        <f>AF35</f>
        <v>90.904355254357426</v>
      </c>
      <c r="AP20" s="467">
        <f>AF41</f>
        <v>90.904355826203286</v>
      </c>
      <c r="AQ20" s="467">
        <f>AF47</f>
        <v>90.904355826203286</v>
      </c>
      <c r="AR20" s="467">
        <f>AF53</f>
        <v>90.904355826203286</v>
      </c>
      <c r="AS20" s="457"/>
      <c r="AT20" s="457"/>
      <c r="AU20" s="457"/>
      <c r="AV20" s="457"/>
      <c r="AW20" s="457"/>
      <c r="AX20" s="457"/>
      <c r="AY20" s="457"/>
      <c r="AZ20" s="457"/>
      <c r="BA20" s="457"/>
      <c r="BB20" s="457"/>
      <c r="BC20" s="457"/>
      <c r="BD20" s="457"/>
      <c r="BE20" s="457"/>
      <c r="BF20" s="457"/>
      <c r="BG20" s="457"/>
      <c r="BH20" s="457"/>
      <c r="BI20" s="457"/>
      <c r="BJ20" s="457"/>
    </row>
    <row r="21" spans="1:62" ht="12.75">
      <c r="A21" s="457"/>
      <c r="B21" s="471" t="s">
        <v>550</v>
      </c>
      <c r="C21" s="464" t="s">
        <v>1443</v>
      </c>
      <c r="D21" s="459"/>
      <c r="E21" s="483">
        <v>0.34</v>
      </c>
      <c r="F21" s="464" t="s">
        <v>1444</v>
      </c>
      <c r="G21" s="459"/>
      <c r="H21" s="465">
        <f>'Restating Adj''s'!E118</f>
        <v>4.1173865181838021E-3</v>
      </c>
      <c r="I21" s="464" t="s">
        <v>550</v>
      </c>
      <c r="J21" s="457"/>
      <c r="K21" s="459"/>
      <c r="L21" s="459"/>
      <c r="M21" s="459"/>
      <c r="N21" s="459"/>
      <c r="O21" s="459"/>
      <c r="P21" s="459"/>
      <c r="Q21" s="459"/>
      <c r="R21" s="459"/>
      <c r="S21" s="459"/>
      <c r="T21" s="459"/>
      <c r="U21" s="459"/>
      <c r="V21" s="459"/>
      <c r="W21" s="459"/>
      <c r="X21" s="459"/>
      <c r="Y21" s="459"/>
      <c r="Z21" s="459"/>
      <c r="AA21" s="467"/>
      <c r="AB21" s="459"/>
      <c r="AC21" s="459"/>
      <c r="AD21" s="459"/>
      <c r="AE21" s="459"/>
      <c r="AF21" s="459"/>
      <c r="AG21" s="459"/>
      <c r="AH21" s="459"/>
      <c r="AI21" s="459">
        <v>2</v>
      </c>
      <c r="AJ21" s="467">
        <f>AF6</f>
        <v>91.727325096667926</v>
      </c>
      <c r="AK21" s="467">
        <f>AF12</f>
        <v>91.020092227777411</v>
      </c>
      <c r="AL21" s="467">
        <f>AF18</f>
        <v>91.061524372872483</v>
      </c>
      <c r="AM21" s="467">
        <f>AF24</f>
        <v>91.059093055571537</v>
      </c>
      <c r="AN21" s="467">
        <f>AF30</f>
        <v>91.059235715841524</v>
      </c>
      <c r="AO21" s="467">
        <f>AF36</f>
        <v>91.059227345041734</v>
      </c>
      <c r="AP21" s="467">
        <f>AF42</f>
        <v>91.059227702181019</v>
      </c>
      <c r="AQ21" s="467">
        <f>AF48</f>
        <v>91.059227702181019</v>
      </c>
      <c r="AR21" s="467">
        <f>AF54</f>
        <v>91.059227702181019</v>
      </c>
      <c r="AS21" s="457"/>
      <c r="AT21" s="457"/>
      <c r="AU21" s="457"/>
      <c r="AV21" s="457"/>
      <c r="AW21" s="457"/>
      <c r="AX21" s="457"/>
      <c r="AY21" s="457"/>
      <c r="AZ21" s="457"/>
      <c r="BA21" s="457"/>
      <c r="BB21" s="457"/>
      <c r="BC21" s="457"/>
      <c r="BD21" s="457"/>
      <c r="BE21" s="457"/>
      <c r="BF21" s="457"/>
      <c r="BG21" s="457"/>
      <c r="BH21" s="457"/>
      <c r="BI21" s="457"/>
      <c r="BJ21" s="457"/>
    </row>
    <row r="22" spans="1:62" ht="12.75">
      <c r="A22" s="457"/>
      <c r="B22" s="461"/>
      <c r="C22" s="459"/>
      <c r="D22" s="459"/>
      <c r="E22" s="459"/>
      <c r="F22" s="459"/>
      <c r="G22" s="459"/>
      <c r="H22" s="476"/>
      <c r="I22" s="476"/>
      <c r="J22" s="461"/>
      <c r="K22" s="459"/>
      <c r="L22" s="459"/>
      <c r="M22" s="459"/>
      <c r="N22" s="459"/>
      <c r="O22" s="459"/>
      <c r="P22" s="459"/>
      <c r="Q22" s="459"/>
      <c r="R22" s="459"/>
      <c r="S22" s="459"/>
      <c r="T22" s="459"/>
      <c r="U22" s="459"/>
      <c r="V22" s="464" t="s">
        <v>1445</v>
      </c>
      <c r="W22" s="473" t="s">
        <v>1400</v>
      </c>
      <c r="X22" s="473" t="s">
        <v>1401</v>
      </c>
      <c r="Y22" s="473" t="s">
        <v>1402</v>
      </c>
      <c r="Z22" s="459"/>
      <c r="AA22" s="467"/>
      <c r="AB22" s="459"/>
      <c r="AC22" s="459"/>
      <c r="AD22" s="459"/>
      <c r="AE22" s="459"/>
      <c r="AF22" s="459"/>
      <c r="AG22" s="459"/>
      <c r="AH22" s="459"/>
      <c r="AI22" s="459">
        <v>3</v>
      </c>
      <c r="AJ22" s="467">
        <f>AF7</f>
        <v>91.828534007812777</v>
      </c>
      <c r="AK22" s="467">
        <f>AF13</f>
        <v>91.125389803614141</v>
      </c>
      <c r="AL22" s="467">
        <f>AF19</f>
        <v>91.165978084796521</v>
      </c>
      <c r="AM22" s="467">
        <f>AF25</f>
        <v>91.163631235722491</v>
      </c>
      <c r="AN22" s="467">
        <f>AF31</f>
        <v>91.163766919375576</v>
      </c>
      <c r="AO22" s="467">
        <f>AF37</f>
        <v>91.163759074748</v>
      </c>
      <c r="AP22" s="467">
        <f>AF43</f>
        <v>91.16375963116684</v>
      </c>
      <c r="AQ22" s="467">
        <f>AF49</f>
        <v>91.16375963116684</v>
      </c>
      <c r="AR22" s="467">
        <f>AF55</f>
        <v>91.16375963116684</v>
      </c>
      <c r="AS22" s="457"/>
      <c r="AT22" s="457"/>
      <c r="AU22" s="457"/>
      <c r="AV22" s="457"/>
      <c r="AW22" s="457"/>
      <c r="AX22" s="457"/>
      <c r="AY22" s="457"/>
      <c r="AZ22" s="457"/>
      <c r="BA22" s="457"/>
      <c r="BB22" s="457"/>
      <c r="BC22" s="457"/>
      <c r="BD22" s="457"/>
      <c r="BE22" s="457"/>
      <c r="BF22" s="457"/>
      <c r="BG22" s="457"/>
      <c r="BH22" s="457"/>
      <c r="BI22" s="457"/>
      <c r="BJ22" s="457"/>
    </row>
    <row r="23" spans="1:62" ht="14.25">
      <c r="A23" s="457"/>
      <c r="B23" s="461"/>
      <c r="C23" s="459"/>
      <c r="D23" s="459"/>
      <c r="E23" s="459"/>
      <c r="F23" s="464" t="s">
        <v>1446</v>
      </c>
      <c r="G23" s="459"/>
      <c r="H23" s="465">
        <f>SUM(H18:H21)</f>
        <v>2.4217386518183802E-2</v>
      </c>
      <c r="I23" s="465"/>
      <c r="J23" s="461"/>
      <c r="K23" s="475"/>
      <c r="N23" s="462"/>
      <c r="O23" s="459"/>
      <c r="P23" s="462"/>
      <c r="Q23" s="459"/>
      <c r="R23" s="459"/>
      <c r="S23" s="459"/>
      <c r="T23" s="459"/>
      <c r="U23" s="459"/>
      <c r="V23" s="467">
        <f>100*(+AD17/$E$9)</f>
        <v>272.76078040762417</v>
      </c>
      <c r="W23" s="474">
        <f>EXP(5.7226-(0.68367*LN(+V23)))</f>
        <v>6.6072779066533966</v>
      </c>
      <c r="X23" s="468">
        <f>(+W23*V23)/100</f>
        <v>18.022062781888337</v>
      </c>
      <c r="Y23" s="467">
        <f>100*((((X23/100)-((X23/100)-0.03574)*$E$21)-0.03574-0.00619)/0.344)</f>
        <v>25.92070184897181</v>
      </c>
      <c r="Z23" s="459">
        <f>$E$20</f>
        <v>0.25</v>
      </c>
      <c r="AA23" s="467">
        <f>Y23+Z23</f>
        <v>26.17070184897181</v>
      </c>
      <c r="AB23" s="467">
        <f>100*($E$17*$E$19+($E$18*(AA23/100))/(1-$E$21))</f>
        <v>24.809745005985327</v>
      </c>
      <c r="AC23" s="468">
        <f>AB23/V23</f>
        <v>9.0957889799657757E-2</v>
      </c>
      <c r="AD23" s="466">
        <f>$E$8/(1-AC23)</f>
        <v>11052379.495199</v>
      </c>
      <c r="AE23" s="459" t="str">
        <f>IF(AD23=AD17,"yes","not yet")</f>
        <v>not yet</v>
      </c>
      <c r="AF23" s="467">
        <f>100*(1-AC23)</f>
        <v>90.904211020034225</v>
      </c>
      <c r="AG23" s="459"/>
      <c r="AH23" s="459"/>
      <c r="AI23" s="459">
        <v>4</v>
      </c>
      <c r="AJ23" s="467">
        <f>AF8</f>
        <v>91.893274228133805</v>
      </c>
      <c r="AK23" s="467">
        <f>AF14</f>
        <v>91.192834877546915</v>
      </c>
      <c r="AL23" s="467">
        <f>AF20</f>
        <v>91.232882160797175</v>
      </c>
      <c r="AM23" s="467">
        <f>AF26</f>
        <v>91.230588637669754</v>
      </c>
      <c r="AN23" s="467">
        <f>AF32</f>
        <v>91.230719976001623</v>
      </c>
      <c r="AO23" s="467">
        <f>AF38</f>
        <v>91.230712454886159</v>
      </c>
      <c r="AP23" s="467">
        <f>AF44</f>
        <v>91.230713057106414</v>
      </c>
      <c r="AQ23" s="467">
        <f>AF50</f>
        <v>91.230713057106414</v>
      </c>
      <c r="AR23" s="467">
        <f>AF56</f>
        <v>91.230713057106414</v>
      </c>
      <c r="AS23" s="457"/>
      <c r="AT23" s="457"/>
      <c r="AU23" s="457"/>
      <c r="AV23" s="457"/>
      <c r="AW23" s="457"/>
      <c r="AX23" s="457"/>
      <c r="AY23" s="457"/>
      <c r="AZ23" s="457"/>
      <c r="BA23" s="457"/>
      <c r="BB23" s="457"/>
      <c r="BC23" s="457"/>
      <c r="BD23" s="457"/>
      <c r="BE23" s="457"/>
      <c r="BF23" s="457"/>
      <c r="BG23" s="457"/>
      <c r="BH23" s="457"/>
      <c r="BI23" s="457"/>
      <c r="BJ23" s="457"/>
    </row>
    <row r="24" spans="1:62" ht="12.75">
      <c r="A24" s="457"/>
      <c r="B24" s="461"/>
      <c r="C24" s="459"/>
      <c r="D24" s="459"/>
      <c r="E24" s="459"/>
      <c r="F24" s="459"/>
      <c r="G24" s="459"/>
      <c r="H24" s="459"/>
      <c r="I24" s="459"/>
      <c r="J24" s="461"/>
      <c r="N24" s="462"/>
      <c r="O24" s="459"/>
      <c r="P24" s="459"/>
      <c r="Q24" s="459"/>
      <c r="R24" s="459"/>
      <c r="S24" s="459"/>
      <c r="T24" s="459"/>
      <c r="U24" s="459"/>
      <c r="V24" s="467">
        <f>100*(+AD18/$E$9)</f>
        <v>272.2972379682804</v>
      </c>
      <c r="W24" s="474">
        <f>EXP(5.70827-(0.68367*LN(+V24)))</f>
        <v>6.5208491409723335</v>
      </c>
      <c r="X24" s="468">
        <f>(+W24*V24)/100</f>
        <v>17.756092102946003</v>
      </c>
      <c r="Y24" s="467">
        <f>100*((((X24/100)-((X24/100)-0.03574)*$E$21)-0.03574-0.00619)/0.344)</f>
        <v>25.410409267280119</v>
      </c>
      <c r="Z24" s="459">
        <f>$E$20</f>
        <v>0.25</v>
      </c>
      <c r="AA24" s="467">
        <f>Y24+Z24</f>
        <v>25.660409267280119</v>
      </c>
      <c r="AB24" s="467">
        <f>100*($E$17*$E$19+($E$18*(AA24/100))/(1-$E$21))</f>
        <v>24.345842658992879</v>
      </c>
      <c r="AC24" s="468">
        <f>AB24/V24</f>
        <v>8.9409069444284631E-2</v>
      </c>
      <c r="AD24" s="466">
        <f>$E$8/(1-AC24)</f>
        <v>11033580.548533645</v>
      </c>
      <c r="AE24" s="459" t="str">
        <f>IF(AD24=AD18,"yes","not yet")</f>
        <v>not yet</v>
      </c>
      <c r="AF24" s="467">
        <f>100*(1-AC24)</f>
        <v>91.059093055571537</v>
      </c>
      <c r="AG24" s="459"/>
      <c r="AH24" s="459"/>
      <c r="AI24" s="459"/>
      <c r="AJ24" s="459"/>
      <c r="AK24" s="459"/>
      <c r="AL24" s="459"/>
      <c r="AM24" s="459"/>
      <c r="AN24" s="459"/>
      <c r="AO24" s="459"/>
      <c r="AP24" s="459"/>
      <c r="AQ24" s="459"/>
      <c r="AR24" s="459"/>
      <c r="AS24" s="457"/>
      <c r="AT24" s="457"/>
      <c r="AU24" s="457"/>
      <c r="AV24" s="457"/>
      <c r="AW24" s="457"/>
      <c r="AX24" s="457"/>
      <c r="AY24" s="457"/>
      <c r="AZ24" s="457"/>
      <c r="BA24" s="457"/>
      <c r="BB24" s="457"/>
      <c r="BC24" s="457"/>
      <c r="BD24" s="457"/>
      <c r="BE24" s="457"/>
      <c r="BF24" s="457"/>
      <c r="BG24" s="457"/>
      <c r="BH24" s="457"/>
      <c r="BI24" s="457"/>
      <c r="BJ24" s="457"/>
    </row>
    <row r="25" spans="1:62" ht="12.75">
      <c r="A25" s="457"/>
      <c r="B25" s="461"/>
      <c r="C25" s="459"/>
      <c r="D25" s="459"/>
      <c r="E25" s="459"/>
      <c r="F25" s="464" t="s">
        <v>1447</v>
      </c>
      <c r="G25" s="459"/>
      <c r="H25" s="468">
        <f>((+H15/100)-H23)</f>
        <v>0.88742020979348457</v>
      </c>
      <c r="I25" s="468"/>
      <c r="J25" s="461"/>
      <c r="N25" s="459"/>
      <c r="O25" s="459"/>
      <c r="P25" s="459"/>
      <c r="Q25" s="459"/>
      <c r="R25" s="459"/>
      <c r="S25" s="459"/>
      <c r="T25" s="459"/>
      <c r="U25" s="459"/>
      <c r="V25" s="467">
        <f>100*(+AD19/$E$9)</f>
        <v>271.98525253413089</v>
      </c>
      <c r="W25" s="474">
        <f>EXP(5.6985-(0.68367*LN(V25)))</f>
        <v>6.4625137661271799</v>
      </c>
      <c r="X25" s="468">
        <f>(+W25*V25)/100</f>
        <v>17.577084386853983</v>
      </c>
      <c r="Y25" s="467">
        <f>100*((((X25/100)-((X25/100)-0.03574)*$E$21)-0.03574-0.00619)/0.344)</f>
        <v>25.06696423059195</v>
      </c>
      <c r="Z25" s="459">
        <f>$E$20</f>
        <v>0.25</v>
      </c>
      <c r="AA25" s="467">
        <f>Y25+Z25</f>
        <v>25.31696423059195</v>
      </c>
      <c r="AB25" s="467">
        <f>100*($E$17*$E$19+($E$18*(AA25/100))/(1-$E$21))</f>
        <v>24.033619898367267</v>
      </c>
      <c r="AC25" s="468">
        <f>AB25/V25</f>
        <v>8.8363687642775177E-2</v>
      </c>
      <c r="AD25" s="466">
        <f>$E$8/(1-AC25)</f>
        <v>11020928.239543121</v>
      </c>
      <c r="AE25" s="459" t="str">
        <f>IF(AD25=AD19,"yes","not yet")</f>
        <v>not yet</v>
      </c>
      <c r="AF25" s="467">
        <f>100*(1-AC25)</f>
        <v>91.163631235722491</v>
      </c>
      <c r="AG25" s="459"/>
      <c r="AH25" s="459"/>
      <c r="AI25" s="459"/>
      <c r="AJ25" s="459" t="s">
        <v>1448</v>
      </c>
      <c r="AK25" s="459"/>
      <c r="AL25" s="459"/>
      <c r="AM25" s="459"/>
      <c r="AN25" s="459"/>
      <c r="AO25" s="459"/>
      <c r="AP25" s="459"/>
      <c r="AQ25" s="459"/>
      <c r="AR25" s="459"/>
      <c r="AS25" s="457"/>
      <c r="AT25" s="457"/>
      <c r="AU25" s="457"/>
      <c r="AV25" s="457"/>
      <c r="AW25" s="457"/>
      <c r="AX25" s="457"/>
      <c r="AY25" s="457"/>
      <c r="AZ25" s="457"/>
      <c r="BA25" s="457"/>
      <c r="BB25" s="457"/>
      <c r="BC25" s="457"/>
      <c r="BD25" s="457"/>
      <c r="BE25" s="457"/>
      <c r="BF25" s="457"/>
      <c r="BG25" s="457"/>
      <c r="BH25" s="457"/>
      <c r="BI25" s="457"/>
      <c r="BJ25" s="457"/>
    </row>
    <row r="26" spans="1:62" ht="12.75">
      <c r="A26" s="457"/>
      <c r="B26" s="461"/>
      <c r="C26" s="459"/>
      <c r="D26" s="459"/>
      <c r="E26" s="459"/>
      <c r="F26" s="459"/>
      <c r="G26" s="459"/>
      <c r="H26" s="459"/>
      <c r="I26" s="459"/>
      <c r="J26" s="461"/>
      <c r="N26" s="459"/>
      <c r="O26" s="459"/>
      <c r="P26" s="459"/>
      <c r="Q26" s="459"/>
      <c r="R26" s="459"/>
      <c r="S26" s="459"/>
      <c r="T26" s="459"/>
      <c r="U26" s="459"/>
      <c r="V26" s="467">
        <f>100*(+AD20/$E$9)</f>
        <v>271.78579679431851</v>
      </c>
      <c r="W26" s="474">
        <f>EXP(5.6922-(0.68367*LN(V26)))</f>
        <v>6.4251495811729527</v>
      </c>
      <c r="X26" s="468">
        <f>(+W26*V26)/100</f>
        <v>17.462643984417728</v>
      </c>
      <c r="Y26" s="467">
        <f>100*((((X26/100)-((X26/100)-0.03574)*$E$21)-0.03574-0.00619)/0.344)</f>
        <v>24.847398342196804</v>
      </c>
      <c r="Z26" s="459">
        <f>$E$20</f>
        <v>0.25</v>
      </c>
      <c r="AA26" s="467">
        <f>Y26+Z26</f>
        <v>25.097398342196804</v>
      </c>
      <c r="AB26" s="467">
        <f>100*($E$17*$E$19+($E$18*(AA26/100))/(1-$E$21))</f>
        <v>23.834014545280773</v>
      </c>
      <c r="AC26" s="468">
        <f>AB26/V26</f>
        <v>8.7694113623302497E-2</v>
      </c>
      <c r="AD26" s="466">
        <f>$E$8/(1-AC26)</f>
        <v>11012839.584926434</v>
      </c>
      <c r="AE26" s="459" t="str">
        <f>IF(AD26=AD20,"yes","not yet")</f>
        <v>not yet</v>
      </c>
      <c r="AF26" s="467">
        <f>100*(1-AC26)</f>
        <v>91.230588637669754</v>
      </c>
      <c r="AG26" s="459"/>
      <c r="AH26" s="459"/>
      <c r="AI26" s="459"/>
      <c r="AJ26" s="467">
        <f>HLOOKUP($AJ$25,$AJ$19:$AR$23,($E$12)+1)</f>
        <v>91.16375963116684</v>
      </c>
      <c r="AK26" s="459"/>
      <c r="AL26" s="459"/>
      <c r="AM26" s="459"/>
      <c r="AN26" s="459"/>
      <c r="AO26" s="459"/>
      <c r="AP26" s="459"/>
      <c r="AQ26" s="459"/>
      <c r="AR26" s="459"/>
      <c r="AS26" s="457"/>
      <c r="AT26" s="457"/>
      <c r="AU26" s="457"/>
      <c r="AV26" s="457"/>
      <c r="AW26" s="457"/>
      <c r="AX26" s="457"/>
      <c r="AY26" s="457"/>
      <c r="AZ26" s="457"/>
      <c r="BA26" s="457"/>
      <c r="BB26" s="457"/>
      <c r="BC26" s="457"/>
      <c r="BD26" s="457"/>
      <c r="BE26" s="457"/>
      <c r="BF26" s="457"/>
      <c r="BG26" s="457"/>
      <c r="BH26" s="457"/>
      <c r="BI26" s="457"/>
      <c r="BJ26" s="457"/>
    </row>
    <row r="27" spans="1:62" ht="12.75">
      <c r="A27" s="457"/>
      <c r="B27" s="461"/>
      <c r="C27" s="459"/>
      <c r="D27" s="459"/>
      <c r="E27" s="466"/>
      <c r="F27" s="459"/>
      <c r="G27" s="459"/>
      <c r="H27" s="459"/>
      <c r="I27" s="459"/>
      <c r="J27" s="461"/>
      <c r="N27" s="459"/>
      <c r="O27" s="459"/>
      <c r="P27" s="459"/>
      <c r="Q27" s="459"/>
      <c r="R27" s="459"/>
      <c r="S27" s="459"/>
      <c r="T27" s="459"/>
      <c r="U27" s="459"/>
      <c r="V27" s="459"/>
      <c r="W27" s="459"/>
      <c r="X27" s="459"/>
      <c r="Y27" s="459"/>
      <c r="Z27" s="459"/>
      <c r="AA27" s="467"/>
      <c r="AB27" s="459"/>
      <c r="AC27" s="459"/>
      <c r="AD27" s="459"/>
      <c r="AE27" s="459"/>
      <c r="AF27" s="459"/>
      <c r="AG27" s="459"/>
      <c r="AH27" s="459"/>
      <c r="AI27" s="459"/>
      <c r="AJ27" s="459"/>
      <c r="AK27" s="459"/>
      <c r="AL27" s="459"/>
      <c r="AM27" s="459"/>
      <c r="AN27" s="459"/>
      <c r="AO27" s="459"/>
      <c r="AP27" s="459"/>
      <c r="AQ27" s="459"/>
      <c r="AR27" s="459"/>
      <c r="AS27" s="457"/>
      <c r="AT27" s="457"/>
      <c r="AU27" s="457"/>
      <c r="AV27" s="457"/>
      <c r="AW27" s="457"/>
      <c r="AX27" s="457"/>
      <c r="AY27" s="457"/>
      <c r="AZ27" s="457"/>
      <c r="BA27" s="457"/>
      <c r="BB27" s="457"/>
      <c r="BC27" s="457"/>
      <c r="BD27" s="457"/>
      <c r="BE27" s="457"/>
      <c r="BF27" s="457"/>
      <c r="BG27" s="457"/>
      <c r="BH27" s="457"/>
      <c r="BI27" s="457"/>
      <c r="BJ27" s="457"/>
    </row>
    <row r="28" spans="1:62" ht="12.75">
      <c r="A28" s="457"/>
      <c r="B28" s="461"/>
      <c r="C28" s="485"/>
      <c r="D28" s="461"/>
      <c r="E28" s="462"/>
      <c r="F28" s="461"/>
      <c r="G28" s="461"/>
      <c r="H28" s="461"/>
      <c r="I28" s="461"/>
      <c r="J28" s="459"/>
      <c r="K28" s="459"/>
      <c r="L28" s="459"/>
      <c r="M28" s="459"/>
      <c r="N28" s="459"/>
      <c r="O28" s="459"/>
      <c r="P28" s="459"/>
      <c r="Q28" s="459"/>
      <c r="R28" s="459"/>
      <c r="S28" s="459"/>
      <c r="T28" s="459"/>
      <c r="U28" s="459"/>
      <c r="V28" s="464" t="s">
        <v>1449</v>
      </c>
      <c r="W28" s="473" t="s">
        <v>1400</v>
      </c>
      <c r="X28" s="473" t="s">
        <v>1401</v>
      </c>
      <c r="Y28" s="473" t="s">
        <v>1402</v>
      </c>
      <c r="Z28" s="459"/>
      <c r="AA28" s="467"/>
      <c r="AB28" s="459"/>
      <c r="AC28" s="459"/>
      <c r="AD28" s="459"/>
      <c r="AE28" s="459"/>
      <c r="AF28" s="459"/>
      <c r="AG28" s="459"/>
      <c r="AH28" s="459"/>
      <c r="AI28" s="459"/>
      <c r="AJ28" s="459" t="str">
        <f>HLOOKUP(1,$AJ$13:$AR$17,($E$12)+1)</f>
        <v>not yet</v>
      </c>
      <c r="AK28" s="459" t="str">
        <f>HLOOKUP(2,$AJ$13:$AR$17,($E$12)+1)</f>
        <v>not yet</v>
      </c>
      <c r="AL28" s="459" t="str">
        <f>HLOOKUP(3,$AJ$13:$AR$17,($E$12)+1)</f>
        <v>not yet</v>
      </c>
      <c r="AM28" s="459" t="str">
        <f>HLOOKUP(4,$AJ$13:$AR$17,($E$12)+1)</f>
        <v>not yet</v>
      </c>
      <c r="AN28" s="459" t="str">
        <f>HLOOKUP(5,$AJ$13:$AR$17,($E$12)+1)</f>
        <v>not yet</v>
      </c>
      <c r="AO28" s="459" t="str">
        <f>HLOOKUP(6,$AJ$13:$AR$17,($E$12)+1)</f>
        <v>not yet</v>
      </c>
      <c r="AP28" s="459" t="str">
        <f>HLOOKUP(7,$AJ$13:$AR$17,($E$12)+1)</f>
        <v>yes</v>
      </c>
      <c r="AQ28" s="459" t="str">
        <f>HLOOKUP(8,$AJ$13:$AR$17,($E$12)+1)</f>
        <v>yes</v>
      </c>
      <c r="AR28" s="459" t="str">
        <f>HLOOKUP(9,$AJ$13:$AR$17,($E$12)+1)</f>
        <v>yes</v>
      </c>
      <c r="AS28" s="457"/>
      <c r="AT28" s="457"/>
      <c r="AU28" s="457"/>
      <c r="AV28" s="457"/>
      <c r="AW28" s="457"/>
      <c r="AX28" s="457"/>
      <c r="AY28" s="457"/>
      <c r="AZ28" s="457"/>
      <c r="BA28" s="457"/>
      <c r="BB28" s="457"/>
      <c r="BC28" s="457"/>
      <c r="BD28" s="457"/>
      <c r="BE28" s="457"/>
      <c r="BF28" s="457"/>
      <c r="BG28" s="457"/>
      <c r="BH28" s="457"/>
      <c r="BI28" s="457"/>
      <c r="BJ28" s="457"/>
    </row>
    <row r="29" spans="1:62" ht="12.75">
      <c r="A29" s="457"/>
      <c r="B29" s="459"/>
      <c r="C29" s="459"/>
      <c r="D29" s="459"/>
      <c r="E29" s="466"/>
      <c r="F29" s="459"/>
      <c r="G29" s="466"/>
      <c r="H29" s="459"/>
      <c r="I29" s="463"/>
      <c r="J29" s="459"/>
      <c r="K29" s="459"/>
      <c r="L29" s="459"/>
      <c r="M29" s="459"/>
      <c r="N29" s="459"/>
      <c r="O29" s="459"/>
      <c r="P29" s="459"/>
      <c r="Q29" s="459"/>
      <c r="R29" s="459"/>
      <c r="S29" s="459"/>
      <c r="T29" s="459"/>
      <c r="U29" s="459"/>
      <c r="V29" s="467">
        <f>100*(+AD23/$E$9)</f>
        <v>272.76845916906666</v>
      </c>
      <c r="W29" s="474">
        <f>EXP(5.7226-(0.68367*LN(+V29)))</f>
        <v>6.607150741518641</v>
      </c>
      <c r="X29" s="468">
        <f>(+W29*V29)/100</f>
        <v>18.022223272617961</v>
      </c>
      <c r="Y29" s="467">
        <f>100*((((X29/100)-((X29/100)-0.03574)*$E$21)-0.03574-0.00619)/0.344)</f>
        <v>25.921009767232135</v>
      </c>
      <c r="Z29" s="459">
        <f>$E$20</f>
        <v>0.25</v>
      </c>
      <c r="AA29" s="467">
        <f>Y29+Z29</f>
        <v>26.171009767232135</v>
      </c>
      <c r="AB29" s="467">
        <f>100*($E$17*$E$19+($E$18*(AA29/100))/(1-$E$21))</f>
        <v>24.81002493167653</v>
      </c>
      <c r="AC29" s="468">
        <f>AB29/V29</f>
        <v>9.0956355464466815E-2</v>
      </c>
      <c r="AD29" s="466">
        <f>$E$8/(1-AC29)</f>
        <v>11052360.840368833</v>
      </c>
      <c r="AE29" s="459" t="str">
        <f>IF(AD29=AD23,"yes","not yet")</f>
        <v>not yet</v>
      </c>
      <c r="AF29" s="467">
        <f>100*(1-AC29)</f>
        <v>90.904364453553328</v>
      </c>
      <c r="AG29" s="459"/>
      <c r="AH29" s="459"/>
      <c r="AI29" s="459">
        <v>1</v>
      </c>
      <c r="AJ29" s="467">
        <f>V5</f>
        <v>309.94751964893032</v>
      </c>
      <c r="AK29" s="467">
        <f>V11</f>
        <v>270.76427932849703</v>
      </c>
      <c r="AL29" s="467">
        <f>V17</f>
        <v>272.88889897402618</v>
      </c>
      <c r="AM29" s="467">
        <f>V23</f>
        <v>272.76078040762417</v>
      </c>
      <c r="AN29" s="467">
        <f>V29</f>
        <v>272.76845916906666</v>
      </c>
      <c r="AO29" s="467">
        <f>V35</f>
        <v>272.76799877505982</v>
      </c>
      <c r="AP29" s="467">
        <f>V41</f>
        <v>272.76802739430934</v>
      </c>
      <c r="AQ29" s="467">
        <f>V47</f>
        <v>272.76802739430934</v>
      </c>
      <c r="AR29" s="467">
        <f>V53</f>
        <v>272.76802739430934</v>
      </c>
      <c r="AS29" s="457"/>
      <c r="AT29" s="457"/>
      <c r="AU29" s="457"/>
      <c r="AV29" s="457"/>
      <c r="AW29" s="457"/>
      <c r="AX29" s="457"/>
      <c r="AY29" s="457"/>
      <c r="AZ29" s="457"/>
      <c r="BA29" s="457"/>
      <c r="BB29" s="457"/>
      <c r="BC29" s="457"/>
      <c r="BD29" s="457"/>
      <c r="BE29" s="457"/>
      <c r="BF29" s="457"/>
      <c r="BG29" s="457"/>
      <c r="BH29" s="457"/>
      <c r="BI29" s="457"/>
      <c r="BJ29" s="457"/>
    </row>
    <row r="30" spans="1:62" ht="15.75" customHeight="1">
      <c r="A30" s="457"/>
      <c r="B30" s="459"/>
      <c r="C30" s="459"/>
      <c r="D30" s="459"/>
      <c r="E30" s="486"/>
      <c r="F30" s="459"/>
      <c r="G30" s="486"/>
      <c r="H30" s="459"/>
      <c r="I30" s="463"/>
      <c r="J30" s="459"/>
      <c r="K30" s="1428"/>
      <c r="L30" s="1428"/>
      <c r="M30" s="1428"/>
      <c r="O30" s="459"/>
      <c r="P30" s="459"/>
      <c r="Q30" s="459"/>
      <c r="R30" s="459"/>
      <c r="S30" s="459"/>
      <c r="T30" s="459"/>
      <c r="U30" s="459"/>
      <c r="V30" s="467">
        <f>100*(+AD24/$E$9)</f>
        <v>272.3045084227013</v>
      </c>
      <c r="W30" s="474">
        <f>EXP(5.70827-(0.68367*LN(+V30)))</f>
        <v>6.5207301102046804</v>
      </c>
      <c r="X30" s="468">
        <f>(+W30*V30)/100</f>
        <v>17.756242072163925</v>
      </c>
      <c r="Y30" s="467">
        <f>100*((((X30/100)-((X30/100)-0.03574)*$E$21)-0.03574-0.00619)/0.344)</f>
        <v>25.410696998919164</v>
      </c>
      <c r="Z30" s="459">
        <f>$E$20</f>
        <v>0.25</v>
      </c>
      <c r="AA30" s="467">
        <f>Y30+Z30</f>
        <v>25.660696998919164</v>
      </c>
      <c r="AB30" s="467">
        <f>100*($E$17*$E$19+($E$18*(AA30/100))/(1-$E$21))</f>
        <v>24.346104233210191</v>
      </c>
      <c r="AC30" s="468">
        <f>AB30/V30</f>
        <v>8.940764284158477E-2</v>
      </c>
      <c r="AD30" s="466">
        <f>$E$8/(1-AC30)</f>
        <v>11033563.262493765</v>
      </c>
      <c r="AE30" s="459" t="str">
        <f>IF(AD30=AD24,"yes","not yet")</f>
        <v>not yet</v>
      </c>
      <c r="AF30" s="467">
        <f>100*(1-AC30)</f>
        <v>91.059235715841524</v>
      </c>
      <c r="AG30" s="459"/>
      <c r="AH30" s="459"/>
      <c r="AI30" s="459">
        <v>2</v>
      </c>
      <c r="AJ30" s="467">
        <f>V6</f>
        <v>309.94751964893032</v>
      </c>
      <c r="AK30" s="467">
        <f>V12</f>
        <v>270.32077459778833</v>
      </c>
      <c r="AL30" s="467">
        <f>V18</f>
        <v>272.42118707002658</v>
      </c>
      <c r="AM30" s="467">
        <f>V24</f>
        <v>272.2972379682804</v>
      </c>
      <c r="AN30" s="467">
        <f>V30</f>
        <v>272.3045084227013</v>
      </c>
      <c r="AO30" s="467">
        <f>V36</f>
        <v>272.30408180991037</v>
      </c>
      <c r="AP30" s="467">
        <f>V42</f>
        <v>272.30410001127956</v>
      </c>
      <c r="AQ30" s="467">
        <f>V48</f>
        <v>272.30410001127956</v>
      </c>
      <c r="AR30" s="467">
        <f>V54</f>
        <v>272.30410001127956</v>
      </c>
      <c r="AS30" s="457"/>
      <c r="AT30" s="457"/>
      <c r="AU30" s="457"/>
      <c r="AV30" s="457"/>
      <c r="AW30" s="457"/>
      <c r="AX30" s="457"/>
      <c r="AY30" s="457"/>
      <c r="AZ30" s="457"/>
      <c r="BA30" s="457"/>
      <c r="BB30" s="457"/>
      <c r="BC30" s="457"/>
      <c r="BD30" s="457"/>
      <c r="BE30" s="457"/>
      <c r="BF30" s="457"/>
      <c r="BG30" s="457"/>
      <c r="BH30" s="457"/>
      <c r="BI30" s="457"/>
      <c r="BJ30" s="457"/>
    </row>
    <row r="31" spans="1:62" ht="14.25">
      <c r="A31" s="457"/>
      <c r="B31" s="459"/>
      <c r="C31" s="459"/>
      <c r="D31" s="487"/>
      <c r="E31" s="488"/>
      <c r="F31" s="489"/>
      <c r="G31" s="488"/>
      <c r="H31" s="459"/>
      <c r="I31" s="488"/>
      <c r="J31" s="459"/>
      <c r="K31" s="490"/>
      <c r="L31" s="490"/>
      <c r="M31" s="493"/>
      <c r="O31" s="459"/>
      <c r="P31" s="459"/>
      <c r="Q31" s="459"/>
      <c r="R31" s="459"/>
      <c r="S31" s="459"/>
      <c r="T31" s="459"/>
      <c r="U31" s="459"/>
      <c r="V31" s="467">
        <f>100*(+AD25/$E$9)</f>
        <v>271.99225432124064</v>
      </c>
      <c r="W31" s="474">
        <f>EXP(5.6985-(0.68367*LN(V31)))</f>
        <v>6.462400029030527</v>
      </c>
      <c r="X31" s="468">
        <f>(+W31*V31)/100</f>
        <v>17.577227522216639</v>
      </c>
      <c r="Y31" s="467">
        <f>100*((((X31/100)-((X31/100)-0.03574)*$E$21)-0.03574-0.00619)/0.344)</f>
        <v>25.067238850764483</v>
      </c>
      <c r="Z31" s="459">
        <f>$E$20</f>
        <v>0.25</v>
      </c>
      <c r="AA31" s="467">
        <f>Y31+Z31</f>
        <v>25.317238850764483</v>
      </c>
      <c r="AB31" s="467">
        <f>100*($E$17*$E$19+($E$18*(AA31/100))/(1-$E$21))</f>
        <v>24.033869553069575</v>
      </c>
      <c r="AC31" s="468">
        <f>AB31/V31</f>
        <v>8.8362330806244227E-2</v>
      </c>
      <c r="AD31" s="466">
        <f>$E$8/(1-AC31)</f>
        <v>11020911.836537249</v>
      </c>
      <c r="AE31" s="459" t="str">
        <f>IF(AD31=AD25,"yes","not yet")</f>
        <v>not yet</v>
      </c>
      <c r="AF31" s="467">
        <f>100*(1-AC31)</f>
        <v>91.163766919375576</v>
      </c>
      <c r="AG31" s="459"/>
      <c r="AH31" s="459"/>
      <c r="AI31" s="459">
        <v>3</v>
      </c>
      <c r="AJ31" s="467">
        <f>V7</f>
        <v>309.94751964893032</v>
      </c>
      <c r="AK31" s="467">
        <f>V13</f>
        <v>270.02284028409724</v>
      </c>
      <c r="AL31" s="467">
        <f>V19</f>
        <v>272.10639784754028</v>
      </c>
      <c r="AM31" s="467">
        <f>V25</f>
        <v>271.98525253413089</v>
      </c>
      <c r="AN31" s="467">
        <f>V31</f>
        <v>271.99225432124064</v>
      </c>
      <c r="AO31" s="467">
        <f>V37</f>
        <v>271.99184950138806</v>
      </c>
      <c r="AP31" s="467">
        <f>V43</f>
        <v>271.99187821519956</v>
      </c>
      <c r="AQ31" s="467">
        <f>V49</f>
        <v>271.99187821519956</v>
      </c>
      <c r="AR31" s="467">
        <f>V55</f>
        <v>271.99187821519956</v>
      </c>
      <c r="AS31" s="457"/>
      <c r="AT31" s="457"/>
      <c r="AU31" s="457"/>
      <c r="AV31" s="457"/>
      <c r="AW31" s="457"/>
      <c r="AX31" s="457"/>
      <c r="AY31" s="457"/>
      <c r="AZ31" s="457"/>
      <c r="BA31" s="457"/>
      <c r="BB31" s="457"/>
      <c r="BC31" s="457"/>
      <c r="BD31" s="457"/>
      <c r="BE31" s="457"/>
      <c r="BF31" s="457"/>
      <c r="BG31" s="457"/>
      <c r="BH31" s="457"/>
      <c r="BI31" s="457"/>
      <c r="BJ31" s="457"/>
    </row>
    <row r="32" spans="1:62" ht="12.75">
      <c r="A32" s="457"/>
      <c r="B32" s="459"/>
      <c r="C32" s="459"/>
      <c r="D32" s="459"/>
      <c r="E32" s="466"/>
      <c r="F32" s="489"/>
      <c r="G32" s="466"/>
      <c r="H32" s="459"/>
      <c r="I32" s="459"/>
      <c r="J32" s="459"/>
      <c r="K32" s="491"/>
      <c r="L32" s="491"/>
      <c r="M32" s="494"/>
      <c r="O32" s="459"/>
      <c r="P32" s="459"/>
      <c r="Q32" s="459"/>
      <c r="R32" s="459"/>
      <c r="S32" s="459"/>
      <c r="T32" s="459"/>
      <c r="U32" s="459"/>
      <c r="V32" s="467">
        <f>100*(+AD26/$E$9)</f>
        <v>271.79262944792686</v>
      </c>
      <c r="W32" s="474">
        <f>EXP(5.6922-(0.68367*LN(V32)))</f>
        <v>6.425039152152066</v>
      </c>
      <c r="X32" s="468">
        <f>(+W32*V32)/100</f>
        <v>17.462782854692886</v>
      </c>
      <c r="Y32" s="467">
        <f>100*((((X32/100)-((X32/100)-0.03574)*$E$21)-0.03574-0.00619)/0.344)</f>
        <v>24.847664779352634</v>
      </c>
      <c r="Z32" s="459">
        <f>$E$20</f>
        <v>0.25</v>
      </c>
      <c r="AA32" s="467">
        <f>Y32+Z32</f>
        <v>25.097664779352634</v>
      </c>
      <c r="AB32" s="467">
        <f>100*($E$17*$E$19+($E$18*(AA32/100))/(1-$E$21))</f>
        <v>23.834256760876986</v>
      </c>
      <c r="AC32" s="468">
        <f>AB32/V32</f>
        <v>8.7692800239983798E-2</v>
      </c>
      <c r="AD32" s="466">
        <f>$E$8/(1-AC32)</f>
        <v>11012823.730530234</v>
      </c>
      <c r="AE32" s="459" t="str">
        <f>IF(AD32=AD26,"yes","not yet")</f>
        <v>not yet</v>
      </c>
      <c r="AF32" s="467">
        <f>100*(1-AC32)</f>
        <v>91.230719976001623</v>
      </c>
      <c r="AG32" s="459"/>
      <c r="AH32" s="459"/>
      <c r="AI32" s="459">
        <v>4</v>
      </c>
      <c r="AJ32" s="467">
        <f>V8</f>
        <v>309.94751964893032</v>
      </c>
      <c r="AK32" s="467">
        <f>V14</f>
        <v>269.83260505395077</v>
      </c>
      <c r="AL32" s="467">
        <f>V20</f>
        <v>271.90515137740863</v>
      </c>
      <c r="AM32" s="467">
        <f>V26</f>
        <v>271.78579679431851</v>
      </c>
      <c r="AN32" s="467">
        <f>V32</f>
        <v>271.79262944792686</v>
      </c>
      <c r="AO32" s="467">
        <f>V38</f>
        <v>271.79223816754921</v>
      </c>
      <c r="AP32" s="467">
        <f>V44</f>
        <v>271.79226949757299</v>
      </c>
      <c r="AQ32" s="467">
        <f>V50</f>
        <v>271.79226949757299</v>
      </c>
      <c r="AR32" s="467">
        <f>V56</f>
        <v>271.79226949757299</v>
      </c>
      <c r="AS32" s="457"/>
      <c r="AT32" s="457"/>
      <c r="AU32" s="457"/>
      <c r="AV32" s="457"/>
      <c r="AW32" s="457"/>
      <c r="AX32" s="457"/>
      <c r="AY32" s="457"/>
      <c r="AZ32" s="457"/>
      <c r="BA32" s="457"/>
      <c r="BB32" s="457"/>
      <c r="BC32" s="457"/>
      <c r="BD32" s="457"/>
      <c r="BE32" s="457"/>
      <c r="BF32" s="457"/>
      <c r="BG32" s="457"/>
      <c r="BH32" s="457"/>
      <c r="BI32" s="457"/>
      <c r="BJ32" s="457"/>
    </row>
    <row r="33" spans="1:62" ht="12.75">
      <c r="A33" s="457"/>
      <c r="B33" s="459"/>
      <c r="C33" s="459"/>
      <c r="D33" s="459"/>
      <c r="E33" s="465"/>
      <c r="F33" s="489"/>
      <c r="G33" s="465"/>
      <c r="H33" s="459"/>
      <c r="I33" s="465"/>
      <c r="J33" s="459"/>
      <c r="K33" s="494"/>
      <c r="L33" s="491"/>
      <c r="M33" s="494"/>
      <c r="O33" s="459"/>
      <c r="P33" s="459"/>
      <c r="Q33" s="459"/>
      <c r="R33" s="459"/>
      <c r="S33" s="459"/>
      <c r="T33" s="459"/>
      <c r="U33" s="459"/>
      <c r="V33" s="459"/>
      <c r="W33" s="459"/>
      <c r="X33" s="459"/>
      <c r="Y33" s="459"/>
      <c r="Z33" s="459"/>
      <c r="AA33" s="467"/>
      <c r="AB33" s="459"/>
      <c r="AC33" s="459"/>
      <c r="AD33" s="459"/>
      <c r="AE33" s="459"/>
      <c r="AF33" s="459"/>
      <c r="AG33" s="459"/>
      <c r="AH33" s="459"/>
      <c r="AI33" s="459"/>
      <c r="AJ33" s="459"/>
      <c r="AK33" s="459"/>
      <c r="AL33" s="459"/>
      <c r="AM33" s="459"/>
      <c r="AN33" s="459"/>
      <c r="AO33" s="459"/>
      <c r="AP33" s="459"/>
      <c r="AQ33" s="459"/>
      <c r="AR33" s="459"/>
      <c r="AS33" s="457"/>
      <c r="AT33" s="457"/>
      <c r="AU33" s="457"/>
      <c r="AV33" s="457"/>
      <c r="AW33" s="457"/>
      <c r="AX33" s="457"/>
      <c r="AY33" s="457"/>
      <c r="AZ33" s="457"/>
      <c r="BA33" s="457"/>
      <c r="BB33" s="457"/>
      <c r="BC33" s="457"/>
      <c r="BD33" s="457"/>
      <c r="BE33" s="457"/>
      <c r="BF33" s="457"/>
      <c r="BG33" s="457"/>
      <c r="BH33" s="457"/>
      <c r="BI33" s="457"/>
      <c r="BJ33" s="457"/>
    </row>
    <row r="34" spans="1:62" ht="12.75">
      <c r="A34" s="457"/>
      <c r="B34" s="459"/>
      <c r="C34" s="459"/>
      <c r="D34" s="459"/>
      <c r="E34" s="489"/>
      <c r="F34" s="489"/>
      <c r="G34" s="459"/>
      <c r="H34" s="459"/>
      <c r="I34" s="459"/>
      <c r="J34" s="459"/>
      <c r="K34" s="493"/>
      <c r="L34" s="491"/>
      <c r="M34" s="495"/>
      <c r="O34" s="459"/>
      <c r="P34" s="459"/>
      <c r="Q34" s="459"/>
      <c r="R34" s="459"/>
      <c r="S34" s="459"/>
      <c r="T34" s="459"/>
      <c r="U34" s="459"/>
      <c r="V34" s="464" t="s">
        <v>1450</v>
      </c>
      <c r="W34" s="473" t="s">
        <v>1400</v>
      </c>
      <c r="X34" s="473" t="s">
        <v>1401</v>
      </c>
      <c r="Y34" s="473" t="s">
        <v>1402</v>
      </c>
      <c r="Z34" s="459"/>
      <c r="AA34" s="467"/>
      <c r="AB34" s="459"/>
      <c r="AC34" s="459"/>
      <c r="AD34" s="459"/>
      <c r="AE34" s="459"/>
      <c r="AF34" s="459"/>
      <c r="AG34" s="459"/>
      <c r="AH34" s="459"/>
      <c r="AI34" s="459"/>
      <c r="AJ34" s="459" t="s">
        <v>1448</v>
      </c>
      <c r="AK34" s="459"/>
      <c r="AL34" s="459"/>
      <c r="AM34" s="459"/>
      <c r="AN34" s="459"/>
      <c r="AO34" s="459"/>
      <c r="AP34" s="459"/>
      <c r="AQ34" s="459"/>
      <c r="AR34" s="459"/>
      <c r="AS34" s="457"/>
      <c r="AT34" s="457"/>
      <c r="AU34" s="457"/>
      <c r="AV34" s="457"/>
      <c r="AW34" s="457"/>
      <c r="AX34" s="457"/>
      <c r="AY34" s="457"/>
      <c r="AZ34" s="457"/>
      <c r="BA34" s="457"/>
      <c r="BB34" s="457"/>
      <c r="BC34" s="457"/>
      <c r="BD34" s="457"/>
      <c r="BE34" s="457"/>
      <c r="BF34" s="457"/>
      <c r="BG34" s="457"/>
      <c r="BH34" s="457"/>
      <c r="BI34" s="457"/>
      <c r="BJ34" s="457"/>
    </row>
    <row r="35" spans="1:62" ht="12.75">
      <c r="A35" s="457"/>
      <c r="B35" s="459"/>
      <c r="C35" s="459"/>
      <c r="D35" s="459"/>
      <c r="E35" s="489"/>
      <c r="F35" s="489"/>
      <c r="G35" s="489"/>
      <c r="H35" s="459"/>
      <c r="I35" s="459"/>
      <c r="J35" s="459"/>
      <c r="K35" s="493"/>
      <c r="L35" s="493"/>
      <c r="M35" s="493"/>
      <c r="N35" s="459"/>
      <c r="O35" s="459"/>
      <c r="P35" s="459"/>
      <c r="Q35" s="459"/>
      <c r="R35" s="459"/>
      <c r="S35" s="459"/>
      <c r="T35" s="459"/>
      <c r="U35" s="459"/>
      <c r="V35" s="467">
        <f>100*(+AD29/$E$9)</f>
        <v>272.76799877505982</v>
      </c>
      <c r="W35" s="474">
        <f>EXP(5.7226-(0.68367*LN(+V35)))</f>
        <v>6.6071583657640458</v>
      </c>
      <c r="X35" s="468">
        <f>(+W35*V35)/100</f>
        <v>18.022213650193535</v>
      </c>
      <c r="Y35" s="467">
        <f>100*((((X35/100)-((X35/100)-0.03574)*$E$21)-0.03574-0.00619)/0.344)</f>
        <v>25.920991305603881</v>
      </c>
      <c r="Z35" s="459">
        <f>$E$20</f>
        <v>0.25</v>
      </c>
      <c r="AA35" s="467">
        <f>Y35+Z35</f>
        <v>26.170991305603881</v>
      </c>
      <c r="AB35" s="467">
        <f>100*($E$17*$E$19+($E$18*(AA35/100))/(1-$E$21))</f>
        <v>24.810008148378117</v>
      </c>
      <c r="AC35" s="468">
        <f>AB35/V35</f>
        <v>9.0956447456425699E-2</v>
      </c>
      <c r="AD35" s="466">
        <f>ROUND($E$8/(1-AC35),0)</f>
        <v>11052362</v>
      </c>
      <c r="AE35" s="459" t="str">
        <f>IF(AD35=AD29,"yes","not yet")</f>
        <v>not yet</v>
      </c>
      <c r="AF35" s="467">
        <f>100*(1-AC35)</f>
        <v>90.904355254357426</v>
      </c>
      <c r="AG35" s="459"/>
      <c r="AH35" s="459"/>
      <c r="AI35" s="459"/>
      <c r="AJ35" s="467">
        <f>HLOOKUP($AJ$34,$AJ$28:$AR$32,($E$12)+1)</f>
        <v>271.99187821519956</v>
      </c>
      <c r="AK35" s="459"/>
      <c r="AL35" s="459"/>
      <c r="AM35" s="459"/>
      <c r="AN35" s="459"/>
      <c r="AO35" s="459"/>
      <c r="AP35" s="459"/>
      <c r="AQ35" s="459"/>
      <c r="AR35" s="459"/>
      <c r="AS35" s="457"/>
      <c r="AT35" s="457"/>
      <c r="AU35" s="457"/>
      <c r="AV35" s="457"/>
      <c r="AW35" s="457"/>
      <c r="AX35" s="457"/>
      <c r="AY35" s="457"/>
      <c r="AZ35" s="457"/>
      <c r="BA35" s="457"/>
      <c r="BB35" s="457"/>
      <c r="BC35" s="457"/>
      <c r="BD35" s="457"/>
      <c r="BE35" s="457"/>
      <c r="BF35" s="457"/>
      <c r="BG35" s="457"/>
      <c r="BH35" s="457"/>
      <c r="BI35" s="457"/>
      <c r="BJ35" s="457"/>
    </row>
    <row r="36" spans="1:62" ht="14.25">
      <c r="A36" s="457"/>
      <c r="B36" s="459"/>
      <c r="C36" s="459"/>
      <c r="D36" s="459"/>
      <c r="E36" s="492"/>
      <c r="F36" s="459"/>
      <c r="G36" s="459"/>
      <c r="H36" s="459"/>
      <c r="I36" s="459"/>
      <c r="J36" s="459"/>
      <c r="K36" s="459"/>
      <c r="L36" s="459"/>
      <c r="M36" s="459"/>
      <c r="N36" s="459"/>
      <c r="O36" s="459"/>
      <c r="P36" s="459"/>
      <c r="Q36" s="459"/>
      <c r="R36" s="459"/>
      <c r="S36" s="459"/>
      <c r="T36" s="459"/>
      <c r="U36" s="459"/>
      <c r="V36" s="467">
        <f>100*(+AD30/$E$9)</f>
        <v>272.30408180991037</v>
      </c>
      <c r="W36" s="474">
        <f>EXP(5.70827-(0.68367*LN(+V36)))</f>
        <v>6.5207370944962602</v>
      </c>
      <c r="X36" s="468">
        <f>(+W36*V36)/100</f>
        <v>17.75623327240627</v>
      </c>
      <c r="Y36" s="467">
        <f>100*((((X36/100)-((X36/100)-0.03574)*$E$21)-0.03574-0.00619)/0.344)</f>
        <v>25.410680115663194</v>
      </c>
      <c r="Z36" s="459">
        <f>$E$20</f>
        <v>0.25</v>
      </c>
      <c r="AA36" s="467">
        <f>Y36+Z36</f>
        <v>25.660680115663194</v>
      </c>
      <c r="AB36" s="467">
        <f>100*($E$17*$E$19+($E$18*(AA36/100))/(1-$E$21))</f>
        <v>24.346088884795673</v>
      </c>
      <c r="AC36" s="468">
        <f>AB36/V36</f>
        <v>8.9407726549582733E-2</v>
      </c>
      <c r="AD36" s="466">
        <f>ROUND($E$8/(1-AC36),0)</f>
        <v>11033564</v>
      </c>
      <c r="AE36" s="459" t="str">
        <f>IF(AD36=AD30,"yes","not yet")</f>
        <v>not yet</v>
      </c>
      <c r="AF36" s="467">
        <f>100*(1-AC36)</f>
        <v>91.059227345041734</v>
      </c>
      <c r="AG36" s="459"/>
      <c r="AH36" s="459"/>
      <c r="AI36" s="459"/>
      <c r="AJ36" s="459"/>
      <c r="AK36" s="459"/>
      <c r="AL36" s="459"/>
      <c r="AM36" s="459"/>
      <c r="AN36" s="459"/>
      <c r="AO36" s="459"/>
      <c r="AP36" s="459"/>
      <c r="AQ36" s="459"/>
      <c r="AR36" s="459"/>
      <c r="AS36" s="457"/>
      <c r="AT36" s="457"/>
      <c r="AU36" s="457"/>
      <c r="AV36" s="457"/>
      <c r="AW36" s="457"/>
      <c r="AX36" s="457"/>
      <c r="AY36" s="457"/>
      <c r="AZ36" s="457"/>
      <c r="BA36" s="457"/>
      <c r="BB36" s="457"/>
      <c r="BC36" s="457"/>
      <c r="BD36" s="457"/>
      <c r="BE36" s="457"/>
      <c r="BF36" s="457"/>
      <c r="BG36" s="457"/>
      <c r="BH36" s="457"/>
      <c r="BI36" s="457"/>
      <c r="BJ36" s="457"/>
    </row>
    <row r="37" spans="1:62" ht="12.75">
      <c r="A37" s="457"/>
      <c r="B37" s="459"/>
      <c r="C37" s="459"/>
      <c r="D37" s="459"/>
      <c r="E37" s="489"/>
      <c r="F37" s="459"/>
      <c r="G37" s="489"/>
      <c r="H37" s="459"/>
      <c r="I37" s="459"/>
      <c r="J37" s="459"/>
      <c r="K37" s="459"/>
      <c r="L37" s="459"/>
      <c r="M37" s="459"/>
      <c r="N37" s="459"/>
      <c r="O37" s="459"/>
      <c r="P37" s="459"/>
      <c r="Q37" s="459"/>
      <c r="R37" s="459"/>
      <c r="S37" s="459"/>
      <c r="T37" s="459"/>
      <c r="U37" s="459"/>
      <c r="V37" s="467">
        <f>100*(+AD31/$E$9)</f>
        <v>271.99184950138806</v>
      </c>
      <c r="W37" s="474">
        <f>EXP(5.6985-(0.68367*LN(V37)))</f>
        <v>6.4624066047938076</v>
      </c>
      <c r="X37" s="468">
        <f>(+W37*V37)/100</f>
        <v>17.577219246678535</v>
      </c>
      <c r="Y37" s="467">
        <f>100*((((X37/100)-((X37/100)-0.03574)*$E$21)-0.03574-0.00619)/0.344)</f>
        <v>25.067222973278586</v>
      </c>
      <c r="Z37" s="459">
        <f>$E$20</f>
        <v>0.25</v>
      </c>
      <c r="AA37" s="467">
        <f>Y37+Z37</f>
        <v>25.317222973278586</v>
      </c>
      <c r="AB37" s="467">
        <f>100*($E$17*$E$19+($E$18*(AA37/100))/(1-$E$21))</f>
        <v>24.033855118991486</v>
      </c>
      <c r="AC37" s="468">
        <f>AB37/V37</f>
        <v>8.8362409252520022E-2</v>
      </c>
      <c r="AD37" s="466">
        <f>ROUND($E$8/(1-AC37),0)</f>
        <v>11020913</v>
      </c>
      <c r="AE37" s="459" t="str">
        <f>IF(AD37=AD31,"yes","not yet")</f>
        <v>not yet</v>
      </c>
      <c r="AF37" s="467">
        <f>100*(1-AC37)</f>
        <v>91.163759074748</v>
      </c>
      <c r="AG37" s="459"/>
      <c r="AH37" s="459"/>
      <c r="AI37" s="459"/>
      <c r="AJ37" s="459" t="str">
        <f>HLOOKUP(1,$AJ$13:$AR$17,($E$12)+1)</f>
        <v>not yet</v>
      </c>
      <c r="AK37" s="459" t="str">
        <f>HLOOKUP(2,$AJ$13:$AR$17,($E$12)+1)</f>
        <v>not yet</v>
      </c>
      <c r="AL37" s="459" t="str">
        <f>HLOOKUP(3,$AJ$13:$AR$17,($E$12)+1)</f>
        <v>not yet</v>
      </c>
      <c r="AM37" s="459" t="str">
        <f>HLOOKUP(4,$AJ$13:$AR$17,($E$12)+1)</f>
        <v>not yet</v>
      </c>
      <c r="AN37" s="459" t="str">
        <f>HLOOKUP(5,$AJ$13:$AR$17,($E$12)+1)</f>
        <v>not yet</v>
      </c>
      <c r="AO37" s="459" t="str">
        <f>HLOOKUP(6,$AJ$13:$AR$17,($E$12)+1)</f>
        <v>not yet</v>
      </c>
      <c r="AP37" s="459" t="str">
        <f>HLOOKUP(7,$AJ$13:$AR$17,($E$12)+1)</f>
        <v>yes</v>
      </c>
      <c r="AQ37" s="459" t="str">
        <f>HLOOKUP(8,$AJ$13:$AR$17,($E$12)+1)</f>
        <v>yes</v>
      </c>
      <c r="AR37" s="459" t="str">
        <f>HLOOKUP(9,$AJ$13:$AR$17,($E$12)+1)</f>
        <v>yes</v>
      </c>
      <c r="AS37" s="457"/>
      <c r="AT37" s="457"/>
      <c r="AU37" s="457"/>
      <c r="AV37" s="457"/>
      <c r="AW37" s="457"/>
      <c r="AX37" s="457"/>
      <c r="AY37" s="457"/>
      <c r="AZ37" s="457"/>
      <c r="BA37" s="457"/>
      <c r="BB37" s="457"/>
      <c r="BC37" s="457"/>
      <c r="BD37" s="457"/>
      <c r="BE37" s="457"/>
      <c r="BF37" s="457"/>
      <c r="BG37" s="457"/>
      <c r="BH37" s="457"/>
      <c r="BI37" s="457"/>
      <c r="BJ37" s="457"/>
    </row>
    <row r="38" spans="1:62" ht="12.75">
      <c r="A38" s="457"/>
      <c r="B38" s="459"/>
      <c r="C38" s="459"/>
      <c r="D38" s="459"/>
      <c r="E38" s="463"/>
      <c r="F38" s="459"/>
      <c r="G38" s="459"/>
      <c r="H38" s="459"/>
      <c r="I38" s="459"/>
      <c r="J38" s="459"/>
      <c r="K38" s="459"/>
      <c r="L38" s="459"/>
      <c r="M38" s="459"/>
      <c r="N38" s="459"/>
      <c r="O38" s="459"/>
      <c r="P38" s="459"/>
      <c r="Q38" s="459"/>
      <c r="R38" s="459"/>
      <c r="S38" s="459"/>
      <c r="T38" s="459"/>
      <c r="U38" s="459"/>
      <c r="V38" s="467">
        <f>100*(+AD32/$E$9)</f>
        <v>271.79223816754921</v>
      </c>
      <c r="W38" s="474">
        <f>EXP(5.6922-(0.68367*LN(V38)))</f>
        <v>6.4250454758806486</v>
      </c>
      <c r="X38" s="468">
        <f>(+W38*V38)/100</f>
        <v>17.462774902178879</v>
      </c>
      <c r="Y38" s="467">
        <f>100*((((X38/100)-((X38/100)-0.03574)*$E$21)-0.03574-0.00619)/0.344)</f>
        <v>24.847649521622266</v>
      </c>
      <c r="Z38" s="459">
        <f>$E$20</f>
        <v>0.25</v>
      </c>
      <c r="AA38" s="467">
        <f>Y38+Z38</f>
        <v>25.097649521622266</v>
      </c>
      <c r="AB38" s="467">
        <f>100*($E$17*$E$19+($E$18*(AA38/100))/(1-$E$21))</f>
        <v>23.834242890213016</v>
      </c>
      <c r="AC38" s="468">
        <f>AB38/V38</f>
        <v>8.7692875451138325E-2</v>
      </c>
      <c r="AD38" s="466">
        <f>ROUND($E$8/(1-AC38),0)</f>
        <v>11012825</v>
      </c>
      <c r="AE38" s="459" t="str">
        <f>IF(AD38=AD32,"yes","not yet")</f>
        <v>not yet</v>
      </c>
      <c r="AF38" s="467">
        <f>100*(1-AC38)</f>
        <v>91.230712454886159</v>
      </c>
      <c r="AG38" s="459"/>
      <c r="AH38" s="459"/>
      <c r="AI38" s="459">
        <v>1</v>
      </c>
      <c r="AJ38" s="466">
        <f>AD5</f>
        <v>10971171.586329767</v>
      </c>
      <c r="AK38" s="466">
        <f>AD11</f>
        <v>11057259.628462192</v>
      </c>
      <c r="AL38" s="466">
        <f>AD17</f>
        <v>11052068.35737253</v>
      </c>
      <c r="AM38" s="466">
        <f>AD23</f>
        <v>11052379.495199</v>
      </c>
      <c r="AN38" s="466">
        <f>AD29</f>
        <v>11052360.840368833</v>
      </c>
      <c r="AO38" s="466">
        <f>AD35</f>
        <v>11052362</v>
      </c>
      <c r="AP38" s="466">
        <f>AD41</f>
        <v>11052362</v>
      </c>
      <c r="AQ38" s="466">
        <f>AD47</f>
        <v>11052362</v>
      </c>
      <c r="AR38" s="466">
        <f>AD53</f>
        <v>11052362</v>
      </c>
      <c r="AS38" s="457"/>
      <c r="AT38" s="457"/>
      <c r="AU38" s="457"/>
      <c r="AV38" s="457"/>
      <c r="AW38" s="457"/>
      <c r="AX38" s="457"/>
      <c r="AY38" s="457"/>
      <c r="AZ38" s="457"/>
      <c r="BA38" s="457"/>
      <c r="BB38" s="457"/>
      <c r="BC38" s="457"/>
      <c r="BD38" s="457"/>
      <c r="BE38" s="457"/>
      <c r="BF38" s="457"/>
      <c r="BG38" s="457"/>
      <c r="BH38" s="457"/>
      <c r="BI38" s="457"/>
      <c r="BJ38" s="457"/>
    </row>
    <row r="39" spans="1:62" ht="12.75">
      <c r="A39" s="457"/>
      <c r="B39" s="459"/>
      <c r="C39" s="459"/>
      <c r="D39" s="459"/>
      <c r="E39" s="463"/>
      <c r="F39" s="459"/>
      <c r="G39" s="459"/>
      <c r="H39" s="459"/>
      <c r="I39" s="459"/>
      <c r="J39" s="459"/>
      <c r="K39" s="459"/>
      <c r="L39" s="459"/>
      <c r="M39" s="459"/>
      <c r="N39" s="459"/>
      <c r="O39" s="459"/>
      <c r="P39" s="459"/>
      <c r="Q39" s="459"/>
      <c r="R39" s="459"/>
      <c r="S39" s="459"/>
      <c r="T39" s="459"/>
      <c r="U39" s="459"/>
      <c r="V39" s="459"/>
      <c r="W39" s="459"/>
      <c r="X39" s="459"/>
      <c r="Y39" s="459"/>
      <c r="Z39" s="459"/>
      <c r="AA39" s="467"/>
      <c r="AB39" s="459"/>
      <c r="AC39" s="459"/>
      <c r="AD39" s="459"/>
      <c r="AE39" s="459"/>
      <c r="AF39" s="459"/>
      <c r="AG39" s="459"/>
      <c r="AH39" s="459"/>
      <c r="AI39" s="459">
        <v>2</v>
      </c>
      <c r="AJ39" s="466">
        <f>AD6</f>
        <v>10953201.097341998</v>
      </c>
      <c r="AK39" s="466">
        <f>AD12</f>
        <v>11038308.282426171</v>
      </c>
      <c r="AL39" s="466">
        <f>AD18</f>
        <v>11033285.955010599</v>
      </c>
      <c r="AM39" s="466">
        <f>AD24</f>
        <v>11033580.548533645</v>
      </c>
      <c r="AN39" s="466">
        <f>AD30</f>
        <v>11033563.262493765</v>
      </c>
      <c r="AO39" s="466">
        <f>AD36</f>
        <v>11033564</v>
      </c>
      <c r="AP39" s="466">
        <f>AD42</f>
        <v>11033564</v>
      </c>
      <c r="AQ39" s="466">
        <f>AD48</f>
        <v>11033564</v>
      </c>
      <c r="AR39" s="466">
        <f>AD54</f>
        <v>11033564</v>
      </c>
      <c r="AS39" s="457"/>
      <c r="AT39" s="457"/>
      <c r="AU39" s="457"/>
      <c r="AV39" s="457"/>
      <c r="AW39" s="457"/>
      <c r="AX39" s="457"/>
      <c r="AY39" s="457"/>
      <c r="AZ39" s="457"/>
      <c r="BA39" s="457"/>
      <c r="BB39" s="457"/>
      <c r="BC39" s="457"/>
      <c r="BD39" s="457"/>
      <c r="BE39" s="457"/>
      <c r="BF39" s="457"/>
      <c r="BG39" s="457"/>
      <c r="BH39" s="457"/>
      <c r="BI39" s="457"/>
      <c r="BJ39" s="457"/>
    </row>
    <row r="40" spans="1:62" ht="12.75">
      <c r="A40" s="457"/>
      <c r="B40" s="459"/>
      <c r="C40" s="459"/>
      <c r="D40" s="459"/>
      <c r="E40" s="463"/>
      <c r="F40" s="459"/>
      <c r="G40" s="459"/>
      <c r="H40" s="459"/>
      <c r="I40" s="459"/>
      <c r="J40" s="459"/>
      <c r="K40" s="459"/>
      <c r="L40" s="459"/>
      <c r="M40" s="459"/>
      <c r="N40" s="459"/>
      <c r="O40" s="459"/>
      <c r="P40" s="459"/>
      <c r="Q40" s="459"/>
      <c r="R40" s="459"/>
      <c r="S40" s="459"/>
      <c r="T40" s="459"/>
      <c r="U40" s="459"/>
      <c r="V40" s="464" t="s">
        <v>1451</v>
      </c>
      <c r="W40" s="473" t="s">
        <v>1400</v>
      </c>
      <c r="X40" s="473" t="s">
        <v>1401</v>
      </c>
      <c r="Y40" s="473" t="s">
        <v>1402</v>
      </c>
      <c r="Z40" s="459"/>
      <c r="AA40" s="467"/>
      <c r="AB40" s="459"/>
      <c r="AC40" s="459"/>
      <c r="AD40" s="459"/>
      <c r="AE40" s="459"/>
      <c r="AF40" s="459"/>
      <c r="AG40" s="459"/>
      <c r="AH40" s="459"/>
      <c r="AI40" s="459">
        <v>3</v>
      </c>
      <c r="AJ40" s="466">
        <f>AD7</f>
        <v>10941129.015732611</v>
      </c>
      <c r="AK40" s="466">
        <f>AD13</f>
        <v>11025553.252176281</v>
      </c>
      <c r="AL40" s="466">
        <f>AD19</f>
        <v>11020644.532224039</v>
      </c>
      <c r="AM40" s="466">
        <f>AD25</f>
        <v>11020928.239543121</v>
      </c>
      <c r="AN40" s="466">
        <f>AD31</f>
        <v>11020911.836537249</v>
      </c>
      <c r="AO40" s="466">
        <f>AD37</f>
        <v>11020913</v>
      </c>
      <c r="AP40" s="466">
        <f>AD43</f>
        <v>11020913</v>
      </c>
      <c r="AQ40" s="466">
        <f>AD49</f>
        <v>11020913</v>
      </c>
      <c r="AR40" s="466">
        <f>AD55</f>
        <v>11020913</v>
      </c>
      <c r="AS40" s="457"/>
      <c r="AT40" s="457"/>
      <c r="AU40" s="457"/>
      <c r="AV40" s="457"/>
      <c r="AW40" s="457"/>
      <c r="AX40" s="457"/>
      <c r="AY40" s="457"/>
      <c r="AZ40" s="457"/>
      <c r="BA40" s="457"/>
      <c r="BB40" s="457"/>
      <c r="BC40" s="457"/>
      <c r="BD40" s="457"/>
      <c r="BE40" s="457"/>
      <c r="BF40" s="457"/>
      <c r="BG40" s="457"/>
      <c r="BH40" s="457"/>
      <c r="BI40" s="457"/>
      <c r="BJ40" s="457"/>
    </row>
    <row r="41" spans="1:62" ht="12.75">
      <c r="A41" s="457"/>
      <c r="B41" s="459"/>
      <c r="C41" s="459"/>
      <c r="D41" s="459"/>
      <c r="E41" s="463"/>
      <c r="F41" s="459"/>
      <c r="G41" s="459"/>
      <c r="H41" s="459"/>
      <c r="I41" s="459"/>
      <c r="J41" s="459"/>
      <c r="K41" s="459"/>
      <c r="L41" s="459"/>
      <c r="M41" s="459"/>
      <c r="N41" s="459"/>
      <c r="O41" s="459"/>
      <c r="P41" s="459"/>
      <c r="Q41" s="459"/>
      <c r="R41" s="459"/>
      <c r="S41" s="459"/>
      <c r="T41" s="459"/>
      <c r="U41" s="459"/>
      <c r="V41" s="467">
        <f>100*(+AD35/$E$9)</f>
        <v>272.76802739430934</v>
      </c>
      <c r="W41" s="474">
        <f>EXP(5.7226-(0.68367*LN(+V41)))</f>
        <v>6.6071578918211431</v>
      </c>
      <c r="X41" s="468">
        <f>(+W41*V41)/100</f>
        <v>18.022214248347968</v>
      </c>
      <c r="Y41" s="467">
        <f>100*((((X41/100)-((X41/100)-0.03574)*$E$21)-0.03574-0.00619)/0.344)</f>
        <v>25.920992453225754</v>
      </c>
      <c r="Z41" s="459">
        <f>$E$20</f>
        <v>0.25</v>
      </c>
      <c r="AA41" s="467">
        <f>Y41+Z41</f>
        <v>26.170992453225754</v>
      </c>
      <c r="AB41" s="467">
        <f>100*($E$17*$E$19+($E$18*(AA41/100))/(1-$E$21))</f>
        <v>24.81000919167073</v>
      </c>
      <c r="AC41" s="468">
        <f>AB41/V41</f>
        <v>9.0956441737967172E-2</v>
      </c>
      <c r="AD41" s="466">
        <f>ROUND($E$8/(1-AC41),0)</f>
        <v>11052362</v>
      </c>
      <c r="AE41" s="459" t="str">
        <f>IF(OR(OR(AD41=AD35,AD41=(AD35+1)),AD41=(AD27-1)),"yes","not yet")</f>
        <v>yes</v>
      </c>
      <c r="AF41" s="467">
        <f>100*(1-AC41)</f>
        <v>90.904355826203286</v>
      </c>
      <c r="AG41" s="459"/>
      <c r="AH41" s="459"/>
      <c r="AI41" s="459">
        <v>4</v>
      </c>
      <c r="AJ41" s="466">
        <f>AD8</f>
        <v>10933420.822625021</v>
      </c>
      <c r="AK41" s="466">
        <f>AD14</f>
        <v>11017398.891636429</v>
      </c>
      <c r="AL41" s="466">
        <f>AD20</f>
        <v>11012562.730773762</v>
      </c>
      <c r="AM41" s="466">
        <f>AD26</f>
        <v>11012839.584926434</v>
      </c>
      <c r="AN41" s="466">
        <f>AD32</f>
        <v>11012823.730530234</v>
      </c>
      <c r="AO41" s="466">
        <f>AD38</f>
        <v>11012825</v>
      </c>
      <c r="AP41" s="466">
        <f>AD44</f>
        <v>11012825</v>
      </c>
      <c r="AQ41" s="466">
        <f>AD50</f>
        <v>11012825</v>
      </c>
      <c r="AR41" s="466">
        <f>AD56</f>
        <v>11012825</v>
      </c>
      <c r="AS41" s="457"/>
      <c r="AT41" s="457"/>
      <c r="AU41" s="457"/>
      <c r="AV41" s="457"/>
      <c r="AW41" s="457"/>
      <c r="AX41" s="457"/>
      <c r="AY41" s="457"/>
      <c r="AZ41" s="457"/>
      <c r="BA41" s="457"/>
      <c r="BB41" s="457"/>
      <c r="BC41" s="457"/>
      <c r="BD41" s="457"/>
      <c r="BE41" s="457"/>
      <c r="BF41" s="457"/>
      <c r="BG41" s="457"/>
      <c r="BH41" s="457"/>
      <c r="BI41" s="457"/>
      <c r="BJ41" s="457"/>
    </row>
    <row r="42" spans="1:62" ht="12.75">
      <c r="A42" s="457"/>
      <c r="B42" s="459"/>
      <c r="C42" s="459"/>
      <c r="D42" s="459"/>
      <c r="E42" s="462"/>
      <c r="F42" s="459"/>
      <c r="G42" s="459"/>
      <c r="H42" s="459"/>
      <c r="I42" s="459"/>
      <c r="J42" s="459"/>
      <c r="K42" s="459"/>
      <c r="L42" s="459"/>
      <c r="M42" s="459"/>
      <c r="N42" s="459"/>
      <c r="O42" s="459"/>
      <c r="P42" s="459"/>
      <c r="Q42" s="459"/>
      <c r="R42" s="459"/>
      <c r="S42" s="459"/>
      <c r="T42" s="459"/>
      <c r="U42" s="459"/>
      <c r="V42" s="467">
        <f>100*(+AD36/$E$9)</f>
        <v>272.30410001127956</v>
      </c>
      <c r="W42" s="474">
        <f>EXP(5.70827-(0.68367*LN(+V42)))</f>
        <v>6.5207367965121561</v>
      </c>
      <c r="X42" s="468">
        <f>(+W42*V42)/100</f>
        <v>17.75623364784677</v>
      </c>
      <c r="Y42" s="467">
        <f>100*((((X42/100)-((X42/100)-0.03574)*$E$21)-0.03574-0.00619)/0.344)</f>
        <v>25.410680835985076</v>
      </c>
      <c r="Z42" s="459">
        <f>$E$20</f>
        <v>0.25</v>
      </c>
      <c r="AA42" s="467">
        <f>Y42+Z42</f>
        <v>25.660680835985076</v>
      </c>
      <c r="AB42" s="467">
        <f>100*($E$17*$E$19+($E$18*(AA42/100))/(1-$E$21))</f>
        <v>24.346089539633752</v>
      </c>
      <c r="AC42" s="468">
        <f>AB42/V42</f>
        <v>8.9407722978189719E-2</v>
      </c>
      <c r="AD42" s="466">
        <f>ROUND($E$8/(1-AC42),0)</f>
        <v>11033564</v>
      </c>
      <c r="AE42" s="459" t="str">
        <f>IF(OR(OR(AD42=AD36,AD42=(AD36+5)),AD42=(AD28-5)),"yes","not yet")</f>
        <v>yes</v>
      </c>
      <c r="AF42" s="467">
        <f>100*(1-AC42)</f>
        <v>91.059227702181019</v>
      </c>
      <c r="AG42" s="459"/>
      <c r="AH42" s="459"/>
      <c r="AI42" s="459"/>
      <c r="AJ42" s="459"/>
      <c r="AK42" s="459"/>
      <c r="AL42" s="459"/>
      <c r="AM42" s="459"/>
      <c r="AN42" s="459"/>
      <c r="AO42" s="459"/>
      <c r="AP42" s="459"/>
      <c r="AQ42" s="459"/>
      <c r="AR42" s="459"/>
      <c r="AS42" s="457"/>
      <c r="AT42" s="457"/>
      <c r="AU42" s="457"/>
      <c r="AV42" s="457"/>
      <c r="AW42" s="457"/>
      <c r="AX42" s="457"/>
      <c r="AY42" s="457"/>
      <c r="AZ42" s="457"/>
      <c r="BA42" s="457"/>
      <c r="BB42" s="457"/>
      <c r="BC42" s="457"/>
      <c r="BD42" s="457"/>
      <c r="BE42" s="457"/>
      <c r="BF42" s="457"/>
      <c r="BG42" s="457"/>
      <c r="BH42" s="457"/>
      <c r="BI42" s="457"/>
      <c r="BJ42" s="457"/>
    </row>
    <row r="43" spans="1:62" ht="12.75">
      <c r="A43" s="457"/>
      <c r="B43" s="459"/>
      <c r="C43" s="459"/>
      <c r="D43" s="459"/>
      <c r="E43" s="463"/>
      <c r="F43" s="459"/>
      <c r="G43" s="459"/>
      <c r="H43" s="459"/>
      <c r="I43" s="459"/>
      <c r="J43" s="459"/>
      <c r="K43" s="459"/>
      <c r="L43" s="459"/>
      <c r="M43" s="459"/>
      <c r="N43" s="459"/>
      <c r="O43" s="459"/>
      <c r="P43" s="459"/>
      <c r="Q43" s="459"/>
      <c r="R43" s="459"/>
      <c r="S43" s="459"/>
      <c r="T43" s="459"/>
      <c r="U43" s="459"/>
      <c r="V43" s="467">
        <f>100*(+AD37/$E$9)</f>
        <v>271.99187821519956</v>
      </c>
      <c r="W43" s="474">
        <f>EXP(5.6985-(0.68367*LN(V43)))</f>
        <v>6.4624061383753633</v>
      </c>
      <c r="X43" s="468">
        <f>(+W43*V43)/100</f>
        <v>17.577219833661498</v>
      </c>
      <c r="Y43" s="467">
        <f>100*((((X43/100)-((X43/100)-0.03574)*$E$21)-0.03574-0.00619)/0.344)</f>
        <v>25.067224099466827</v>
      </c>
      <c r="Z43" s="459">
        <f>$E$20</f>
        <v>0.25</v>
      </c>
      <c r="AA43" s="467">
        <f>Y43+Z43</f>
        <v>25.317224099466827</v>
      </c>
      <c r="AB43" s="467">
        <f>100*($E$17*$E$19+($E$18*(AA43/100))/(1-$E$21))</f>
        <v>24.033856142798978</v>
      </c>
      <c r="AC43" s="468">
        <f>AB43/V43</f>
        <v>8.8362403688331564E-2</v>
      </c>
      <c r="AD43" s="466">
        <f>ROUND($E$8/(1-AC43),0)</f>
        <v>11020913</v>
      </c>
      <c r="AE43" s="459" t="str">
        <f>IF(OR(OR(AD43=AD37,AD43=(AD37+5)),AD43=(AD29-5)),"yes","not yet")</f>
        <v>yes</v>
      </c>
      <c r="AF43" s="467">
        <f>100*(1-AC43)</f>
        <v>91.16375963116684</v>
      </c>
      <c r="AG43" s="459"/>
      <c r="AH43" s="459"/>
      <c r="AI43" s="459"/>
      <c r="AJ43" s="459" t="s">
        <v>1448</v>
      </c>
      <c r="AK43" s="459"/>
      <c r="AL43" s="459"/>
      <c r="AM43" s="459"/>
      <c r="AN43" s="459"/>
      <c r="AO43" s="459"/>
      <c r="AP43" s="459"/>
      <c r="AQ43" s="459"/>
      <c r="AR43" s="459"/>
      <c r="AS43" s="457"/>
      <c r="AT43" s="457"/>
      <c r="AU43" s="457"/>
      <c r="AV43" s="457"/>
      <c r="AW43" s="457"/>
      <c r="AX43" s="457"/>
      <c r="AY43" s="457"/>
      <c r="AZ43" s="457"/>
      <c r="BA43" s="457"/>
      <c r="BB43" s="457"/>
      <c r="BC43" s="457"/>
      <c r="BD43" s="457"/>
      <c r="BE43" s="457"/>
      <c r="BF43" s="457"/>
      <c r="BG43" s="457"/>
      <c r="BH43" s="457"/>
      <c r="BI43" s="457"/>
      <c r="BJ43" s="457"/>
    </row>
    <row r="44" spans="1:62" ht="12.75">
      <c r="A44" s="457"/>
      <c r="B44" s="459"/>
      <c r="C44" s="459"/>
      <c r="D44" s="459"/>
      <c r="E44" s="489"/>
      <c r="F44" s="459"/>
      <c r="G44" s="459"/>
      <c r="H44" s="459"/>
      <c r="I44" s="459"/>
      <c r="J44" s="459"/>
      <c r="K44" s="459"/>
      <c r="L44" s="459"/>
      <c r="M44" s="459"/>
      <c r="N44" s="459"/>
      <c r="O44" s="459"/>
      <c r="P44" s="459"/>
      <c r="Q44" s="459"/>
      <c r="R44" s="459"/>
      <c r="S44" s="459"/>
      <c r="T44" s="459"/>
      <c r="U44" s="459"/>
      <c r="V44" s="467">
        <f>100*(+AD38/$E$9)</f>
        <v>271.79226949757299</v>
      </c>
      <c r="W44" s="474">
        <f>EXP(5.6922-(0.68367*LN(V44)))</f>
        <v>6.4250449695358407</v>
      </c>
      <c r="X44" s="468">
        <f>(+W44*V44)/100</f>
        <v>17.462775538941109</v>
      </c>
      <c r="Y44" s="467">
        <f>100*((((X44/100)-((X44/100)-0.03574)*$E$21)-0.03574-0.00619)/0.344)</f>
        <v>24.847650743317242</v>
      </c>
      <c r="Z44" s="459">
        <f>$E$20</f>
        <v>0.25</v>
      </c>
      <c r="AA44" s="467">
        <f>Y44+Z44</f>
        <v>25.097650743317242</v>
      </c>
      <c r="AB44" s="467">
        <f>100*($E$17*$E$19+($E$18*(AA44/100))/(1-$E$21))</f>
        <v>23.834244000844809</v>
      </c>
      <c r="AC44" s="468">
        <f>AB44/V44</f>
        <v>8.7692869428935838E-2</v>
      </c>
      <c r="AD44" s="466">
        <f>ROUND($E$8/(1-AC44),0)</f>
        <v>11012825</v>
      </c>
      <c r="AE44" s="459" t="str">
        <f>IF(OR(OR(AD44=AD38,AD44=(AD38+5)),AD44=(AD30-5)),"yes","not yet")</f>
        <v>yes</v>
      </c>
      <c r="AF44" s="467">
        <f>100*(1-AC44)</f>
        <v>91.230713057106414</v>
      </c>
      <c r="AG44" s="459"/>
      <c r="AH44" s="459"/>
      <c r="AI44" s="459"/>
      <c r="AJ44" s="466">
        <f>HLOOKUP($AJ$34,$AJ$37:$AR$41,($E$12)+1)</f>
        <v>11020913</v>
      </c>
      <c r="AK44" s="459"/>
      <c r="AL44" s="459"/>
      <c r="AM44" s="459"/>
      <c r="AN44" s="459"/>
      <c r="AO44" s="459"/>
      <c r="AP44" s="459"/>
      <c r="AQ44" s="459"/>
      <c r="AR44" s="459"/>
      <c r="AS44" s="457"/>
      <c r="AT44" s="457"/>
      <c r="AU44" s="457"/>
      <c r="AV44" s="457"/>
      <c r="AW44" s="457"/>
      <c r="AX44" s="457"/>
      <c r="AY44" s="457"/>
      <c r="AZ44" s="457"/>
      <c r="BA44" s="457"/>
      <c r="BB44" s="457"/>
      <c r="BC44" s="457"/>
      <c r="BD44" s="457"/>
      <c r="BE44" s="457"/>
      <c r="BF44" s="457"/>
      <c r="BG44" s="457"/>
      <c r="BH44" s="457"/>
      <c r="BI44" s="457"/>
      <c r="BJ44" s="457"/>
    </row>
    <row r="45" spans="1:62" ht="12.75">
      <c r="A45" s="457"/>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67"/>
      <c r="AB45" s="459"/>
      <c r="AC45" s="459"/>
      <c r="AD45" s="459"/>
      <c r="AE45" s="459"/>
      <c r="AF45" s="459"/>
      <c r="AG45" s="459"/>
      <c r="AH45" s="459"/>
      <c r="AI45" s="459"/>
      <c r="AJ45" s="459"/>
      <c r="AK45" s="459"/>
      <c r="AL45" s="459"/>
      <c r="AM45" s="459"/>
      <c r="AN45" s="459"/>
      <c r="AO45" s="459"/>
      <c r="AP45" s="459"/>
      <c r="AQ45" s="459"/>
      <c r="AR45" s="459"/>
      <c r="AS45" s="457"/>
      <c r="AT45" s="457"/>
      <c r="AU45" s="457"/>
      <c r="AV45" s="457"/>
      <c r="AW45" s="457"/>
      <c r="AX45" s="457"/>
      <c r="AY45" s="457"/>
      <c r="AZ45" s="457"/>
      <c r="BA45" s="457"/>
      <c r="BB45" s="457"/>
      <c r="BC45" s="457"/>
      <c r="BD45" s="457"/>
      <c r="BE45" s="457"/>
      <c r="BF45" s="457"/>
      <c r="BG45" s="457"/>
      <c r="BH45" s="457"/>
      <c r="BI45" s="457"/>
      <c r="BJ45" s="457"/>
    </row>
    <row r="46" spans="1:62" ht="12.75">
      <c r="A46" s="457"/>
      <c r="B46" s="459"/>
      <c r="C46" s="459"/>
      <c r="D46" s="466"/>
      <c r="E46" s="466"/>
      <c r="F46" s="466"/>
      <c r="G46" s="459"/>
      <c r="H46" s="459"/>
      <c r="I46" s="459"/>
      <c r="J46" s="459"/>
      <c r="K46" s="459"/>
      <c r="L46" s="459"/>
      <c r="M46" s="459"/>
      <c r="N46" s="459"/>
      <c r="O46" s="459"/>
      <c r="P46" s="459"/>
      <c r="Q46" s="459"/>
      <c r="R46" s="459"/>
      <c r="S46" s="459"/>
      <c r="T46" s="459"/>
      <c r="U46" s="459"/>
      <c r="V46" s="464" t="s">
        <v>1452</v>
      </c>
      <c r="W46" s="473" t="s">
        <v>1400</v>
      </c>
      <c r="X46" s="473" t="s">
        <v>1401</v>
      </c>
      <c r="Y46" s="473" t="s">
        <v>1402</v>
      </c>
      <c r="Z46" s="459"/>
      <c r="AA46" s="467"/>
      <c r="AB46" s="459"/>
      <c r="AC46" s="459"/>
      <c r="AD46" s="459"/>
      <c r="AE46" s="459"/>
      <c r="AF46" s="459"/>
      <c r="AG46" s="459"/>
      <c r="AH46" s="459"/>
      <c r="AI46" s="459"/>
      <c r="AJ46" s="459"/>
      <c r="AK46" s="459"/>
      <c r="AL46" s="459"/>
      <c r="AM46" s="459"/>
      <c r="AN46" s="459"/>
      <c r="AO46" s="459"/>
      <c r="AP46" s="459"/>
      <c r="AQ46" s="459"/>
      <c r="AR46" s="459"/>
      <c r="AS46" s="457"/>
      <c r="AT46" s="457"/>
      <c r="AU46" s="457"/>
      <c r="AV46" s="457"/>
      <c r="AW46" s="457"/>
      <c r="AX46" s="457"/>
      <c r="AY46" s="457"/>
      <c r="AZ46" s="457"/>
      <c r="BA46" s="457"/>
      <c r="BB46" s="457"/>
      <c r="BC46" s="457"/>
      <c r="BD46" s="457"/>
      <c r="BE46" s="457"/>
      <c r="BF46" s="457"/>
      <c r="BG46" s="457"/>
      <c r="BH46" s="457"/>
      <c r="BI46" s="457"/>
      <c r="BJ46" s="457"/>
    </row>
    <row r="47" spans="1:62" ht="12.75">
      <c r="A47" s="457"/>
      <c r="B47" s="459"/>
      <c r="C47" s="459"/>
      <c r="D47" s="466"/>
      <c r="E47" s="466"/>
      <c r="F47" s="466"/>
      <c r="G47" s="459"/>
      <c r="H47" s="459"/>
      <c r="I47" s="459"/>
      <c r="J47" s="459"/>
      <c r="K47" s="459"/>
      <c r="L47" s="459"/>
      <c r="M47" s="459"/>
      <c r="N47" s="459"/>
      <c r="O47" s="459"/>
      <c r="P47" s="459"/>
      <c r="Q47" s="459"/>
      <c r="R47" s="459"/>
      <c r="S47" s="459"/>
      <c r="T47" s="459"/>
      <c r="U47" s="459"/>
      <c r="V47" s="467">
        <f>100*(+AD41/$E$9)</f>
        <v>272.76802739430934</v>
      </c>
      <c r="W47" s="474">
        <f>EXP(5.7226-(0.68367*LN(+V47)))</f>
        <v>6.6071578918211431</v>
      </c>
      <c r="X47" s="468">
        <f>(+W47*V47)/100</f>
        <v>18.022214248347968</v>
      </c>
      <c r="Y47" s="467">
        <f>100*((((X47/100)-((X47/100)-0.03574)*$E$21)-0.03574-0.00619)/0.344)</f>
        <v>25.920992453225754</v>
      </c>
      <c r="Z47" s="459">
        <f>$E$20</f>
        <v>0.25</v>
      </c>
      <c r="AA47" s="467">
        <f>Y47+Z47</f>
        <v>26.170992453225754</v>
      </c>
      <c r="AB47" s="467">
        <f>100*($E$17*$E$19+($E$18*(AA47/100))/(1-$E$21))</f>
        <v>24.81000919167073</v>
      </c>
      <c r="AC47" s="468">
        <f>AB47/V47</f>
        <v>9.0956441737967172E-2</v>
      </c>
      <c r="AD47" s="466">
        <f>ROUND($E$8/(1-AC47),0)</f>
        <v>11052362</v>
      </c>
      <c r="AE47" s="459" t="str">
        <f>IF(OR(OR(AD47=AD41,AD47=(AD41+1)),AD47=(AD33-1)),"yes","not yet")</f>
        <v>yes</v>
      </c>
      <c r="AF47" s="467">
        <f>100*(1-AC47)</f>
        <v>90.904355826203286</v>
      </c>
      <c r="AG47" s="459"/>
      <c r="AH47" s="459"/>
      <c r="AI47" s="459"/>
      <c r="AJ47" s="459"/>
      <c r="AK47" s="459"/>
      <c r="AL47" s="459"/>
      <c r="AM47" s="459"/>
      <c r="AN47" s="459"/>
      <c r="AO47" s="459"/>
      <c r="AP47" s="459"/>
      <c r="AQ47" s="459"/>
      <c r="AR47" s="459"/>
      <c r="AS47" s="457"/>
      <c r="AT47" s="457"/>
      <c r="AU47" s="457"/>
      <c r="AV47" s="457"/>
      <c r="AW47" s="457"/>
      <c r="AX47" s="457"/>
      <c r="AY47" s="457"/>
      <c r="AZ47" s="457"/>
      <c r="BA47" s="457"/>
      <c r="BB47" s="457"/>
      <c r="BC47" s="457"/>
      <c r="BD47" s="457"/>
      <c r="BE47" s="457"/>
      <c r="BF47" s="457"/>
      <c r="BG47" s="457"/>
      <c r="BH47" s="457"/>
      <c r="BI47" s="457"/>
      <c r="BJ47" s="457"/>
    </row>
    <row r="48" spans="1:62" ht="12.75">
      <c r="A48" s="457"/>
      <c r="B48" s="459"/>
      <c r="C48" s="459"/>
      <c r="D48" s="459"/>
      <c r="E48" s="462"/>
      <c r="F48" s="459"/>
      <c r="G48" s="459"/>
      <c r="H48" s="459"/>
      <c r="I48" s="459"/>
      <c r="J48" s="459"/>
      <c r="K48" s="459"/>
      <c r="L48" s="459"/>
      <c r="M48" s="459"/>
      <c r="N48" s="459"/>
      <c r="O48" s="459"/>
      <c r="P48" s="459"/>
      <c r="Q48" s="459"/>
      <c r="R48" s="459"/>
      <c r="S48" s="459"/>
      <c r="T48" s="459"/>
      <c r="U48" s="459"/>
      <c r="V48" s="467">
        <f>100*(+AD42/$E$9)</f>
        <v>272.30410001127956</v>
      </c>
      <c r="W48" s="474">
        <f>EXP(5.70827-(0.68367*LN(+V48)))</f>
        <v>6.5207367965121561</v>
      </c>
      <c r="X48" s="468">
        <f>(+W48*V48)/100</f>
        <v>17.75623364784677</v>
      </c>
      <c r="Y48" s="467">
        <f>100*((((X48/100)-((X48/100)-0.03574)*$E$21)-0.03574-0.00619)/0.344)</f>
        <v>25.410680835985076</v>
      </c>
      <c r="Z48" s="459">
        <f>$E$20</f>
        <v>0.25</v>
      </c>
      <c r="AA48" s="467">
        <f>Y48+Z48</f>
        <v>25.660680835985076</v>
      </c>
      <c r="AB48" s="467">
        <f>100*($E$17*$E$19+($E$18*(AA48/100))/(1-$E$21))</f>
        <v>24.346089539633752</v>
      </c>
      <c r="AC48" s="468">
        <f>AB48/V48</f>
        <v>8.9407722978189719E-2</v>
      </c>
      <c r="AD48" s="466">
        <f>ROUND($E$8/(1-AC48),0)</f>
        <v>11033564</v>
      </c>
      <c r="AE48" s="459" t="str">
        <f>IF(OR(OR(AD48=AD42,AD48=(AD42+1)),AD48=(AD42-1)),"yes","not yet")</f>
        <v>yes</v>
      </c>
      <c r="AF48" s="467">
        <f>100*(1-AC48)</f>
        <v>91.059227702181019</v>
      </c>
      <c r="AG48" s="459"/>
      <c r="AH48" s="459"/>
      <c r="AI48" s="459"/>
      <c r="AJ48" s="459"/>
      <c r="AK48" s="459"/>
      <c r="AL48" s="459"/>
      <c r="AM48" s="459"/>
      <c r="AN48" s="459"/>
      <c r="AO48" s="459"/>
      <c r="AP48" s="459"/>
      <c r="AQ48" s="459"/>
      <c r="AR48" s="459"/>
      <c r="AS48" s="457"/>
      <c r="AT48" s="457"/>
      <c r="AU48" s="457"/>
      <c r="AV48" s="457"/>
      <c r="AW48" s="457"/>
      <c r="AX48" s="457"/>
      <c r="AY48" s="457"/>
      <c r="AZ48" s="457"/>
      <c r="BA48" s="457"/>
      <c r="BB48" s="457"/>
      <c r="BC48" s="457"/>
      <c r="BD48" s="457"/>
      <c r="BE48" s="457"/>
      <c r="BF48" s="457"/>
      <c r="BG48" s="457"/>
      <c r="BH48" s="457"/>
      <c r="BI48" s="457"/>
      <c r="BJ48" s="457"/>
    </row>
    <row r="49" spans="1:62" ht="12.75">
      <c r="A49" s="457"/>
      <c r="B49" s="459"/>
      <c r="C49" s="459"/>
      <c r="D49" s="459"/>
      <c r="E49" s="462"/>
      <c r="F49" s="459"/>
      <c r="G49" s="459"/>
      <c r="H49" s="459"/>
      <c r="I49" s="459"/>
      <c r="J49" s="459"/>
      <c r="K49" s="459"/>
      <c r="L49" s="459"/>
      <c r="M49" s="459"/>
      <c r="N49" s="459"/>
      <c r="O49" s="459"/>
      <c r="P49" s="459"/>
      <c r="Q49" s="459"/>
      <c r="R49" s="459"/>
      <c r="S49" s="459"/>
      <c r="T49" s="459"/>
      <c r="U49" s="459"/>
      <c r="V49" s="467">
        <f>100*(+AD43/$E$9)</f>
        <v>271.99187821519956</v>
      </c>
      <c r="W49" s="474">
        <f>EXP(5.6985-(0.68367*LN(V49)))</f>
        <v>6.4624061383753633</v>
      </c>
      <c r="X49" s="468">
        <f>(+W49*V49)/100</f>
        <v>17.577219833661498</v>
      </c>
      <c r="Y49" s="467">
        <f>100*((((X49/100)-((X49/100)-0.03574)*$E$21)-0.03574-0.00619)/0.344)</f>
        <v>25.067224099466827</v>
      </c>
      <c r="Z49" s="459">
        <f>$E$20</f>
        <v>0.25</v>
      </c>
      <c r="AA49" s="467">
        <f>Y49+Z49</f>
        <v>25.317224099466827</v>
      </c>
      <c r="AB49" s="467">
        <f>100*($E$17*$E$19+($E$18*(AA49/100))/(1-$E$21))</f>
        <v>24.033856142798978</v>
      </c>
      <c r="AC49" s="468">
        <f>AB49/V49</f>
        <v>8.8362403688331564E-2</v>
      </c>
      <c r="AD49" s="466">
        <f>ROUND($E$8/(1-AC49),0)</f>
        <v>11020913</v>
      </c>
      <c r="AE49" s="459" t="str">
        <f>IF(OR(OR(AD49=AD43,AD49=(AD43+1)),AD49=(AD43-1)),"yes","not yet")</f>
        <v>yes</v>
      </c>
      <c r="AF49" s="467">
        <f>100*(1-AC49)</f>
        <v>91.16375963116684</v>
      </c>
      <c r="AG49" s="459"/>
      <c r="AH49" s="459"/>
      <c r="AI49" s="459"/>
      <c r="AJ49" s="459"/>
      <c r="AK49" s="459"/>
      <c r="AL49" s="459"/>
      <c r="AM49" s="459"/>
      <c r="AN49" s="459"/>
      <c r="AO49" s="459"/>
      <c r="AP49" s="459"/>
      <c r="AQ49" s="459"/>
      <c r="AR49" s="459"/>
      <c r="AS49" s="457"/>
      <c r="AT49" s="457"/>
      <c r="AU49" s="457"/>
      <c r="AV49" s="457"/>
      <c r="AW49" s="457"/>
      <c r="AX49" s="457"/>
      <c r="AY49" s="457"/>
      <c r="AZ49" s="457"/>
      <c r="BA49" s="457"/>
      <c r="BB49" s="457"/>
      <c r="BC49" s="457"/>
      <c r="BD49" s="457"/>
      <c r="BE49" s="457"/>
      <c r="BF49" s="457"/>
      <c r="BG49" s="457"/>
      <c r="BH49" s="457"/>
      <c r="BI49" s="457"/>
      <c r="BJ49" s="457"/>
    </row>
    <row r="50" spans="1:62" ht="12.75">
      <c r="A50" s="457"/>
      <c r="B50" s="459"/>
      <c r="C50" s="459"/>
      <c r="D50" s="459"/>
      <c r="E50" s="462"/>
      <c r="F50" s="459"/>
      <c r="G50" s="459"/>
      <c r="H50" s="459"/>
      <c r="I50" s="459"/>
      <c r="J50" s="459"/>
      <c r="K50" s="459"/>
      <c r="L50" s="459"/>
      <c r="M50" s="459"/>
      <c r="N50" s="459"/>
      <c r="O50" s="459"/>
      <c r="P50" s="459"/>
      <c r="Q50" s="459"/>
      <c r="R50" s="459"/>
      <c r="S50" s="459"/>
      <c r="T50" s="459"/>
      <c r="U50" s="459"/>
      <c r="V50" s="467">
        <f>100*(+AD44/$E$9)</f>
        <v>271.79226949757299</v>
      </c>
      <c r="W50" s="474">
        <f>EXP(5.6922-(0.68367*LN(V50)))</f>
        <v>6.4250449695358407</v>
      </c>
      <c r="X50" s="468">
        <f>(+W50*V50)/100</f>
        <v>17.462775538941109</v>
      </c>
      <c r="Y50" s="467">
        <f>100*((((X50/100)-((X50/100)-0.03574)*$E$21)-0.03574-0.00619)/0.344)</f>
        <v>24.847650743317242</v>
      </c>
      <c r="Z50" s="459">
        <f>$E$20</f>
        <v>0.25</v>
      </c>
      <c r="AA50" s="467">
        <f>Y50+Z50</f>
        <v>25.097650743317242</v>
      </c>
      <c r="AB50" s="467">
        <f>100*($E$17*$E$19+($E$18*(AA50/100))/(1-$E$21))</f>
        <v>23.834244000844809</v>
      </c>
      <c r="AC50" s="468">
        <f>AB50/V50</f>
        <v>8.7692869428935838E-2</v>
      </c>
      <c r="AD50" s="466">
        <f>ROUND($E$8/(1-AC50),0)</f>
        <v>11012825</v>
      </c>
      <c r="AE50" s="459" t="str">
        <f>IF(OR(OR(AD50=AD44,AD50=(AD44+1)),AD50=(AD44-1)),"yes","not yet")</f>
        <v>yes</v>
      </c>
      <c r="AF50" s="467">
        <f>100*(1-AC50)</f>
        <v>91.230713057106414</v>
      </c>
      <c r="AG50" s="459"/>
      <c r="AH50" s="459"/>
      <c r="AI50" s="459"/>
      <c r="AJ50" s="459"/>
      <c r="AK50" s="459"/>
      <c r="AL50" s="459"/>
      <c r="AM50" s="459"/>
      <c r="AN50" s="459"/>
      <c r="AO50" s="459"/>
      <c r="AP50" s="459"/>
      <c r="AQ50" s="459"/>
      <c r="AR50" s="459"/>
      <c r="AS50" s="457"/>
      <c r="AT50" s="457"/>
      <c r="AU50" s="457"/>
      <c r="AV50" s="457"/>
      <c r="AW50" s="457"/>
      <c r="AX50" s="457"/>
      <c r="AY50" s="457"/>
      <c r="AZ50" s="457"/>
      <c r="BA50" s="457"/>
      <c r="BB50" s="457"/>
      <c r="BC50" s="457"/>
      <c r="BD50" s="457"/>
      <c r="BE50" s="457"/>
      <c r="BF50" s="457"/>
      <c r="BG50" s="457"/>
      <c r="BH50" s="457"/>
      <c r="BI50" s="457"/>
      <c r="BJ50" s="457"/>
    </row>
    <row r="51" spans="1:62" ht="12.75">
      <c r="A51" s="457"/>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67"/>
      <c r="AB51" s="459"/>
      <c r="AC51" s="459"/>
      <c r="AD51" s="459"/>
      <c r="AE51" s="459"/>
      <c r="AF51" s="459"/>
      <c r="AG51" s="459"/>
      <c r="AH51" s="459"/>
      <c r="AI51" s="459"/>
      <c r="AJ51" s="459"/>
      <c r="AK51" s="459"/>
      <c r="AL51" s="459"/>
      <c r="AM51" s="459"/>
      <c r="AN51" s="459"/>
      <c r="AO51" s="459"/>
      <c r="AP51" s="459"/>
      <c r="AQ51" s="459"/>
      <c r="AR51" s="459"/>
      <c r="AS51" s="457"/>
      <c r="AT51" s="457"/>
      <c r="AU51" s="457"/>
      <c r="AV51" s="457"/>
      <c r="AW51" s="457"/>
      <c r="AX51" s="457"/>
      <c r="AY51" s="457"/>
      <c r="AZ51" s="457"/>
      <c r="BA51" s="457"/>
      <c r="BB51" s="457"/>
      <c r="BC51" s="457"/>
      <c r="BD51" s="457"/>
      <c r="BE51" s="457"/>
      <c r="BF51" s="457"/>
      <c r="BG51" s="457"/>
      <c r="BH51" s="457"/>
      <c r="BI51" s="457"/>
      <c r="BJ51" s="457"/>
    </row>
    <row r="52" spans="1:62" ht="12.75">
      <c r="A52" s="457"/>
      <c r="B52" s="459"/>
      <c r="C52" s="459"/>
      <c r="D52" s="459"/>
      <c r="E52" s="459"/>
      <c r="F52" s="459"/>
      <c r="G52" s="459"/>
      <c r="H52" s="459"/>
      <c r="I52" s="459"/>
      <c r="J52" s="459"/>
      <c r="K52" s="459"/>
      <c r="L52" s="459"/>
      <c r="M52" s="459"/>
      <c r="N52" s="459"/>
      <c r="O52" s="459"/>
      <c r="P52" s="459"/>
      <c r="Q52" s="459"/>
      <c r="R52" s="459"/>
      <c r="S52" s="459"/>
      <c r="T52" s="459"/>
      <c r="U52" s="459"/>
      <c r="V52" s="464" t="s">
        <v>1453</v>
      </c>
      <c r="W52" s="473" t="s">
        <v>1400</v>
      </c>
      <c r="X52" s="473" t="s">
        <v>1401</v>
      </c>
      <c r="Y52" s="473" t="s">
        <v>1402</v>
      </c>
      <c r="Z52" s="459"/>
      <c r="AA52" s="467"/>
      <c r="AB52" s="459"/>
      <c r="AC52" s="459"/>
      <c r="AD52" s="459"/>
      <c r="AE52" s="459"/>
      <c r="AF52" s="459"/>
      <c r="AG52" s="459"/>
      <c r="AH52" s="459"/>
      <c r="AI52" s="459"/>
      <c r="AJ52" s="459"/>
      <c r="AK52" s="459"/>
      <c r="AL52" s="459"/>
      <c r="AM52" s="459"/>
      <c r="AN52" s="459"/>
      <c r="AO52" s="459"/>
      <c r="AP52" s="459"/>
      <c r="AQ52" s="459"/>
      <c r="AR52" s="459"/>
      <c r="AS52" s="457"/>
      <c r="AT52" s="457"/>
      <c r="AU52" s="457"/>
      <c r="AV52" s="457"/>
      <c r="AW52" s="457"/>
      <c r="AX52" s="457"/>
      <c r="AY52" s="457"/>
      <c r="AZ52" s="457"/>
      <c r="BA52" s="457"/>
      <c r="BB52" s="457"/>
      <c r="BC52" s="457"/>
      <c r="BD52" s="457"/>
      <c r="BE52" s="457"/>
      <c r="BF52" s="457"/>
      <c r="BG52" s="457"/>
      <c r="BH52" s="457"/>
      <c r="BI52" s="457"/>
      <c r="BJ52" s="457"/>
    </row>
    <row r="53" spans="1:62" ht="12.75">
      <c r="A53" s="457"/>
      <c r="B53" s="459"/>
      <c r="C53" s="459"/>
      <c r="D53" s="459"/>
      <c r="E53" s="459"/>
      <c r="F53" s="459"/>
      <c r="G53" s="459"/>
      <c r="H53" s="459"/>
      <c r="I53" s="459"/>
      <c r="J53" s="459"/>
      <c r="K53" s="459"/>
      <c r="L53" s="459"/>
      <c r="M53" s="459"/>
      <c r="N53" s="459"/>
      <c r="O53" s="459"/>
      <c r="P53" s="459"/>
      <c r="Q53" s="459"/>
      <c r="R53" s="459"/>
      <c r="S53" s="459"/>
      <c r="T53" s="459"/>
      <c r="U53" s="459"/>
      <c r="V53" s="467">
        <f>100*(+AD47/$E$9)</f>
        <v>272.76802739430934</v>
      </c>
      <c r="W53" s="474">
        <f>EXP(5.7226-(0.68367*LN(+V53)))</f>
        <v>6.6071578918211431</v>
      </c>
      <c r="X53" s="468">
        <f>(+W53*V53)/100</f>
        <v>18.022214248347968</v>
      </c>
      <c r="Y53" s="467">
        <f>100*((((X53/100)-((X53/100)-0.03574)*$E$21)-0.03574-0.00619)/0.344)</f>
        <v>25.920992453225754</v>
      </c>
      <c r="Z53" s="459">
        <f>$E$20</f>
        <v>0.25</v>
      </c>
      <c r="AA53" s="467">
        <f>Y53+Z53</f>
        <v>26.170992453225754</v>
      </c>
      <c r="AB53" s="467">
        <f>100*($E$17*$E$19+($E$18*(AA53/100))/(1-$E$21))</f>
        <v>24.81000919167073</v>
      </c>
      <c r="AC53" s="468">
        <f>AB53/V53</f>
        <v>9.0956441737967172E-2</v>
      </c>
      <c r="AD53" s="466">
        <f>ROUND($E$8/(1-AC53),0)</f>
        <v>11052362</v>
      </c>
      <c r="AE53" s="459" t="str">
        <f>IF(OR(OR(AD53=AD47,AD53=(AD47+1)),AD53=(AD39-1)),"yes","not yet")</f>
        <v>yes</v>
      </c>
      <c r="AF53" s="467">
        <f>100*(1-AC53)</f>
        <v>90.904355826203286</v>
      </c>
      <c r="AG53" s="459"/>
      <c r="AH53" s="459"/>
      <c r="AI53" s="459"/>
      <c r="AJ53" s="459"/>
      <c r="AK53" s="459"/>
      <c r="AL53" s="459"/>
      <c r="AM53" s="459"/>
      <c r="AN53" s="459"/>
      <c r="AO53" s="459"/>
      <c r="AP53" s="459"/>
      <c r="AQ53" s="459"/>
      <c r="AR53" s="459"/>
      <c r="AS53" s="457"/>
      <c r="AT53" s="457"/>
      <c r="AU53" s="457"/>
      <c r="AV53" s="457"/>
      <c r="AW53" s="457"/>
      <c r="AX53" s="457"/>
      <c r="AY53" s="457"/>
      <c r="AZ53" s="457"/>
      <c r="BA53" s="457"/>
      <c r="BB53" s="457"/>
      <c r="BC53" s="457"/>
      <c r="BD53" s="457"/>
      <c r="BE53" s="457"/>
      <c r="BF53" s="457"/>
      <c r="BG53" s="457"/>
      <c r="BH53" s="457"/>
      <c r="BI53" s="457"/>
      <c r="BJ53" s="457"/>
    </row>
    <row r="54" spans="1:62" ht="12.75">
      <c r="A54" s="457"/>
      <c r="B54" s="459"/>
      <c r="C54" s="459"/>
      <c r="D54" s="459"/>
      <c r="E54" s="459"/>
      <c r="F54" s="459"/>
      <c r="G54" s="459"/>
      <c r="H54" s="459"/>
      <c r="I54" s="459"/>
      <c r="J54" s="459"/>
      <c r="K54" s="459"/>
      <c r="L54" s="459"/>
      <c r="M54" s="459"/>
      <c r="N54" s="459"/>
      <c r="O54" s="459"/>
      <c r="P54" s="459"/>
      <c r="Q54" s="459"/>
      <c r="R54" s="459"/>
      <c r="S54" s="459"/>
      <c r="T54" s="459"/>
      <c r="U54" s="459"/>
      <c r="V54" s="467">
        <f>100*(+AD48/$E$9)</f>
        <v>272.30410001127956</v>
      </c>
      <c r="W54" s="474">
        <f>EXP(5.70827-(0.68367*LN(+V54)))</f>
        <v>6.5207367965121561</v>
      </c>
      <c r="X54" s="468">
        <f>(+W54*V54)/100</f>
        <v>17.75623364784677</v>
      </c>
      <c r="Y54" s="467">
        <f>100*((((X54/100)-((X54/100)-0.03574)*$E$21)-0.03574-0.00619)/0.344)</f>
        <v>25.410680835985076</v>
      </c>
      <c r="Z54" s="459">
        <f>$E$20</f>
        <v>0.25</v>
      </c>
      <c r="AA54" s="467">
        <f>Y54+Z54</f>
        <v>25.660680835985076</v>
      </c>
      <c r="AB54" s="467">
        <f>100*($E$17*$E$19+($E$18*(AA54/100))/(1-$E$21))</f>
        <v>24.346089539633752</v>
      </c>
      <c r="AC54" s="468">
        <f>AB54/V54</f>
        <v>8.9407722978189719E-2</v>
      </c>
      <c r="AD54" s="466">
        <f>ROUND($E$8/(1-AC54),0)</f>
        <v>11033564</v>
      </c>
      <c r="AE54" s="459" t="str">
        <f>IF(OR(OR(AD54=AD48,AD54=(AD48+1)),AD54=(AD48-1)),"yes","not yet")</f>
        <v>yes</v>
      </c>
      <c r="AF54" s="467">
        <f>100*(1-AC54)</f>
        <v>91.059227702181019</v>
      </c>
      <c r="AG54" s="459"/>
      <c r="AH54" s="459"/>
      <c r="AI54" s="459"/>
      <c r="AJ54" s="459"/>
      <c r="AK54" s="459"/>
      <c r="AL54" s="459"/>
      <c r="AM54" s="459"/>
      <c r="AN54" s="459"/>
      <c r="AO54" s="459"/>
      <c r="AP54" s="459"/>
      <c r="AQ54" s="459"/>
      <c r="AR54" s="459"/>
      <c r="AS54" s="457"/>
      <c r="AT54" s="457"/>
      <c r="AU54" s="457"/>
      <c r="AV54" s="457"/>
      <c r="AW54" s="457"/>
      <c r="AX54" s="457"/>
      <c r="AY54" s="457"/>
      <c r="AZ54" s="457"/>
      <c r="BA54" s="457"/>
      <c r="BB54" s="457"/>
      <c r="BC54" s="457"/>
      <c r="BD54" s="457"/>
      <c r="BE54" s="457"/>
      <c r="BF54" s="457"/>
      <c r="BG54" s="457"/>
      <c r="BH54" s="457"/>
      <c r="BI54" s="457"/>
      <c r="BJ54" s="457"/>
    </row>
    <row r="55" spans="1:62" ht="12.75">
      <c r="A55" s="457"/>
      <c r="B55" s="459"/>
      <c r="C55" s="459"/>
      <c r="D55" s="459"/>
      <c r="E55" s="459"/>
      <c r="F55" s="459"/>
      <c r="G55" s="459"/>
      <c r="H55" s="459"/>
      <c r="I55" s="459"/>
      <c r="J55" s="459"/>
      <c r="K55" s="459"/>
      <c r="L55" s="459"/>
      <c r="M55" s="459"/>
      <c r="N55" s="459"/>
      <c r="O55" s="459"/>
      <c r="P55" s="459"/>
      <c r="Q55" s="459"/>
      <c r="R55" s="459"/>
      <c r="S55" s="459"/>
      <c r="T55" s="459"/>
      <c r="U55" s="459"/>
      <c r="V55" s="467">
        <f>100*(+AD49/$E$9)</f>
        <v>271.99187821519956</v>
      </c>
      <c r="W55" s="474">
        <f>EXP(5.6985-(0.68367*LN(V55)))</f>
        <v>6.4624061383753633</v>
      </c>
      <c r="X55" s="468">
        <f>(+W55*V55)/100</f>
        <v>17.577219833661498</v>
      </c>
      <c r="Y55" s="467">
        <f>100*((((X55/100)-((X55/100)-0.03574)*$E$21)-0.03574-0.00619)/0.344)</f>
        <v>25.067224099466827</v>
      </c>
      <c r="Z55" s="459">
        <f>$E$20</f>
        <v>0.25</v>
      </c>
      <c r="AA55" s="467">
        <f>Y55+Z55</f>
        <v>25.317224099466827</v>
      </c>
      <c r="AB55" s="467">
        <f>100*($E$17*$E$19+($E$18*(AA55/100))/(1-$E$21))</f>
        <v>24.033856142798978</v>
      </c>
      <c r="AC55" s="468">
        <f>AB55/V55</f>
        <v>8.8362403688331564E-2</v>
      </c>
      <c r="AD55" s="466">
        <f>ROUND($E$8/(1-AC55),0)</f>
        <v>11020913</v>
      </c>
      <c r="AE55" s="459" t="str">
        <f>IF(OR(OR(AD55=AD49,AD55=(AD49+1)),AD55=(AD49-1)),"yes","not yet")</f>
        <v>yes</v>
      </c>
      <c r="AF55" s="467">
        <f>100*(1-AC55)</f>
        <v>91.16375963116684</v>
      </c>
      <c r="AG55" s="459"/>
      <c r="AH55" s="459"/>
      <c r="AI55" s="459"/>
      <c r="AJ55" s="459"/>
      <c r="AK55" s="459"/>
      <c r="AL55" s="459"/>
      <c r="AM55" s="459"/>
      <c r="AN55" s="459"/>
      <c r="AO55" s="459"/>
      <c r="AP55" s="459"/>
      <c r="AQ55" s="459"/>
      <c r="AR55" s="459"/>
      <c r="AS55" s="457"/>
      <c r="AT55" s="457"/>
      <c r="AU55" s="457"/>
      <c r="AV55" s="457"/>
      <c r="AW55" s="457"/>
      <c r="AX55" s="457"/>
      <c r="AY55" s="457"/>
      <c r="AZ55" s="457"/>
      <c r="BA55" s="457"/>
      <c r="BB55" s="457"/>
      <c r="BC55" s="457"/>
      <c r="BD55" s="457"/>
      <c r="BE55" s="457"/>
      <c r="BF55" s="457"/>
      <c r="BG55" s="457"/>
      <c r="BH55" s="457"/>
      <c r="BI55" s="457"/>
      <c r="BJ55" s="457"/>
    </row>
    <row r="56" spans="1:62" ht="12.75">
      <c r="A56" s="457"/>
      <c r="B56" s="459"/>
      <c r="C56" s="459"/>
      <c r="D56" s="459"/>
      <c r="E56" s="459"/>
      <c r="F56" s="459"/>
      <c r="G56" s="459"/>
      <c r="H56" s="459"/>
      <c r="I56" s="459"/>
      <c r="J56" s="459"/>
      <c r="K56" s="459"/>
      <c r="L56" s="459"/>
      <c r="M56" s="459"/>
      <c r="N56" s="459"/>
      <c r="O56" s="459"/>
      <c r="P56" s="459"/>
      <c r="Q56" s="459"/>
      <c r="R56" s="459"/>
      <c r="S56" s="459"/>
      <c r="T56" s="459"/>
      <c r="U56" s="459"/>
      <c r="V56" s="467">
        <f>100*(+AD50/$E$9)</f>
        <v>271.79226949757299</v>
      </c>
      <c r="W56" s="474">
        <f>EXP(5.6922-(0.68367*LN(V56)))</f>
        <v>6.4250449695358407</v>
      </c>
      <c r="X56" s="468">
        <f>(+W56*V56)/100</f>
        <v>17.462775538941109</v>
      </c>
      <c r="Y56" s="467">
        <f>100*((((X56/100)-((X56/100)-0.03574)*$E$21)-0.03574-0.00619)/0.344)</f>
        <v>24.847650743317242</v>
      </c>
      <c r="Z56" s="459">
        <f>$E$20</f>
        <v>0.25</v>
      </c>
      <c r="AA56" s="467">
        <f>Y56+Z56</f>
        <v>25.097650743317242</v>
      </c>
      <c r="AB56" s="467">
        <f>100*($E$17*$E$19+($E$18*(AA56/100))/(1-$E$21))</f>
        <v>23.834244000844809</v>
      </c>
      <c r="AC56" s="468">
        <f>AB56/V56</f>
        <v>8.7692869428935838E-2</v>
      </c>
      <c r="AD56" s="466">
        <f>ROUND($E$8/(1-AC56),0)</f>
        <v>11012825</v>
      </c>
      <c r="AE56" s="459" t="str">
        <f>IF(OR(OR(AD56=AD50,AD56=(AD50+1)),AD56=(AD50-1)),"yes","not yet")</f>
        <v>yes</v>
      </c>
      <c r="AF56" s="467">
        <f>100*(1-AC56)</f>
        <v>91.230713057106414</v>
      </c>
      <c r="AG56" s="459"/>
      <c r="AH56" s="459"/>
      <c r="AI56" s="459"/>
      <c r="AJ56" s="459"/>
      <c r="AK56" s="459"/>
      <c r="AL56" s="459"/>
      <c r="AM56" s="459"/>
      <c r="AN56" s="459"/>
      <c r="AO56" s="459"/>
      <c r="AP56" s="459"/>
      <c r="AQ56" s="459"/>
      <c r="AR56" s="459"/>
      <c r="AS56" s="457"/>
      <c r="AT56" s="457"/>
      <c r="AU56" s="457"/>
      <c r="AV56" s="457"/>
      <c r="AW56" s="457"/>
      <c r="AX56" s="457"/>
      <c r="AY56" s="457"/>
      <c r="AZ56" s="457"/>
      <c r="BA56" s="457"/>
      <c r="BB56" s="457"/>
      <c r="BC56" s="457"/>
      <c r="BD56" s="457"/>
      <c r="BE56" s="457"/>
      <c r="BF56" s="457"/>
      <c r="BG56" s="457"/>
      <c r="BH56" s="457"/>
      <c r="BI56" s="457"/>
      <c r="BJ56" s="457"/>
    </row>
    <row r="57" spans="1:62" ht="12.75">
      <c r="A57" s="457"/>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67"/>
      <c r="AB57" s="459"/>
      <c r="AC57" s="459"/>
      <c r="AD57" s="459"/>
      <c r="AE57" s="459"/>
      <c r="AF57" s="459"/>
      <c r="AG57" s="459"/>
      <c r="AH57" s="459"/>
      <c r="AI57" s="459"/>
      <c r="AJ57" s="459"/>
      <c r="AK57" s="459"/>
      <c r="AL57" s="459"/>
      <c r="AM57" s="459"/>
      <c r="AN57" s="459"/>
      <c r="AO57" s="459"/>
      <c r="AP57" s="459"/>
      <c r="AQ57" s="459"/>
      <c r="AR57" s="459"/>
      <c r="AS57" s="457"/>
      <c r="AT57" s="457"/>
      <c r="AU57" s="457"/>
      <c r="AV57" s="457"/>
      <c r="AW57" s="457"/>
      <c r="AX57" s="457"/>
      <c r="AY57" s="457"/>
      <c r="AZ57" s="457"/>
      <c r="BA57" s="457"/>
      <c r="BB57" s="457"/>
      <c r="BC57" s="457"/>
      <c r="BD57" s="457"/>
      <c r="BE57" s="457"/>
      <c r="BF57" s="457"/>
      <c r="BG57" s="457"/>
      <c r="BH57" s="457"/>
      <c r="BI57" s="457"/>
      <c r="BJ57" s="457"/>
    </row>
    <row r="58" spans="1:62" ht="12.75">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row>
    <row r="59" spans="1:62" ht="12.75">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row>
    <row r="60" spans="1:62" ht="12.75">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row>
    <row r="61" spans="1:62" ht="12.75">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row>
    <row r="62" spans="1:62" ht="12.75">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c r="BI62" s="457"/>
      <c r="BJ62" s="457"/>
    </row>
    <row r="63" spans="1:62" ht="12.75">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row>
    <row r="64" spans="1:62" ht="12.75">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row>
    <row r="65" spans="1:62" ht="12.75">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row>
    <row r="66" spans="1:62" ht="12.75">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row>
    <row r="67" spans="1:62" ht="12.75">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row>
    <row r="68" spans="1:62" ht="12.75">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row>
    <row r="69" spans="1:62" ht="12.75">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row>
    <row r="70" spans="1:62" ht="12.75">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row>
    <row r="71" spans="1:62" ht="12.75">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row>
    <row r="72" spans="1:62" ht="12.75">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c r="BI72" s="457"/>
      <c r="BJ72" s="457"/>
    </row>
    <row r="73" spans="1:62" ht="12.75">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row>
    <row r="74" spans="1:62" ht="12.75">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row>
    <row r="75" spans="1:62" ht="12.7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row>
    <row r="76" spans="1:62" ht="12.75">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row>
    <row r="77" spans="1:62" ht="12.75">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row>
    <row r="78" spans="1:62" ht="12.75">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row>
    <row r="79" spans="1:62" ht="12.75">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row>
    <row r="80" spans="1:62" ht="12.75">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row>
    <row r="81" spans="1:62" ht="12.75">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row>
    <row r="82" spans="1:62" ht="12.75">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row>
    <row r="83" spans="1:62" ht="12.75">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row>
    <row r="84" spans="1:62" ht="12.75">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row>
    <row r="85" spans="1:62" ht="12.75">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row>
    <row r="86" spans="1:62" ht="12.75">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row>
    <row r="87" spans="1:62" ht="12.75">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row>
    <row r="88" spans="1:62" ht="12.75">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c r="BI88" s="457"/>
      <c r="BJ88" s="457"/>
    </row>
    <row r="89" spans="1:62" ht="12.75">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c r="BF89" s="457"/>
      <c r="BG89" s="457"/>
      <c r="BH89" s="457"/>
      <c r="BI89" s="457"/>
      <c r="BJ89" s="457"/>
    </row>
    <row r="90" spans="1:62" ht="12.75">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row>
    <row r="91" spans="1:62" ht="12.75">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c r="BF91" s="457"/>
      <c r="BG91" s="457"/>
      <c r="BH91" s="457"/>
      <c r="BI91" s="457"/>
      <c r="BJ91" s="457"/>
    </row>
    <row r="92" spans="1:62" ht="12.75">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c r="BI92" s="457"/>
      <c r="BJ92" s="457"/>
    </row>
    <row r="93" spans="1:62" ht="12.75">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c r="BI93" s="457"/>
      <c r="BJ93" s="457"/>
    </row>
    <row r="94" spans="1:62" ht="12.75">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c r="BI94" s="457"/>
      <c r="BJ94" s="457"/>
    </row>
    <row r="95" spans="1:62" ht="12.75">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c r="BI95" s="457"/>
      <c r="BJ95" s="457"/>
    </row>
    <row r="96" spans="1:62" ht="12.75">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row>
    <row r="97" spans="1:62" ht="12.75">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row>
    <row r="98" spans="1:62" ht="12.75">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row>
    <row r="99" spans="1:62" ht="12.75">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row>
    <row r="100" spans="1:62" ht="12.75">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row>
    <row r="101" spans="1:62" ht="12.75">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c r="BI101" s="457"/>
      <c r="BJ101" s="457"/>
    </row>
    <row r="102" spans="1:62" ht="12.75">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row>
    <row r="103" spans="1:62" ht="12.75">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row>
    <row r="104" spans="1:62" ht="12.75">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row>
    <row r="105" spans="1:62" ht="12.7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c r="BI105" s="457"/>
      <c r="BJ105" s="457"/>
    </row>
    <row r="106" spans="1:62" ht="12.75">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row>
    <row r="107" spans="1:62" ht="12.75">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c r="BI107" s="457"/>
      <c r="BJ107" s="457"/>
    </row>
    <row r="108" spans="1:62" ht="12.75">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row>
    <row r="109" spans="1:62" ht="12.75">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c r="BI109" s="457"/>
      <c r="BJ109" s="457"/>
    </row>
    <row r="110" spans="1:62" ht="12.75">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row>
    <row r="111" spans="1:62" ht="12.75">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row>
    <row r="112" spans="1:62" ht="12.75">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c r="BF112" s="457"/>
      <c r="BG112" s="457"/>
      <c r="BH112" s="457"/>
      <c r="BI112" s="457"/>
      <c r="BJ112" s="457"/>
    </row>
    <row r="113" spans="1:62" ht="12.75">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c r="BI113" s="457"/>
      <c r="BJ113" s="457"/>
    </row>
    <row r="114" spans="1:62" ht="12.75">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c r="BF114" s="457"/>
      <c r="BG114" s="457"/>
      <c r="BH114" s="457"/>
      <c r="BI114" s="457"/>
      <c r="BJ114" s="457"/>
    </row>
    <row r="115" spans="1:62" ht="12.75">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c r="BF115" s="457"/>
      <c r="BG115" s="457"/>
      <c r="BH115" s="457"/>
      <c r="BI115" s="457"/>
      <c r="BJ115" s="457"/>
    </row>
    <row r="116" spans="1:62" ht="12.75">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c r="BF116" s="457"/>
      <c r="BG116" s="457"/>
      <c r="BH116" s="457"/>
      <c r="BI116" s="457"/>
      <c r="BJ116" s="457"/>
    </row>
    <row r="117" spans="1:62" ht="12.75">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c r="BF117" s="457"/>
      <c r="BG117" s="457"/>
      <c r="BH117" s="457"/>
      <c r="BI117" s="457"/>
      <c r="BJ117" s="457"/>
    </row>
    <row r="118" spans="1:62" ht="12.75">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c r="BF118" s="457"/>
      <c r="BG118" s="457"/>
      <c r="BH118" s="457"/>
      <c r="BI118" s="457"/>
      <c r="BJ118" s="457"/>
    </row>
    <row r="119" spans="1:62" ht="12.75">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c r="BI119" s="457"/>
      <c r="BJ119" s="457"/>
    </row>
    <row r="120" spans="1:62" ht="12.75">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c r="BF120" s="457"/>
      <c r="BG120" s="457"/>
      <c r="BH120" s="457"/>
      <c r="BI120" s="457"/>
      <c r="BJ120" s="457"/>
    </row>
    <row r="121" spans="1:62" ht="12.75">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c r="BI121" s="457"/>
      <c r="BJ121" s="457"/>
    </row>
    <row r="122" spans="1:62" ht="12.75">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c r="BI122" s="457"/>
      <c r="BJ122" s="457"/>
    </row>
    <row r="123" spans="1:62" ht="12.75">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row>
    <row r="124" spans="1:62" ht="12.75">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row>
    <row r="125" spans="1:62" ht="12.75">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row>
    <row r="126" spans="1:62" ht="12.75">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row>
    <row r="127" spans="1:62" ht="12.75">
      <c r="A127" s="457"/>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row>
    <row r="128" spans="1:62" ht="12.75">
      <c r="A128" s="457"/>
      <c r="B128" s="45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c r="BF128" s="457"/>
      <c r="BG128" s="457"/>
      <c r="BH128" s="457"/>
      <c r="BI128" s="457"/>
      <c r="BJ128" s="457"/>
    </row>
    <row r="129" spans="1:62" ht="12.75">
      <c r="A129" s="457"/>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c r="BF129" s="457"/>
      <c r="BG129" s="457"/>
      <c r="BH129" s="457"/>
      <c r="BI129" s="457"/>
      <c r="BJ129" s="457"/>
    </row>
    <row r="130" spans="1:62" ht="12.75">
      <c r="A130" s="457"/>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c r="BF130" s="457"/>
      <c r="BG130" s="457"/>
      <c r="BH130" s="457"/>
      <c r="BI130" s="457"/>
      <c r="BJ130" s="457"/>
    </row>
    <row r="131" spans="1:62" ht="12.75">
      <c r="A131" s="457"/>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c r="BI131" s="457"/>
      <c r="BJ131" s="457"/>
    </row>
    <row r="132" spans="1:62" ht="12.75">
      <c r="A132" s="457"/>
      <c r="B132" s="45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row>
    <row r="133" spans="1:62" ht="12.75">
      <c r="A133" s="457"/>
      <c r="B133" s="45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row>
    <row r="134" spans="1:62" ht="12.75">
      <c r="A134" s="457"/>
      <c r="B134" s="45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row>
    <row r="135" spans="1:62" ht="12.75">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row>
    <row r="136" spans="1:62" ht="12.75">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row>
    <row r="137" spans="1:62" ht="12.75">
      <c r="A137" s="457"/>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row>
    <row r="138" spans="1:62" ht="12.75">
      <c r="A138" s="457"/>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row>
    <row r="139" spans="1:62" ht="12.75">
      <c r="A139" s="457"/>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row>
    <row r="140" spans="1:62" ht="12.75">
      <c r="A140" s="457"/>
      <c r="B140" s="45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row>
    <row r="141" spans="1:62" ht="12.75">
      <c r="A141" s="457"/>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c r="BF141" s="457"/>
      <c r="BG141" s="457"/>
      <c r="BH141" s="457"/>
      <c r="BI141" s="457"/>
      <c r="BJ141" s="457"/>
    </row>
    <row r="142" spans="1:62" ht="12.75">
      <c r="A142" s="457"/>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c r="BF142" s="457"/>
      <c r="BG142" s="457"/>
      <c r="BH142" s="457"/>
      <c r="BI142" s="457"/>
      <c r="BJ142" s="457"/>
    </row>
    <row r="143" spans="1:62" ht="12.75">
      <c r="A143" s="457"/>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c r="BF143" s="457"/>
      <c r="BG143" s="457"/>
      <c r="BH143" s="457"/>
      <c r="BI143" s="457"/>
      <c r="BJ143" s="457"/>
    </row>
    <row r="144" spans="1:62" ht="12.75">
      <c r="A144" s="457"/>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c r="BF144" s="457"/>
      <c r="BG144" s="457"/>
      <c r="BH144" s="457"/>
      <c r="BI144" s="457"/>
      <c r="BJ144" s="457"/>
    </row>
    <row r="145" spans="1:62" ht="12.75">
      <c r="A145" s="457"/>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row>
    <row r="146" spans="1:62" ht="12.75">
      <c r="A146" s="457"/>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c r="AS146" s="457"/>
      <c r="AT146" s="457"/>
      <c r="AU146" s="457"/>
      <c r="AV146" s="457"/>
      <c r="AW146" s="457"/>
      <c r="AX146" s="457"/>
      <c r="AY146" s="457"/>
      <c r="AZ146" s="457"/>
      <c r="BA146" s="457"/>
      <c r="BB146" s="457"/>
      <c r="BC146" s="457"/>
      <c r="BD146" s="457"/>
      <c r="BE146" s="457"/>
      <c r="BF146" s="457"/>
      <c r="BG146" s="457"/>
      <c r="BH146" s="457"/>
      <c r="BI146" s="457"/>
      <c r="BJ146" s="457"/>
    </row>
    <row r="147" spans="1:62" ht="12.75">
      <c r="A147" s="457"/>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c r="BF147" s="457"/>
      <c r="BG147" s="457"/>
      <c r="BH147" s="457"/>
      <c r="BI147" s="457"/>
      <c r="BJ147" s="457"/>
    </row>
    <row r="148" spans="1:62" ht="12.75">
      <c r="A148" s="457"/>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row>
    <row r="149" spans="1:62" ht="12.75">
      <c r="A149" s="457"/>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c r="BF149" s="457"/>
      <c r="BG149" s="457"/>
      <c r="BH149" s="457"/>
      <c r="BI149" s="457"/>
      <c r="BJ149" s="457"/>
    </row>
    <row r="150" spans="1:62" ht="12.75">
      <c r="A150" s="457"/>
      <c r="B150" s="45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c r="BF150" s="457"/>
      <c r="BG150" s="457"/>
      <c r="BH150" s="457"/>
      <c r="BI150" s="457"/>
      <c r="BJ150" s="457"/>
    </row>
    <row r="151" spans="1:62" ht="12.75">
      <c r="A151" s="457"/>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c r="BF151" s="457"/>
      <c r="BG151" s="457"/>
      <c r="BH151" s="457"/>
      <c r="BI151" s="457"/>
      <c r="BJ151" s="457"/>
    </row>
    <row r="152" spans="1:62" ht="12.75">
      <c r="A152" s="457"/>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c r="AX152" s="457"/>
      <c r="AY152" s="457"/>
      <c r="AZ152" s="457"/>
      <c r="BA152" s="457"/>
      <c r="BB152" s="457"/>
      <c r="BC152" s="457"/>
      <c r="BD152" s="457"/>
      <c r="BE152" s="457"/>
      <c r="BF152" s="457"/>
      <c r="BG152" s="457"/>
      <c r="BH152" s="457"/>
      <c r="BI152" s="457"/>
      <c r="BJ152" s="457"/>
    </row>
    <row r="153" spans="1:62" ht="12.75">
      <c r="A153" s="457"/>
      <c r="B153" s="45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c r="BF153" s="457"/>
      <c r="BG153" s="457"/>
      <c r="BH153" s="457"/>
      <c r="BI153" s="457"/>
      <c r="BJ153" s="457"/>
    </row>
    <row r="154" spans="1:62" ht="12.75">
      <c r="A154" s="457"/>
      <c r="B154" s="45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row>
    <row r="155" spans="1:62" ht="12.75">
      <c r="A155" s="457"/>
      <c r="B155" s="45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c r="BF155" s="457"/>
      <c r="BG155" s="457"/>
      <c r="BH155" s="457"/>
      <c r="BI155" s="457"/>
      <c r="BJ155" s="457"/>
    </row>
    <row r="156" spans="1:62" ht="12.75">
      <c r="A156" s="457"/>
      <c r="B156" s="45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c r="AS156" s="457"/>
      <c r="AT156" s="457"/>
      <c r="AU156" s="457"/>
      <c r="AV156" s="457"/>
      <c r="AW156" s="457"/>
      <c r="AX156" s="457"/>
      <c r="AY156" s="457"/>
      <c r="AZ156" s="457"/>
      <c r="BA156" s="457"/>
      <c r="BB156" s="457"/>
      <c r="BC156" s="457"/>
      <c r="BD156" s="457"/>
      <c r="BE156" s="457"/>
      <c r="BF156" s="457"/>
      <c r="BG156" s="457"/>
      <c r="BH156" s="457"/>
      <c r="BI156" s="457"/>
      <c r="BJ156" s="457"/>
    </row>
    <row r="157" spans="1:62" ht="12.75">
      <c r="A157" s="457"/>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row>
    <row r="158" spans="1:62" ht="12.75">
      <c r="A158" s="457"/>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c r="BF158" s="457"/>
      <c r="BG158" s="457"/>
      <c r="BH158" s="457"/>
      <c r="BI158" s="457"/>
      <c r="BJ158" s="457"/>
    </row>
    <row r="159" spans="1:62" ht="12.75">
      <c r="A159" s="457"/>
      <c r="B159" s="45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c r="AS159" s="457"/>
      <c r="AT159" s="457"/>
      <c r="AU159" s="457"/>
      <c r="AV159" s="457"/>
      <c r="AW159" s="457"/>
      <c r="AX159" s="457"/>
      <c r="AY159" s="457"/>
      <c r="AZ159" s="457"/>
      <c r="BA159" s="457"/>
      <c r="BB159" s="457"/>
      <c r="BC159" s="457"/>
      <c r="BD159" s="457"/>
      <c r="BE159" s="457"/>
      <c r="BF159" s="457"/>
      <c r="BG159" s="457"/>
      <c r="BH159" s="457"/>
      <c r="BI159" s="457"/>
      <c r="BJ159" s="457"/>
    </row>
    <row r="160" spans="1:62" ht="12.75">
      <c r="A160" s="457"/>
      <c r="B160" s="45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c r="AS160" s="457"/>
      <c r="AT160" s="457"/>
      <c r="AU160" s="457"/>
      <c r="AV160" s="457"/>
      <c r="AW160" s="457"/>
      <c r="AX160" s="457"/>
      <c r="AY160" s="457"/>
      <c r="AZ160" s="457"/>
      <c r="BA160" s="457"/>
      <c r="BB160" s="457"/>
      <c r="BC160" s="457"/>
      <c r="BD160" s="457"/>
      <c r="BE160" s="457"/>
      <c r="BF160" s="457"/>
      <c r="BG160" s="457"/>
      <c r="BH160" s="457"/>
      <c r="BI160" s="457"/>
      <c r="BJ160" s="457"/>
    </row>
    <row r="161" spans="1:62" ht="12.75">
      <c r="A161" s="457"/>
      <c r="B161" s="45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c r="AS161" s="457"/>
      <c r="AT161" s="457"/>
      <c r="AU161" s="457"/>
      <c r="AV161" s="457"/>
      <c r="AW161" s="457"/>
      <c r="AX161" s="457"/>
      <c r="AY161" s="457"/>
      <c r="AZ161" s="457"/>
      <c r="BA161" s="457"/>
      <c r="BB161" s="457"/>
      <c r="BC161" s="457"/>
      <c r="BD161" s="457"/>
      <c r="BE161" s="457"/>
      <c r="BF161" s="457"/>
      <c r="BG161" s="457"/>
      <c r="BH161" s="457"/>
      <c r="BI161" s="457"/>
      <c r="BJ161" s="457"/>
    </row>
    <row r="162" spans="1:62" ht="12.75">
      <c r="A162" s="457"/>
      <c r="B162" s="45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c r="BF162" s="457"/>
      <c r="BG162" s="457"/>
      <c r="BH162" s="457"/>
      <c r="BI162" s="457"/>
      <c r="BJ162" s="457"/>
    </row>
    <row r="163" spans="1:62" ht="12.75">
      <c r="A163" s="457"/>
      <c r="B163" s="45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457"/>
      <c r="AV163" s="457"/>
      <c r="AW163" s="457"/>
      <c r="AX163" s="457"/>
      <c r="AY163" s="457"/>
      <c r="AZ163" s="457"/>
      <c r="BA163" s="457"/>
      <c r="BB163" s="457"/>
      <c r="BC163" s="457"/>
      <c r="BD163" s="457"/>
      <c r="BE163" s="457"/>
      <c r="BF163" s="457"/>
      <c r="BG163" s="457"/>
      <c r="BH163" s="457"/>
      <c r="BI163" s="457"/>
      <c r="BJ163" s="457"/>
    </row>
    <row r="164" spans="1:62" ht="12.75">
      <c r="A164" s="457"/>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c r="AZ164" s="457"/>
      <c r="BA164" s="457"/>
      <c r="BB164" s="457"/>
      <c r="BC164" s="457"/>
      <c r="BD164" s="457"/>
      <c r="BE164" s="457"/>
      <c r="BF164" s="457"/>
      <c r="BG164" s="457"/>
      <c r="BH164" s="457"/>
      <c r="BI164" s="457"/>
      <c r="BJ164" s="457"/>
    </row>
    <row r="165" spans="1:62" ht="12.75">
      <c r="A165" s="457"/>
      <c r="B165" s="45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row>
    <row r="166" spans="1:62" ht="12.75">
      <c r="A166" s="457"/>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c r="AX166" s="457"/>
      <c r="AY166" s="457"/>
      <c r="AZ166" s="457"/>
      <c r="BA166" s="457"/>
      <c r="BB166" s="457"/>
      <c r="BC166" s="457"/>
      <c r="BD166" s="457"/>
      <c r="BE166" s="457"/>
      <c r="BF166" s="457"/>
      <c r="BG166" s="457"/>
      <c r="BH166" s="457"/>
      <c r="BI166" s="457"/>
      <c r="BJ166" s="457"/>
    </row>
    <row r="167" spans="1:62" ht="12.75">
      <c r="A167" s="457"/>
      <c r="B167" s="45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457"/>
      <c r="AX167" s="457"/>
      <c r="AY167" s="457"/>
      <c r="AZ167" s="457"/>
      <c r="BA167" s="457"/>
      <c r="BB167" s="457"/>
      <c r="BC167" s="457"/>
      <c r="BD167" s="457"/>
      <c r="BE167" s="457"/>
      <c r="BF167" s="457"/>
      <c r="BG167" s="457"/>
      <c r="BH167" s="457"/>
      <c r="BI167" s="457"/>
      <c r="BJ167" s="457"/>
    </row>
    <row r="168" spans="1:62" ht="12.75">
      <c r="A168" s="457"/>
      <c r="B168" s="45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c r="AS168" s="457"/>
      <c r="AT168" s="457"/>
      <c r="AU168" s="457"/>
      <c r="AV168" s="457"/>
      <c r="AW168" s="457"/>
      <c r="AX168" s="457"/>
      <c r="AY168" s="457"/>
      <c r="AZ168" s="457"/>
      <c r="BA168" s="457"/>
      <c r="BB168" s="457"/>
      <c r="BC168" s="457"/>
      <c r="BD168" s="457"/>
      <c r="BE168" s="457"/>
      <c r="BF168" s="457"/>
      <c r="BG168" s="457"/>
      <c r="BH168" s="457"/>
      <c r="BI168" s="457"/>
      <c r="BJ168" s="457"/>
    </row>
    <row r="169" spans="1:62" ht="12.75">
      <c r="A169" s="457"/>
      <c r="B169" s="45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row>
    <row r="170" spans="1:62" ht="12.75">
      <c r="A170" s="457"/>
      <c r="B170" s="45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c r="AS170" s="457"/>
      <c r="AT170" s="457"/>
      <c r="AU170" s="457"/>
      <c r="AV170" s="457"/>
      <c r="AW170" s="457"/>
      <c r="AX170" s="457"/>
      <c r="AY170" s="457"/>
      <c r="AZ170" s="457"/>
      <c r="BA170" s="457"/>
      <c r="BB170" s="457"/>
      <c r="BC170" s="457"/>
      <c r="BD170" s="457"/>
      <c r="BE170" s="457"/>
      <c r="BF170" s="457"/>
      <c r="BG170" s="457"/>
      <c r="BH170" s="457"/>
      <c r="BI170" s="457"/>
      <c r="BJ170" s="457"/>
    </row>
    <row r="171" spans="1:62" ht="12.75">
      <c r="A171" s="457"/>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c r="AS171" s="457"/>
      <c r="AT171" s="457"/>
      <c r="AU171" s="457"/>
      <c r="AV171" s="457"/>
      <c r="AW171" s="457"/>
      <c r="AX171" s="457"/>
      <c r="AY171" s="457"/>
      <c r="AZ171" s="457"/>
      <c r="BA171" s="457"/>
      <c r="BB171" s="457"/>
      <c r="BC171" s="457"/>
      <c r="BD171" s="457"/>
      <c r="BE171" s="457"/>
      <c r="BF171" s="457"/>
      <c r="BG171" s="457"/>
      <c r="BH171" s="457"/>
      <c r="BI171" s="457"/>
      <c r="BJ171" s="457"/>
    </row>
    <row r="172" spans="1:62" ht="12.75">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c r="AX172" s="457"/>
      <c r="AY172" s="457"/>
      <c r="AZ172" s="457"/>
      <c r="BA172" s="457"/>
      <c r="BB172" s="457"/>
      <c r="BC172" s="457"/>
      <c r="BD172" s="457"/>
      <c r="BE172" s="457"/>
      <c r="BF172" s="457"/>
      <c r="BG172" s="457"/>
      <c r="BH172" s="457"/>
      <c r="BI172" s="457"/>
      <c r="BJ172" s="457"/>
    </row>
    <row r="173" spans="1:62" ht="12.75">
      <c r="A173" s="457"/>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c r="AX173" s="457"/>
      <c r="AY173" s="457"/>
      <c r="AZ173" s="457"/>
      <c r="BA173" s="457"/>
      <c r="BB173" s="457"/>
      <c r="BC173" s="457"/>
      <c r="BD173" s="457"/>
      <c r="BE173" s="457"/>
      <c r="BF173" s="457"/>
      <c r="BG173" s="457"/>
      <c r="BH173" s="457"/>
      <c r="BI173" s="457"/>
      <c r="BJ173" s="457"/>
    </row>
    <row r="174" spans="1:62" ht="12.75">
      <c r="A174" s="457"/>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457"/>
      <c r="AV174" s="457"/>
      <c r="AW174" s="457"/>
      <c r="AX174" s="457"/>
      <c r="AY174" s="457"/>
      <c r="AZ174" s="457"/>
      <c r="BA174" s="457"/>
      <c r="BB174" s="457"/>
      <c r="BC174" s="457"/>
      <c r="BD174" s="457"/>
      <c r="BE174" s="457"/>
      <c r="BF174" s="457"/>
      <c r="BG174" s="457"/>
      <c r="BH174" s="457"/>
      <c r="BI174" s="457"/>
      <c r="BJ174" s="457"/>
    </row>
    <row r="175" spans="1:62" ht="12.75">
      <c r="A175" s="457"/>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c r="AS175" s="457"/>
      <c r="AT175" s="457"/>
      <c r="AU175" s="457"/>
      <c r="AV175" s="457"/>
      <c r="AW175" s="457"/>
      <c r="AX175" s="457"/>
      <c r="AY175" s="457"/>
      <c r="AZ175" s="457"/>
      <c r="BA175" s="457"/>
      <c r="BB175" s="457"/>
      <c r="BC175" s="457"/>
      <c r="BD175" s="457"/>
      <c r="BE175" s="457"/>
      <c r="BF175" s="457"/>
      <c r="BG175" s="457"/>
      <c r="BH175" s="457"/>
      <c r="BI175" s="457"/>
      <c r="BJ175" s="457"/>
    </row>
    <row r="176" spans="1:62" ht="12.75">
      <c r="A176" s="457"/>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c r="AS176" s="457"/>
      <c r="AT176" s="457"/>
      <c r="AU176" s="457"/>
      <c r="AV176" s="457"/>
      <c r="AW176" s="457"/>
      <c r="AX176" s="457"/>
      <c r="AY176" s="457"/>
      <c r="AZ176" s="457"/>
      <c r="BA176" s="457"/>
      <c r="BB176" s="457"/>
      <c r="BC176" s="457"/>
      <c r="BD176" s="457"/>
      <c r="BE176" s="457"/>
      <c r="BF176" s="457"/>
      <c r="BG176" s="457"/>
      <c r="BH176" s="457"/>
      <c r="BI176" s="457"/>
      <c r="BJ176" s="457"/>
    </row>
    <row r="177" spans="1:62" ht="12.75">
      <c r="A177" s="457"/>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c r="AS177" s="457"/>
      <c r="AT177" s="457"/>
      <c r="AU177" s="457"/>
      <c r="AV177" s="457"/>
      <c r="AW177" s="457"/>
      <c r="AX177" s="457"/>
      <c r="AY177" s="457"/>
      <c r="AZ177" s="457"/>
      <c r="BA177" s="457"/>
      <c r="BB177" s="457"/>
      <c r="BC177" s="457"/>
      <c r="BD177" s="457"/>
      <c r="BE177" s="457"/>
      <c r="BF177" s="457"/>
      <c r="BG177" s="457"/>
      <c r="BH177" s="457"/>
      <c r="BI177" s="457"/>
      <c r="BJ177" s="457"/>
    </row>
    <row r="178" spans="1:62" ht="12.75">
      <c r="A178" s="457"/>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c r="BF178" s="457"/>
      <c r="BG178" s="457"/>
      <c r="BH178" s="457"/>
      <c r="BI178" s="457"/>
      <c r="BJ178" s="457"/>
    </row>
    <row r="179" spans="1:62" ht="12.75">
      <c r="A179" s="457"/>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c r="AS179" s="457"/>
      <c r="AT179" s="457"/>
      <c r="AU179" s="457"/>
      <c r="AV179" s="457"/>
      <c r="AW179" s="457"/>
      <c r="AX179" s="457"/>
      <c r="AY179" s="457"/>
      <c r="AZ179" s="457"/>
      <c r="BA179" s="457"/>
      <c r="BB179" s="457"/>
      <c r="BC179" s="457"/>
      <c r="BD179" s="457"/>
      <c r="BE179" s="457"/>
      <c r="BF179" s="457"/>
      <c r="BG179" s="457"/>
      <c r="BH179" s="457"/>
      <c r="BI179" s="457"/>
      <c r="BJ179" s="457"/>
    </row>
    <row r="180" spans="1:62" ht="12.75">
      <c r="A180" s="457"/>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c r="AX180" s="457"/>
      <c r="AY180" s="457"/>
      <c r="AZ180" s="457"/>
      <c r="BA180" s="457"/>
      <c r="BB180" s="457"/>
      <c r="BC180" s="457"/>
      <c r="BD180" s="457"/>
      <c r="BE180" s="457"/>
      <c r="BF180" s="457"/>
      <c r="BG180" s="457"/>
      <c r="BH180" s="457"/>
      <c r="BI180" s="457"/>
      <c r="BJ180" s="457"/>
    </row>
    <row r="181" spans="1:62" ht="12.75">
      <c r="A181" s="457"/>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c r="AX181" s="457"/>
      <c r="AY181" s="457"/>
      <c r="AZ181" s="457"/>
      <c r="BA181" s="457"/>
      <c r="BB181" s="457"/>
      <c r="BC181" s="457"/>
      <c r="BD181" s="457"/>
      <c r="BE181" s="457"/>
      <c r="BF181" s="457"/>
      <c r="BG181" s="457"/>
      <c r="BH181" s="457"/>
      <c r="BI181" s="457"/>
      <c r="BJ181" s="457"/>
    </row>
    <row r="182" spans="1:62" ht="12.75">
      <c r="A182" s="457"/>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c r="AS182" s="457"/>
      <c r="AT182" s="457"/>
      <c r="AU182" s="457"/>
      <c r="AV182" s="457"/>
      <c r="AW182" s="457"/>
      <c r="AX182" s="457"/>
      <c r="AY182" s="457"/>
      <c r="AZ182" s="457"/>
      <c r="BA182" s="457"/>
      <c r="BB182" s="457"/>
      <c r="BC182" s="457"/>
      <c r="BD182" s="457"/>
      <c r="BE182" s="457"/>
      <c r="BF182" s="457"/>
      <c r="BG182" s="457"/>
      <c r="BH182" s="457"/>
      <c r="BI182" s="457"/>
      <c r="BJ182" s="457"/>
    </row>
    <row r="183" spans="1:62" ht="12.75">
      <c r="A183" s="457"/>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c r="BF183" s="457"/>
      <c r="BG183" s="457"/>
      <c r="BH183" s="457"/>
      <c r="BI183" s="457"/>
      <c r="BJ183" s="457"/>
    </row>
    <row r="184" spans="1:62" ht="12.75">
      <c r="A184" s="457"/>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c r="AS184" s="457"/>
      <c r="AT184" s="457"/>
      <c r="AU184" s="457"/>
      <c r="AV184" s="457"/>
      <c r="AW184" s="457"/>
      <c r="AX184" s="457"/>
      <c r="AY184" s="457"/>
      <c r="AZ184" s="457"/>
      <c r="BA184" s="457"/>
      <c r="BB184" s="457"/>
      <c r="BC184" s="457"/>
      <c r="BD184" s="457"/>
      <c r="BE184" s="457"/>
      <c r="BF184" s="457"/>
      <c r="BG184" s="457"/>
      <c r="BH184" s="457"/>
      <c r="BI184" s="457"/>
      <c r="BJ184" s="457"/>
    </row>
    <row r="185" spans="1:62" ht="12.75">
      <c r="A185" s="457"/>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U185" s="457"/>
      <c r="AV185" s="457"/>
      <c r="AW185" s="457"/>
      <c r="AX185" s="457"/>
      <c r="AY185" s="457"/>
      <c r="AZ185" s="457"/>
      <c r="BA185" s="457"/>
      <c r="BB185" s="457"/>
      <c r="BC185" s="457"/>
      <c r="BD185" s="457"/>
      <c r="BE185" s="457"/>
      <c r="BF185" s="457"/>
      <c r="BG185" s="457"/>
      <c r="BH185" s="457"/>
      <c r="BI185" s="457"/>
      <c r="BJ185" s="457"/>
    </row>
    <row r="186" spans="1:62" ht="12.75">
      <c r="A186" s="457"/>
      <c r="B186" s="45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c r="BF186" s="457"/>
      <c r="BG186" s="457"/>
      <c r="BH186" s="457"/>
      <c r="BI186" s="457"/>
      <c r="BJ186" s="457"/>
    </row>
    <row r="187" spans="1:62" ht="12.75">
      <c r="A187" s="457"/>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c r="AZ187" s="457"/>
      <c r="BA187" s="457"/>
      <c r="BB187" s="457"/>
      <c r="BC187" s="457"/>
      <c r="BD187" s="457"/>
      <c r="BE187" s="457"/>
      <c r="BF187" s="457"/>
      <c r="BG187" s="457"/>
      <c r="BH187" s="457"/>
      <c r="BI187" s="457"/>
      <c r="BJ187" s="457"/>
    </row>
    <row r="188" spans="1:62" ht="12.75">
      <c r="A188" s="457"/>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c r="AS188" s="457"/>
      <c r="AT188" s="457"/>
      <c r="AU188" s="457"/>
      <c r="AV188" s="457"/>
      <c r="AW188" s="457"/>
      <c r="AX188" s="457"/>
      <c r="AY188" s="457"/>
      <c r="AZ188" s="457"/>
      <c r="BA188" s="457"/>
      <c r="BB188" s="457"/>
      <c r="BC188" s="457"/>
      <c r="BD188" s="457"/>
      <c r="BE188" s="457"/>
      <c r="BF188" s="457"/>
      <c r="BG188" s="457"/>
      <c r="BH188" s="457"/>
      <c r="BI188" s="457"/>
      <c r="BJ188" s="457"/>
    </row>
    <row r="189" spans="1:62" ht="12.75">
      <c r="A189" s="457"/>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c r="AS189" s="457"/>
      <c r="AT189" s="457"/>
      <c r="AU189" s="457"/>
      <c r="AV189" s="457"/>
      <c r="AW189" s="457"/>
      <c r="AX189" s="457"/>
      <c r="AY189" s="457"/>
      <c r="AZ189" s="457"/>
      <c r="BA189" s="457"/>
      <c r="BB189" s="457"/>
      <c r="BC189" s="457"/>
      <c r="BD189" s="457"/>
      <c r="BE189" s="457"/>
      <c r="BF189" s="457"/>
      <c r="BG189" s="457"/>
      <c r="BH189" s="457"/>
      <c r="BI189" s="457"/>
      <c r="BJ189" s="457"/>
    </row>
    <row r="190" spans="1:62" ht="12.75">
      <c r="A190" s="457"/>
      <c r="B190" s="45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c r="AS190" s="457"/>
      <c r="AT190" s="457"/>
      <c r="AU190" s="457"/>
      <c r="AV190" s="457"/>
      <c r="AW190" s="457"/>
      <c r="AX190" s="457"/>
      <c r="AY190" s="457"/>
      <c r="AZ190" s="457"/>
      <c r="BA190" s="457"/>
      <c r="BB190" s="457"/>
      <c r="BC190" s="457"/>
      <c r="BD190" s="457"/>
      <c r="BE190" s="457"/>
      <c r="BF190" s="457"/>
      <c r="BG190" s="457"/>
      <c r="BH190" s="457"/>
      <c r="BI190" s="457"/>
      <c r="BJ190" s="457"/>
    </row>
    <row r="191" spans="1:62" ht="12.75">
      <c r="A191" s="457"/>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c r="BF191" s="457"/>
      <c r="BG191" s="457"/>
      <c r="BH191" s="457"/>
      <c r="BI191" s="457"/>
      <c r="BJ191" s="457"/>
    </row>
    <row r="192" spans="1:62" ht="12.75">
      <c r="A192" s="457"/>
      <c r="B192" s="45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c r="AS192" s="457"/>
      <c r="AT192" s="457"/>
      <c r="AU192" s="457"/>
      <c r="AV192" s="457"/>
      <c r="AW192" s="457"/>
      <c r="AX192" s="457"/>
      <c r="AY192" s="457"/>
      <c r="AZ192" s="457"/>
      <c r="BA192" s="457"/>
      <c r="BB192" s="457"/>
      <c r="BC192" s="457"/>
      <c r="BD192" s="457"/>
      <c r="BE192" s="457"/>
      <c r="BF192" s="457"/>
      <c r="BG192" s="457"/>
      <c r="BH192" s="457"/>
      <c r="BI192" s="457"/>
      <c r="BJ192" s="457"/>
    </row>
    <row r="193" spans="1:62" ht="12.75">
      <c r="A193" s="457"/>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c r="AS193" s="457"/>
      <c r="AT193" s="457"/>
      <c r="AU193" s="457"/>
      <c r="AV193" s="457"/>
      <c r="AW193" s="457"/>
      <c r="AX193" s="457"/>
      <c r="AY193" s="457"/>
      <c r="AZ193" s="457"/>
      <c r="BA193" s="457"/>
      <c r="BB193" s="457"/>
      <c r="BC193" s="457"/>
      <c r="BD193" s="457"/>
      <c r="BE193" s="457"/>
      <c r="BF193" s="457"/>
      <c r="BG193" s="457"/>
      <c r="BH193" s="457"/>
      <c r="BI193" s="457"/>
      <c r="BJ193" s="457"/>
    </row>
    <row r="194" spans="1:62" ht="12.75">
      <c r="A194" s="457"/>
      <c r="B194" s="45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c r="AS194" s="457"/>
      <c r="AT194" s="457"/>
      <c r="AU194" s="457"/>
      <c r="AV194" s="457"/>
      <c r="AW194" s="457"/>
      <c r="AX194" s="457"/>
      <c r="AY194" s="457"/>
      <c r="AZ194" s="457"/>
      <c r="BA194" s="457"/>
      <c r="BB194" s="457"/>
      <c r="BC194" s="457"/>
      <c r="BD194" s="457"/>
      <c r="BE194" s="457"/>
      <c r="BF194" s="457"/>
      <c r="BG194" s="457"/>
      <c r="BH194" s="457"/>
      <c r="BI194" s="457"/>
      <c r="BJ194" s="457"/>
    </row>
    <row r="195" spans="1:62" ht="12.75">
      <c r="A195" s="457"/>
      <c r="B195" s="45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c r="AS195" s="457"/>
      <c r="AT195" s="457"/>
      <c r="AU195" s="457"/>
      <c r="AV195" s="457"/>
      <c r="AW195" s="457"/>
      <c r="AX195" s="457"/>
      <c r="AY195" s="457"/>
      <c r="AZ195" s="457"/>
      <c r="BA195" s="457"/>
      <c r="BB195" s="457"/>
      <c r="BC195" s="457"/>
      <c r="BD195" s="457"/>
      <c r="BE195" s="457"/>
      <c r="BF195" s="457"/>
      <c r="BG195" s="457"/>
      <c r="BH195" s="457"/>
      <c r="BI195" s="457"/>
      <c r="BJ195" s="457"/>
    </row>
    <row r="196" spans="1:62" ht="12.75">
      <c r="A196" s="457"/>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c r="AS196" s="457"/>
      <c r="AT196" s="457"/>
      <c r="AU196" s="457"/>
      <c r="AV196" s="457"/>
      <c r="AW196" s="457"/>
      <c r="AX196" s="457"/>
      <c r="AY196" s="457"/>
      <c r="AZ196" s="457"/>
      <c r="BA196" s="457"/>
      <c r="BB196" s="457"/>
      <c r="BC196" s="457"/>
      <c r="BD196" s="457"/>
      <c r="BE196" s="457"/>
      <c r="BF196" s="457"/>
      <c r="BG196" s="457"/>
      <c r="BH196" s="457"/>
      <c r="BI196" s="457"/>
      <c r="BJ196" s="457"/>
    </row>
    <row r="197" spans="1:62" ht="12.75">
      <c r="A197" s="457"/>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c r="BF197" s="457"/>
      <c r="BG197" s="457"/>
      <c r="BH197" s="457"/>
      <c r="BI197" s="457"/>
      <c r="BJ197" s="457"/>
    </row>
    <row r="198" spans="1:62" ht="12.75">
      <c r="A198" s="457"/>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c r="AS198" s="457"/>
      <c r="AT198" s="457"/>
      <c r="AU198" s="457"/>
      <c r="AV198" s="457"/>
      <c r="AW198" s="457"/>
      <c r="AX198" s="457"/>
      <c r="AY198" s="457"/>
      <c r="AZ198" s="457"/>
      <c r="BA198" s="457"/>
      <c r="BB198" s="457"/>
      <c r="BC198" s="457"/>
      <c r="BD198" s="457"/>
      <c r="BE198" s="457"/>
      <c r="BF198" s="457"/>
      <c r="BG198" s="457"/>
      <c r="BH198" s="457"/>
      <c r="BI198" s="457"/>
      <c r="BJ198" s="457"/>
    </row>
    <row r="199" spans="1:62" ht="12.75">
      <c r="A199" s="457"/>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c r="AX199" s="457"/>
      <c r="AY199" s="457"/>
      <c r="AZ199" s="457"/>
      <c r="BA199" s="457"/>
      <c r="BB199" s="457"/>
      <c r="BC199" s="457"/>
      <c r="BD199" s="457"/>
      <c r="BE199" s="457"/>
      <c r="BF199" s="457"/>
      <c r="BG199" s="457"/>
      <c r="BH199" s="457"/>
      <c r="BI199" s="457"/>
      <c r="BJ199" s="457"/>
    </row>
    <row r="200" spans="1:62" ht="12.75">
      <c r="A200" s="457"/>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c r="AX200" s="457"/>
      <c r="AY200" s="457"/>
      <c r="AZ200" s="457"/>
      <c r="BA200" s="457"/>
      <c r="BB200" s="457"/>
      <c r="BC200" s="457"/>
      <c r="BD200" s="457"/>
      <c r="BE200" s="457"/>
      <c r="BF200" s="457"/>
      <c r="BG200" s="457"/>
      <c r="BH200" s="457"/>
      <c r="BI200" s="457"/>
      <c r="BJ200" s="457"/>
    </row>
    <row r="201" spans="1:62" ht="12.75">
      <c r="A201" s="457"/>
      <c r="B201" s="45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c r="AS201" s="457"/>
      <c r="AT201" s="457"/>
      <c r="AU201" s="457"/>
      <c r="AV201" s="457"/>
      <c r="AW201" s="457"/>
      <c r="AX201" s="457"/>
      <c r="AY201" s="457"/>
      <c r="AZ201" s="457"/>
      <c r="BA201" s="457"/>
      <c r="BB201" s="457"/>
      <c r="BC201" s="457"/>
      <c r="BD201" s="457"/>
      <c r="BE201" s="457"/>
      <c r="BF201" s="457"/>
      <c r="BG201" s="457"/>
      <c r="BH201" s="457"/>
      <c r="BI201" s="457"/>
      <c r="BJ201" s="457"/>
    </row>
    <row r="202" spans="1:62" ht="12.75">
      <c r="A202" s="457"/>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row>
    <row r="203" spans="1:62" ht="12.75">
      <c r="A203" s="457"/>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row>
    <row r="204" spans="1:62" ht="12.75">
      <c r="A204" s="457"/>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c r="AX204" s="457"/>
      <c r="AY204" s="457"/>
      <c r="AZ204" s="457"/>
      <c r="BA204" s="457"/>
      <c r="BB204" s="457"/>
      <c r="BC204" s="457"/>
      <c r="BD204" s="457"/>
      <c r="BE204" s="457"/>
      <c r="BF204" s="457"/>
      <c r="BG204" s="457"/>
      <c r="BH204" s="457"/>
      <c r="BI204" s="457"/>
      <c r="BJ204" s="457"/>
    </row>
    <row r="205" spans="1:62" ht="12.75">
      <c r="A205" s="457"/>
      <c r="B205" s="45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c r="AS205" s="457"/>
      <c r="AT205" s="457"/>
      <c r="AU205" s="457"/>
      <c r="AV205" s="457"/>
      <c r="AW205" s="457"/>
      <c r="AX205" s="457"/>
      <c r="AY205" s="457"/>
      <c r="AZ205" s="457"/>
      <c r="BA205" s="457"/>
      <c r="BB205" s="457"/>
      <c r="BC205" s="457"/>
      <c r="BD205" s="457"/>
      <c r="BE205" s="457"/>
      <c r="BF205" s="457"/>
      <c r="BG205" s="457"/>
      <c r="BH205" s="457"/>
      <c r="BI205" s="457"/>
      <c r="BJ205" s="457"/>
    </row>
    <row r="206" spans="1:62" ht="12.75">
      <c r="A206" s="457"/>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c r="AX206" s="457"/>
      <c r="AY206" s="457"/>
      <c r="AZ206" s="457"/>
      <c r="BA206" s="457"/>
      <c r="BB206" s="457"/>
      <c r="BC206" s="457"/>
      <c r="BD206" s="457"/>
      <c r="BE206" s="457"/>
      <c r="BF206" s="457"/>
      <c r="BG206" s="457"/>
      <c r="BH206" s="457"/>
      <c r="BI206" s="457"/>
      <c r="BJ206" s="457"/>
    </row>
    <row r="207" spans="1:62" ht="12.75">
      <c r="A207" s="457"/>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row>
    <row r="208" spans="1:62" ht="12.75">
      <c r="A208" s="457"/>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row>
    <row r="209" spans="1:62" ht="12.75">
      <c r="A209" s="457"/>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c r="AX209" s="457"/>
      <c r="AY209" s="457"/>
      <c r="AZ209" s="457"/>
      <c r="BA209" s="457"/>
      <c r="BB209" s="457"/>
      <c r="BC209" s="457"/>
      <c r="BD209" s="457"/>
      <c r="BE209" s="457"/>
      <c r="BF209" s="457"/>
      <c r="BG209" s="457"/>
      <c r="BH209" s="457"/>
      <c r="BI209" s="457"/>
      <c r="BJ209" s="457"/>
    </row>
    <row r="210" spans="1:62" ht="12.75">
      <c r="A210" s="457"/>
      <c r="B210" s="45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row>
    <row r="211" spans="1:62" ht="12.75">
      <c r="A211" s="457"/>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c r="BF211" s="457"/>
      <c r="BG211" s="457"/>
      <c r="BH211" s="457"/>
      <c r="BI211" s="457"/>
      <c r="BJ211" s="457"/>
    </row>
    <row r="212" spans="1:62" ht="12.75">
      <c r="A212" s="457"/>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c r="BF212" s="457"/>
      <c r="BG212" s="457"/>
      <c r="BH212" s="457"/>
      <c r="BI212" s="457"/>
      <c r="BJ212" s="457"/>
    </row>
    <row r="213" spans="1:62" ht="12.75">
      <c r="A213" s="457"/>
      <c r="B213" s="45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c r="BF213" s="457"/>
      <c r="BG213" s="457"/>
      <c r="BH213" s="457"/>
      <c r="BI213" s="457"/>
      <c r="BJ213" s="457"/>
    </row>
    <row r="214" spans="1:62" ht="12.75">
      <c r="A214" s="457"/>
      <c r="B214" s="45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c r="BF214" s="457"/>
      <c r="BG214" s="457"/>
      <c r="BH214" s="457"/>
      <c r="BI214" s="457"/>
      <c r="BJ214" s="457"/>
    </row>
    <row r="215" spans="1:62" ht="12.75">
      <c r="A215" s="457"/>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c r="BF215" s="457"/>
      <c r="BG215" s="457"/>
      <c r="BH215" s="457"/>
      <c r="BI215" s="457"/>
      <c r="BJ215" s="457"/>
    </row>
    <row r="216" spans="1:62" ht="12.75">
      <c r="A216" s="457"/>
      <c r="B216" s="45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c r="BF216" s="457"/>
      <c r="BG216" s="457"/>
      <c r="BH216" s="457"/>
      <c r="BI216" s="457"/>
      <c r="BJ216" s="457"/>
    </row>
    <row r="217" spans="1:62" ht="12.75">
      <c r="A217" s="457"/>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c r="BF217" s="457"/>
      <c r="BG217" s="457"/>
      <c r="BH217" s="457"/>
      <c r="BI217" s="457"/>
      <c r="BJ217" s="457"/>
    </row>
    <row r="218" spans="1:62" ht="12.75">
      <c r="A218" s="457"/>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c r="BF218" s="457"/>
      <c r="BG218" s="457"/>
      <c r="BH218" s="457"/>
      <c r="BI218" s="457"/>
      <c r="BJ218" s="457"/>
    </row>
    <row r="219" spans="1:62" ht="12.75">
      <c r="A219" s="457"/>
      <c r="B219" s="45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c r="BF219" s="457"/>
      <c r="BG219" s="457"/>
      <c r="BH219" s="457"/>
      <c r="BI219" s="457"/>
      <c r="BJ219" s="457"/>
    </row>
    <row r="220" spans="1:62" ht="12.75">
      <c r="A220" s="457"/>
      <c r="B220" s="45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c r="BF220" s="457"/>
      <c r="BG220" s="457"/>
      <c r="BH220" s="457"/>
      <c r="BI220" s="457"/>
      <c r="BJ220" s="457"/>
    </row>
    <row r="221" spans="1:62" ht="12.75">
      <c r="A221" s="457"/>
      <c r="B221" s="45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c r="BF221" s="457"/>
      <c r="BG221" s="457"/>
      <c r="BH221" s="457"/>
      <c r="BI221" s="457"/>
      <c r="BJ221" s="457"/>
    </row>
    <row r="222" spans="1:62" ht="12.75">
      <c r="A222" s="457"/>
      <c r="B222" s="45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c r="BF222" s="457"/>
      <c r="BG222" s="457"/>
      <c r="BH222" s="457"/>
      <c r="BI222" s="457"/>
      <c r="BJ222" s="457"/>
    </row>
    <row r="223" spans="1:62" ht="12.75">
      <c r="A223" s="457"/>
      <c r="B223" s="45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c r="BF223" s="457"/>
      <c r="BG223" s="457"/>
      <c r="BH223" s="457"/>
      <c r="BI223" s="457"/>
      <c r="BJ223" s="457"/>
    </row>
    <row r="224" spans="1:62" ht="12.75">
      <c r="A224" s="457"/>
      <c r="B224" s="45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c r="BF224" s="457"/>
      <c r="BG224" s="457"/>
      <c r="BH224" s="457"/>
      <c r="BI224" s="457"/>
      <c r="BJ224" s="457"/>
    </row>
    <row r="225" spans="1:62" ht="12.75">
      <c r="A225" s="457"/>
      <c r="B225" s="45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c r="BF225" s="457"/>
      <c r="BG225" s="457"/>
      <c r="BH225" s="457"/>
      <c r="BI225" s="457"/>
      <c r="BJ225" s="457"/>
    </row>
    <row r="226" spans="1:62" ht="12.75">
      <c r="A226" s="457"/>
      <c r="B226" s="45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c r="BF226" s="457"/>
      <c r="BG226" s="457"/>
      <c r="BH226" s="457"/>
      <c r="BI226" s="457"/>
      <c r="BJ226" s="457"/>
    </row>
    <row r="227" spans="1:62" ht="12.75">
      <c r="A227" s="457"/>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row>
    <row r="228" spans="1:62" ht="12.75">
      <c r="A228" s="457"/>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row>
    <row r="229" spans="1:62" ht="12.75">
      <c r="A229" s="457"/>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row>
    <row r="230" spans="1:62" ht="12.75">
      <c r="A230" s="457"/>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row>
    <row r="231" spans="1:62" ht="12.75">
      <c r="A231" s="457"/>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row>
    <row r="232" spans="1:62" ht="12.75">
      <c r="A232" s="457"/>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row>
    <row r="233" spans="1:62" ht="12.75">
      <c r="A233" s="457"/>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row>
    <row r="234" spans="1:62" ht="12.75">
      <c r="A234" s="457"/>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row>
    <row r="235" spans="1:62" ht="12.75">
      <c r="A235" s="457"/>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row>
    <row r="236" spans="1:62" ht="12.75">
      <c r="A236" s="457"/>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row>
    <row r="237" spans="1:62" ht="12.75">
      <c r="A237" s="457"/>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row>
    <row r="238" spans="1:62" ht="12.75">
      <c r="A238" s="457"/>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row>
    <row r="239" spans="1:62" ht="12.75">
      <c r="A239" s="457"/>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row>
    <row r="240" spans="1:62" ht="12.75">
      <c r="A240" s="457"/>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row>
    <row r="241" spans="1:62" ht="12.75">
      <c r="A241" s="457"/>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row>
    <row r="242" spans="1:62" ht="12.75">
      <c r="A242" s="457"/>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row>
    <row r="243" spans="1:62" ht="12.75">
      <c r="A243" s="457"/>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row>
    <row r="244" spans="1:62" ht="12.75">
      <c r="A244" s="457"/>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row>
    <row r="245" spans="1:62" ht="12.75">
      <c r="A245" s="457"/>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row>
    <row r="246" spans="1:62" ht="12.75">
      <c r="A246" s="457"/>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row>
    <row r="247" spans="1:62" ht="12.75">
      <c r="A247" s="457"/>
      <c r="B247" s="45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c r="BF247" s="457"/>
      <c r="BG247" s="457"/>
      <c r="BH247" s="457"/>
      <c r="BI247" s="457"/>
      <c r="BJ247" s="457"/>
    </row>
    <row r="248" spans="1:62" ht="12.75">
      <c r="A248" s="457"/>
      <c r="B248" s="45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row>
    <row r="249" spans="1:62" ht="12.75">
      <c r="A249" s="457"/>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row>
    <row r="250" spans="1:62" ht="12.75">
      <c r="A250" s="457"/>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row>
    <row r="251" spans="1:62" ht="12.75">
      <c r="A251" s="457"/>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row>
    <row r="252" spans="1:62" ht="12.75">
      <c r="A252" s="457"/>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row>
    <row r="253" spans="1:62" ht="12.75">
      <c r="A253" s="457"/>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row>
    <row r="254" spans="1:62" ht="12.75">
      <c r="A254" s="457"/>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row>
    <row r="255" spans="1:62" ht="12.75">
      <c r="A255" s="457"/>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row>
    <row r="256" spans="1:62" ht="12.75">
      <c r="A256" s="457"/>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row>
    <row r="257" spans="1:62" ht="12.75">
      <c r="A257" s="457"/>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row>
    <row r="258" spans="1:62" ht="12.75">
      <c r="A258" s="457"/>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row>
    <row r="259" spans="1:62" ht="12.75">
      <c r="A259" s="457"/>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row>
  </sheetData>
  <mergeCells count="1">
    <mergeCell ref="K30:M30"/>
  </mergeCells>
  <pageMargins left="0.75" right="0.75" top="1" bottom="1" header="0.5" footer="0.5"/>
  <pageSetup scale="65" orientation="landscape" r:id="rId1"/>
  <headerFooter alignWithMargins="0"/>
  <colBreaks count="1" manualBreakCount="1">
    <brk id="21" max="5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9"/>
  <sheetViews>
    <sheetView view="pageBreakPreview" zoomScaleNormal="115" zoomScaleSheetLayoutView="100" workbookViewId="0">
      <selection activeCell="G20" sqref="G20"/>
    </sheetView>
  </sheetViews>
  <sheetFormatPr defaultRowHeight="11.25"/>
  <cols>
    <col min="1" max="1" width="2.140625" style="458" customWidth="1"/>
    <col min="2" max="2" width="5" style="458" customWidth="1"/>
    <col min="3" max="3" width="16.85546875" style="458" bestFit="1" customWidth="1"/>
    <col min="4" max="4" width="3.28515625" style="458" customWidth="1"/>
    <col min="5" max="5" width="14.140625" style="458" bestFit="1" customWidth="1"/>
    <col min="6" max="6" width="9.28515625" style="458" bestFit="1" customWidth="1"/>
    <col min="7" max="7" width="6.7109375" style="458" customWidth="1"/>
    <col min="8" max="8" width="7.42578125" style="458" bestFit="1" customWidth="1"/>
    <col min="9" max="9" width="4" style="458" bestFit="1" customWidth="1"/>
    <col min="10" max="10" width="5.42578125" style="458" bestFit="1" customWidth="1"/>
    <col min="11" max="11" width="7.5703125" style="458" bestFit="1" customWidth="1"/>
    <col min="12" max="13" width="1.85546875" style="458" customWidth="1"/>
    <col min="14" max="14" width="10.7109375" style="458" bestFit="1" customWidth="1"/>
    <col min="15" max="15" width="11.140625" style="458" bestFit="1" customWidth="1"/>
    <col min="16" max="16" width="1.7109375" style="458" customWidth="1"/>
    <col min="17" max="19" width="9.140625" style="458"/>
    <col min="20" max="20" width="1.7109375" style="458" customWidth="1"/>
    <col min="21" max="21" width="12.42578125" style="458" customWidth="1"/>
    <col min="22" max="22" width="11" style="458" bestFit="1" customWidth="1"/>
    <col min="23" max="23" width="6.5703125" style="458" bestFit="1" customWidth="1"/>
    <col min="24" max="24" width="7.28515625" style="458" bestFit="1" customWidth="1"/>
    <col min="25" max="25" width="5.5703125" style="458" bestFit="1" customWidth="1"/>
    <col min="26" max="26" width="5.140625" style="458" bestFit="1" customWidth="1"/>
    <col min="27" max="27" width="7.42578125" style="458" bestFit="1" customWidth="1"/>
    <col min="28" max="28" width="10.5703125" style="458" bestFit="1" customWidth="1"/>
    <col min="29" max="29" width="6.5703125" style="458" bestFit="1" customWidth="1"/>
    <col min="30" max="30" width="9.5703125" style="458" bestFit="1" customWidth="1"/>
    <col min="31" max="31" width="7.42578125" style="458" bestFit="1" customWidth="1"/>
    <col min="32" max="32" width="9.42578125" style="458" bestFit="1" customWidth="1"/>
    <col min="33" max="33" width="2.140625" style="458" customWidth="1"/>
    <col min="34" max="34" width="2.7109375" style="458" customWidth="1"/>
    <col min="35" max="35" width="12.7109375" style="458" bestFit="1" customWidth="1"/>
    <col min="36" max="44" width="9.5703125" style="458" bestFit="1" customWidth="1"/>
    <col min="45" max="256" width="9.140625" style="458"/>
    <col min="257" max="257" width="2.140625" style="458" customWidth="1"/>
    <col min="258" max="260" width="9.140625" style="458"/>
    <col min="261" max="261" width="11.7109375" style="458" bestFit="1" customWidth="1"/>
    <col min="262" max="262" width="9.28515625" style="458" bestFit="1" customWidth="1"/>
    <col min="263" max="263" width="9.140625" style="458"/>
    <col min="264" max="264" width="9.28515625" style="458" bestFit="1" customWidth="1"/>
    <col min="265" max="265" width="9.140625" style="458"/>
    <col min="266" max="266" width="9.28515625" style="458" bestFit="1" customWidth="1"/>
    <col min="267" max="267" width="10" style="458" bestFit="1" customWidth="1"/>
    <col min="268" max="276" width="9.140625" style="458"/>
    <col min="277" max="277" width="12.42578125" style="458" customWidth="1"/>
    <col min="278" max="285" width="9.28515625" style="458" bestFit="1" customWidth="1"/>
    <col min="286" max="286" width="9.85546875" style="458" bestFit="1" customWidth="1"/>
    <col min="287" max="291" width="9.140625" style="458"/>
    <col min="292" max="292" width="11" style="458" customWidth="1"/>
    <col min="293" max="294" width="11.28515625" style="458" customWidth="1"/>
    <col min="295" max="295" width="11.5703125" style="458" customWidth="1"/>
    <col min="296" max="296" width="11.28515625" style="458" customWidth="1"/>
    <col min="297" max="297" width="11.7109375" style="458" customWidth="1"/>
    <col min="298" max="298" width="10.7109375" style="458" customWidth="1"/>
    <col min="299" max="299" width="9.5703125" style="458" customWidth="1"/>
    <col min="300" max="300" width="10.28515625" style="458" customWidth="1"/>
    <col min="301" max="512" width="9.140625" style="458"/>
    <col min="513" max="513" width="2.140625" style="458" customWidth="1"/>
    <col min="514" max="516" width="9.140625" style="458"/>
    <col min="517" max="517" width="11.7109375" style="458" bestFit="1" customWidth="1"/>
    <col min="518" max="518" width="9.28515625" style="458" bestFit="1" customWidth="1"/>
    <col min="519" max="519" width="9.140625" style="458"/>
    <col min="520" max="520" width="9.28515625" style="458" bestFit="1" customWidth="1"/>
    <col min="521" max="521" width="9.140625" style="458"/>
    <col min="522" max="522" width="9.28515625" style="458" bestFit="1" customWidth="1"/>
    <col min="523" max="523" width="10" style="458" bestFit="1" customWidth="1"/>
    <col min="524" max="532" width="9.140625" style="458"/>
    <col min="533" max="533" width="12.42578125" style="458" customWidth="1"/>
    <col min="534" max="541" width="9.28515625" style="458" bestFit="1" customWidth="1"/>
    <col min="542" max="542" width="9.85546875" style="458" bestFit="1" customWidth="1"/>
    <col min="543" max="547" width="9.140625" style="458"/>
    <col min="548" max="548" width="11" style="458" customWidth="1"/>
    <col min="549" max="550" width="11.28515625" style="458" customWidth="1"/>
    <col min="551" max="551" width="11.5703125" style="458" customWidth="1"/>
    <col min="552" max="552" width="11.28515625" style="458" customWidth="1"/>
    <col min="553" max="553" width="11.7109375" style="458" customWidth="1"/>
    <col min="554" max="554" width="10.7109375" style="458" customWidth="1"/>
    <col min="555" max="555" width="9.5703125" style="458" customWidth="1"/>
    <col min="556" max="556" width="10.28515625" style="458" customWidth="1"/>
    <col min="557" max="768" width="9.140625" style="458"/>
    <col min="769" max="769" width="2.140625" style="458" customWidth="1"/>
    <col min="770" max="772" width="9.140625" style="458"/>
    <col min="773" max="773" width="11.7109375" style="458" bestFit="1" customWidth="1"/>
    <col min="774" max="774" width="9.28515625" style="458" bestFit="1" customWidth="1"/>
    <col min="775" max="775" width="9.140625" style="458"/>
    <col min="776" max="776" width="9.28515625" style="458" bestFit="1" customWidth="1"/>
    <col min="777" max="777" width="9.140625" style="458"/>
    <col min="778" max="778" width="9.28515625" style="458" bestFit="1" customWidth="1"/>
    <col min="779" max="779" width="10" style="458" bestFit="1" customWidth="1"/>
    <col min="780" max="788" width="9.140625" style="458"/>
    <col min="789" max="789" width="12.42578125" style="458" customWidth="1"/>
    <col min="790" max="797" width="9.28515625" style="458" bestFit="1" customWidth="1"/>
    <col min="798" max="798" width="9.85546875" style="458" bestFit="1" customWidth="1"/>
    <col min="799" max="803" width="9.140625" style="458"/>
    <col min="804" max="804" width="11" style="458" customWidth="1"/>
    <col min="805" max="806" width="11.28515625" style="458" customWidth="1"/>
    <col min="807" max="807" width="11.5703125" style="458" customWidth="1"/>
    <col min="808" max="808" width="11.28515625" style="458" customWidth="1"/>
    <col min="809" max="809" width="11.7109375" style="458" customWidth="1"/>
    <col min="810" max="810" width="10.7109375" style="458" customWidth="1"/>
    <col min="811" max="811" width="9.5703125" style="458" customWidth="1"/>
    <col min="812" max="812" width="10.28515625" style="458" customWidth="1"/>
    <col min="813" max="1024" width="9.140625" style="458"/>
    <col min="1025" max="1025" width="2.140625" style="458" customWidth="1"/>
    <col min="1026" max="1028" width="9.140625" style="458"/>
    <col min="1029" max="1029" width="11.7109375" style="458" bestFit="1" customWidth="1"/>
    <col min="1030" max="1030" width="9.28515625" style="458" bestFit="1" customWidth="1"/>
    <col min="1031" max="1031" width="9.140625" style="458"/>
    <col min="1032" max="1032" width="9.28515625" style="458" bestFit="1" customWidth="1"/>
    <col min="1033" max="1033" width="9.140625" style="458"/>
    <col min="1034" max="1034" width="9.28515625" style="458" bestFit="1" customWidth="1"/>
    <col min="1035" max="1035" width="10" style="458" bestFit="1" customWidth="1"/>
    <col min="1036" max="1044" width="9.140625" style="458"/>
    <col min="1045" max="1045" width="12.42578125" style="458" customWidth="1"/>
    <col min="1046" max="1053" width="9.28515625" style="458" bestFit="1" customWidth="1"/>
    <col min="1054" max="1054" width="9.85546875" style="458" bestFit="1" customWidth="1"/>
    <col min="1055" max="1059" width="9.140625" style="458"/>
    <col min="1060" max="1060" width="11" style="458" customWidth="1"/>
    <col min="1061" max="1062" width="11.28515625" style="458" customWidth="1"/>
    <col min="1063" max="1063" width="11.5703125" style="458" customWidth="1"/>
    <col min="1064" max="1064" width="11.28515625" style="458" customWidth="1"/>
    <col min="1065" max="1065" width="11.7109375" style="458" customWidth="1"/>
    <col min="1066" max="1066" width="10.7109375" style="458" customWidth="1"/>
    <col min="1067" max="1067" width="9.5703125" style="458" customWidth="1"/>
    <col min="1068" max="1068" width="10.28515625" style="458" customWidth="1"/>
    <col min="1069" max="1280" width="9.140625" style="458"/>
    <col min="1281" max="1281" width="2.140625" style="458" customWidth="1"/>
    <col min="1282" max="1284" width="9.140625" style="458"/>
    <col min="1285" max="1285" width="11.7109375" style="458" bestFit="1" customWidth="1"/>
    <col min="1286" max="1286" width="9.28515625" style="458" bestFit="1" customWidth="1"/>
    <col min="1287" max="1287" width="9.140625" style="458"/>
    <col min="1288" max="1288" width="9.28515625" style="458" bestFit="1" customWidth="1"/>
    <col min="1289" max="1289" width="9.140625" style="458"/>
    <col min="1290" max="1290" width="9.28515625" style="458" bestFit="1" customWidth="1"/>
    <col min="1291" max="1291" width="10" style="458" bestFit="1" customWidth="1"/>
    <col min="1292" max="1300" width="9.140625" style="458"/>
    <col min="1301" max="1301" width="12.42578125" style="458" customWidth="1"/>
    <col min="1302" max="1309" width="9.28515625" style="458" bestFit="1" customWidth="1"/>
    <col min="1310" max="1310" width="9.85546875" style="458" bestFit="1" customWidth="1"/>
    <col min="1311" max="1315" width="9.140625" style="458"/>
    <col min="1316" max="1316" width="11" style="458" customWidth="1"/>
    <col min="1317" max="1318" width="11.28515625" style="458" customWidth="1"/>
    <col min="1319" max="1319" width="11.5703125" style="458" customWidth="1"/>
    <col min="1320" max="1320" width="11.28515625" style="458" customWidth="1"/>
    <col min="1321" max="1321" width="11.7109375" style="458" customWidth="1"/>
    <col min="1322" max="1322" width="10.7109375" style="458" customWidth="1"/>
    <col min="1323" max="1323" width="9.5703125" style="458" customWidth="1"/>
    <col min="1324" max="1324" width="10.28515625" style="458" customWidth="1"/>
    <col min="1325" max="1536" width="9.140625" style="458"/>
    <col min="1537" max="1537" width="2.140625" style="458" customWidth="1"/>
    <col min="1538" max="1540" width="9.140625" style="458"/>
    <col min="1541" max="1541" width="11.7109375" style="458" bestFit="1" customWidth="1"/>
    <col min="1542" max="1542" width="9.28515625" style="458" bestFit="1" customWidth="1"/>
    <col min="1543" max="1543" width="9.140625" style="458"/>
    <col min="1544" max="1544" width="9.28515625" style="458" bestFit="1" customWidth="1"/>
    <col min="1545" max="1545" width="9.140625" style="458"/>
    <col min="1546" max="1546" width="9.28515625" style="458" bestFit="1" customWidth="1"/>
    <col min="1547" max="1547" width="10" style="458" bestFit="1" customWidth="1"/>
    <col min="1548" max="1556" width="9.140625" style="458"/>
    <col min="1557" max="1557" width="12.42578125" style="458" customWidth="1"/>
    <col min="1558" max="1565" width="9.28515625" style="458" bestFit="1" customWidth="1"/>
    <col min="1566" max="1566" width="9.85546875" style="458" bestFit="1" customWidth="1"/>
    <col min="1567" max="1571" width="9.140625" style="458"/>
    <col min="1572" max="1572" width="11" style="458" customWidth="1"/>
    <col min="1573" max="1574" width="11.28515625" style="458" customWidth="1"/>
    <col min="1575" max="1575" width="11.5703125" style="458" customWidth="1"/>
    <col min="1576" max="1576" width="11.28515625" style="458" customWidth="1"/>
    <col min="1577" max="1577" width="11.7109375" style="458" customWidth="1"/>
    <col min="1578" max="1578" width="10.7109375" style="458" customWidth="1"/>
    <col min="1579" max="1579" width="9.5703125" style="458" customWidth="1"/>
    <col min="1580" max="1580" width="10.28515625" style="458" customWidth="1"/>
    <col min="1581" max="1792" width="9.140625" style="458"/>
    <col min="1793" max="1793" width="2.140625" style="458" customWidth="1"/>
    <col min="1794" max="1796" width="9.140625" style="458"/>
    <col min="1797" max="1797" width="11.7109375" style="458" bestFit="1" customWidth="1"/>
    <col min="1798" max="1798" width="9.28515625" style="458" bestFit="1" customWidth="1"/>
    <col min="1799" max="1799" width="9.140625" style="458"/>
    <col min="1800" max="1800" width="9.28515625" style="458" bestFit="1" customWidth="1"/>
    <col min="1801" max="1801" width="9.140625" style="458"/>
    <col min="1802" max="1802" width="9.28515625" style="458" bestFit="1" customWidth="1"/>
    <col min="1803" max="1803" width="10" style="458" bestFit="1" customWidth="1"/>
    <col min="1804" max="1812" width="9.140625" style="458"/>
    <col min="1813" max="1813" width="12.42578125" style="458" customWidth="1"/>
    <col min="1814" max="1821" width="9.28515625" style="458" bestFit="1" customWidth="1"/>
    <col min="1822" max="1822" width="9.85546875" style="458" bestFit="1" customWidth="1"/>
    <col min="1823" max="1827" width="9.140625" style="458"/>
    <col min="1828" max="1828" width="11" style="458" customWidth="1"/>
    <col min="1829" max="1830" width="11.28515625" style="458" customWidth="1"/>
    <col min="1831" max="1831" width="11.5703125" style="458" customWidth="1"/>
    <col min="1832" max="1832" width="11.28515625" style="458" customWidth="1"/>
    <col min="1833" max="1833" width="11.7109375" style="458" customWidth="1"/>
    <col min="1834" max="1834" width="10.7109375" style="458" customWidth="1"/>
    <col min="1835" max="1835" width="9.5703125" style="458" customWidth="1"/>
    <col min="1836" max="1836" width="10.28515625" style="458" customWidth="1"/>
    <col min="1837" max="2048" width="9.140625" style="458"/>
    <col min="2049" max="2049" width="2.140625" style="458" customWidth="1"/>
    <col min="2050" max="2052" width="9.140625" style="458"/>
    <col min="2053" max="2053" width="11.7109375" style="458" bestFit="1" customWidth="1"/>
    <col min="2054" max="2054" width="9.28515625" style="458" bestFit="1" customWidth="1"/>
    <col min="2055" max="2055" width="9.140625" style="458"/>
    <col min="2056" max="2056" width="9.28515625" style="458" bestFit="1" customWidth="1"/>
    <col min="2057" max="2057" width="9.140625" style="458"/>
    <col min="2058" max="2058" width="9.28515625" style="458" bestFit="1" customWidth="1"/>
    <col min="2059" max="2059" width="10" style="458" bestFit="1" customWidth="1"/>
    <col min="2060" max="2068" width="9.140625" style="458"/>
    <col min="2069" max="2069" width="12.42578125" style="458" customWidth="1"/>
    <col min="2070" max="2077" width="9.28515625" style="458" bestFit="1" customWidth="1"/>
    <col min="2078" max="2078" width="9.85546875" style="458" bestFit="1" customWidth="1"/>
    <col min="2079" max="2083" width="9.140625" style="458"/>
    <col min="2084" max="2084" width="11" style="458" customWidth="1"/>
    <col min="2085" max="2086" width="11.28515625" style="458" customWidth="1"/>
    <col min="2087" max="2087" width="11.5703125" style="458" customWidth="1"/>
    <col min="2088" max="2088" width="11.28515625" style="458" customWidth="1"/>
    <col min="2089" max="2089" width="11.7109375" style="458" customWidth="1"/>
    <col min="2090" max="2090" width="10.7109375" style="458" customWidth="1"/>
    <col min="2091" max="2091" width="9.5703125" style="458" customWidth="1"/>
    <col min="2092" max="2092" width="10.28515625" style="458" customWidth="1"/>
    <col min="2093" max="2304" width="9.140625" style="458"/>
    <col min="2305" max="2305" width="2.140625" style="458" customWidth="1"/>
    <col min="2306" max="2308" width="9.140625" style="458"/>
    <col min="2309" max="2309" width="11.7109375" style="458" bestFit="1" customWidth="1"/>
    <col min="2310" max="2310" width="9.28515625" style="458" bestFit="1" customWidth="1"/>
    <col min="2311" max="2311" width="9.140625" style="458"/>
    <col min="2312" max="2312" width="9.28515625" style="458" bestFit="1" customWidth="1"/>
    <col min="2313" max="2313" width="9.140625" style="458"/>
    <col min="2314" max="2314" width="9.28515625" style="458" bestFit="1" customWidth="1"/>
    <col min="2315" max="2315" width="10" style="458" bestFit="1" customWidth="1"/>
    <col min="2316" max="2324" width="9.140625" style="458"/>
    <col min="2325" max="2325" width="12.42578125" style="458" customWidth="1"/>
    <col min="2326" max="2333" width="9.28515625" style="458" bestFit="1" customWidth="1"/>
    <col min="2334" max="2334" width="9.85546875" style="458" bestFit="1" customWidth="1"/>
    <col min="2335" max="2339" width="9.140625" style="458"/>
    <col min="2340" max="2340" width="11" style="458" customWidth="1"/>
    <col min="2341" max="2342" width="11.28515625" style="458" customWidth="1"/>
    <col min="2343" max="2343" width="11.5703125" style="458" customWidth="1"/>
    <col min="2344" max="2344" width="11.28515625" style="458" customWidth="1"/>
    <col min="2345" max="2345" width="11.7109375" style="458" customWidth="1"/>
    <col min="2346" max="2346" width="10.7109375" style="458" customWidth="1"/>
    <col min="2347" max="2347" width="9.5703125" style="458" customWidth="1"/>
    <col min="2348" max="2348" width="10.28515625" style="458" customWidth="1"/>
    <col min="2349" max="2560" width="9.140625" style="458"/>
    <col min="2561" max="2561" width="2.140625" style="458" customWidth="1"/>
    <col min="2562" max="2564" width="9.140625" style="458"/>
    <col min="2565" max="2565" width="11.7109375" style="458" bestFit="1" customWidth="1"/>
    <col min="2566" max="2566" width="9.28515625" style="458" bestFit="1" customWidth="1"/>
    <col min="2567" max="2567" width="9.140625" style="458"/>
    <col min="2568" max="2568" width="9.28515625" style="458" bestFit="1" customWidth="1"/>
    <col min="2569" max="2569" width="9.140625" style="458"/>
    <col min="2570" max="2570" width="9.28515625" style="458" bestFit="1" customWidth="1"/>
    <col min="2571" max="2571" width="10" style="458" bestFit="1" customWidth="1"/>
    <col min="2572" max="2580" width="9.140625" style="458"/>
    <col min="2581" max="2581" width="12.42578125" style="458" customWidth="1"/>
    <col min="2582" max="2589" width="9.28515625" style="458" bestFit="1" customWidth="1"/>
    <col min="2590" max="2590" width="9.85546875" style="458" bestFit="1" customWidth="1"/>
    <col min="2591" max="2595" width="9.140625" style="458"/>
    <col min="2596" max="2596" width="11" style="458" customWidth="1"/>
    <col min="2597" max="2598" width="11.28515625" style="458" customWidth="1"/>
    <col min="2599" max="2599" width="11.5703125" style="458" customWidth="1"/>
    <col min="2600" max="2600" width="11.28515625" style="458" customWidth="1"/>
    <col min="2601" max="2601" width="11.7109375" style="458" customWidth="1"/>
    <col min="2602" max="2602" width="10.7109375" style="458" customWidth="1"/>
    <col min="2603" max="2603" width="9.5703125" style="458" customWidth="1"/>
    <col min="2604" max="2604" width="10.28515625" style="458" customWidth="1"/>
    <col min="2605" max="2816" width="9.140625" style="458"/>
    <col min="2817" max="2817" width="2.140625" style="458" customWidth="1"/>
    <col min="2818" max="2820" width="9.140625" style="458"/>
    <col min="2821" max="2821" width="11.7109375" style="458" bestFit="1" customWidth="1"/>
    <col min="2822" max="2822" width="9.28515625" style="458" bestFit="1" customWidth="1"/>
    <col min="2823" max="2823" width="9.140625" style="458"/>
    <col min="2824" max="2824" width="9.28515625" style="458" bestFit="1" customWidth="1"/>
    <col min="2825" max="2825" width="9.140625" style="458"/>
    <col min="2826" max="2826" width="9.28515625" style="458" bestFit="1" customWidth="1"/>
    <col min="2827" max="2827" width="10" style="458" bestFit="1" customWidth="1"/>
    <col min="2828" max="2836" width="9.140625" style="458"/>
    <col min="2837" max="2837" width="12.42578125" style="458" customWidth="1"/>
    <col min="2838" max="2845" width="9.28515625" style="458" bestFit="1" customWidth="1"/>
    <col min="2846" max="2846" width="9.85546875" style="458" bestFit="1" customWidth="1"/>
    <col min="2847" max="2851" width="9.140625" style="458"/>
    <col min="2852" max="2852" width="11" style="458" customWidth="1"/>
    <col min="2853" max="2854" width="11.28515625" style="458" customWidth="1"/>
    <col min="2855" max="2855" width="11.5703125" style="458" customWidth="1"/>
    <col min="2856" max="2856" width="11.28515625" style="458" customWidth="1"/>
    <col min="2857" max="2857" width="11.7109375" style="458" customWidth="1"/>
    <col min="2858" max="2858" width="10.7109375" style="458" customWidth="1"/>
    <col min="2859" max="2859" width="9.5703125" style="458" customWidth="1"/>
    <col min="2860" max="2860" width="10.28515625" style="458" customWidth="1"/>
    <col min="2861" max="3072" width="9.140625" style="458"/>
    <col min="3073" max="3073" width="2.140625" style="458" customWidth="1"/>
    <col min="3074" max="3076" width="9.140625" style="458"/>
    <col min="3077" max="3077" width="11.7109375" style="458" bestFit="1" customWidth="1"/>
    <col min="3078" max="3078" width="9.28515625" style="458" bestFit="1" customWidth="1"/>
    <col min="3079" max="3079" width="9.140625" style="458"/>
    <col min="3080" max="3080" width="9.28515625" style="458" bestFit="1" customWidth="1"/>
    <col min="3081" max="3081" width="9.140625" style="458"/>
    <col min="3082" max="3082" width="9.28515625" style="458" bestFit="1" customWidth="1"/>
    <col min="3083" max="3083" width="10" style="458" bestFit="1" customWidth="1"/>
    <col min="3084" max="3092" width="9.140625" style="458"/>
    <col min="3093" max="3093" width="12.42578125" style="458" customWidth="1"/>
    <col min="3094" max="3101" width="9.28515625" style="458" bestFit="1" customWidth="1"/>
    <col min="3102" max="3102" width="9.85546875" style="458" bestFit="1" customWidth="1"/>
    <col min="3103" max="3107" width="9.140625" style="458"/>
    <col min="3108" max="3108" width="11" style="458" customWidth="1"/>
    <col min="3109" max="3110" width="11.28515625" style="458" customWidth="1"/>
    <col min="3111" max="3111" width="11.5703125" style="458" customWidth="1"/>
    <col min="3112" max="3112" width="11.28515625" style="458" customWidth="1"/>
    <col min="3113" max="3113" width="11.7109375" style="458" customWidth="1"/>
    <col min="3114" max="3114" width="10.7109375" style="458" customWidth="1"/>
    <col min="3115" max="3115" width="9.5703125" style="458" customWidth="1"/>
    <col min="3116" max="3116" width="10.28515625" style="458" customWidth="1"/>
    <col min="3117" max="3328" width="9.140625" style="458"/>
    <col min="3329" max="3329" width="2.140625" style="458" customWidth="1"/>
    <col min="3330" max="3332" width="9.140625" style="458"/>
    <col min="3333" max="3333" width="11.7109375" style="458" bestFit="1" customWidth="1"/>
    <col min="3334" max="3334" width="9.28515625" style="458" bestFit="1" customWidth="1"/>
    <col min="3335" max="3335" width="9.140625" style="458"/>
    <col min="3336" max="3336" width="9.28515625" style="458" bestFit="1" customWidth="1"/>
    <col min="3337" max="3337" width="9.140625" style="458"/>
    <col min="3338" max="3338" width="9.28515625" style="458" bestFit="1" customWidth="1"/>
    <col min="3339" max="3339" width="10" style="458" bestFit="1" customWidth="1"/>
    <col min="3340" max="3348" width="9.140625" style="458"/>
    <col min="3349" max="3349" width="12.42578125" style="458" customWidth="1"/>
    <col min="3350" max="3357" width="9.28515625" style="458" bestFit="1" customWidth="1"/>
    <col min="3358" max="3358" width="9.85546875" style="458" bestFit="1" customWidth="1"/>
    <col min="3359" max="3363" width="9.140625" style="458"/>
    <col min="3364" max="3364" width="11" style="458" customWidth="1"/>
    <col min="3365" max="3366" width="11.28515625" style="458" customWidth="1"/>
    <col min="3367" max="3367" width="11.5703125" style="458" customWidth="1"/>
    <col min="3368" max="3368" width="11.28515625" style="458" customWidth="1"/>
    <col min="3369" max="3369" width="11.7109375" style="458" customWidth="1"/>
    <col min="3370" max="3370" width="10.7109375" style="458" customWidth="1"/>
    <col min="3371" max="3371" width="9.5703125" style="458" customWidth="1"/>
    <col min="3372" max="3372" width="10.28515625" style="458" customWidth="1"/>
    <col min="3373" max="3584" width="9.140625" style="458"/>
    <col min="3585" max="3585" width="2.140625" style="458" customWidth="1"/>
    <col min="3586" max="3588" width="9.140625" style="458"/>
    <col min="3589" max="3589" width="11.7109375" style="458" bestFit="1" customWidth="1"/>
    <col min="3590" max="3590" width="9.28515625" style="458" bestFit="1" customWidth="1"/>
    <col min="3591" max="3591" width="9.140625" style="458"/>
    <col min="3592" max="3592" width="9.28515625" style="458" bestFit="1" customWidth="1"/>
    <col min="3593" max="3593" width="9.140625" style="458"/>
    <col min="3594" max="3594" width="9.28515625" style="458" bestFit="1" customWidth="1"/>
    <col min="3595" max="3595" width="10" style="458" bestFit="1" customWidth="1"/>
    <col min="3596" max="3604" width="9.140625" style="458"/>
    <col min="3605" max="3605" width="12.42578125" style="458" customWidth="1"/>
    <col min="3606" max="3613" width="9.28515625" style="458" bestFit="1" customWidth="1"/>
    <col min="3614" max="3614" width="9.85546875" style="458" bestFit="1" customWidth="1"/>
    <col min="3615" max="3619" width="9.140625" style="458"/>
    <col min="3620" max="3620" width="11" style="458" customWidth="1"/>
    <col min="3621" max="3622" width="11.28515625" style="458" customWidth="1"/>
    <col min="3623" max="3623" width="11.5703125" style="458" customWidth="1"/>
    <col min="3624" max="3624" width="11.28515625" style="458" customWidth="1"/>
    <col min="3625" max="3625" width="11.7109375" style="458" customWidth="1"/>
    <col min="3626" max="3626" width="10.7109375" style="458" customWidth="1"/>
    <col min="3627" max="3627" width="9.5703125" style="458" customWidth="1"/>
    <col min="3628" max="3628" width="10.28515625" style="458" customWidth="1"/>
    <col min="3629" max="3840" width="9.140625" style="458"/>
    <col min="3841" max="3841" width="2.140625" style="458" customWidth="1"/>
    <col min="3842" max="3844" width="9.140625" style="458"/>
    <col min="3845" max="3845" width="11.7109375" style="458" bestFit="1" customWidth="1"/>
    <col min="3846" max="3846" width="9.28515625" style="458" bestFit="1" customWidth="1"/>
    <col min="3847" max="3847" width="9.140625" style="458"/>
    <col min="3848" max="3848" width="9.28515625" style="458" bestFit="1" customWidth="1"/>
    <col min="3849" max="3849" width="9.140625" style="458"/>
    <col min="3850" max="3850" width="9.28515625" style="458" bestFit="1" customWidth="1"/>
    <col min="3851" max="3851" width="10" style="458" bestFit="1" customWidth="1"/>
    <col min="3852" max="3860" width="9.140625" style="458"/>
    <col min="3861" max="3861" width="12.42578125" style="458" customWidth="1"/>
    <col min="3862" max="3869" width="9.28515625" style="458" bestFit="1" customWidth="1"/>
    <col min="3870" max="3870" width="9.85546875" style="458" bestFit="1" customWidth="1"/>
    <col min="3871" max="3875" width="9.140625" style="458"/>
    <col min="3876" max="3876" width="11" style="458" customWidth="1"/>
    <col min="3877" max="3878" width="11.28515625" style="458" customWidth="1"/>
    <col min="3879" max="3879" width="11.5703125" style="458" customWidth="1"/>
    <col min="3880" max="3880" width="11.28515625" style="458" customWidth="1"/>
    <col min="3881" max="3881" width="11.7109375" style="458" customWidth="1"/>
    <col min="3882" max="3882" width="10.7109375" style="458" customWidth="1"/>
    <col min="3883" max="3883" width="9.5703125" style="458" customWidth="1"/>
    <col min="3884" max="3884" width="10.28515625" style="458" customWidth="1"/>
    <col min="3885" max="4096" width="9.140625" style="458"/>
    <col min="4097" max="4097" width="2.140625" style="458" customWidth="1"/>
    <col min="4098" max="4100" width="9.140625" style="458"/>
    <col min="4101" max="4101" width="11.7109375" style="458" bestFit="1" customWidth="1"/>
    <col min="4102" max="4102" width="9.28515625" style="458" bestFit="1" customWidth="1"/>
    <col min="4103" max="4103" width="9.140625" style="458"/>
    <col min="4104" max="4104" width="9.28515625" style="458" bestFit="1" customWidth="1"/>
    <col min="4105" max="4105" width="9.140625" style="458"/>
    <col min="4106" max="4106" width="9.28515625" style="458" bestFit="1" customWidth="1"/>
    <col min="4107" max="4107" width="10" style="458" bestFit="1" customWidth="1"/>
    <col min="4108" max="4116" width="9.140625" style="458"/>
    <col min="4117" max="4117" width="12.42578125" style="458" customWidth="1"/>
    <col min="4118" max="4125" width="9.28515625" style="458" bestFit="1" customWidth="1"/>
    <col min="4126" max="4126" width="9.85546875" style="458" bestFit="1" customWidth="1"/>
    <col min="4127" max="4131" width="9.140625" style="458"/>
    <col min="4132" max="4132" width="11" style="458" customWidth="1"/>
    <col min="4133" max="4134" width="11.28515625" style="458" customWidth="1"/>
    <col min="4135" max="4135" width="11.5703125" style="458" customWidth="1"/>
    <col min="4136" max="4136" width="11.28515625" style="458" customWidth="1"/>
    <col min="4137" max="4137" width="11.7109375" style="458" customWidth="1"/>
    <col min="4138" max="4138" width="10.7109375" style="458" customWidth="1"/>
    <col min="4139" max="4139" width="9.5703125" style="458" customWidth="1"/>
    <col min="4140" max="4140" width="10.28515625" style="458" customWidth="1"/>
    <col min="4141" max="4352" width="9.140625" style="458"/>
    <col min="4353" max="4353" width="2.140625" style="458" customWidth="1"/>
    <col min="4354" max="4356" width="9.140625" style="458"/>
    <col min="4357" max="4357" width="11.7109375" style="458" bestFit="1" customWidth="1"/>
    <col min="4358" max="4358" width="9.28515625" style="458" bestFit="1" customWidth="1"/>
    <col min="4359" max="4359" width="9.140625" style="458"/>
    <col min="4360" max="4360" width="9.28515625" style="458" bestFit="1" customWidth="1"/>
    <col min="4361" max="4361" width="9.140625" style="458"/>
    <col min="4362" max="4362" width="9.28515625" style="458" bestFit="1" customWidth="1"/>
    <col min="4363" max="4363" width="10" style="458" bestFit="1" customWidth="1"/>
    <col min="4364" max="4372" width="9.140625" style="458"/>
    <col min="4373" max="4373" width="12.42578125" style="458" customWidth="1"/>
    <col min="4374" max="4381" width="9.28515625" style="458" bestFit="1" customWidth="1"/>
    <col min="4382" max="4382" width="9.85546875" style="458" bestFit="1" customWidth="1"/>
    <col min="4383" max="4387" width="9.140625" style="458"/>
    <col min="4388" max="4388" width="11" style="458" customWidth="1"/>
    <col min="4389" max="4390" width="11.28515625" style="458" customWidth="1"/>
    <col min="4391" max="4391" width="11.5703125" style="458" customWidth="1"/>
    <col min="4392" max="4392" width="11.28515625" style="458" customWidth="1"/>
    <col min="4393" max="4393" width="11.7109375" style="458" customWidth="1"/>
    <col min="4394" max="4394" width="10.7109375" style="458" customWidth="1"/>
    <col min="4395" max="4395" width="9.5703125" style="458" customWidth="1"/>
    <col min="4396" max="4396" width="10.28515625" style="458" customWidth="1"/>
    <col min="4397" max="4608" width="9.140625" style="458"/>
    <col min="4609" max="4609" width="2.140625" style="458" customWidth="1"/>
    <col min="4610" max="4612" width="9.140625" style="458"/>
    <col min="4613" max="4613" width="11.7109375" style="458" bestFit="1" customWidth="1"/>
    <col min="4614" max="4614" width="9.28515625" style="458" bestFit="1" customWidth="1"/>
    <col min="4615" max="4615" width="9.140625" style="458"/>
    <col min="4616" max="4616" width="9.28515625" style="458" bestFit="1" customWidth="1"/>
    <col min="4617" max="4617" width="9.140625" style="458"/>
    <col min="4618" max="4618" width="9.28515625" style="458" bestFit="1" customWidth="1"/>
    <col min="4619" max="4619" width="10" style="458" bestFit="1" customWidth="1"/>
    <col min="4620" max="4628" width="9.140625" style="458"/>
    <col min="4629" max="4629" width="12.42578125" style="458" customWidth="1"/>
    <col min="4630" max="4637" width="9.28515625" style="458" bestFit="1" customWidth="1"/>
    <col min="4638" max="4638" width="9.85546875" style="458" bestFit="1" customWidth="1"/>
    <col min="4639" max="4643" width="9.140625" style="458"/>
    <col min="4644" max="4644" width="11" style="458" customWidth="1"/>
    <col min="4645" max="4646" width="11.28515625" style="458" customWidth="1"/>
    <col min="4647" max="4647" width="11.5703125" style="458" customWidth="1"/>
    <col min="4648" max="4648" width="11.28515625" style="458" customWidth="1"/>
    <col min="4649" max="4649" width="11.7109375" style="458" customWidth="1"/>
    <col min="4650" max="4650" width="10.7109375" style="458" customWidth="1"/>
    <col min="4651" max="4651" width="9.5703125" style="458" customWidth="1"/>
    <col min="4652" max="4652" width="10.28515625" style="458" customWidth="1"/>
    <col min="4653" max="4864" width="9.140625" style="458"/>
    <col min="4865" max="4865" width="2.140625" style="458" customWidth="1"/>
    <col min="4866" max="4868" width="9.140625" style="458"/>
    <col min="4869" max="4869" width="11.7109375" style="458" bestFit="1" customWidth="1"/>
    <col min="4870" max="4870" width="9.28515625" style="458" bestFit="1" customWidth="1"/>
    <col min="4871" max="4871" width="9.140625" style="458"/>
    <col min="4872" max="4872" width="9.28515625" style="458" bestFit="1" customWidth="1"/>
    <col min="4873" max="4873" width="9.140625" style="458"/>
    <col min="4874" max="4874" width="9.28515625" style="458" bestFit="1" customWidth="1"/>
    <col min="4875" max="4875" width="10" style="458" bestFit="1" customWidth="1"/>
    <col min="4876" max="4884" width="9.140625" style="458"/>
    <col min="4885" max="4885" width="12.42578125" style="458" customWidth="1"/>
    <col min="4886" max="4893" width="9.28515625" style="458" bestFit="1" customWidth="1"/>
    <col min="4894" max="4894" width="9.85546875" style="458" bestFit="1" customWidth="1"/>
    <col min="4895" max="4899" width="9.140625" style="458"/>
    <col min="4900" max="4900" width="11" style="458" customWidth="1"/>
    <col min="4901" max="4902" width="11.28515625" style="458" customWidth="1"/>
    <col min="4903" max="4903" width="11.5703125" style="458" customWidth="1"/>
    <col min="4904" max="4904" width="11.28515625" style="458" customWidth="1"/>
    <col min="4905" max="4905" width="11.7109375" style="458" customWidth="1"/>
    <col min="4906" max="4906" width="10.7109375" style="458" customWidth="1"/>
    <col min="4907" max="4907" width="9.5703125" style="458" customWidth="1"/>
    <col min="4908" max="4908" width="10.28515625" style="458" customWidth="1"/>
    <col min="4909" max="5120" width="9.140625" style="458"/>
    <col min="5121" max="5121" width="2.140625" style="458" customWidth="1"/>
    <col min="5122" max="5124" width="9.140625" style="458"/>
    <col min="5125" max="5125" width="11.7109375" style="458" bestFit="1" customWidth="1"/>
    <col min="5126" max="5126" width="9.28515625" style="458" bestFit="1" customWidth="1"/>
    <col min="5127" max="5127" width="9.140625" style="458"/>
    <col min="5128" max="5128" width="9.28515625" style="458" bestFit="1" customWidth="1"/>
    <col min="5129" max="5129" width="9.140625" style="458"/>
    <col min="5130" max="5130" width="9.28515625" style="458" bestFit="1" customWidth="1"/>
    <col min="5131" max="5131" width="10" style="458" bestFit="1" customWidth="1"/>
    <col min="5132" max="5140" width="9.140625" style="458"/>
    <col min="5141" max="5141" width="12.42578125" style="458" customWidth="1"/>
    <col min="5142" max="5149" width="9.28515625" style="458" bestFit="1" customWidth="1"/>
    <col min="5150" max="5150" width="9.85546875" style="458" bestFit="1" customWidth="1"/>
    <col min="5151" max="5155" width="9.140625" style="458"/>
    <col min="5156" max="5156" width="11" style="458" customWidth="1"/>
    <col min="5157" max="5158" width="11.28515625" style="458" customWidth="1"/>
    <col min="5159" max="5159" width="11.5703125" style="458" customWidth="1"/>
    <col min="5160" max="5160" width="11.28515625" style="458" customWidth="1"/>
    <col min="5161" max="5161" width="11.7109375" style="458" customWidth="1"/>
    <col min="5162" max="5162" width="10.7109375" style="458" customWidth="1"/>
    <col min="5163" max="5163" width="9.5703125" style="458" customWidth="1"/>
    <col min="5164" max="5164" width="10.28515625" style="458" customWidth="1"/>
    <col min="5165" max="5376" width="9.140625" style="458"/>
    <col min="5377" max="5377" width="2.140625" style="458" customWidth="1"/>
    <col min="5378" max="5380" width="9.140625" style="458"/>
    <col min="5381" max="5381" width="11.7109375" style="458" bestFit="1" customWidth="1"/>
    <col min="5382" max="5382" width="9.28515625" style="458" bestFit="1" customWidth="1"/>
    <col min="5383" max="5383" width="9.140625" style="458"/>
    <col min="5384" max="5384" width="9.28515625" style="458" bestFit="1" customWidth="1"/>
    <col min="5385" max="5385" width="9.140625" style="458"/>
    <col min="5386" max="5386" width="9.28515625" style="458" bestFit="1" customWidth="1"/>
    <col min="5387" max="5387" width="10" style="458" bestFit="1" customWidth="1"/>
    <col min="5388" max="5396" width="9.140625" style="458"/>
    <col min="5397" max="5397" width="12.42578125" style="458" customWidth="1"/>
    <col min="5398" max="5405" width="9.28515625" style="458" bestFit="1" customWidth="1"/>
    <col min="5406" max="5406" width="9.85546875" style="458" bestFit="1" customWidth="1"/>
    <col min="5407" max="5411" width="9.140625" style="458"/>
    <col min="5412" max="5412" width="11" style="458" customWidth="1"/>
    <col min="5413" max="5414" width="11.28515625" style="458" customWidth="1"/>
    <col min="5415" max="5415" width="11.5703125" style="458" customWidth="1"/>
    <col min="5416" max="5416" width="11.28515625" style="458" customWidth="1"/>
    <col min="5417" max="5417" width="11.7109375" style="458" customWidth="1"/>
    <col min="5418" max="5418" width="10.7109375" style="458" customWidth="1"/>
    <col min="5419" max="5419" width="9.5703125" style="458" customWidth="1"/>
    <col min="5420" max="5420" width="10.28515625" style="458" customWidth="1"/>
    <col min="5421" max="5632" width="9.140625" style="458"/>
    <col min="5633" max="5633" width="2.140625" style="458" customWidth="1"/>
    <col min="5634" max="5636" width="9.140625" style="458"/>
    <col min="5637" max="5637" width="11.7109375" style="458" bestFit="1" customWidth="1"/>
    <col min="5638" max="5638" width="9.28515625" style="458" bestFit="1" customWidth="1"/>
    <col min="5639" max="5639" width="9.140625" style="458"/>
    <col min="5640" max="5640" width="9.28515625" style="458" bestFit="1" customWidth="1"/>
    <col min="5641" max="5641" width="9.140625" style="458"/>
    <col min="5642" max="5642" width="9.28515625" style="458" bestFit="1" customWidth="1"/>
    <col min="5643" max="5643" width="10" style="458" bestFit="1" customWidth="1"/>
    <col min="5644" max="5652" width="9.140625" style="458"/>
    <col min="5653" max="5653" width="12.42578125" style="458" customWidth="1"/>
    <col min="5654" max="5661" width="9.28515625" style="458" bestFit="1" customWidth="1"/>
    <col min="5662" max="5662" width="9.85546875" style="458" bestFit="1" customWidth="1"/>
    <col min="5663" max="5667" width="9.140625" style="458"/>
    <col min="5668" max="5668" width="11" style="458" customWidth="1"/>
    <col min="5669" max="5670" width="11.28515625" style="458" customWidth="1"/>
    <col min="5671" max="5671" width="11.5703125" style="458" customWidth="1"/>
    <col min="5672" max="5672" width="11.28515625" style="458" customWidth="1"/>
    <col min="5673" max="5673" width="11.7109375" style="458" customWidth="1"/>
    <col min="5674" max="5674" width="10.7109375" style="458" customWidth="1"/>
    <col min="5675" max="5675" width="9.5703125" style="458" customWidth="1"/>
    <col min="5676" max="5676" width="10.28515625" style="458" customWidth="1"/>
    <col min="5677" max="5888" width="9.140625" style="458"/>
    <col min="5889" max="5889" width="2.140625" style="458" customWidth="1"/>
    <col min="5890" max="5892" width="9.140625" style="458"/>
    <col min="5893" max="5893" width="11.7109375" style="458" bestFit="1" customWidth="1"/>
    <col min="5894" max="5894" width="9.28515625" style="458" bestFit="1" customWidth="1"/>
    <col min="5895" max="5895" width="9.140625" style="458"/>
    <col min="5896" max="5896" width="9.28515625" style="458" bestFit="1" customWidth="1"/>
    <col min="5897" max="5897" width="9.140625" style="458"/>
    <col min="5898" max="5898" width="9.28515625" style="458" bestFit="1" customWidth="1"/>
    <col min="5899" max="5899" width="10" style="458" bestFit="1" customWidth="1"/>
    <col min="5900" max="5908" width="9.140625" style="458"/>
    <col min="5909" max="5909" width="12.42578125" style="458" customWidth="1"/>
    <col min="5910" max="5917" width="9.28515625" style="458" bestFit="1" customWidth="1"/>
    <col min="5918" max="5918" width="9.85546875" style="458" bestFit="1" customWidth="1"/>
    <col min="5919" max="5923" width="9.140625" style="458"/>
    <col min="5924" max="5924" width="11" style="458" customWidth="1"/>
    <col min="5925" max="5926" width="11.28515625" style="458" customWidth="1"/>
    <col min="5927" max="5927" width="11.5703125" style="458" customWidth="1"/>
    <col min="5928" max="5928" width="11.28515625" style="458" customWidth="1"/>
    <col min="5929" max="5929" width="11.7109375" style="458" customWidth="1"/>
    <col min="5930" max="5930" width="10.7109375" style="458" customWidth="1"/>
    <col min="5931" max="5931" width="9.5703125" style="458" customWidth="1"/>
    <col min="5932" max="5932" width="10.28515625" style="458" customWidth="1"/>
    <col min="5933" max="6144" width="9.140625" style="458"/>
    <col min="6145" max="6145" width="2.140625" style="458" customWidth="1"/>
    <col min="6146" max="6148" width="9.140625" style="458"/>
    <col min="6149" max="6149" width="11.7109375" style="458" bestFit="1" customWidth="1"/>
    <col min="6150" max="6150" width="9.28515625" style="458" bestFit="1" customWidth="1"/>
    <col min="6151" max="6151" width="9.140625" style="458"/>
    <col min="6152" max="6152" width="9.28515625" style="458" bestFit="1" customWidth="1"/>
    <col min="6153" max="6153" width="9.140625" style="458"/>
    <col min="6154" max="6154" width="9.28515625" style="458" bestFit="1" customWidth="1"/>
    <col min="6155" max="6155" width="10" style="458" bestFit="1" customWidth="1"/>
    <col min="6156" max="6164" width="9.140625" style="458"/>
    <col min="6165" max="6165" width="12.42578125" style="458" customWidth="1"/>
    <col min="6166" max="6173" width="9.28515625" style="458" bestFit="1" customWidth="1"/>
    <col min="6174" max="6174" width="9.85546875" style="458" bestFit="1" customWidth="1"/>
    <col min="6175" max="6179" width="9.140625" style="458"/>
    <col min="6180" max="6180" width="11" style="458" customWidth="1"/>
    <col min="6181" max="6182" width="11.28515625" style="458" customWidth="1"/>
    <col min="6183" max="6183" width="11.5703125" style="458" customWidth="1"/>
    <col min="6184" max="6184" width="11.28515625" style="458" customWidth="1"/>
    <col min="6185" max="6185" width="11.7109375" style="458" customWidth="1"/>
    <col min="6186" max="6186" width="10.7109375" style="458" customWidth="1"/>
    <col min="6187" max="6187" width="9.5703125" style="458" customWidth="1"/>
    <col min="6188" max="6188" width="10.28515625" style="458" customWidth="1"/>
    <col min="6189" max="6400" width="9.140625" style="458"/>
    <col min="6401" max="6401" width="2.140625" style="458" customWidth="1"/>
    <col min="6402" max="6404" width="9.140625" style="458"/>
    <col min="6405" max="6405" width="11.7109375" style="458" bestFit="1" customWidth="1"/>
    <col min="6406" max="6406" width="9.28515625" style="458" bestFit="1" customWidth="1"/>
    <col min="6407" max="6407" width="9.140625" style="458"/>
    <col min="6408" max="6408" width="9.28515625" style="458" bestFit="1" customWidth="1"/>
    <col min="6409" max="6409" width="9.140625" style="458"/>
    <col min="6410" max="6410" width="9.28515625" style="458" bestFit="1" customWidth="1"/>
    <col min="6411" max="6411" width="10" style="458" bestFit="1" customWidth="1"/>
    <col min="6412" max="6420" width="9.140625" style="458"/>
    <col min="6421" max="6421" width="12.42578125" style="458" customWidth="1"/>
    <col min="6422" max="6429" width="9.28515625" style="458" bestFit="1" customWidth="1"/>
    <col min="6430" max="6430" width="9.85546875" style="458" bestFit="1" customWidth="1"/>
    <col min="6431" max="6435" width="9.140625" style="458"/>
    <col min="6436" max="6436" width="11" style="458" customWidth="1"/>
    <col min="6437" max="6438" width="11.28515625" style="458" customWidth="1"/>
    <col min="6439" max="6439" width="11.5703125" style="458" customWidth="1"/>
    <col min="6440" max="6440" width="11.28515625" style="458" customWidth="1"/>
    <col min="6441" max="6441" width="11.7109375" style="458" customWidth="1"/>
    <col min="6442" max="6442" width="10.7109375" style="458" customWidth="1"/>
    <col min="6443" max="6443" width="9.5703125" style="458" customWidth="1"/>
    <col min="6444" max="6444" width="10.28515625" style="458" customWidth="1"/>
    <col min="6445" max="6656" width="9.140625" style="458"/>
    <col min="6657" max="6657" width="2.140625" style="458" customWidth="1"/>
    <col min="6658" max="6660" width="9.140625" style="458"/>
    <col min="6661" max="6661" width="11.7109375" style="458" bestFit="1" customWidth="1"/>
    <col min="6662" max="6662" width="9.28515625" style="458" bestFit="1" customWidth="1"/>
    <col min="6663" max="6663" width="9.140625" style="458"/>
    <col min="6664" max="6664" width="9.28515625" style="458" bestFit="1" customWidth="1"/>
    <col min="6665" max="6665" width="9.140625" style="458"/>
    <col min="6666" max="6666" width="9.28515625" style="458" bestFit="1" customWidth="1"/>
    <col min="6667" max="6667" width="10" style="458" bestFit="1" customWidth="1"/>
    <col min="6668" max="6676" width="9.140625" style="458"/>
    <col min="6677" max="6677" width="12.42578125" style="458" customWidth="1"/>
    <col min="6678" max="6685" width="9.28515625" style="458" bestFit="1" customWidth="1"/>
    <col min="6686" max="6686" width="9.85546875" style="458" bestFit="1" customWidth="1"/>
    <col min="6687" max="6691" width="9.140625" style="458"/>
    <col min="6692" max="6692" width="11" style="458" customWidth="1"/>
    <col min="6693" max="6694" width="11.28515625" style="458" customWidth="1"/>
    <col min="6695" max="6695" width="11.5703125" style="458" customWidth="1"/>
    <col min="6696" max="6696" width="11.28515625" style="458" customWidth="1"/>
    <col min="6697" max="6697" width="11.7109375" style="458" customWidth="1"/>
    <col min="6698" max="6698" width="10.7109375" style="458" customWidth="1"/>
    <col min="6699" max="6699" width="9.5703125" style="458" customWidth="1"/>
    <col min="6700" max="6700" width="10.28515625" style="458" customWidth="1"/>
    <col min="6701" max="6912" width="9.140625" style="458"/>
    <col min="6913" max="6913" width="2.140625" style="458" customWidth="1"/>
    <col min="6914" max="6916" width="9.140625" style="458"/>
    <col min="6917" max="6917" width="11.7109375" style="458" bestFit="1" customWidth="1"/>
    <col min="6918" max="6918" width="9.28515625" style="458" bestFit="1" customWidth="1"/>
    <col min="6919" max="6919" width="9.140625" style="458"/>
    <col min="6920" max="6920" width="9.28515625" style="458" bestFit="1" customWidth="1"/>
    <col min="6921" max="6921" width="9.140625" style="458"/>
    <col min="6922" max="6922" width="9.28515625" style="458" bestFit="1" customWidth="1"/>
    <col min="6923" max="6923" width="10" style="458" bestFit="1" customWidth="1"/>
    <col min="6924" max="6932" width="9.140625" style="458"/>
    <col min="6933" max="6933" width="12.42578125" style="458" customWidth="1"/>
    <col min="6934" max="6941" width="9.28515625" style="458" bestFit="1" customWidth="1"/>
    <col min="6942" max="6942" width="9.85546875" style="458" bestFit="1" customWidth="1"/>
    <col min="6943" max="6947" width="9.140625" style="458"/>
    <col min="6948" max="6948" width="11" style="458" customWidth="1"/>
    <col min="6949" max="6950" width="11.28515625" style="458" customWidth="1"/>
    <col min="6951" max="6951" width="11.5703125" style="458" customWidth="1"/>
    <col min="6952" max="6952" width="11.28515625" style="458" customWidth="1"/>
    <col min="6953" max="6953" width="11.7109375" style="458" customWidth="1"/>
    <col min="6954" max="6954" width="10.7109375" style="458" customWidth="1"/>
    <col min="6955" max="6955" width="9.5703125" style="458" customWidth="1"/>
    <col min="6956" max="6956" width="10.28515625" style="458" customWidth="1"/>
    <col min="6957" max="7168" width="9.140625" style="458"/>
    <col min="7169" max="7169" width="2.140625" style="458" customWidth="1"/>
    <col min="7170" max="7172" width="9.140625" style="458"/>
    <col min="7173" max="7173" width="11.7109375" style="458" bestFit="1" customWidth="1"/>
    <col min="7174" max="7174" width="9.28515625" style="458" bestFit="1" customWidth="1"/>
    <col min="7175" max="7175" width="9.140625" style="458"/>
    <col min="7176" max="7176" width="9.28515625" style="458" bestFit="1" customWidth="1"/>
    <col min="7177" max="7177" width="9.140625" style="458"/>
    <col min="7178" max="7178" width="9.28515625" style="458" bestFit="1" customWidth="1"/>
    <col min="7179" max="7179" width="10" style="458" bestFit="1" customWidth="1"/>
    <col min="7180" max="7188" width="9.140625" style="458"/>
    <col min="7189" max="7189" width="12.42578125" style="458" customWidth="1"/>
    <col min="7190" max="7197" width="9.28515625" style="458" bestFit="1" customWidth="1"/>
    <col min="7198" max="7198" width="9.85546875" style="458" bestFit="1" customWidth="1"/>
    <col min="7199" max="7203" width="9.140625" style="458"/>
    <col min="7204" max="7204" width="11" style="458" customWidth="1"/>
    <col min="7205" max="7206" width="11.28515625" style="458" customWidth="1"/>
    <col min="7207" max="7207" width="11.5703125" style="458" customWidth="1"/>
    <col min="7208" max="7208" width="11.28515625" style="458" customWidth="1"/>
    <col min="7209" max="7209" width="11.7109375" style="458" customWidth="1"/>
    <col min="7210" max="7210" width="10.7109375" style="458" customWidth="1"/>
    <col min="7211" max="7211" width="9.5703125" style="458" customWidth="1"/>
    <col min="7212" max="7212" width="10.28515625" style="458" customWidth="1"/>
    <col min="7213" max="7424" width="9.140625" style="458"/>
    <col min="7425" max="7425" width="2.140625" style="458" customWidth="1"/>
    <col min="7426" max="7428" width="9.140625" style="458"/>
    <col min="7429" max="7429" width="11.7109375" style="458" bestFit="1" customWidth="1"/>
    <col min="7430" max="7430" width="9.28515625" style="458" bestFit="1" customWidth="1"/>
    <col min="7431" max="7431" width="9.140625" style="458"/>
    <col min="7432" max="7432" width="9.28515625" style="458" bestFit="1" customWidth="1"/>
    <col min="7433" max="7433" width="9.140625" style="458"/>
    <col min="7434" max="7434" width="9.28515625" style="458" bestFit="1" customWidth="1"/>
    <col min="7435" max="7435" width="10" style="458" bestFit="1" customWidth="1"/>
    <col min="7436" max="7444" width="9.140625" style="458"/>
    <col min="7445" max="7445" width="12.42578125" style="458" customWidth="1"/>
    <col min="7446" max="7453" width="9.28515625" style="458" bestFit="1" customWidth="1"/>
    <col min="7454" max="7454" width="9.85546875" style="458" bestFit="1" customWidth="1"/>
    <col min="7455" max="7459" width="9.140625" style="458"/>
    <col min="7460" max="7460" width="11" style="458" customWidth="1"/>
    <col min="7461" max="7462" width="11.28515625" style="458" customWidth="1"/>
    <col min="7463" max="7463" width="11.5703125" style="458" customWidth="1"/>
    <col min="7464" max="7464" width="11.28515625" style="458" customWidth="1"/>
    <col min="7465" max="7465" width="11.7109375" style="458" customWidth="1"/>
    <col min="7466" max="7466" width="10.7109375" style="458" customWidth="1"/>
    <col min="7467" max="7467" width="9.5703125" style="458" customWidth="1"/>
    <col min="7468" max="7468" width="10.28515625" style="458" customWidth="1"/>
    <col min="7469" max="7680" width="9.140625" style="458"/>
    <col min="7681" max="7681" width="2.140625" style="458" customWidth="1"/>
    <col min="7682" max="7684" width="9.140625" style="458"/>
    <col min="7685" max="7685" width="11.7109375" style="458" bestFit="1" customWidth="1"/>
    <col min="7686" max="7686" width="9.28515625" style="458" bestFit="1" customWidth="1"/>
    <col min="7687" max="7687" width="9.140625" style="458"/>
    <col min="7688" max="7688" width="9.28515625" style="458" bestFit="1" customWidth="1"/>
    <col min="7689" max="7689" width="9.140625" style="458"/>
    <col min="7690" max="7690" width="9.28515625" style="458" bestFit="1" customWidth="1"/>
    <col min="7691" max="7691" width="10" style="458" bestFit="1" customWidth="1"/>
    <col min="7692" max="7700" width="9.140625" style="458"/>
    <col min="7701" max="7701" width="12.42578125" style="458" customWidth="1"/>
    <col min="7702" max="7709" width="9.28515625" style="458" bestFit="1" customWidth="1"/>
    <col min="7710" max="7710" width="9.85546875" style="458" bestFit="1" customWidth="1"/>
    <col min="7711" max="7715" width="9.140625" style="458"/>
    <col min="7716" max="7716" width="11" style="458" customWidth="1"/>
    <col min="7717" max="7718" width="11.28515625" style="458" customWidth="1"/>
    <col min="7719" max="7719" width="11.5703125" style="458" customWidth="1"/>
    <col min="7720" max="7720" width="11.28515625" style="458" customWidth="1"/>
    <col min="7721" max="7721" width="11.7109375" style="458" customWidth="1"/>
    <col min="7722" max="7722" width="10.7109375" style="458" customWidth="1"/>
    <col min="7723" max="7723" width="9.5703125" style="458" customWidth="1"/>
    <col min="7724" max="7724" width="10.28515625" style="458" customWidth="1"/>
    <col min="7725" max="7936" width="9.140625" style="458"/>
    <col min="7937" max="7937" width="2.140625" style="458" customWidth="1"/>
    <col min="7938" max="7940" width="9.140625" style="458"/>
    <col min="7941" max="7941" width="11.7109375" style="458" bestFit="1" customWidth="1"/>
    <col min="7942" max="7942" width="9.28515625" style="458" bestFit="1" customWidth="1"/>
    <col min="7943" max="7943" width="9.140625" style="458"/>
    <col min="7944" max="7944" width="9.28515625" style="458" bestFit="1" customWidth="1"/>
    <col min="7945" max="7945" width="9.140625" style="458"/>
    <col min="7946" max="7946" width="9.28515625" style="458" bestFit="1" customWidth="1"/>
    <col min="7947" max="7947" width="10" style="458" bestFit="1" customWidth="1"/>
    <col min="7948" max="7956" width="9.140625" style="458"/>
    <col min="7957" max="7957" width="12.42578125" style="458" customWidth="1"/>
    <col min="7958" max="7965" width="9.28515625" style="458" bestFit="1" customWidth="1"/>
    <col min="7966" max="7966" width="9.85546875" style="458" bestFit="1" customWidth="1"/>
    <col min="7967" max="7971" width="9.140625" style="458"/>
    <col min="7972" max="7972" width="11" style="458" customWidth="1"/>
    <col min="7973" max="7974" width="11.28515625" style="458" customWidth="1"/>
    <col min="7975" max="7975" width="11.5703125" style="458" customWidth="1"/>
    <col min="7976" max="7976" width="11.28515625" style="458" customWidth="1"/>
    <col min="7977" max="7977" width="11.7109375" style="458" customWidth="1"/>
    <col min="7978" max="7978" width="10.7109375" style="458" customWidth="1"/>
    <col min="7979" max="7979" width="9.5703125" style="458" customWidth="1"/>
    <col min="7980" max="7980" width="10.28515625" style="458" customWidth="1"/>
    <col min="7981" max="8192" width="9.140625" style="458"/>
    <col min="8193" max="8193" width="2.140625" style="458" customWidth="1"/>
    <col min="8194" max="8196" width="9.140625" style="458"/>
    <col min="8197" max="8197" width="11.7109375" style="458" bestFit="1" customWidth="1"/>
    <col min="8198" max="8198" width="9.28515625" style="458" bestFit="1" customWidth="1"/>
    <col min="8199" max="8199" width="9.140625" style="458"/>
    <col min="8200" max="8200" width="9.28515625" style="458" bestFit="1" customWidth="1"/>
    <col min="8201" max="8201" width="9.140625" style="458"/>
    <col min="8202" max="8202" width="9.28515625" style="458" bestFit="1" customWidth="1"/>
    <col min="8203" max="8203" width="10" style="458" bestFit="1" customWidth="1"/>
    <col min="8204" max="8212" width="9.140625" style="458"/>
    <col min="8213" max="8213" width="12.42578125" style="458" customWidth="1"/>
    <col min="8214" max="8221" width="9.28515625" style="458" bestFit="1" customWidth="1"/>
    <col min="8222" max="8222" width="9.85546875" style="458" bestFit="1" customWidth="1"/>
    <col min="8223" max="8227" width="9.140625" style="458"/>
    <col min="8228" max="8228" width="11" style="458" customWidth="1"/>
    <col min="8229" max="8230" width="11.28515625" style="458" customWidth="1"/>
    <col min="8231" max="8231" width="11.5703125" style="458" customWidth="1"/>
    <col min="8232" max="8232" width="11.28515625" style="458" customWidth="1"/>
    <col min="8233" max="8233" width="11.7109375" style="458" customWidth="1"/>
    <col min="8234" max="8234" width="10.7109375" style="458" customWidth="1"/>
    <col min="8235" max="8235" width="9.5703125" style="458" customWidth="1"/>
    <col min="8236" max="8236" width="10.28515625" style="458" customWidth="1"/>
    <col min="8237" max="8448" width="9.140625" style="458"/>
    <col min="8449" max="8449" width="2.140625" style="458" customWidth="1"/>
    <col min="8450" max="8452" width="9.140625" style="458"/>
    <col min="8453" max="8453" width="11.7109375" style="458" bestFit="1" customWidth="1"/>
    <col min="8454" max="8454" width="9.28515625" style="458" bestFit="1" customWidth="1"/>
    <col min="8455" max="8455" width="9.140625" style="458"/>
    <col min="8456" max="8456" width="9.28515625" style="458" bestFit="1" customWidth="1"/>
    <col min="8457" max="8457" width="9.140625" style="458"/>
    <col min="8458" max="8458" width="9.28515625" style="458" bestFit="1" customWidth="1"/>
    <col min="8459" max="8459" width="10" style="458" bestFit="1" customWidth="1"/>
    <col min="8460" max="8468" width="9.140625" style="458"/>
    <col min="8469" max="8469" width="12.42578125" style="458" customWidth="1"/>
    <col min="8470" max="8477" width="9.28515625" style="458" bestFit="1" customWidth="1"/>
    <col min="8478" max="8478" width="9.85546875" style="458" bestFit="1" customWidth="1"/>
    <col min="8479" max="8483" width="9.140625" style="458"/>
    <col min="8484" max="8484" width="11" style="458" customWidth="1"/>
    <col min="8485" max="8486" width="11.28515625" style="458" customWidth="1"/>
    <col min="8487" max="8487" width="11.5703125" style="458" customWidth="1"/>
    <col min="8488" max="8488" width="11.28515625" style="458" customWidth="1"/>
    <col min="8489" max="8489" width="11.7109375" style="458" customWidth="1"/>
    <col min="8490" max="8490" width="10.7109375" style="458" customWidth="1"/>
    <col min="8491" max="8491" width="9.5703125" style="458" customWidth="1"/>
    <col min="8492" max="8492" width="10.28515625" style="458" customWidth="1"/>
    <col min="8493" max="8704" width="9.140625" style="458"/>
    <col min="8705" max="8705" width="2.140625" style="458" customWidth="1"/>
    <col min="8706" max="8708" width="9.140625" style="458"/>
    <col min="8709" max="8709" width="11.7109375" style="458" bestFit="1" customWidth="1"/>
    <col min="8710" max="8710" width="9.28515625" style="458" bestFit="1" customWidth="1"/>
    <col min="8711" max="8711" width="9.140625" style="458"/>
    <col min="8712" max="8712" width="9.28515625" style="458" bestFit="1" customWidth="1"/>
    <col min="8713" max="8713" width="9.140625" style="458"/>
    <col min="8714" max="8714" width="9.28515625" style="458" bestFit="1" customWidth="1"/>
    <col min="8715" max="8715" width="10" style="458" bestFit="1" customWidth="1"/>
    <col min="8716" max="8724" width="9.140625" style="458"/>
    <col min="8725" max="8725" width="12.42578125" style="458" customWidth="1"/>
    <col min="8726" max="8733" width="9.28515625" style="458" bestFit="1" customWidth="1"/>
    <col min="8734" max="8734" width="9.85546875" style="458" bestFit="1" customWidth="1"/>
    <col min="8735" max="8739" width="9.140625" style="458"/>
    <col min="8740" max="8740" width="11" style="458" customWidth="1"/>
    <col min="8741" max="8742" width="11.28515625" style="458" customWidth="1"/>
    <col min="8743" max="8743" width="11.5703125" style="458" customWidth="1"/>
    <col min="8744" max="8744" width="11.28515625" style="458" customWidth="1"/>
    <col min="8745" max="8745" width="11.7109375" style="458" customWidth="1"/>
    <col min="8746" max="8746" width="10.7109375" style="458" customWidth="1"/>
    <col min="8747" max="8747" width="9.5703125" style="458" customWidth="1"/>
    <col min="8748" max="8748" width="10.28515625" style="458" customWidth="1"/>
    <col min="8749" max="8960" width="9.140625" style="458"/>
    <col min="8961" max="8961" width="2.140625" style="458" customWidth="1"/>
    <col min="8962" max="8964" width="9.140625" style="458"/>
    <col min="8965" max="8965" width="11.7109375" style="458" bestFit="1" customWidth="1"/>
    <col min="8966" max="8966" width="9.28515625" style="458" bestFit="1" customWidth="1"/>
    <col min="8967" max="8967" width="9.140625" style="458"/>
    <col min="8968" max="8968" width="9.28515625" style="458" bestFit="1" customWidth="1"/>
    <col min="8969" max="8969" width="9.140625" style="458"/>
    <col min="8970" max="8970" width="9.28515625" style="458" bestFit="1" customWidth="1"/>
    <col min="8971" max="8971" width="10" style="458" bestFit="1" customWidth="1"/>
    <col min="8972" max="8980" width="9.140625" style="458"/>
    <col min="8981" max="8981" width="12.42578125" style="458" customWidth="1"/>
    <col min="8982" max="8989" width="9.28515625" style="458" bestFit="1" customWidth="1"/>
    <col min="8990" max="8990" width="9.85546875" style="458" bestFit="1" customWidth="1"/>
    <col min="8991" max="8995" width="9.140625" style="458"/>
    <col min="8996" max="8996" width="11" style="458" customWidth="1"/>
    <col min="8997" max="8998" width="11.28515625" style="458" customWidth="1"/>
    <col min="8999" max="8999" width="11.5703125" style="458" customWidth="1"/>
    <col min="9000" max="9000" width="11.28515625" style="458" customWidth="1"/>
    <col min="9001" max="9001" width="11.7109375" style="458" customWidth="1"/>
    <col min="9002" max="9002" width="10.7109375" style="458" customWidth="1"/>
    <col min="9003" max="9003" width="9.5703125" style="458" customWidth="1"/>
    <col min="9004" max="9004" width="10.28515625" style="458" customWidth="1"/>
    <col min="9005" max="9216" width="9.140625" style="458"/>
    <col min="9217" max="9217" width="2.140625" style="458" customWidth="1"/>
    <col min="9218" max="9220" width="9.140625" style="458"/>
    <col min="9221" max="9221" width="11.7109375" style="458" bestFit="1" customWidth="1"/>
    <col min="9222" max="9222" width="9.28515625" style="458" bestFit="1" customWidth="1"/>
    <col min="9223" max="9223" width="9.140625" style="458"/>
    <col min="9224" max="9224" width="9.28515625" style="458" bestFit="1" customWidth="1"/>
    <col min="9225" max="9225" width="9.140625" style="458"/>
    <col min="9226" max="9226" width="9.28515625" style="458" bestFit="1" customWidth="1"/>
    <col min="9227" max="9227" width="10" style="458" bestFit="1" customWidth="1"/>
    <col min="9228" max="9236" width="9.140625" style="458"/>
    <col min="9237" max="9237" width="12.42578125" style="458" customWidth="1"/>
    <col min="9238" max="9245" width="9.28515625" style="458" bestFit="1" customWidth="1"/>
    <col min="9246" max="9246" width="9.85546875" style="458" bestFit="1" customWidth="1"/>
    <col min="9247" max="9251" width="9.140625" style="458"/>
    <col min="9252" max="9252" width="11" style="458" customWidth="1"/>
    <col min="9253" max="9254" width="11.28515625" style="458" customWidth="1"/>
    <col min="9255" max="9255" width="11.5703125" style="458" customWidth="1"/>
    <col min="9256" max="9256" width="11.28515625" style="458" customWidth="1"/>
    <col min="9257" max="9257" width="11.7109375" style="458" customWidth="1"/>
    <col min="9258" max="9258" width="10.7109375" style="458" customWidth="1"/>
    <col min="9259" max="9259" width="9.5703125" style="458" customWidth="1"/>
    <col min="9260" max="9260" width="10.28515625" style="458" customWidth="1"/>
    <col min="9261" max="9472" width="9.140625" style="458"/>
    <col min="9473" max="9473" width="2.140625" style="458" customWidth="1"/>
    <col min="9474" max="9476" width="9.140625" style="458"/>
    <col min="9477" max="9477" width="11.7109375" style="458" bestFit="1" customWidth="1"/>
    <col min="9478" max="9478" width="9.28515625" style="458" bestFit="1" customWidth="1"/>
    <col min="9479" max="9479" width="9.140625" style="458"/>
    <col min="9480" max="9480" width="9.28515625" style="458" bestFit="1" customWidth="1"/>
    <col min="9481" max="9481" width="9.140625" style="458"/>
    <col min="9482" max="9482" width="9.28515625" style="458" bestFit="1" customWidth="1"/>
    <col min="9483" max="9483" width="10" style="458" bestFit="1" customWidth="1"/>
    <col min="9484" max="9492" width="9.140625" style="458"/>
    <col min="9493" max="9493" width="12.42578125" style="458" customWidth="1"/>
    <col min="9494" max="9501" width="9.28515625" style="458" bestFit="1" customWidth="1"/>
    <col min="9502" max="9502" width="9.85546875" style="458" bestFit="1" customWidth="1"/>
    <col min="9503" max="9507" width="9.140625" style="458"/>
    <col min="9508" max="9508" width="11" style="458" customWidth="1"/>
    <col min="9509" max="9510" width="11.28515625" style="458" customWidth="1"/>
    <col min="9511" max="9511" width="11.5703125" style="458" customWidth="1"/>
    <col min="9512" max="9512" width="11.28515625" style="458" customWidth="1"/>
    <col min="9513" max="9513" width="11.7109375" style="458" customWidth="1"/>
    <col min="9514" max="9514" width="10.7109375" style="458" customWidth="1"/>
    <col min="9515" max="9515" width="9.5703125" style="458" customWidth="1"/>
    <col min="9516" max="9516" width="10.28515625" style="458" customWidth="1"/>
    <col min="9517" max="9728" width="9.140625" style="458"/>
    <col min="9729" max="9729" width="2.140625" style="458" customWidth="1"/>
    <col min="9730" max="9732" width="9.140625" style="458"/>
    <col min="9733" max="9733" width="11.7109375" style="458" bestFit="1" customWidth="1"/>
    <col min="9734" max="9734" width="9.28515625" style="458" bestFit="1" customWidth="1"/>
    <col min="9735" max="9735" width="9.140625" style="458"/>
    <col min="9736" max="9736" width="9.28515625" style="458" bestFit="1" customWidth="1"/>
    <col min="9737" max="9737" width="9.140625" style="458"/>
    <col min="9738" max="9738" width="9.28515625" style="458" bestFit="1" customWidth="1"/>
    <col min="9739" max="9739" width="10" style="458" bestFit="1" customWidth="1"/>
    <col min="9740" max="9748" width="9.140625" style="458"/>
    <col min="9749" max="9749" width="12.42578125" style="458" customWidth="1"/>
    <col min="9750" max="9757" width="9.28515625" style="458" bestFit="1" customWidth="1"/>
    <col min="9758" max="9758" width="9.85546875" style="458" bestFit="1" customWidth="1"/>
    <col min="9759" max="9763" width="9.140625" style="458"/>
    <col min="9764" max="9764" width="11" style="458" customWidth="1"/>
    <col min="9765" max="9766" width="11.28515625" style="458" customWidth="1"/>
    <col min="9767" max="9767" width="11.5703125" style="458" customWidth="1"/>
    <col min="9768" max="9768" width="11.28515625" style="458" customWidth="1"/>
    <col min="9769" max="9769" width="11.7109375" style="458" customWidth="1"/>
    <col min="9770" max="9770" width="10.7109375" style="458" customWidth="1"/>
    <col min="9771" max="9771" width="9.5703125" style="458" customWidth="1"/>
    <col min="9772" max="9772" width="10.28515625" style="458" customWidth="1"/>
    <col min="9773" max="9984" width="9.140625" style="458"/>
    <col min="9985" max="9985" width="2.140625" style="458" customWidth="1"/>
    <col min="9986" max="9988" width="9.140625" style="458"/>
    <col min="9989" max="9989" width="11.7109375" style="458" bestFit="1" customWidth="1"/>
    <col min="9990" max="9990" width="9.28515625" style="458" bestFit="1" customWidth="1"/>
    <col min="9991" max="9991" width="9.140625" style="458"/>
    <col min="9992" max="9992" width="9.28515625" style="458" bestFit="1" customWidth="1"/>
    <col min="9993" max="9993" width="9.140625" style="458"/>
    <col min="9994" max="9994" width="9.28515625" style="458" bestFit="1" customWidth="1"/>
    <col min="9995" max="9995" width="10" style="458" bestFit="1" customWidth="1"/>
    <col min="9996" max="10004" width="9.140625" style="458"/>
    <col min="10005" max="10005" width="12.42578125" style="458" customWidth="1"/>
    <col min="10006" max="10013" width="9.28515625" style="458" bestFit="1" customWidth="1"/>
    <col min="10014" max="10014" width="9.85546875" style="458" bestFit="1" customWidth="1"/>
    <col min="10015" max="10019" width="9.140625" style="458"/>
    <col min="10020" max="10020" width="11" style="458" customWidth="1"/>
    <col min="10021" max="10022" width="11.28515625" style="458" customWidth="1"/>
    <col min="10023" max="10023" width="11.5703125" style="458" customWidth="1"/>
    <col min="10024" max="10024" width="11.28515625" style="458" customWidth="1"/>
    <col min="10025" max="10025" width="11.7109375" style="458" customWidth="1"/>
    <col min="10026" max="10026" width="10.7109375" style="458" customWidth="1"/>
    <col min="10027" max="10027" width="9.5703125" style="458" customWidth="1"/>
    <col min="10028" max="10028" width="10.28515625" style="458" customWidth="1"/>
    <col min="10029" max="10240" width="9.140625" style="458"/>
    <col min="10241" max="10241" width="2.140625" style="458" customWidth="1"/>
    <col min="10242" max="10244" width="9.140625" style="458"/>
    <col min="10245" max="10245" width="11.7109375" style="458" bestFit="1" customWidth="1"/>
    <col min="10246" max="10246" width="9.28515625" style="458" bestFit="1" customWidth="1"/>
    <col min="10247" max="10247" width="9.140625" style="458"/>
    <col min="10248" max="10248" width="9.28515625" style="458" bestFit="1" customWidth="1"/>
    <col min="10249" max="10249" width="9.140625" style="458"/>
    <col min="10250" max="10250" width="9.28515625" style="458" bestFit="1" customWidth="1"/>
    <col min="10251" max="10251" width="10" style="458" bestFit="1" customWidth="1"/>
    <col min="10252" max="10260" width="9.140625" style="458"/>
    <col min="10261" max="10261" width="12.42578125" style="458" customWidth="1"/>
    <col min="10262" max="10269" width="9.28515625" style="458" bestFit="1" customWidth="1"/>
    <col min="10270" max="10270" width="9.85546875" style="458" bestFit="1" customWidth="1"/>
    <col min="10271" max="10275" width="9.140625" style="458"/>
    <col min="10276" max="10276" width="11" style="458" customWidth="1"/>
    <col min="10277" max="10278" width="11.28515625" style="458" customWidth="1"/>
    <col min="10279" max="10279" width="11.5703125" style="458" customWidth="1"/>
    <col min="10280" max="10280" width="11.28515625" style="458" customWidth="1"/>
    <col min="10281" max="10281" width="11.7109375" style="458" customWidth="1"/>
    <col min="10282" max="10282" width="10.7109375" style="458" customWidth="1"/>
    <col min="10283" max="10283" width="9.5703125" style="458" customWidth="1"/>
    <col min="10284" max="10284" width="10.28515625" style="458" customWidth="1"/>
    <col min="10285" max="10496" width="9.140625" style="458"/>
    <col min="10497" max="10497" width="2.140625" style="458" customWidth="1"/>
    <col min="10498" max="10500" width="9.140625" style="458"/>
    <col min="10501" max="10501" width="11.7109375" style="458" bestFit="1" customWidth="1"/>
    <col min="10502" max="10502" width="9.28515625" style="458" bestFit="1" customWidth="1"/>
    <col min="10503" max="10503" width="9.140625" style="458"/>
    <col min="10504" max="10504" width="9.28515625" style="458" bestFit="1" customWidth="1"/>
    <col min="10505" max="10505" width="9.140625" style="458"/>
    <col min="10506" max="10506" width="9.28515625" style="458" bestFit="1" customWidth="1"/>
    <col min="10507" max="10507" width="10" style="458" bestFit="1" customWidth="1"/>
    <col min="10508" max="10516" width="9.140625" style="458"/>
    <col min="10517" max="10517" width="12.42578125" style="458" customWidth="1"/>
    <col min="10518" max="10525" width="9.28515625" style="458" bestFit="1" customWidth="1"/>
    <col min="10526" max="10526" width="9.85546875" style="458" bestFit="1" customWidth="1"/>
    <col min="10527" max="10531" width="9.140625" style="458"/>
    <col min="10532" max="10532" width="11" style="458" customWidth="1"/>
    <col min="10533" max="10534" width="11.28515625" style="458" customWidth="1"/>
    <col min="10535" max="10535" width="11.5703125" style="458" customWidth="1"/>
    <col min="10536" max="10536" width="11.28515625" style="458" customWidth="1"/>
    <col min="10537" max="10537" width="11.7109375" style="458" customWidth="1"/>
    <col min="10538" max="10538" width="10.7109375" style="458" customWidth="1"/>
    <col min="10539" max="10539" width="9.5703125" style="458" customWidth="1"/>
    <col min="10540" max="10540" width="10.28515625" style="458" customWidth="1"/>
    <col min="10541" max="10752" width="9.140625" style="458"/>
    <col min="10753" max="10753" width="2.140625" style="458" customWidth="1"/>
    <col min="10754" max="10756" width="9.140625" style="458"/>
    <col min="10757" max="10757" width="11.7109375" style="458" bestFit="1" customWidth="1"/>
    <col min="10758" max="10758" width="9.28515625" style="458" bestFit="1" customWidth="1"/>
    <col min="10759" max="10759" width="9.140625" style="458"/>
    <col min="10760" max="10760" width="9.28515625" style="458" bestFit="1" customWidth="1"/>
    <col min="10761" max="10761" width="9.140625" style="458"/>
    <col min="10762" max="10762" width="9.28515625" style="458" bestFit="1" customWidth="1"/>
    <col min="10763" max="10763" width="10" style="458" bestFit="1" customWidth="1"/>
    <col min="10764" max="10772" width="9.140625" style="458"/>
    <col min="10773" max="10773" width="12.42578125" style="458" customWidth="1"/>
    <col min="10774" max="10781" width="9.28515625" style="458" bestFit="1" customWidth="1"/>
    <col min="10782" max="10782" width="9.85546875" style="458" bestFit="1" customWidth="1"/>
    <col min="10783" max="10787" width="9.140625" style="458"/>
    <col min="10788" max="10788" width="11" style="458" customWidth="1"/>
    <col min="10789" max="10790" width="11.28515625" style="458" customWidth="1"/>
    <col min="10791" max="10791" width="11.5703125" style="458" customWidth="1"/>
    <col min="10792" max="10792" width="11.28515625" style="458" customWidth="1"/>
    <col min="10793" max="10793" width="11.7109375" style="458" customWidth="1"/>
    <col min="10794" max="10794" width="10.7109375" style="458" customWidth="1"/>
    <col min="10795" max="10795" width="9.5703125" style="458" customWidth="1"/>
    <col min="10796" max="10796" width="10.28515625" style="458" customWidth="1"/>
    <col min="10797" max="11008" width="9.140625" style="458"/>
    <col min="11009" max="11009" width="2.140625" style="458" customWidth="1"/>
    <col min="11010" max="11012" width="9.140625" style="458"/>
    <col min="11013" max="11013" width="11.7109375" style="458" bestFit="1" customWidth="1"/>
    <col min="11014" max="11014" width="9.28515625" style="458" bestFit="1" customWidth="1"/>
    <col min="11015" max="11015" width="9.140625" style="458"/>
    <col min="11016" max="11016" width="9.28515625" style="458" bestFit="1" customWidth="1"/>
    <col min="11017" max="11017" width="9.140625" style="458"/>
    <col min="11018" max="11018" width="9.28515625" style="458" bestFit="1" customWidth="1"/>
    <col min="11019" max="11019" width="10" style="458" bestFit="1" customWidth="1"/>
    <col min="11020" max="11028" width="9.140625" style="458"/>
    <col min="11029" max="11029" width="12.42578125" style="458" customWidth="1"/>
    <col min="11030" max="11037" width="9.28515625" style="458" bestFit="1" customWidth="1"/>
    <col min="11038" max="11038" width="9.85546875" style="458" bestFit="1" customWidth="1"/>
    <col min="11039" max="11043" width="9.140625" style="458"/>
    <col min="11044" max="11044" width="11" style="458" customWidth="1"/>
    <col min="11045" max="11046" width="11.28515625" style="458" customWidth="1"/>
    <col min="11047" max="11047" width="11.5703125" style="458" customWidth="1"/>
    <col min="11048" max="11048" width="11.28515625" style="458" customWidth="1"/>
    <col min="11049" max="11049" width="11.7109375" style="458" customWidth="1"/>
    <col min="11050" max="11050" width="10.7109375" style="458" customWidth="1"/>
    <col min="11051" max="11051" width="9.5703125" style="458" customWidth="1"/>
    <col min="11052" max="11052" width="10.28515625" style="458" customWidth="1"/>
    <col min="11053" max="11264" width="9.140625" style="458"/>
    <col min="11265" max="11265" width="2.140625" style="458" customWidth="1"/>
    <col min="11266" max="11268" width="9.140625" style="458"/>
    <col min="11269" max="11269" width="11.7109375" style="458" bestFit="1" customWidth="1"/>
    <col min="11270" max="11270" width="9.28515625" style="458" bestFit="1" customWidth="1"/>
    <col min="11271" max="11271" width="9.140625" style="458"/>
    <col min="11272" max="11272" width="9.28515625" style="458" bestFit="1" customWidth="1"/>
    <col min="11273" max="11273" width="9.140625" style="458"/>
    <col min="11274" max="11274" width="9.28515625" style="458" bestFit="1" customWidth="1"/>
    <col min="11275" max="11275" width="10" style="458" bestFit="1" customWidth="1"/>
    <col min="11276" max="11284" width="9.140625" style="458"/>
    <col min="11285" max="11285" width="12.42578125" style="458" customWidth="1"/>
    <col min="11286" max="11293" width="9.28515625" style="458" bestFit="1" customWidth="1"/>
    <col min="11294" max="11294" width="9.85546875" style="458" bestFit="1" customWidth="1"/>
    <col min="11295" max="11299" width="9.140625" style="458"/>
    <col min="11300" max="11300" width="11" style="458" customWidth="1"/>
    <col min="11301" max="11302" width="11.28515625" style="458" customWidth="1"/>
    <col min="11303" max="11303" width="11.5703125" style="458" customWidth="1"/>
    <col min="11304" max="11304" width="11.28515625" style="458" customWidth="1"/>
    <col min="11305" max="11305" width="11.7109375" style="458" customWidth="1"/>
    <col min="11306" max="11306" width="10.7109375" style="458" customWidth="1"/>
    <col min="11307" max="11307" width="9.5703125" style="458" customWidth="1"/>
    <col min="11308" max="11308" width="10.28515625" style="458" customWidth="1"/>
    <col min="11309" max="11520" width="9.140625" style="458"/>
    <col min="11521" max="11521" width="2.140625" style="458" customWidth="1"/>
    <col min="11522" max="11524" width="9.140625" style="458"/>
    <col min="11525" max="11525" width="11.7109375" style="458" bestFit="1" customWidth="1"/>
    <col min="11526" max="11526" width="9.28515625" style="458" bestFit="1" customWidth="1"/>
    <col min="11527" max="11527" width="9.140625" style="458"/>
    <col min="11528" max="11528" width="9.28515625" style="458" bestFit="1" customWidth="1"/>
    <col min="11529" max="11529" width="9.140625" style="458"/>
    <col min="11530" max="11530" width="9.28515625" style="458" bestFit="1" customWidth="1"/>
    <col min="11531" max="11531" width="10" style="458" bestFit="1" customWidth="1"/>
    <col min="11532" max="11540" width="9.140625" style="458"/>
    <col min="11541" max="11541" width="12.42578125" style="458" customWidth="1"/>
    <col min="11542" max="11549" width="9.28515625" style="458" bestFit="1" customWidth="1"/>
    <col min="11550" max="11550" width="9.85546875" style="458" bestFit="1" customWidth="1"/>
    <col min="11551" max="11555" width="9.140625" style="458"/>
    <col min="11556" max="11556" width="11" style="458" customWidth="1"/>
    <col min="11557" max="11558" width="11.28515625" style="458" customWidth="1"/>
    <col min="11559" max="11559" width="11.5703125" style="458" customWidth="1"/>
    <col min="11560" max="11560" width="11.28515625" style="458" customWidth="1"/>
    <col min="11561" max="11561" width="11.7109375" style="458" customWidth="1"/>
    <col min="11562" max="11562" width="10.7109375" style="458" customWidth="1"/>
    <col min="11563" max="11563" width="9.5703125" style="458" customWidth="1"/>
    <col min="11564" max="11564" width="10.28515625" style="458" customWidth="1"/>
    <col min="11565" max="11776" width="9.140625" style="458"/>
    <col min="11777" max="11777" width="2.140625" style="458" customWidth="1"/>
    <col min="11778" max="11780" width="9.140625" style="458"/>
    <col min="11781" max="11781" width="11.7109375" style="458" bestFit="1" customWidth="1"/>
    <col min="11782" max="11782" width="9.28515625" style="458" bestFit="1" customWidth="1"/>
    <col min="11783" max="11783" width="9.140625" style="458"/>
    <col min="11784" max="11784" width="9.28515625" style="458" bestFit="1" customWidth="1"/>
    <col min="11785" max="11785" width="9.140625" style="458"/>
    <col min="11786" max="11786" width="9.28515625" style="458" bestFit="1" customWidth="1"/>
    <col min="11787" max="11787" width="10" style="458" bestFit="1" customWidth="1"/>
    <col min="11788" max="11796" width="9.140625" style="458"/>
    <col min="11797" max="11797" width="12.42578125" style="458" customWidth="1"/>
    <col min="11798" max="11805" width="9.28515625" style="458" bestFit="1" customWidth="1"/>
    <col min="11806" max="11806" width="9.85546875" style="458" bestFit="1" customWidth="1"/>
    <col min="11807" max="11811" width="9.140625" style="458"/>
    <col min="11812" max="11812" width="11" style="458" customWidth="1"/>
    <col min="11813" max="11814" width="11.28515625" style="458" customWidth="1"/>
    <col min="11815" max="11815" width="11.5703125" style="458" customWidth="1"/>
    <col min="11816" max="11816" width="11.28515625" style="458" customWidth="1"/>
    <col min="11817" max="11817" width="11.7109375" style="458" customWidth="1"/>
    <col min="11818" max="11818" width="10.7109375" style="458" customWidth="1"/>
    <col min="11819" max="11819" width="9.5703125" style="458" customWidth="1"/>
    <col min="11820" max="11820" width="10.28515625" style="458" customWidth="1"/>
    <col min="11821" max="12032" width="9.140625" style="458"/>
    <col min="12033" max="12033" width="2.140625" style="458" customWidth="1"/>
    <col min="12034" max="12036" width="9.140625" style="458"/>
    <col min="12037" max="12037" width="11.7109375" style="458" bestFit="1" customWidth="1"/>
    <col min="12038" max="12038" width="9.28515625" style="458" bestFit="1" customWidth="1"/>
    <col min="12039" max="12039" width="9.140625" style="458"/>
    <col min="12040" max="12040" width="9.28515625" style="458" bestFit="1" customWidth="1"/>
    <col min="12041" max="12041" width="9.140625" style="458"/>
    <col min="12042" max="12042" width="9.28515625" style="458" bestFit="1" customWidth="1"/>
    <col min="12043" max="12043" width="10" style="458" bestFit="1" customWidth="1"/>
    <col min="12044" max="12052" width="9.140625" style="458"/>
    <col min="12053" max="12053" width="12.42578125" style="458" customWidth="1"/>
    <col min="12054" max="12061" width="9.28515625" style="458" bestFit="1" customWidth="1"/>
    <col min="12062" max="12062" width="9.85546875" style="458" bestFit="1" customWidth="1"/>
    <col min="12063" max="12067" width="9.140625" style="458"/>
    <col min="12068" max="12068" width="11" style="458" customWidth="1"/>
    <col min="12069" max="12070" width="11.28515625" style="458" customWidth="1"/>
    <col min="12071" max="12071" width="11.5703125" style="458" customWidth="1"/>
    <col min="12072" max="12072" width="11.28515625" style="458" customWidth="1"/>
    <col min="12073" max="12073" width="11.7109375" style="458" customWidth="1"/>
    <col min="12074" max="12074" width="10.7109375" style="458" customWidth="1"/>
    <col min="12075" max="12075" width="9.5703125" style="458" customWidth="1"/>
    <col min="12076" max="12076" width="10.28515625" style="458" customWidth="1"/>
    <col min="12077" max="12288" width="9.140625" style="458"/>
    <col min="12289" max="12289" width="2.140625" style="458" customWidth="1"/>
    <col min="12290" max="12292" width="9.140625" style="458"/>
    <col min="12293" max="12293" width="11.7109375" style="458" bestFit="1" customWidth="1"/>
    <col min="12294" max="12294" width="9.28515625" style="458" bestFit="1" customWidth="1"/>
    <col min="12295" max="12295" width="9.140625" style="458"/>
    <col min="12296" max="12296" width="9.28515625" style="458" bestFit="1" customWidth="1"/>
    <col min="12297" max="12297" width="9.140625" style="458"/>
    <col min="12298" max="12298" width="9.28515625" style="458" bestFit="1" customWidth="1"/>
    <col min="12299" max="12299" width="10" style="458" bestFit="1" customWidth="1"/>
    <col min="12300" max="12308" width="9.140625" style="458"/>
    <col min="12309" max="12309" width="12.42578125" style="458" customWidth="1"/>
    <col min="12310" max="12317" width="9.28515625" style="458" bestFit="1" customWidth="1"/>
    <col min="12318" max="12318" width="9.85546875" style="458" bestFit="1" customWidth="1"/>
    <col min="12319" max="12323" width="9.140625" style="458"/>
    <col min="12324" max="12324" width="11" style="458" customWidth="1"/>
    <col min="12325" max="12326" width="11.28515625" style="458" customWidth="1"/>
    <col min="12327" max="12327" width="11.5703125" style="458" customWidth="1"/>
    <col min="12328" max="12328" width="11.28515625" style="458" customWidth="1"/>
    <col min="12329" max="12329" width="11.7109375" style="458" customWidth="1"/>
    <col min="12330" max="12330" width="10.7109375" style="458" customWidth="1"/>
    <col min="12331" max="12331" width="9.5703125" style="458" customWidth="1"/>
    <col min="12332" max="12332" width="10.28515625" style="458" customWidth="1"/>
    <col min="12333" max="12544" width="9.140625" style="458"/>
    <col min="12545" max="12545" width="2.140625" style="458" customWidth="1"/>
    <col min="12546" max="12548" width="9.140625" style="458"/>
    <col min="12549" max="12549" width="11.7109375" style="458" bestFit="1" customWidth="1"/>
    <col min="12550" max="12550" width="9.28515625" style="458" bestFit="1" customWidth="1"/>
    <col min="12551" max="12551" width="9.140625" style="458"/>
    <col min="12552" max="12552" width="9.28515625" style="458" bestFit="1" customWidth="1"/>
    <col min="12553" max="12553" width="9.140625" style="458"/>
    <col min="12554" max="12554" width="9.28515625" style="458" bestFit="1" customWidth="1"/>
    <col min="12555" max="12555" width="10" style="458" bestFit="1" customWidth="1"/>
    <col min="12556" max="12564" width="9.140625" style="458"/>
    <col min="12565" max="12565" width="12.42578125" style="458" customWidth="1"/>
    <col min="12566" max="12573" width="9.28515625" style="458" bestFit="1" customWidth="1"/>
    <col min="12574" max="12574" width="9.85546875" style="458" bestFit="1" customWidth="1"/>
    <col min="12575" max="12579" width="9.140625" style="458"/>
    <col min="12580" max="12580" width="11" style="458" customWidth="1"/>
    <col min="12581" max="12582" width="11.28515625" style="458" customWidth="1"/>
    <col min="12583" max="12583" width="11.5703125" style="458" customWidth="1"/>
    <col min="12584" max="12584" width="11.28515625" style="458" customWidth="1"/>
    <col min="12585" max="12585" width="11.7109375" style="458" customWidth="1"/>
    <col min="12586" max="12586" width="10.7109375" style="458" customWidth="1"/>
    <col min="12587" max="12587" width="9.5703125" style="458" customWidth="1"/>
    <col min="12588" max="12588" width="10.28515625" style="458" customWidth="1"/>
    <col min="12589" max="12800" width="9.140625" style="458"/>
    <col min="12801" max="12801" width="2.140625" style="458" customWidth="1"/>
    <col min="12802" max="12804" width="9.140625" style="458"/>
    <col min="12805" max="12805" width="11.7109375" style="458" bestFit="1" customWidth="1"/>
    <col min="12806" max="12806" width="9.28515625" style="458" bestFit="1" customWidth="1"/>
    <col min="12807" max="12807" width="9.140625" style="458"/>
    <col min="12808" max="12808" width="9.28515625" style="458" bestFit="1" customWidth="1"/>
    <col min="12809" max="12809" width="9.140625" style="458"/>
    <col min="12810" max="12810" width="9.28515625" style="458" bestFit="1" customWidth="1"/>
    <col min="12811" max="12811" width="10" style="458" bestFit="1" customWidth="1"/>
    <col min="12812" max="12820" width="9.140625" style="458"/>
    <col min="12821" max="12821" width="12.42578125" style="458" customWidth="1"/>
    <col min="12822" max="12829" width="9.28515625" style="458" bestFit="1" customWidth="1"/>
    <col min="12830" max="12830" width="9.85546875" style="458" bestFit="1" customWidth="1"/>
    <col min="12831" max="12835" width="9.140625" style="458"/>
    <col min="12836" max="12836" width="11" style="458" customWidth="1"/>
    <col min="12837" max="12838" width="11.28515625" style="458" customWidth="1"/>
    <col min="12839" max="12839" width="11.5703125" style="458" customWidth="1"/>
    <col min="12840" max="12840" width="11.28515625" style="458" customWidth="1"/>
    <col min="12841" max="12841" width="11.7109375" style="458" customWidth="1"/>
    <col min="12842" max="12842" width="10.7109375" style="458" customWidth="1"/>
    <col min="12843" max="12843" width="9.5703125" style="458" customWidth="1"/>
    <col min="12844" max="12844" width="10.28515625" style="458" customWidth="1"/>
    <col min="12845" max="13056" width="9.140625" style="458"/>
    <col min="13057" max="13057" width="2.140625" style="458" customWidth="1"/>
    <col min="13058" max="13060" width="9.140625" style="458"/>
    <col min="13061" max="13061" width="11.7109375" style="458" bestFit="1" customWidth="1"/>
    <col min="13062" max="13062" width="9.28515625" style="458" bestFit="1" customWidth="1"/>
    <col min="13063" max="13063" width="9.140625" style="458"/>
    <col min="13064" max="13064" width="9.28515625" style="458" bestFit="1" customWidth="1"/>
    <col min="13065" max="13065" width="9.140625" style="458"/>
    <col min="13066" max="13066" width="9.28515625" style="458" bestFit="1" customWidth="1"/>
    <col min="13067" max="13067" width="10" style="458" bestFit="1" customWidth="1"/>
    <col min="13068" max="13076" width="9.140625" style="458"/>
    <col min="13077" max="13077" width="12.42578125" style="458" customWidth="1"/>
    <col min="13078" max="13085" width="9.28515625" style="458" bestFit="1" customWidth="1"/>
    <col min="13086" max="13086" width="9.85546875" style="458" bestFit="1" customWidth="1"/>
    <col min="13087" max="13091" width="9.140625" style="458"/>
    <col min="13092" max="13092" width="11" style="458" customWidth="1"/>
    <col min="13093" max="13094" width="11.28515625" style="458" customWidth="1"/>
    <col min="13095" max="13095" width="11.5703125" style="458" customWidth="1"/>
    <col min="13096" max="13096" width="11.28515625" style="458" customWidth="1"/>
    <col min="13097" max="13097" width="11.7109375" style="458" customWidth="1"/>
    <col min="13098" max="13098" width="10.7109375" style="458" customWidth="1"/>
    <col min="13099" max="13099" width="9.5703125" style="458" customWidth="1"/>
    <col min="13100" max="13100" width="10.28515625" style="458" customWidth="1"/>
    <col min="13101" max="13312" width="9.140625" style="458"/>
    <col min="13313" max="13313" width="2.140625" style="458" customWidth="1"/>
    <col min="13314" max="13316" width="9.140625" style="458"/>
    <col min="13317" max="13317" width="11.7109375" style="458" bestFit="1" customWidth="1"/>
    <col min="13318" max="13318" width="9.28515625" style="458" bestFit="1" customWidth="1"/>
    <col min="13319" max="13319" width="9.140625" style="458"/>
    <col min="13320" max="13320" width="9.28515625" style="458" bestFit="1" customWidth="1"/>
    <col min="13321" max="13321" width="9.140625" style="458"/>
    <col min="13322" max="13322" width="9.28515625" style="458" bestFit="1" customWidth="1"/>
    <col min="13323" max="13323" width="10" style="458" bestFit="1" customWidth="1"/>
    <col min="13324" max="13332" width="9.140625" style="458"/>
    <col min="13333" max="13333" width="12.42578125" style="458" customWidth="1"/>
    <col min="13334" max="13341" width="9.28515625" style="458" bestFit="1" customWidth="1"/>
    <col min="13342" max="13342" width="9.85546875" style="458" bestFit="1" customWidth="1"/>
    <col min="13343" max="13347" width="9.140625" style="458"/>
    <col min="13348" max="13348" width="11" style="458" customWidth="1"/>
    <col min="13349" max="13350" width="11.28515625" style="458" customWidth="1"/>
    <col min="13351" max="13351" width="11.5703125" style="458" customWidth="1"/>
    <col min="13352" max="13352" width="11.28515625" style="458" customWidth="1"/>
    <col min="13353" max="13353" width="11.7109375" style="458" customWidth="1"/>
    <col min="13354" max="13354" width="10.7109375" style="458" customWidth="1"/>
    <col min="13355" max="13355" width="9.5703125" style="458" customWidth="1"/>
    <col min="13356" max="13356" width="10.28515625" style="458" customWidth="1"/>
    <col min="13357" max="13568" width="9.140625" style="458"/>
    <col min="13569" max="13569" width="2.140625" style="458" customWidth="1"/>
    <col min="13570" max="13572" width="9.140625" style="458"/>
    <col min="13573" max="13573" width="11.7109375" style="458" bestFit="1" customWidth="1"/>
    <col min="13574" max="13574" width="9.28515625" style="458" bestFit="1" customWidth="1"/>
    <col min="13575" max="13575" width="9.140625" style="458"/>
    <col min="13576" max="13576" width="9.28515625" style="458" bestFit="1" customWidth="1"/>
    <col min="13577" max="13577" width="9.140625" style="458"/>
    <col min="13578" max="13578" width="9.28515625" style="458" bestFit="1" customWidth="1"/>
    <col min="13579" max="13579" width="10" style="458" bestFit="1" customWidth="1"/>
    <col min="13580" max="13588" width="9.140625" style="458"/>
    <col min="13589" max="13589" width="12.42578125" style="458" customWidth="1"/>
    <col min="13590" max="13597" width="9.28515625" style="458" bestFit="1" customWidth="1"/>
    <col min="13598" max="13598" width="9.85546875" style="458" bestFit="1" customWidth="1"/>
    <col min="13599" max="13603" width="9.140625" style="458"/>
    <col min="13604" max="13604" width="11" style="458" customWidth="1"/>
    <col min="13605" max="13606" width="11.28515625" style="458" customWidth="1"/>
    <col min="13607" max="13607" width="11.5703125" style="458" customWidth="1"/>
    <col min="13608" max="13608" width="11.28515625" style="458" customWidth="1"/>
    <col min="13609" max="13609" width="11.7109375" style="458" customWidth="1"/>
    <col min="13610" max="13610" width="10.7109375" style="458" customWidth="1"/>
    <col min="13611" max="13611" width="9.5703125" style="458" customWidth="1"/>
    <col min="13612" max="13612" width="10.28515625" style="458" customWidth="1"/>
    <col min="13613" max="13824" width="9.140625" style="458"/>
    <col min="13825" max="13825" width="2.140625" style="458" customWidth="1"/>
    <col min="13826" max="13828" width="9.140625" style="458"/>
    <col min="13829" max="13829" width="11.7109375" style="458" bestFit="1" customWidth="1"/>
    <col min="13830" max="13830" width="9.28515625" style="458" bestFit="1" customWidth="1"/>
    <col min="13831" max="13831" width="9.140625" style="458"/>
    <col min="13832" max="13832" width="9.28515625" style="458" bestFit="1" customWidth="1"/>
    <col min="13833" max="13833" width="9.140625" style="458"/>
    <col min="13834" max="13834" width="9.28515625" style="458" bestFit="1" customWidth="1"/>
    <col min="13835" max="13835" width="10" style="458" bestFit="1" customWidth="1"/>
    <col min="13836" max="13844" width="9.140625" style="458"/>
    <col min="13845" max="13845" width="12.42578125" style="458" customWidth="1"/>
    <col min="13846" max="13853" width="9.28515625" style="458" bestFit="1" customWidth="1"/>
    <col min="13854" max="13854" width="9.85546875" style="458" bestFit="1" customWidth="1"/>
    <col min="13855" max="13859" width="9.140625" style="458"/>
    <col min="13860" max="13860" width="11" style="458" customWidth="1"/>
    <col min="13861" max="13862" width="11.28515625" style="458" customWidth="1"/>
    <col min="13863" max="13863" width="11.5703125" style="458" customWidth="1"/>
    <col min="13864" max="13864" width="11.28515625" style="458" customWidth="1"/>
    <col min="13865" max="13865" width="11.7109375" style="458" customWidth="1"/>
    <col min="13866" max="13866" width="10.7109375" style="458" customWidth="1"/>
    <col min="13867" max="13867" width="9.5703125" style="458" customWidth="1"/>
    <col min="13868" max="13868" width="10.28515625" style="458" customWidth="1"/>
    <col min="13869" max="14080" width="9.140625" style="458"/>
    <col min="14081" max="14081" width="2.140625" style="458" customWidth="1"/>
    <col min="14082" max="14084" width="9.140625" style="458"/>
    <col min="14085" max="14085" width="11.7109375" style="458" bestFit="1" customWidth="1"/>
    <col min="14086" max="14086" width="9.28515625" style="458" bestFit="1" customWidth="1"/>
    <col min="14087" max="14087" width="9.140625" style="458"/>
    <col min="14088" max="14088" width="9.28515625" style="458" bestFit="1" customWidth="1"/>
    <col min="14089" max="14089" width="9.140625" style="458"/>
    <col min="14090" max="14090" width="9.28515625" style="458" bestFit="1" customWidth="1"/>
    <col min="14091" max="14091" width="10" style="458" bestFit="1" customWidth="1"/>
    <col min="14092" max="14100" width="9.140625" style="458"/>
    <col min="14101" max="14101" width="12.42578125" style="458" customWidth="1"/>
    <col min="14102" max="14109" width="9.28515625" style="458" bestFit="1" customWidth="1"/>
    <col min="14110" max="14110" width="9.85546875" style="458" bestFit="1" customWidth="1"/>
    <col min="14111" max="14115" width="9.140625" style="458"/>
    <col min="14116" max="14116" width="11" style="458" customWidth="1"/>
    <col min="14117" max="14118" width="11.28515625" style="458" customWidth="1"/>
    <col min="14119" max="14119" width="11.5703125" style="458" customWidth="1"/>
    <col min="14120" max="14120" width="11.28515625" style="458" customWidth="1"/>
    <col min="14121" max="14121" width="11.7109375" style="458" customWidth="1"/>
    <col min="14122" max="14122" width="10.7109375" style="458" customWidth="1"/>
    <col min="14123" max="14123" width="9.5703125" style="458" customWidth="1"/>
    <col min="14124" max="14124" width="10.28515625" style="458" customWidth="1"/>
    <col min="14125" max="14336" width="9.140625" style="458"/>
    <col min="14337" max="14337" width="2.140625" style="458" customWidth="1"/>
    <col min="14338" max="14340" width="9.140625" style="458"/>
    <col min="14341" max="14341" width="11.7109375" style="458" bestFit="1" customWidth="1"/>
    <col min="14342" max="14342" width="9.28515625" style="458" bestFit="1" customWidth="1"/>
    <col min="14343" max="14343" width="9.140625" style="458"/>
    <col min="14344" max="14344" width="9.28515625" style="458" bestFit="1" customWidth="1"/>
    <col min="14345" max="14345" width="9.140625" style="458"/>
    <col min="14346" max="14346" width="9.28515625" style="458" bestFit="1" customWidth="1"/>
    <col min="14347" max="14347" width="10" style="458" bestFit="1" customWidth="1"/>
    <col min="14348" max="14356" width="9.140625" style="458"/>
    <col min="14357" max="14357" width="12.42578125" style="458" customWidth="1"/>
    <col min="14358" max="14365" width="9.28515625" style="458" bestFit="1" customWidth="1"/>
    <col min="14366" max="14366" width="9.85546875" style="458" bestFit="1" customWidth="1"/>
    <col min="14367" max="14371" width="9.140625" style="458"/>
    <col min="14372" max="14372" width="11" style="458" customWidth="1"/>
    <col min="14373" max="14374" width="11.28515625" style="458" customWidth="1"/>
    <col min="14375" max="14375" width="11.5703125" style="458" customWidth="1"/>
    <col min="14376" max="14376" width="11.28515625" style="458" customWidth="1"/>
    <col min="14377" max="14377" width="11.7109375" style="458" customWidth="1"/>
    <col min="14378" max="14378" width="10.7109375" style="458" customWidth="1"/>
    <col min="14379" max="14379" width="9.5703125" style="458" customWidth="1"/>
    <col min="14380" max="14380" width="10.28515625" style="458" customWidth="1"/>
    <col min="14381" max="14592" width="9.140625" style="458"/>
    <col min="14593" max="14593" width="2.140625" style="458" customWidth="1"/>
    <col min="14594" max="14596" width="9.140625" style="458"/>
    <col min="14597" max="14597" width="11.7109375" style="458" bestFit="1" customWidth="1"/>
    <col min="14598" max="14598" width="9.28515625" style="458" bestFit="1" customWidth="1"/>
    <col min="14599" max="14599" width="9.140625" style="458"/>
    <col min="14600" max="14600" width="9.28515625" style="458" bestFit="1" customWidth="1"/>
    <col min="14601" max="14601" width="9.140625" style="458"/>
    <col min="14602" max="14602" width="9.28515625" style="458" bestFit="1" customWidth="1"/>
    <col min="14603" max="14603" width="10" style="458" bestFit="1" customWidth="1"/>
    <col min="14604" max="14612" width="9.140625" style="458"/>
    <col min="14613" max="14613" width="12.42578125" style="458" customWidth="1"/>
    <col min="14614" max="14621" width="9.28515625" style="458" bestFit="1" customWidth="1"/>
    <col min="14622" max="14622" width="9.85546875" style="458" bestFit="1" customWidth="1"/>
    <col min="14623" max="14627" width="9.140625" style="458"/>
    <col min="14628" max="14628" width="11" style="458" customWidth="1"/>
    <col min="14629" max="14630" width="11.28515625" style="458" customWidth="1"/>
    <col min="14631" max="14631" width="11.5703125" style="458" customWidth="1"/>
    <col min="14632" max="14632" width="11.28515625" style="458" customWidth="1"/>
    <col min="14633" max="14633" width="11.7109375" style="458" customWidth="1"/>
    <col min="14634" max="14634" width="10.7109375" style="458" customWidth="1"/>
    <col min="14635" max="14635" width="9.5703125" style="458" customWidth="1"/>
    <col min="14636" max="14636" width="10.28515625" style="458" customWidth="1"/>
    <col min="14637" max="14848" width="9.140625" style="458"/>
    <col min="14849" max="14849" width="2.140625" style="458" customWidth="1"/>
    <col min="14850" max="14852" width="9.140625" style="458"/>
    <col min="14853" max="14853" width="11.7109375" style="458" bestFit="1" customWidth="1"/>
    <col min="14854" max="14854" width="9.28515625" style="458" bestFit="1" customWidth="1"/>
    <col min="14855" max="14855" width="9.140625" style="458"/>
    <col min="14856" max="14856" width="9.28515625" style="458" bestFit="1" customWidth="1"/>
    <col min="14857" max="14857" width="9.140625" style="458"/>
    <col min="14858" max="14858" width="9.28515625" style="458" bestFit="1" customWidth="1"/>
    <col min="14859" max="14859" width="10" style="458" bestFit="1" customWidth="1"/>
    <col min="14860" max="14868" width="9.140625" style="458"/>
    <col min="14869" max="14869" width="12.42578125" style="458" customWidth="1"/>
    <col min="14870" max="14877" width="9.28515625" style="458" bestFit="1" customWidth="1"/>
    <col min="14878" max="14878" width="9.85546875" style="458" bestFit="1" customWidth="1"/>
    <col min="14879" max="14883" width="9.140625" style="458"/>
    <col min="14884" max="14884" width="11" style="458" customWidth="1"/>
    <col min="14885" max="14886" width="11.28515625" style="458" customWidth="1"/>
    <col min="14887" max="14887" width="11.5703125" style="458" customWidth="1"/>
    <col min="14888" max="14888" width="11.28515625" style="458" customWidth="1"/>
    <col min="14889" max="14889" width="11.7109375" style="458" customWidth="1"/>
    <col min="14890" max="14890" width="10.7109375" style="458" customWidth="1"/>
    <col min="14891" max="14891" width="9.5703125" style="458" customWidth="1"/>
    <col min="14892" max="14892" width="10.28515625" style="458" customWidth="1"/>
    <col min="14893" max="15104" width="9.140625" style="458"/>
    <col min="15105" max="15105" width="2.140625" style="458" customWidth="1"/>
    <col min="15106" max="15108" width="9.140625" style="458"/>
    <col min="15109" max="15109" width="11.7109375" style="458" bestFit="1" customWidth="1"/>
    <col min="15110" max="15110" width="9.28515625" style="458" bestFit="1" customWidth="1"/>
    <col min="15111" max="15111" width="9.140625" style="458"/>
    <col min="15112" max="15112" width="9.28515625" style="458" bestFit="1" customWidth="1"/>
    <col min="15113" max="15113" width="9.140625" style="458"/>
    <col min="15114" max="15114" width="9.28515625" style="458" bestFit="1" customWidth="1"/>
    <col min="15115" max="15115" width="10" style="458" bestFit="1" customWidth="1"/>
    <col min="15116" max="15124" width="9.140625" style="458"/>
    <col min="15125" max="15125" width="12.42578125" style="458" customWidth="1"/>
    <col min="15126" max="15133" width="9.28515625" style="458" bestFit="1" customWidth="1"/>
    <col min="15134" max="15134" width="9.85546875" style="458" bestFit="1" customWidth="1"/>
    <col min="15135" max="15139" width="9.140625" style="458"/>
    <col min="15140" max="15140" width="11" style="458" customWidth="1"/>
    <col min="15141" max="15142" width="11.28515625" style="458" customWidth="1"/>
    <col min="15143" max="15143" width="11.5703125" style="458" customWidth="1"/>
    <col min="15144" max="15144" width="11.28515625" style="458" customWidth="1"/>
    <col min="15145" max="15145" width="11.7109375" style="458" customWidth="1"/>
    <col min="15146" max="15146" width="10.7109375" style="458" customWidth="1"/>
    <col min="15147" max="15147" width="9.5703125" style="458" customWidth="1"/>
    <col min="15148" max="15148" width="10.28515625" style="458" customWidth="1"/>
    <col min="15149" max="15360" width="9.140625" style="458"/>
    <col min="15361" max="15361" width="2.140625" style="458" customWidth="1"/>
    <col min="15362" max="15364" width="9.140625" style="458"/>
    <col min="15365" max="15365" width="11.7109375" style="458" bestFit="1" customWidth="1"/>
    <col min="15366" max="15366" width="9.28515625" style="458" bestFit="1" customWidth="1"/>
    <col min="15367" max="15367" width="9.140625" style="458"/>
    <col min="15368" max="15368" width="9.28515625" style="458" bestFit="1" customWidth="1"/>
    <col min="15369" max="15369" width="9.140625" style="458"/>
    <col min="15370" max="15370" width="9.28515625" style="458" bestFit="1" customWidth="1"/>
    <col min="15371" max="15371" width="10" style="458" bestFit="1" customWidth="1"/>
    <col min="15372" max="15380" width="9.140625" style="458"/>
    <col min="15381" max="15381" width="12.42578125" style="458" customWidth="1"/>
    <col min="15382" max="15389" width="9.28515625" style="458" bestFit="1" customWidth="1"/>
    <col min="15390" max="15390" width="9.85546875" style="458" bestFit="1" customWidth="1"/>
    <col min="15391" max="15395" width="9.140625" style="458"/>
    <col min="15396" max="15396" width="11" style="458" customWidth="1"/>
    <col min="15397" max="15398" width="11.28515625" style="458" customWidth="1"/>
    <col min="15399" max="15399" width="11.5703125" style="458" customWidth="1"/>
    <col min="15400" max="15400" width="11.28515625" style="458" customWidth="1"/>
    <col min="15401" max="15401" width="11.7109375" style="458" customWidth="1"/>
    <col min="15402" max="15402" width="10.7109375" style="458" customWidth="1"/>
    <col min="15403" max="15403" width="9.5703125" style="458" customWidth="1"/>
    <col min="15404" max="15404" width="10.28515625" style="458" customWidth="1"/>
    <col min="15405" max="15616" width="9.140625" style="458"/>
    <col min="15617" max="15617" width="2.140625" style="458" customWidth="1"/>
    <col min="15618" max="15620" width="9.140625" style="458"/>
    <col min="15621" max="15621" width="11.7109375" style="458" bestFit="1" customWidth="1"/>
    <col min="15622" max="15622" width="9.28515625" style="458" bestFit="1" customWidth="1"/>
    <col min="15623" max="15623" width="9.140625" style="458"/>
    <col min="15624" max="15624" width="9.28515625" style="458" bestFit="1" customWidth="1"/>
    <col min="15625" max="15625" width="9.140625" style="458"/>
    <col min="15626" max="15626" width="9.28515625" style="458" bestFit="1" customWidth="1"/>
    <col min="15627" max="15627" width="10" style="458" bestFit="1" customWidth="1"/>
    <col min="15628" max="15636" width="9.140625" style="458"/>
    <col min="15637" max="15637" width="12.42578125" style="458" customWidth="1"/>
    <col min="15638" max="15645" width="9.28515625" style="458" bestFit="1" customWidth="1"/>
    <col min="15646" max="15646" width="9.85546875" style="458" bestFit="1" customWidth="1"/>
    <col min="15647" max="15651" width="9.140625" style="458"/>
    <col min="15652" max="15652" width="11" style="458" customWidth="1"/>
    <col min="15653" max="15654" width="11.28515625" style="458" customWidth="1"/>
    <col min="15655" max="15655" width="11.5703125" style="458" customWidth="1"/>
    <col min="15656" max="15656" width="11.28515625" style="458" customWidth="1"/>
    <col min="15657" max="15657" width="11.7109375" style="458" customWidth="1"/>
    <col min="15658" max="15658" width="10.7109375" style="458" customWidth="1"/>
    <col min="15659" max="15659" width="9.5703125" style="458" customWidth="1"/>
    <col min="15660" max="15660" width="10.28515625" style="458" customWidth="1"/>
    <col min="15661" max="15872" width="9.140625" style="458"/>
    <col min="15873" max="15873" width="2.140625" style="458" customWidth="1"/>
    <col min="15874" max="15876" width="9.140625" style="458"/>
    <col min="15877" max="15877" width="11.7109375" style="458" bestFit="1" customWidth="1"/>
    <col min="15878" max="15878" width="9.28515625" style="458" bestFit="1" customWidth="1"/>
    <col min="15879" max="15879" width="9.140625" style="458"/>
    <col min="15880" max="15880" width="9.28515625" style="458" bestFit="1" customWidth="1"/>
    <col min="15881" max="15881" width="9.140625" style="458"/>
    <col min="15882" max="15882" width="9.28515625" style="458" bestFit="1" customWidth="1"/>
    <col min="15883" max="15883" width="10" style="458" bestFit="1" customWidth="1"/>
    <col min="15884" max="15892" width="9.140625" style="458"/>
    <col min="15893" max="15893" width="12.42578125" style="458" customWidth="1"/>
    <col min="15894" max="15901" width="9.28515625" style="458" bestFit="1" customWidth="1"/>
    <col min="15902" max="15902" width="9.85546875" style="458" bestFit="1" customWidth="1"/>
    <col min="15903" max="15907" width="9.140625" style="458"/>
    <col min="15908" max="15908" width="11" style="458" customWidth="1"/>
    <col min="15909" max="15910" width="11.28515625" style="458" customWidth="1"/>
    <col min="15911" max="15911" width="11.5703125" style="458" customWidth="1"/>
    <col min="15912" max="15912" width="11.28515625" style="458" customWidth="1"/>
    <col min="15913" max="15913" width="11.7109375" style="458" customWidth="1"/>
    <col min="15914" max="15914" width="10.7109375" style="458" customWidth="1"/>
    <col min="15915" max="15915" width="9.5703125" style="458" customWidth="1"/>
    <col min="15916" max="15916" width="10.28515625" style="458" customWidth="1"/>
    <col min="15917" max="16128" width="9.140625" style="458"/>
    <col min="16129" max="16129" width="2.140625" style="458" customWidth="1"/>
    <col min="16130" max="16132" width="9.140625" style="458"/>
    <col min="16133" max="16133" width="11.7109375" style="458" bestFit="1" customWidth="1"/>
    <col min="16134" max="16134" width="9.28515625" style="458" bestFit="1" customWidth="1"/>
    <col min="16135" max="16135" width="9.140625" style="458"/>
    <col min="16136" max="16136" width="9.28515625" style="458" bestFit="1" customWidth="1"/>
    <col min="16137" max="16137" width="9.140625" style="458"/>
    <col min="16138" max="16138" width="9.28515625" style="458" bestFit="1" customWidth="1"/>
    <col min="16139" max="16139" width="10" style="458" bestFit="1" customWidth="1"/>
    <col min="16140" max="16148" width="9.140625" style="458"/>
    <col min="16149" max="16149" width="12.42578125" style="458" customWidth="1"/>
    <col min="16150" max="16157" width="9.28515625" style="458" bestFit="1" customWidth="1"/>
    <col min="16158" max="16158" width="9.85546875" style="458" bestFit="1" customWidth="1"/>
    <col min="16159" max="16163" width="9.140625" style="458"/>
    <col min="16164" max="16164" width="11" style="458" customWidth="1"/>
    <col min="16165" max="16166" width="11.28515625" style="458" customWidth="1"/>
    <col min="16167" max="16167" width="11.5703125" style="458" customWidth="1"/>
    <col min="16168" max="16168" width="11.28515625" style="458" customWidth="1"/>
    <col min="16169" max="16169" width="11.7109375" style="458" customWidth="1"/>
    <col min="16170" max="16170" width="10.7109375" style="458" customWidth="1"/>
    <col min="16171" max="16171" width="9.5703125" style="458" customWidth="1"/>
    <col min="16172" max="16172" width="10.28515625" style="458" customWidth="1"/>
    <col min="16173" max="16384" width="9.140625" style="458"/>
  </cols>
  <sheetData>
    <row r="1" spans="1:62" ht="12.75">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row>
    <row r="2" spans="1:62" ht="12.75">
      <c r="A2" s="457"/>
      <c r="B2" s="457"/>
      <c r="C2" s="457"/>
      <c r="D2" s="457"/>
      <c r="E2" s="457"/>
      <c r="F2" s="457"/>
      <c r="G2" s="457"/>
      <c r="H2" s="457"/>
      <c r="I2" s="457"/>
      <c r="J2" s="457"/>
      <c r="K2" s="459"/>
      <c r="L2" s="459"/>
      <c r="M2" s="459"/>
      <c r="N2" s="459"/>
      <c r="O2" s="459"/>
      <c r="P2" s="459"/>
      <c r="Q2" s="459"/>
      <c r="R2" s="459"/>
      <c r="S2" s="459"/>
      <c r="T2" s="459"/>
      <c r="U2" s="459"/>
      <c r="V2" s="459"/>
      <c r="W2" s="459"/>
      <c r="X2" s="459"/>
      <c r="Y2" s="459"/>
      <c r="Z2" s="459"/>
      <c r="AA2" s="459"/>
      <c r="AB2" s="459"/>
      <c r="AC2" s="459"/>
      <c r="AD2" s="459"/>
      <c r="AE2" s="460" t="s">
        <v>1393</v>
      </c>
      <c r="AF2" s="460" t="s">
        <v>1394</v>
      </c>
      <c r="AG2" s="459"/>
      <c r="AH2" s="459"/>
      <c r="AI2" s="459" t="s">
        <v>1395</v>
      </c>
      <c r="AJ2" s="459"/>
      <c r="AK2" s="459"/>
      <c r="AL2" s="459"/>
      <c r="AM2" s="459"/>
      <c r="AN2" s="459"/>
      <c r="AO2" s="459"/>
      <c r="AP2" s="459"/>
      <c r="AQ2" s="459"/>
      <c r="AR2" s="459"/>
      <c r="AS2" s="457"/>
      <c r="AT2" s="457"/>
      <c r="AU2" s="457"/>
      <c r="AV2" s="457"/>
      <c r="AW2" s="457"/>
      <c r="AX2" s="457"/>
      <c r="AY2" s="457"/>
      <c r="AZ2" s="457"/>
      <c r="BA2" s="457"/>
      <c r="BB2" s="457"/>
      <c r="BC2" s="457"/>
      <c r="BD2" s="457"/>
      <c r="BE2" s="457"/>
      <c r="BF2" s="457"/>
      <c r="BG2" s="457"/>
      <c r="BH2" s="457"/>
      <c r="BI2" s="457"/>
      <c r="BJ2" s="457"/>
    </row>
    <row r="3" spans="1:62" ht="12.75">
      <c r="A3" s="457"/>
      <c r="B3" s="459" t="s">
        <v>2554</v>
      </c>
      <c r="C3" s="457"/>
      <c r="D3" s="457"/>
      <c r="E3" s="457"/>
      <c r="F3" s="457"/>
      <c r="G3" s="457"/>
      <c r="H3" s="457"/>
      <c r="I3" s="457"/>
      <c r="J3" s="1242"/>
      <c r="K3" s="459"/>
      <c r="L3" s="459"/>
      <c r="M3" s="459"/>
      <c r="N3" s="459"/>
      <c r="O3" s="459"/>
      <c r="P3" s="459"/>
      <c r="Q3" s="459"/>
      <c r="R3" s="459"/>
      <c r="S3" s="459"/>
      <c r="T3" s="459"/>
      <c r="U3" s="459"/>
      <c r="V3" s="459"/>
      <c r="W3" s="459"/>
      <c r="X3" s="459"/>
      <c r="Y3" s="459"/>
      <c r="Z3" s="459"/>
      <c r="AA3" s="459"/>
      <c r="AB3" s="459"/>
      <c r="AC3" s="459"/>
      <c r="AD3" s="459"/>
      <c r="AE3" s="460"/>
      <c r="AF3" s="460"/>
      <c r="AG3" s="459"/>
      <c r="AH3" s="459"/>
      <c r="AI3" s="459"/>
      <c r="AJ3" s="459"/>
      <c r="AK3" s="459"/>
      <c r="AL3" s="459"/>
      <c r="AM3" s="459"/>
      <c r="AN3" s="459"/>
      <c r="AO3" s="459"/>
      <c r="AP3" s="459"/>
      <c r="AQ3" s="459"/>
      <c r="AR3" s="459"/>
      <c r="AS3" s="457"/>
      <c r="AT3" s="457"/>
      <c r="AU3" s="457"/>
      <c r="AV3" s="457"/>
      <c r="AW3" s="457"/>
      <c r="AX3" s="457"/>
      <c r="AY3" s="457"/>
      <c r="AZ3" s="457"/>
      <c r="BA3" s="457"/>
      <c r="BB3" s="457"/>
      <c r="BC3" s="457"/>
      <c r="BD3" s="457"/>
      <c r="BE3" s="457"/>
      <c r="BF3" s="457"/>
      <c r="BG3" s="457"/>
      <c r="BH3" s="457"/>
      <c r="BI3" s="457"/>
      <c r="BJ3" s="457"/>
    </row>
    <row r="4" spans="1:62" ht="12.75">
      <c r="A4" s="457"/>
      <c r="B4" s="461"/>
      <c r="C4" s="459"/>
      <c r="D4" s="459"/>
      <c r="E4" s="462"/>
      <c r="F4" s="459"/>
      <c r="G4" s="463"/>
      <c r="H4" s="459"/>
      <c r="I4" s="459"/>
      <c r="J4" s="459"/>
      <c r="K4" s="459"/>
      <c r="L4" s="459"/>
      <c r="M4" s="459"/>
      <c r="N4" s="459" t="s">
        <v>1397</v>
      </c>
      <c r="O4" s="459"/>
      <c r="P4" s="459"/>
      <c r="Q4" s="459"/>
      <c r="R4" s="459"/>
      <c r="S4" s="459"/>
      <c r="T4" s="459"/>
      <c r="U4" s="460" t="s">
        <v>1398</v>
      </c>
      <c r="V4" s="460" t="s">
        <v>1399</v>
      </c>
      <c r="W4" s="460" t="s">
        <v>1400</v>
      </c>
      <c r="X4" s="460" t="s">
        <v>1401</v>
      </c>
      <c r="Y4" s="460" t="s">
        <v>1402</v>
      </c>
      <c r="Z4" s="459"/>
      <c r="AA4" s="460" t="s">
        <v>1403</v>
      </c>
      <c r="AB4" s="459" t="s">
        <v>1404</v>
      </c>
      <c r="AC4" s="460" t="s">
        <v>1405</v>
      </c>
      <c r="AD4" s="460" t="s">
        <v>565</v>
      </c>
      <c r="AE4" s="460" t="s">
        <v>1406</v>
      </c>
      <c r="AF4" s="459"/>
      <c r="AG4" s="459"/>
      <c r="AH4" s="459"/>
      <c r="AI4" s="459" t="s">
        <v>1407</v>
      </c>
      <c r="AJ4" s="459"/>
      <c r="AK4" s="459"/>
      <c r="AL4" s="459"/>
      <c r="AM4" s="459"/>
      <c r="AN4" s="459"/>
      <c r="AO4" s="459"/>
      <c r="AP4" s="459"/>
      <c r="AQ4" s="459"/>
      <c r="AR4" s="459"/>
      <c r="AS4" s="457"/>
      <c r="AT4" s="457"/>
      <c r="AU4" s="457"/>
      <c r="AV4" s="457"/>
      <c r="AW4" s="457"/>
      <c r="AX4" s="457"/>
      <c r="AY4" s="457"/>
      <c r="AZ4" s="457"/>
      <c r="BA4" s="457"/>
      <c r="BB4" s="457"/>
      <c r="BC4" s="457"/>
      <c r="BD4" s="457"/>
      <c r="BE4" s="457"/>
      <c r="BF4" s="457"/>
      <c r="BG4" s="457"/>
      <c r="BH4" s="457"/>
      <c r="BI4" s="457"/>
      <c r="BJ4" s="457"/>
    </row>
    <row r="5" spans="1:62" ht="12.75">
      <c r="A5" s="457"/>
      <c r="B5" s="464" t="s">
        <v>1408</v>
      </c>
      <c r="C5" s="464" t="s">
        <v>1409</v>
      </c>
      <c r="D5" s="459"/>
      <c r="E5" s="462">
        <f>E7+E6</f>
        <v>10645322.916430268</v>
      </c>
      <c r="F5" s="464" t="s">
        <v>1410</v>
      </c>
      <c r="G5" s="459"/>
      <c r="H5" s="459"/>
      <c r="I5" s="459"/>
      <c r="J5" s="464"/>
      <c r="K5" s="459"/>
      <c r="L5" s="465"/>
      <c r="M5" s="459"/>
      <c r="N5" s="464" t="s">
        <v>1411</v>
      </c>
      <c r="O5" s="459"/>
      <c r="P5" s="459"/>
      <c r="Q5" s="464" t="s">
        <v>1412</v>
      </c>
      <c r="R5" s="459"/>
      <c r="S5" s="459"/>
      <c r="T5" s="459"/>
      <c r="U5" s="466">
        <f>$E$8*1.25</f>
        <v>12100347.812129963</v>
      </c>
      <c r="V5" s="467">
        <f>100*(+U5/$E$9)</f>
        <v>306.38209854498763</v>
      </c>
      <c r="W5" s="468">
        <f>EXP(5.7226-(0.68367*LN(+V5)))</f>
        <v>6.1025298538303971</v>
      </c>
      <c r="X5" s="468">
        <f>(+W5*V5)/100</f>
        <v>18.697059030499936</v>
      </c>
      <c r="Y5" s="467">
        <f>100*((((X5/100)-((X5/100)-0.03574)*$E$21)-0.03574-0.00619)/0.344)</f>
        <v>27.215752791075452</v>
      </c>
      <c r="Z5" s="459">
        <f>$E$20</f>
        <v>0.25</v>
      </c>
      <c r="AA5" s="467">
        <f>Y5+Z5</f>
        <v>27.465752791075452</v>
      </c>
      <c r="AB5" s="467">
        <f>100*($E$17*$E$19+($E$18*(AA5/100))/(1-$E$21))</f>
        <v>25.987064044261366</v>
      </c>
      <c r="AC5" s="468">
        <f>AB5/V5</f>
        <v>8.4819133257700935E-2</v>
      </c>
      <c r="AD5" s="466">
        <f>$E$8/(1-AC5)</f>
        <v>10577448.241637889</v>
      </c>
      <c r="AE5" s="459" t="str">
        <f>IF(AD5=$U$5,"yes","not yet")</f>
        <v>not yet</v>
      </c>
      <c r="AF5" s="467">
        <f>100*(1-AC5)</f>
        <v>91.518086674229906</v>
      </c>
      <c r="AG5" s="459"/>
      <c r="AH5" s="459"/>
      <c r="AI5" s="459">
        <v>0</v>
      </c>
      <c r="AJ5" s="459">
        <v>1</v>
      </c>
      <c r="AK5" s="459"/>
      <c r="AL5" s="459"/>
      <c r="AM5" s="459"/>
      <c r="AN5" s="459"/>
      <c r="AO5" s="459"/>
      <c r="AP5" s="459"/>
      <c r="AQ5" s="459"/>
      <c r="AR5" s="459"/>
      <c r="AS5" s="457"/>
      <c r="AT5" s="457"/>
      <c r="AU5" s="457"/>
      <c r="AV5" s="457"/>
      <c r="AW5" s="457"/>
      <c r="AX5" s="457"/>
      <c r="AY5" s="457"/>
      <c r="AZ5" s="457"/>
      <c r="BA5" s="457"/>
      <c r="BB5" s="457"/>
      <c r="BC5" s="457"/>
      <c r="BD5" s="457"/>
      <c r="BE5" s="457"/>
      <c r="BF5" s="457"/>
      <c r="BG5" s="457"/>
      <c r="BH5" s="457"/>
      <c r="BI5" s="457"/>
      <c r="BJ5" s="457"/>
    </row>
    <row r="6" spans="1:62" ht="12.75">
      <c r="A6" s="457"/>
      <c r="B6" s="464" t="s">
        <v>1408</v>
      </c>
      <c r="C6" s="464" t="s">
        <v>1413</v>
      </c>
      <c r="D6" s="459"/>
      <c r="E6" s="462">
        <f>(+E8-((H15/100)*E7))/H25</f>
        <v>753361.87195883447</v>
      </c>
      <c r="F6" s="469" t="s">
        <v>1410</v>
      </c>
      <c r="G6" s="459"/>
      <c r="H6" s="459"/>
      <c r="I6" s="459"/>
      <c r="J6" s="470">
        <f>E6/E7</f>
        <v>7.6159001089059541E-2</v>
      </c>
      <c r="K6" s="459" t="s">
        <v>1414</v>
      </c>
      <c r="L6" s="465"/>
      <c r="M6" s="459"/>
      <c r="N6" s="464" t="s">
        <v>1415</v>
      </c>
      <c r="O6" s="459"/>
      <c r="P6" s="459"/>
      <c r="Q6" s="464" t="s">
        <v>1416</v>
      </c>
      <c r="R6" s="459"/>
      <c r="S6" s="459"/>
      <c r="T6" s="459"/>
      <c r="U6" s="466">
        <f>$E$8*1.25</f>
        <v>12100347.812129963</v>
      </c>
      <c r="V6" s="467">
        <f>100*(+U6/$E$9)</f>
        <v>306.38209854498763</v>
      </c>
      <c r="W6" s="468">
        <f>EXP(5.70827-(0.68367*LN(+V6)))</f>
        <v>6.0157041926782435</v>
      </c>
      <c r="X6" s="468">
        <f>(+W6*V6)/100</f>
        <v>18.431040747786408</v>
      </c>
      <c r="Y6" s="467">
        <f>100*((((X6/100)-((X6/100)-0.03574)*$E$21)-0.03574-0.00619)/0.344)</f>
        <v>26.705368876566947</v>
      </c>
      <c r="Z6" s="459">
        <f>$E$20</f>
        <v>0.25</v>
      </c>
      <c r="AA6" s="467">
        <f>Y6+Z6</f>
        <v>26.955368876566947</v>
      </c>
      <c r="AB6" s="467">
        <f>100*($E$17*$E$19+($E$18*(AA6/100))/(1-$E$21))</f>
        <v>25.523078667435449</v>
      </c>
      <c r="AC6" s="468">
        <f>AB6/V6</f>
        <v>8.3304732191093619E-2</v>
      </c>
      <c r="AD6" s="466">
        <f>$E$8/(1-AC6)</f>
        <v>10559974.060782338</v>
      </c>
      <c r="AE6" s="459" t="str">
        <f>IF(AD6=$U$6,"yes","not yet")</f>
        <v>not yet</v>
      </c>
      <c r="AF6" s="467">
        <f>100*(1-AC6)</f>
        <v>91.669526780890635</v>
      </c>
      <c r="AG6" s="459"/>
      <c r="AH6" s="459"/>
      <c r="AI6" s="459">
        <v>50</v>
      </c>
      <c r="AJ6" s="459">
        <v>2</v>
      </c>
      <c r="AK6" s="459"/>
      <c r="AL6" s="459"/>
      <c r="AM6" s="459"/>
      <c r="AN6" s="459"/>
      <c r="AO6" s="459"/>
      <c r="AP6" s="459"/>
      <c r="AQ6" s="459"/>
      <c r="AR6" s="459"/>
      <c r="AS6" s="457"/>
      <c r="AT6" s="457"/>
      <c r="AU6" s="457"/>
      <c r="AV6" s="457"/>
      <c r="AW6" s="457"/>
      <c r="AX6" s="457"/>
      <c r="AY6" s="457"/>
      <c r="AZ6" s="457"/>
      <c r="BA6" s="457"/>
      <c r="BB6" s="457"/>
      <c r="BC6" s="457"/>
      <c r="BD6" s="457"/>
      <c r="BE6" s="457"/>
      <c r="BF6" s="457"/>
      <c r="BG6" s="457"/>
      <c r="BH6" s="457"/>
      <c r="BI6" s="457"/>
      <c r="BJ6" s="457"/>
    </row>
    <row r="7" spans="1:62" ht="12.75">
      <c r="A7" s="457"/>
      <c r="B7" s="471" t="s">
        <v>550</v>
      </c>
      <c r="C7" s="464" t="s">
        <v>105</v>
      </c>
      <c r="D7" s="471" t="s">
        <v>1417</v>
      </c>
      <c r="E7" s="462">
        <f>+'Yakima Consolidated IS'!O20+'Yakima Consolidated IS'!P20</f>
        <v>9891961.0444714334</v>
      </c>
      <c r="F7" s="464" t="s">
        <v>1418</v>
      </c>
      <c r="G7" s="459"/>
      <c r="H7" s="459"/>
      <c r="I7" s="459"/>
      <c r="J7" s="464"/>
      <c r="K7" s="459"/>
      <c r="L7" s="465"/>
      <c r="M7" s="459"/>
      <c r="N7" s="464" t="s">
        <v>1419</v>
      </c>
      <c r="O7" s="459"/>
      <c r="P7" s="459"/>
      <c r="Q7" s="464" t="s">
        <v>1420</v>
      </c>
      <c r="R7" s="459"/>
      <c r="S7" s="459"/>
      <c r="T7" s="459"/>
      <c r="U7" s="466">
        <f>$E$8*1.25</f>
        <v>12100347.812129963</v>
      </c>
      <c r="V7" s="467">
        <f>100*(+U7/$E$9)</f>
        <v>306.38209854498763</v>
      </c>
      <c r="W7" s="468">
        <f>EXP(5.6985-(0.68367*LN(V7)))</f>
        <v>5.9572169381847448</v>
      </c>
      <c r="X7" s="468">
        <f>(+W7*V7)/100</f>
        <v>18.251846270087878</v>
      </c>
      <c r="Y7" s="467">
        <f>100*((((X7/100)-((X7/100)-0.03574)*$E$21)-0.03574-0.00619)/0.344)</f>
        <v>26.361565518191867</v>
      </c>
      <c r="Z7" s="459">
        <f>$E$20</f>
        <v>0.25</v>
      </c>
      <c r="AA7" s="467">
        <f>Y7+Z7</f>
        <v>26.611565518191867</v>
      </c>
      <c r="AB7" s="467">
        <f>100*($E$17*$E$19+($E$18*(AA7/100))/(1-$E$21))</f>
        <v>25.210530159821737</v>
      </c>
      <c r="AC7" s="468">
        <f>AB7/V7</f>
        <v>8.2284605659230278E-2</v>
      </c>
      <c r="AD7" s="466">
        <f>$E$8/(1-AC7)</f>
        <v>10548235.661512125</v>
      </c>
      <c r="AE7" s="459" t="str">
        <f>IF(AD7=$U$7,"yes","not yet")</f>
        <v>not yet</v>
      </c>
      <c r="AF7" s="467">
        <f>100*(1-AC7)</f>
        <v>91.771539434076971</v>
      </c>
      <c r="AG7" s="459"/>
      <c r="AH7" s="459"/>
      <c r="AI7" s="459">
        <v>125</v>
      </c>
      <c r="AJ7" s="459">
        <v>3</v>
      </c>
      <c r="AK7" s="459"/>
      <c r="AL7" s="459"/>
      <c r="AM7" s="459"/>
      <c r="AN7" s="459"/>
      <c r="AO7" s="459"/>
      <c r="AP7" s="459"/>
      <c r="AQ7" s="459"/>
      <c r="AR7" s="459"/>
      <c r="AS7" s="457"/>
      <c r="AT7" s="457"/>
      <c r="AU7" s="457"/>
      <c r="AV7" s="457"/>
      <c r="AW7" s="457"/>
      <c r="AX7" s="457"/>
      <c r="AY7" s="457"/>
      <c r="AZ7" s="457"/>
      <c r="BA7" s="457"/>
      <c r="BB7" s="457"/>
      <c r="BC7" s="457"/>
      <c r="BD7" s="457"/>
      <c r="BE7" s="457"/>
      <c r="BF7" s="457"/>
      <c r="BG7" s="457"/>
      <c r="BH7" s="457"/>
      <c r="BI7" s="457"/>
      <c r="BJ7" s="457"/>
    </row>
    <row r="8" spans="1:62" ht="12.75">
      <c r="A8" s="457"/>
      <c r="B8" s="471" t="s">
        <v>550</v>
      </c>
      <c r="C8" s="464" t="s">
        <v>1421</v>
      </c>
      <c r="D8" s="471" t="s">
        <v>1417</v>
      </c>
      <c r="E8" s="462">
        <f>+'Yakima Consolidated IS'!O276+'Yakima Consolidated IS'!P276</f>
        <v>9680278.2497039698</v>
      </c>
      <c r="F8" s="464" t="s">
        <v>1418</v>
      </c>
      <c r="G8" s="459"/>
      <c r="H8" s="459"/>
      <c r="I8" s="459"/>
      <c r="J8" s="470"/>
      <c r="K8" s="472">
        <f>100000/E7</f>
        <v>1.0109218945609323E-2</v>
      </c>
      <c r="L8" s="465"/>
      <c r="M8" s="459"/>
      <c r="N8" s="464" t="s">
        <v>1422</v>
      </c>
      <c r="O8" s="459"/>
      <c r="P8" s="459"/>
      <c r="Q8" s="464" t="s">
        <v>1423</v>
      </c>
      <c r="R8" s="459"/>
      <c r="S8" s="459"/>
      <c r="T8" s="459"/>
      <c r="U8" s="466">
        <f>$E$8*1.25</f>
        <v>12100347.812129963</v>
      </c>
      <c r="V8" s="467">
        <f>100*(+U8/$E$9)</f>
        <v>306.38209854498763</v>
      </c>
      <c r="W8" s="468">
        <f>EXP(5.6922-(0.68367*LN(V8)))</f>
        <v>5.9198044445708033</v>
      </c>
      <c r="X8" s="468">
        <f>(+W8*V8)/100</f>
        <v>18.137221087035474</v>
      </c>
      <c r="Y8" s="467">
        <f>100*((((X8/100)-((X8/100)-0.03574)*$E$21)-0.03574-0.00619)/0.344)</f>
        <v>26.14164510884714</v>
      </c>
      <c r="Z8" s="459">
        <f>$E$20</f>
        <v>0.25</v>
      </c>
      <c r="AA8" s="467">
        <f>Y8+Z8</f>
        <v>26.39164510884714</v>
      </c>
      <c r="AB8" s="467">
        <f>100*($E$17*$E$19+($E$18*(AA8/100))/(1-$E$21))</f>
        <v>25.010602514962898</v>
      </c>
      <c r="AC8" s="468">
        <f>AB8/V8</f>
        <v>8.1632062165963873E-2</v>
      </c>
      <c r="AD8" s="466">
        <f>$E$8/(1-AC8)</f>
        <v>10540740.645339638</v>
      </c>
      <c r="AE8" s="459" t="str">
        <f>IF(AD8=$U$8,"yes","not yet")</f>
        <v>not yet</v>
      </c>
      <c r="AF8" s="467">
        <f>100*(1-AC8)</f>
        <v>91.836793783403607</v>
      </c>
      <c r="AG8" s="459"/>
      <c r="AH8" s="459"/>
      <c r="AI8" s="459">
        <v>401</v>
      </c>
      <c r="AJ8" s="459">
        <v>4</v>
      </c>
      <c r="AK8" s="459"/>
      <c r="AL8" s="459"/>
      <c r="AM8" s="459"/>
      <c r="AN8" s="459"/>
      <c r="AO8" s="459"/>
      <c r="AP8" s="459"/>
      <c r="AQ8" s="459"/>
      <c r="AR8" s="459"/>
      <c r="AS8" s="457"/>
      <c r="AT8" s="457"/>
      <c r="AU8" s="457"/>
      <c r="AV8" s="457"/>
      <c r="AW8" s="457"/>
      <c r="AX8" s="457"/>
      <c r="AY8" s="457"/>
      <c r="AZ8" s="457"/>
      <c r="BA8" s="457"/>
      <c r="BB8" s="457"/>
      <c r="BC8" s="457"/>
      <c r="BD8" s="457"/>
      <c r="BE8" s="457"/>
      <c r="BF8" s="457"/>
      <c r="BG8" s="457"/>
      <c r="BH8" s="457"/>
      <c r="BI8" s="457"/>
      <c r="BJ8" s="457"/>
    </row>
    <row r="9" spans="1:62" ht="12.75">
      <c r="A9" s="457"/>
      <c r="B9" s="471" t="s">
        <v>550</v>
      </c>
      <c r="C9" s="464" t="s">
        <v>1424</v>
      </c>
      <c r="D9" s="459"/>
      <c r="E9" s="462">
        <f>+'Yakima Consolidated IS'!O282+'Yakima Consolidated IS'!P282</f>
        <v>3949430.4235119037</v>
      </c>
      <c r="F9" s="464" t="s">
        <v>1418</v>
      </c>
      <c r="G9" s="459"/>
      <c r="H9" s="459"/>
      <c r="I9" s="459"/>
      <c r="J9" s="464"/>
      <c r="K9" s="459"/>
      <c r="L9" s="465"/>
      <c r="M9" s="459"/>
      <c r="N9" s="459"/>
      <c r="O9" s="459"/>
      <c r="P9" s="459"/>
      <c r="Q9" s="459"/>
      <c r="R9" s="459"/>
      <c r="S9" s="459"/>
      <c r="T9" s="459"/>
      <c r="U9" s="459"/>
      <c r="V9" s="459"/>
      <c r="W9" s="459"/>
      <c r="X9" s="459"/>
      <c r="Y9" s="459"/>
      <c r="Z9" s="459"/>
      <c r="AA9" s="467"/>
      <c r="AB9" s="459"/>
      <c r="AC9" s="459"/>
      <c r="AD9" s="459"/>
      <c r="AE9" s="459"/>
      <c r="AF9" s="459"/>
      <c r="AG9" s="459"/>
      <c r="AH9" s="459"/>
      <c r="AI9" s="459"/>
      <c r="AJ9" s="459"/>
      <c r="AK9" s="459"/>
      <c r="AL9" s="459"/>
      <c r="AM9" s="459"/>
      <c r="AN9" s="459"/>
      <c r="AO9" s="459"/>
      <c r="AP9" s="459"/>
      <c r="AQ9" s="459"/>
      <c r="AR9" s="459"/>
      <c r="AS9" s="457"/>
      <c r="AT9" s="457"/>
      <c r="AU9" s="457"/>
      <c r="AV9" s="457"/>
      <c r="AW9" s="457"/>
      <c r="AX9" s="457"/>
      <c r="AY9" s="457"/>
      <c r="AZ9" s="457"/>
      <c r="BA9" s="457"/>
      <c r="BB9" s="457"/>
      <c r="BC9" s="457"/>
      <c r="BD9" s="457"/>
      <c r="BE9" s="457"/>
      <c r="BF9" s="457"/>
      <c r="BG9" s="457"/>
      <c r="BH9" s="457"/>
      <c r="BI9" s="457"/>
      <c r="BJ9" s="457"/>
    </row>
    <row r="10" spans="1:62" ht="12.75">
      <c r="A10" s="457"/>
      <c r="B10" s="461"/>
      <c r="C10" s="464" t="s">
        <v>1425</v>
      </c>
      <c r="D10" s="459"/>
      <c r="E10" s="467">
        <f>V5</f>
        <v>306.38209854498763</v>
      </c>
      <c r="F10" s="464" t="s">
        <v>1426</v>
      </c>
      <c r="G10" s="459"/>
      <c r="H10" s="467"/>
      <c r="I10" s="467"/>
      <c r="J10" s="461"/>
      <c r="K10" s="463"/>
      <c r="L10" s="459"/>
      <c r="M10" s="459"/>
      <c r="N10" s="459"/>
      <c r="O10" s="459"/>
      <c r="P10" s="459"/>
      <c r="Q10" s="459"/>
      <c r="R10" s="459"/>
      <c r="S10" s="459"/>
      <c r="T10" s="459"/>
      <c r="U10" s="459"/>
      <c r="V10" s="473" t="s">
        <v>1427</v>
      </c>
      <c r="W10" s="473" t="s">
        <v>1400</v>
      </c>
      <c r="X10" s="473" t="s">
        <v>1401</v>
      </c>
      <c r="Y10" s="473" t="s">
        <v>1402</v>
      </c>
      <c r="Z10" s="459"/>
      <c r="AA10" s="467"/>
      <c r="AB10" s="459"/>
      <c r="AC10" s="459"/>
      <c r="AD10" s="459"/>
      <c r="AE10" s="459"/>
      <c r="AF10" s="459"/>
      <c r="AG10" s="459"/>
      <c r="AH10" s="459"/>
      <c r="AI10" s="459" t="s">
        <v>1428</v>
      </c>
      <c r="AJ10" s="459"/>
      <c r="AK10" s="459"/>
      <c r="AL10" s="459"/>
      <c r="AM10" s="459"/>
      <c r="AN10" s="459"/>
      <c r="AO10" s="459"/>
      <c r="AP10" s="459"/>
      <c r="AQ10" s="459"/>
      <c r="AR10" s="459"/>
      <c r="AS10" s="457"/>
      <c r="AT10" s="457"/>
      <c r="AU10" s="457"/>
      <c r="AV10" s="457"/>
      <c r="AW10" s="457"/>
      <c r="AX10" s="457"/>
      <c r="AY10" s="457"/>
      <c r="AZ10" s="457"/>
      <c r="BA10" s="457"/>
      <c r="BB10" s="457"/>
      <c r="BC10" s="457"/>
      <c r="BD10" s="457"/>
      <c r="BE10" s="457"/>
      <c r="BF10" s="457"/>
      <c r="BG10" s="457"/>
      <c r="BH10" s="457"/>
      <c r="BI10" s="457"/>
      <c r="BJ10" s="457"/>
    </row>
    <row r="11" spans="1:62" ht="12.75">
      <c r="A11" s="457"/>
      <c r="B11" s="461"/>
      <c r="C11" s="464" t="s">
        <v>1429</v>
      </c>
      <c r="D11" s="459"/>
      <c r="E11" s="467">
        <f>HLOOKUP($AJ$34,$AJ$28:$AR$32,($E$12)+1)</f>
        <v>269.03365449217858</v>
      </c>
      <c r="F11" s="464" t="s">
        <v>1426</v>
      </c>
      <c r="G11" s="459"/>
      <c r="H11" s="459"/>
      <c r="I11" s="459"/>
      <c r="J11" s="471"/>
      <c r="K11" s="462"/>
      <c r="L11" s="459"/>
      <c r="M11" s="459"/>
      <c r="N11" s="459"/>
      <c r="O11" s="459"/>
      <c r="P11" s="459"/>
      <c r="Q11" s="459"/>
      <c r="R11" s="459"/>
      <c r="S11" s="459"/>
      <c r="T11" s="459"/>
      <c r="U11" s="459"/>
      <c r="V11" s="467">
        <f>100*(+AD5/$E$9)</f>
        <v>267.82211882168656</v>
      </c>
      <c r="W11" s="474">
        <f>EXP(5.7226-(0.68367*LN(+V11)))</f>
        <v>6.6903343997635893</v>
      </c>
      <c r="X11" s="468">
        <f>(+W11*V11)/100</f>
        <v>17.918195345703012</v>
      </c>
      <c r="Y11" s="467">
        <f>100*((((X11/100)-((X11/100)-0.03574)*$E$21)-0.03574-0.00619)/0.344)</f>
        <v>25.721421302802295</v>
      </c>
      <c r="Z11" s="459">
        <f>$E$20</f>
        <v>0.25</v>
      </c>
      <c r="AA11" s="467">
        <f>Y11+Z11</f>
        <v>25.971421302802295</v>
      </c>
      <c r="AB11" s="467">
        <f>100*($E$17*$E$19+($E$18*(AA11/100))/(1-$E$21))</f>
        <v>24.628580873103946</v>
      </c>
      <c r="AC11" s="468">
        <f>AB11/V11</f>
        <v>9.1958726118141959E-2</v>
      </c>
      <c r="AD11" s="466">
        <f>$E$8/(1-AC11)</f>
        <v>10660614.806991071</v>
      </c>
      <c r="AE11" s="459" t="str">
        <f>IF(AD11=AD5,"yes","not yet")</f>
        <v>not yet</v>
      </c>
      <c r="AF11" s="467">
        <f>100*(1-AC11)</f>
        <v>90.804127388185805</v>
      </c>
      <c r="AG11" s="459"/>
      <c r="AH11" s="459"/>
      <c r="AI11" s="459"/>
      <c r="AJ11" s="459"/>
      <c r="AK11" s="459"/>
      <c r="AL11" s="459"/>
      <c r="AM11" s="459"/>
      <c r="AN11" s="459"/>
      <c r="AO11" s="459"/>
      <c r="AP11" s="459"/>
      <c r="AQ11" s="459"/>
      <c r="AR11" s="459"/>
      <c r="AS11" s="457"/>
      <c r="AT11" s="457"/>
      <c r="AU11" s="457"/>
      <c r="AV11" s="457"/>
      <c r="AW11" s="457"/>
      <c r="AX11" s="457"/>
      <c r="AY11" s="457"/>
      <c r="AZ11" s="457"/>
      <c r="BA11" s="457"/>
      <c r="BB11" s="457"/>
      <c r="BC11" s="457"/>
      <c r="BD11" s="457"/>
      <c r="BE11" s="457"/>
      <c r="BF11" s="457"/>
      <c r="BG11" s="457"/>
      <c r="BH11" s="457"/>
      <c r="BI11" s="457"/>
      <c r="BJ11" s="457"/>
    </row>
    <row r="12" spans="1:62" ht="12.75">
      <c r="A12" s="457"/>
      <c r="B12" s="461"/>
      <c r="C12" s="464" t="s">
        <v>1430</v>
      </c>
      <c r="D12" s="459"/>
      <c r="E12" s="459">
        <f>VLOOKUP(E10,AI5:AJ8,2)</f>
        <v>3</v>
      </c>
      <c r="F12" s="464" t="s">
        <v>1426</v>
      </c>
      <c r="G12" s="459"/>
      <c r="H12" s="459"/>
      <c r="I12" s="459"/>
      <c r="J12" s="471"/>
      <c r="K12" s="462"/>
      <c r="L12" s="459"/>
      <c r="M12" s="459"/>
      <c r="N12" s="459"/>
      <c r="O12" s="459"/>
      <c r="P12" s="459"/>
      <c r="Q12" s="459"/>
      <c r="R12" s="459"/>
      <c r="S12" s="459"/>
      <c r="T12" s="459"/>
      <c r="U12" s="459"/>
      <c r="V12" s="467">
        <f>100*(+AD6/$E$9)</f>
        <v>267.37967069672345</v>
      </c>
      <c r="W12" s="474">
        <f>EXP(5.70827-(0.68367*LN(+V12)))</f>
        <v>6.6026047481272823</v>
      </c>
      <c r="X12" s="468">
        <f>(+W12*V12)/100</f>
        <v>17.654022832948954</v>
      </c>
      <c r="Y12" s="467">
        <f>100*((((X12/100)-((X12/100)-0.03574)*$E$21)-0.03574-0.00619)/0.344)</f>
        <v>25.214578691122995</v>
      </c>
      <c r="Z12" s="459">
        <f>$E$20</f>
        <v>0.25</v>
      </c>
      <c r="AA12" s="467">
        <f>Y12+Z12</f>
        <v>25.464578691122995</v>
      </c>
      <c r="AB12" s="467">
        <f>100*($E$17*$E$19+($E$18*(AA12/100))/(1-$E$21))</f>
        <v>24.167814862486402</v>
      </c>
      <c r="AC12" s="468">
        <f>AB12/V12</f>
        <v>9.0387630441428932E-2</v>
      </c>
      <c r="AD12" s="466">
        <f>$E$8/(1-AC12)</f>
        <v>10642201.638486672</v>
      </c>
      <c r="AE12" s="459" t="str">
        <f>IF(AD12=AD6,"yes","not yet")</f>
        <v>not yet</v>
      </c>
      <c r="AF12" s="467">
        <f>100*(1-AC12)</f>
        <v>90.961236955857103</v>
      </c>
      <c r="AG12" s="459"/>
      <c r="AH12" s="459"/>
      <c r="AI12" s="459"/>
      <c r="AJ12" s="459"/>
      <c r="AK12" s="459"/>
      <c r="AL12" s="459"/>
      <c r="AM12" s="459"/>
      <c r="AN12" s="459"/>
      <c r="AO12" s="459"/>
      <c r="AP12" s="459"/>
      <c r="AQ12" s="459"/>
      <c r="AR12" s="459"/>
      <c r="AS12" s="457"/>
      <c r="AT12" s="457"/>
      <c r="AU12" s="457"/>
      <c r="AV12" s="457"/>
      <c r="AW12" s="457"/>
      <c r="AX12" s="457"/>
      <c r="AY12" s="457"/>
      <c r="AZ12" s="457"/>
      <c r="BA12" s="457"/>
      <c r="BB12" s="457"/>
      <c r="BC12" s="457"/>
      <c r="BD12" s="457"/>
      <c r="BE12" s="457"/>
      <c r="BF12" s="457"/>
      <c r="BG12" s="457"/>
      <c r="BH12" s="457"/>
      <c r="BI12" s="457"/>
      <c r="BJ12" s="457"/>
    </row>
    <row r="13" spans="1:62" ht="12.75">
      <c r="A13" s="457"/>
      <c r="B13" s="461"/>
      <c r="C13" s="459"/>
      <c r="D13" s="459"/>
      <c r="E13" s="459"/>
      <c r="F13" s="459"/>
      <c r="G13" s="459"/>
      <c r="H13" s="459"/>
      <c r="I13" s="459"/>
      <c r="J13" s="496"/>
      <c r="K13" s="497"/>
      <c r="L13" s="493"/>
      <c r="M13" s="459"/>
      <c r="N13" s="459"/>
      <c r="O13" s="459"/>
      <c r="P13" s="459"/>
      <c r="Q13" s="459"/>
      <c r="R13" s="459"/>
      <c r="S13" s="459"/>
      <c r="T13" s="459"/>
      <c r="U13" s="459"/>
      <c r="V13" s="467">
        <f>100*(+AD7/$E$9)</f>
        <v>267.08245317390464</v>
      </c>
      <c r="W13" s="474">
        <f>EXP(5.6985-(0.68367*LN(V13)))</f>
        <v>6.5433850012459001</v>
      </c>
      <c r="X13" s="468">
        <f>(+W13*V13)/100</f>
        <v>17.476233181940881</v>
      </c>
      <c r="Y13" s="467">
        <f>100*((((X13/100)-((X13/100)-0.03574)*$E$21)-0.03574-0.00619)/0.344)</f>
        <v>24.8734706397703</v>
      </c>
      <c r="Z13" s="459">
        <f>$E$20</f>
        <v>0.25</v>
      </c>
      <c r="AA13" s="467">
        <f>Y13+Z13</f>
        <v>25.1234706397703</v>
      </c>
      <c r="AB13" s="467">
        <f>100*($E$17*$E$19+($E$18*(AA13/100))/(1-$E$21))</f>
        <v>23.857716633983955</v>
      </c>
      <c r="AC13" s="468">
        <f>AB13/V13</f>
        <v>8.9327158525272149E-2</v>
      </c>
      <c r="AD13" s="466">
        <f>$E$8/(1-AC13)</f>
        <v>10629808.871897282</v>
      </c>
      <c r="AE13" s="459" t="str">
        <f>IF(AD13=AD7,"yes","not yet")</f>
        <v>not yet</v>
      </c>
      <c r="AF13" s="467">
        <f>100*(1-AC13)</f>
        <v>91.067284147472776</v>
      </c>
      <c r="AG13" s="459"/>
      <c r="AH13" s="459"/>
      <c r="AI13" s="459"/>
      <c r="AJ13" s="459">
        <v>1</v>
      </c>
      <c r="AK13" s="459">
        <v>2</v>
      </c>
      <c r="AL13" s="459">
        <v>3</v>
      </c>
      <c r="AM13" s="459">
        <v>4</v>
      </c>
      <c r="AN13" s="459">
        <v>5</v>
      </c>
      <c r="AO13" s="459">
        <v>6</v>
      </c>
      <c r="AP13" s="459">
        <v>7</v>
      </c>
      <c r="AQ13" s="459">
        <v>8</v>
      </c>
      <c r="AR13" s="459">
        <v>9</v>
      </c>
      <c r="AS13" s="457"/>
      <c r="AT13" s="457"/>
      <c r="AU13" s="457"/>
      <c r="AV13" s="457"/>
      <c r="AW13" s="457"/>
      <c r="AX13" s="457"/>
      <c r="AY13" s="457"/>
      <c r="AZ13" s="457"/>
      <c r="BA13" s="457"/>
      <c r="BB13" s="457"/>
      <c r="BC13" s="457"/>
      <c r="BD13" s="457"/>
      <c r="BE13" s="457"/>
      <c r="BF13" s="457"/>
      <c r="BG13" s="457"/>
      <c r="BH13" s="457"/>
      <c r="BI13" s="457"/>
      <c r="BJ13" s="457"/>
    </row>
    <row r="14" spans="1:62" ht="12.75">
      <c r="A14" s="457"/>
      <c r="B14" s="461"/>
      <c r="C14" s="464" t="s">
        <v>1431</v>
      </c>
      <c r="D14" s="459"/>
      <c r="E14" s="459"/>
      <c r="F14" s="459"/>
      <c r="G14" s="459"/>
      <c r="H14" s="459"/>
      <c r="I14" s="459"/>
      <c r="J14" s="461"/>
      <c r="K14" s="462"/>
      <c r="L14" s="459"/>
      <c r="M14" s="459"/>
      <c r="N14" s="459"/>
      <c r="O14" s="459"/>
      <c r="P14" s="459"/>
      <c r="Q14" s="459"/>
      <c r="R14" s="459"/>
      <c r="S14" s="459"/>
      <c r="T14" s="459"/>
      <c r="U14" s="459"/>
      <c r="V14" s="467">
        <f>100*(+AD8/$E$9)</f>
        <v>266.89267856418206</v>
      </c>
      <c r="W14" s="474">
        <f>EXP(5.6922-(0.68367*LN(V14)))</f>
        <v>6.5054518280081171</v>
      </c>
      <c r="X14" s="468">
        <f>(+W14*V14)/100</f>
        <v>17.362574636473411</v>
      </c>
      <c r="Y14" s="467">
        <f>100*((((X14/100)-((X14/100)-0.03574)*$E$21)-0.03574-0.00619)/0.344)</f>
        <v>24.655404825792012</v>
      </c>
      <c r="Z14" s="459">
        <f>$E$20</f>
        <v>0.25</v>
      </c>
      <c r="AA14" s="467">
        <f>Y14+Z14</f>
        <v>24.905404825792012</v>
      </c>
      <c r="AB14" s="467">
        <f>100*($E$17*$E$19+($E$18*(AA14/100))/(1-$E$21))</f>
        <v>23.65947498491278</v>
      </c>
      <c r="AC14" s="468">
        <f>AB14/V14</f>
        <v>8.8647898144658829E-2</v>
      </c>
      <c r="AD14" s="466">
        <f>$E$8/(1-AC14)</f>
        <v>10621886.129407885</v>
      </c>
      <c r="AE14" s="459" t="str">
        <f>IF(AD14=AD8,"yes","not yet")</f>
        <v>not yet</v>
      </c>
      <c r="AF14" s="467">
        <f>100*(1-AC14)</f>
        <v>91.13521018553412</v>
      </c>
      <c r="AG14" s="459"/>
      <c r="AH14" s="459"/>
      <c r="AI14" s="459"/>
      <c r="AJ14" s="459" t="str">
        <f>AE5</f>
        <v>not yet</v>
      </c>
      <c r="AK14" s="459" t="str">
        <f>AE11</f>
        <v>not yet</v>
      </c>
      <c r="AL14" s="459" t="str">
        <f>AE17</f>
        <v>not yet</v>
      </c>
      <c r="AM14" s="459" t="str">
        <f>AE23</f>
        <v>not yet</v>
      </c>
      <c r="AN14" s="459" t="str">
        <f>AE29</f>
        <v>not yet</v>
      </c>
      <c r="AO14" s="459" t="str">
        <f>AE35</f>
        <v>not yet</v>
      </c>
      <c r="AP14" s="459" t="str">
        <f>AE41</f>
        <v>yes</v>
      </c>
      <c r="AQ14" s="459" t="str">
        <f>AE47</f>
        <v>yes</v>
      </c>
      <c r="AR14" s="459" t="str">
        <f>AE53</f>
        <v>yes</v>
      </c>
      <c r="AS14" s="457"/>
      <c r="AT14" s="457"/>
      <c r="AU14" s="457"/>
      <c r="AV14" s="457"/>
      <c r="AW14" s="457"/>
      <c r="AX14" s="457"/>
      <c r="AY14" s="457"/>
      <c r="AZ14" s="457"/>
      <c r="BA14" s="457"/>
      <c r="BB14" s="457"/>
      <c r="BC14" s="457"/>
      <c r="BD14" s="457"/>
      <c r="BE14" s="457"/>
      <c r="BF14" s="457"/>
      <c r="BG14" s="457"/>
      <c r="BH14" s="457"/>
      <c r="BI14" s="457"/>
      <c r="BJ14" s="457"/>
    </row>
    <row r="15" spans="1:62" ht="14.25">
      <c r="A15" s="457"/>
      <c r="B15" s="461"/>
      <c r="C15" s="464" t="s">
        <v>1432</v>
      </c>
      <c r="D15" s="459"/>
      <c r="E15" s="471" t="s">
        <v>1408</v>
      </c>
      <c r="F15" s="464" t="s">
        <v>1433</v>
      </c>
      <c r="G15" s="459"/>
      <c r="H15" s="467">
        <f>HLOOKUP($AJ$25,$AJ$19:$AR$23,($E$12)+1)</f>
        <v>91.105951237761957</v>
      </c>
      <c r="I15" s="464" t="s">
        <v>1410</v>
      </c>
      <c r="J15" s="457"/>
      <c r="K15" s="475"/>
      <c r="L15" s="459"/>
      <c r="M15" s="459"/>
      <c r="N15" s="459"/>
      <c r="O15" s="459"/>
      <c r="P15" s="459"/>
      <c r="Q15" s="459"/>
      <c r="R15" s="459"/>
      <c r="S15" s="459"/>
      <c r="T15" s="459"/>
      <c r="U15" s="459"/>
      <c r="V15" s="459"/>
      <c r="W15" s="459"/>
      <c r="X15" s="459"/>
      <c r="Y15" s="459"/>
      <c r="Z15" s="459"/>
      <c r="AA15" s="467"/>
      <c r="AB15" s="459"/>
      <c r="AC15" s="459"/>
      <c r="AD15" s="459"/>
      <c r="AE15" s="459"/>
      <c r="AF15" s="459"/>
      <c r="AG15" s="459"/>
      <c r="AH15" s="459"/>
      <c r="AI15" s="459"/>
      <c r="AJ15" s="459" t="str">
        <f>AE6</f>
        <v>not yet</v>
      </c>
      <c r="AK15" s="459" t="str">
        <f>AE12</f>
        <v>not yet</v>
      </c>
      <c r="AL15" s="459" t="str">
        <f>AE18</f>
        <v>not yet</v>
      </c>
      <c r="AM15" s="459" t="str">
        <f>AE24</f>
        <v>not yet</v>
      </c>
      <c r="AN15" s="459" t="str">
        <f>AE30</f>
        <v>not yet</v>
      </c>
      <c r="AO15" s="459" t="str">
        <f>AE36</f>
        <v>not yet</v>
      </c>
      <c r="AP15" s="459" t="str">
        <f>AE42</f>
        <v>yes</v>
      </c>
      <c r="AQ15" s="459" t="str">
        <f>AE48</f>
        <v>yes</v>
      </c>
      <c r="AR15" s="459" t="str">
        <f>AE54</f>
        <v>yes</v>
      </c>
      <c r="AS15" s="457"/>
      <c r="AT15" s="457"/>
      <c r="AU15" s="457"/>
      <c r="AV15" s="457"/>
      <c r="AW15" s="457"/>
      <c r="AX15" s="457"/>
      <c r="AY15" s="457"/>
      <c r="AZ15" s="457"/>
      <c r="BA15" s="457"/>
      <c r="BB15" s="457"/>
      <c r="BC15" s="457"/>
      <c r="BD15" s="457"/>
      <c r="BE15" s="457"/>
      <c r="BF15" s="457"/>
      <c r="BG15" s="457"/>
      <c r="BH15" s="457"/>
      <c r="BI15" s="457"/>
      <c r="BJ15" s="457"/>
    </row>
    <row r="16" spans="1:62" ht="14.25">
      <c r="A16" s="457"/>
      <c r="B16" s="461"/>
      <c r="C16" s="476"/>
      <c r="D16" s="476"/>
      <c r="E16" s="477"/>
      <c r="F16" s="459"/>
      <c r="G16" s="459"/>
      <c r="H16" s="476"/>
      <c r="I16" s="461"/>
      <c r="J16" s="457"/>
      <c r="L16" s="478"/>
      <c r="M16" s="478"/>
      <c r="N16" s="478"/>
      <c r="O16" s="459"/>
      <c r="P16" s="459"/>
      <c r="Q16" s="459"/>
      <c r="R16" s="459"/>
      <c r="S16" s="459"/>
      <c r="T16" s="459"/>
      <c r="U16" s="459"/>
      <c r="V16" s="464" t="s">
        <v>1434</v>
      </c>
      <c r="W16" s="473" t="s">
        <v>1400</v>
      </c>
      <c r="X16" s="473" t="s">
        <v>1401</v>
      </c>
      <c r="Y16" s="473" t="s">
        <v>1402</v>
      </c>
      <c r="Z16" s="459"/>
      <c r="AA16" s="467"/>
      <c r="AB16" s="459"/>
      <c r="AC16" s="459"/>
      <c r="AD16" s="459"/>
      <c r="AE16" s="459"/>
      <c r="AF16" s="459"/>
      <c r="AG16" s="459"/>
      <c r="AH16" s="459"/>
      <c r="AI16" s="459"/>
      <c r="AJ16" s="459" t="str">
        <f>AE7</f>
        <v>not yet</v>
      </c>
      <c r="AK16" s="459" t="str">
        <f>AE13</f>
        <v>not yet</v>
      </c>
      <c r="AL16" s="459" t="str">
        <f>AE19</f>
        <v>not yet</v>
      </c>
      <c r="AM16" s="459" t="str">
        <f>AE25</f>
        <v>not yet</v>
      </c>
      <c r="AN16" s="459" t="str">
        <f>AE31</f>
        <v>not yet</v>
      </c>
      <c r="AO16" s="459" t="str">
        <f>AE37</f>
        <v>not yet</v>
      </c>
      <c r="AP16" s="459" t="str">
        <f>AE43</f>
        <v>yes</v>
      </c>
      <c r="AQ16" s="459" t="str">
        <f>AE49</f>
        <v>yes</v>
      </c>
      <c r="AR16" s="459" t="str">
        <f>AE55</f>
        <v>yes</v>
      </c>
      <c r="AS16" s="457"/>
      <c r="AT16" s="457"/>
      <c r="AU16" s="457"/>
      <c r="AV16" s="457"/>
      <c r="AW16" s="457"/>
      <c r="AX16" s="457"/>
      <c r="AY16" s="457"/>
      <c r="AZ16" s="457"/>
      <c r="BA16" s="457"/>
      <c r="BB16" s="457"/>
      <c r="BC16" s="457"/>
      <c r="BD16" s="457"/>
      <c r="BE16" s="457"/>
      <c r="BF16" s="457"/>
      <c r="BG16" s="457"/>
      <c r="BH16" s="457"/>
      <c r="BI16" s="457"/>
      <c r="BJ16" s="457"/>
    </row>
    <row r="17" spans="1:62" ht="12.75">
      <c r="A17" s="457"/>
      <c r="B17" s="471" t="s">
        <v>550</v>
      </c>
      <c r="C17" s="464" t="s">
        <v>1435</v>
      </c>
      <c r="D17" s="459"/>
      <c r="E17" s="465">
        <f>'WCI BS'!E67</f>
        <v>0.4</v>
      </c>
      <c r="F17" s="464" t="s">
        <v>1436</v>
      </c>
      <c r="G17" s="459"/>
      <c r="H17" s="459"/>
      <c r="I17" s="461"/>
      <c r="J17" s="457"/>
      <c r="K17" s="459"/>
      <c r="L17" s="479"/>
      <c r="M17" s="479"/>
      <c r="N17" s="480"/>
      <c r="O17" s="481"/>
      <c r="P17" s="459"/>
      <c r="Q17" s="459"/>
      <c r="R17" s="459"/>
      <c r="S17" s="459"/>
      <c r="T17" s="459"/>
      <c r="U17" s="459"/>
      <c r="V17" s="467">
        <f>100*(+AD11/$E$9)</f>
        <v>269.92790513603893</v>
      </c>
      <c r="W17" s="474">
        <f>EXP(5.7226-(0.68367*LN(+V17)))</f>
        <v>6.6546072602907502</v>
      </c>
      <c r="X17" s="468">
        <f>(+W17*V17)/100</f>
        <v>17.962641972733575</v>
      </c>
      <c r="Y17" s="467">
        <f>100*((((X17/100)-((X17/100)-0.03574)*$E$21)-0.03574-0.00619)/0.344)</f>
        <v>25.806696808151631</v>
      </c>
      <c r="Z17" s="459">
        <f>$E$20</f>
        <v>0.25</v>
      </c>
      <c r="AA17" s="467">
        <f>Y17+Z17</f>
        <v>26.056696808151631</v>
      </c>
      <c r="AB17" s="467">
        <f>100*($E$17*$E$19+($E$18*(AA17/100))/(1-$E$21))</f>
        <v>24.706104059785162</v>
      </c>
      <c r="AC17" s="468">
        <f>AB17/V17</f>
        <v>9.1528528876381701E-2</v>
      </c>
      <c r="AD17" s="466">
        <f>$E$8/(1-AC17)</f>
        <v>10655566.583429616</v>
      </c>
      <c r="AE17" s="459" t="str">
        <f>IF(AD17=AD11,"yes","not yet")</f>
        <v>not yet</v>
      </c>
      <c r="AF17" s="467">
        <f>100*(1-AC17)</f>
        <v>90.847147112361824</v>
      </c>
      <c r="AG17" s="459"/>
      <c r="AH17" s="459"/>
      <c r="AI17" s="459"/>
      <c r="AJ17" s="459" t="str">
        <f>AE8</f>
        <v>not yet</v>
      </c>
      <c r="AK17" s="459" t="str">
        <f>AE14</f>
        <v>not yet</v>
      </c>
      <c r="AL17" s="459" t="str">
        <f>AE20</f>
        <v>not yet</v>
      </c>
      <c r="AM17" s="459" t="str">
        <f>AE26</f>
        <v>not yet</v>
      </c>
      <c r="AN17" s="459" t="str">
        <f>AE32</f>
        <v>not yet</v>
      </c>
      <c r="AO17" s="459" t="str">
        <f>AE38</f>
        <v>not yet</v>
      </c>
      <c r="AP17" s="459" t="str">
        <f>AE44</f>
        <v>yes</v>
      </c>
      <c r="AQ17" s="459" t="str">
        <f>AE50</f>
        <v>yes</v>
      </c>
      <c r="AR17" s="459" t="str">
        <f>AE56</f>
        <v>yes</v>
      </c>
      <c r="AS17" s="457"/>
      <c r="AT17" s="457"/>
      <c r="AU17" s="457"/>
      <c r="AV17" s="457"/>
      <c r="AW17" s="457"/>
      <c r="AX17" s="457"/>
      <c r="AY17" s="457"/>
      <c r="AZ17" s="457"/>
      <c r="BA17" s="457"/>
      <c r="BB17" s="457"/>
      <c r="BC17" s="457"/>
      <c r="BD17" s="457"/>
      <c r="BE17" s="457"/>
      <c r="BF17" s="457"/>
      <c r="BG17" s="457"/>
      <c r="BH17" s="457"/>
      <c r="BI17" s="457"/>
      <c r="BJ17" s="457"/>
    </row>
    <row r="18" spans="1:62" ht="12.75">
      <c r="A18" s="457"/>
      <c r="B18" s="471" t="s">
        <v>550</v>
      </c>
      <c r="C18" s="464" t="s">
        <v>1437</v>
      </c>
      <c r="D18" s="459"/>
      <c r="E18" s="465">
        <f>'WCI BS'!E68</f>
        <v>0.6</v>
      </c>
      <c r="F18" s="464" t="s">
        <v>1438</v>
      </c>
      <c r="G18" s="459"/>
      <c r="H18" s="465">
        <v>1.4999999999999999E-2</v>
      </c>
      <c r="I18" s="464" t="s">
        <v>550</v>
      </c>
      <c r="J18" s="457"/>
      <c r="K18" s="459"/>
      <c r="L18" s="479"/>
      <c r="M18" s="479"/>
      <c r="N18" s="480"/>
      <c r="O18" s="481"/>
      <c r="P18" s="459"/>
      <c r="Q18" s="459"/>
      <c r="R18" s="459"/>
      <c r="S18" s="459"/>
      <c r="T18" s="459"/>
      <c r="U18" s="459"/>
      <c r="V18" s="467">
        <f>100*(+AD12/$E$9)</f>
        <v>269.46168174355222</v>
      </c>
      <c r="W18" s="474">
        <f>EXP(5.70827-(0.68367*LN(+V18)))</f>
        <v>6.5676842800538697</v>
      </c>
      <c r="X18" s="468">
        <f>(+W18*V18)/100</f>
        <v>17.697392512640068</v>
      </c>
      <c r="Y18" s="467">
        <f>100*((((X18/100)-((X18/100)-0.03574)*$E$21)-0.03574-0.00619)/0.344)</f>
        <v>25.297787960297807</v>
      </c>
      <c r="Z18" s="459">
        <f>$E$20</f>
        <v>0.25</v>
      </c>
      <c r="AA18" s="467">
        <f>Y18+Z18</f>
        <v>25.547787960297807</v>
      </c>
      <c r="AB18" s="467">
        <f>100*($E$17*$E$19+($E$18*(AA18/100))/(1-$E$21))</f>
        <v>24.243459652645324</v>
      </c>
      <c r="AC18" s="468">
        <f>AB18/V18</f>
        <v>8.9969970853658973E-2</v>
      </c>
      <c r="AD18" s="466">
        <f>$E$8/(1-AC18)</f>
        <v>10637317.384773128</v>
      </c>
      <c r="AE18" s="459" t="str">
        <f>IF(AD18=AD12,"yes","not yet")</f>
        <v>not yet</v>
      </c>
      <c r="AF18" s="467">
        <f>100*(1-AC18)</f>
        <v>91.003002914634095</v>
      </c>
      <c r="AG18" s="459"/>
      <c r="AH18" s="459"/>
      <c r="AI18" s="459"/>
      <c r="AJ18" s="459"/>
      <c r="AK18" s="459"/>
      <c r="AL18" s="459"/>
      <c r="AM18" s="459"/>
      <c r="AN18" s="459"/>
      <c r="AO18" s="459"/>
      <c r="AP18" s="459"/>
      <c r="AQ18" s="459"/>
      <c r="AR18" s="459"/>
      <c r="AS18" s="457"/>
      <c r="AT18" s="457"/>
      <c r="AU18" s="457"/>
      <c r="AV18" s="457"/>
      <c r="AW18" s="457"/>
      <c r="AX18" s="457"/>
      <c r="AY18" s="457"/>
      <c r="AZ18" s="457"/>
      <c r="BA18" s="457"/>
      <c r="BB18" s="457"/>
      <c r="BC18" s="457"/>
      <c r="BD18" s="457"/>
      <c r="BE18" s="457"/>
      <c r="BF18" s="457"/>
      <c r="BG18" s="457"/>
      <c r="BH18" s="457"/>
      <c r="BI18" s="457"/>
      <c r="BJ18" s="457"/>
    </row>
    <row r="19" spans="1:62" ht="12.75">
      <c r="A19" s="457"/>
      <c r="B19" s="471" t="s">
        <v>550</v>
      </c>
      <c r="C19" s="464" t="s">
        <v>1439</v>
      </c>
      <c r="D19" s="459"/>
      <c r="E19" s="465">
        <f>'WCI BS'!C76</f>
        <v>2.5454946763910118E-2</v>
      </c>
      <c r="F19" s="464" t="s">
        <v>1440</v>
      </c>
      <c r="G19" s="459"/>
      <c r="H19" s="1284">
        <v>5.1000000000000004E-3</v>
      </c>
      <c r="I19" s="464" t="s">
        <v>550</v>
      </c>
      <c r="J19" s="457"/>
      <c r="K19" s="459"/>
      <c r="L19" s="479"/>
      <c r="M19" s="459"/>
      <c r="N19" s="480"/>
      <c r="O19" s="482"/>
      <c r="P19" s="459"/>
      <c r="Q19" s="459"/>
      <c r="R19" s="459"/>
      <c r="S19" s="459"/>
      <c r="T19" s="459"/>
      <c r="U19" s="459"/>
      <c r="V19" s="467">
        <f>100*(+AD13/$E$9)</f>
        <v>269.14789557034572</v>
      </c>
      <c r="W19" s="474">
        <f>EXP(5.6985-(0.68367*LN(V19)))</f>
        <v>6.5090134062288039</v>
      </c>
      <c r="X19" s="468">
        <f>(+W19*V19)/100</f>
        <v>17.518872605256504</v>
      </c>
      <c r="Y19" s="467">
        <f>100*((((X19/100)-((X19/100)-0.03574)*$E$21)-0.03574-0.00619)/0.344)</f>
        <v>24.955278835666554</v>
      </c>
      <c r="Z19" s="459">
        <f>$E$20</f>
        <v>0.25</v>
      </c>
      <c r="AA19" s="467">
        <f>Y19+Z19</f>
        <v>25.205278835666554</v>
      </c>
      <c r="AB19" s="467">
        <f>100*($E$17*$E$19+($E$18*(AA19/100))/(1-$E$21))</f>
        <v>23.932087721162372</v>
      </c>
      <c r="AC19" s="468">
        <f>AB19/V19</f>
        <v>8.8917981953558961E-2</v>
      </c>
      <c r="AD19" s="466">
        <f>$E$8/(1-AC19)</f>
        <v>10625034.912290994</v>
      </c>
      <c r="AE19" s="459" t="str">
        <f>IF(AD19=AD13,"yes","not yet")</f>
        <v>not yet</v>
      </c>
      <c r="AF19" s="467">
        <f>100*(1-AC19)</f>
        <v>91.108201804644111</v>
      </c>
      <c r="AG19" s="459"/>
      <c r="AH19" s="459"/>
      <c r="AI19" s="459"/>
      <c r="AJ19" s="459" t="str">
        <f>HLOOKUP(1,$AJ$13:$AR$17,($E$12)+1)</f>
        <v>not yet</v>
      </c>
      <c r="AK19" s="459" t="str">
        <f>HLOOKUP(2,$AJ$13:$AR$17,($E$12)+1)</f>
        <v>not yet</v>
      </c>
      <c r="AL19" s="459" t="str">
        <f>HLOOKUP(3,$AJ$13:$AR$17,($E$12)+1)</f>
        <v>not yet</v>
      </c>
      <c r="AM19" s="459" t="str">
        <f>HLOOKUP(4,$AJ$13:$AR$17,($E$12)+1)</f>
        <v>not yet</v>
      </c>
      <c r="AN19" s="459" t="str">
        <f>HLOOKUP(5,$AJ$13:$AR$17,($E$12)+1)</f>
        <v>not yet</v>
      </c>
      <c r="AO19" s="459" t="str">
        <f>HLOOKUP(6,$AJ$13:$AR$17,($E$12)+1)</f>
        <v>not yet</v>
      </c>
      <c r="AP19" s="459" t="str">
        <f>HLOOKUP(7,$AJ$13:$AR$17,($E$12)+1)</f>
        <v>yes</v>
      </c>
      <c r="AQ19" s="459" t="str">
        <f>HLOOKUP(8,$AJ$13:$AR$17,($E$12)+1)</f>
        <v>yes</v>
      </c>
      <c r="AR19" s="459" t="str">
        <f>HLOOKUP(9,$AJ$13:$AR$17,($E$12)+1)</f>
        <v>yes</v>
      </c>
      <c r="AS19" s="457"/>
      <c r="AT19" s="457"/>
      <c r="AU19" s="457"/>
      <c r="AV19" s="457"/>
      <c r="AW19" s="457"/>
      <c r="AX19" s="457"/>
      <c r="AY19" s="457"/>
      <c r="AZ19" s="457"/>
      <c r="BA19" s="457"/>
      <c r="BB19" s="457"/>
      <c r="BC19" s="457"/>
      <c r="BD19" s="457"/>
      <c r="BE19" s="457"/>
      <c r="BF19" s="457"/>
      <c r="BG19" s="457"/>
      <c r="BH19" s="457"/>
      <c r="BI19" s="457"/>
      <c r="BJ19" s="457"/>
    </row>
    <row r="20" spans="1:62" ht="12.75">
      <c r="A20" s="457"/>
      <c r="B20" s="471" t="s">
        <v>550</v>
      </c>
      <c r="C20" s="464" t="s">
        <v>1441</v>
      </c>
      <c r="D20" s="459"/>
      <c r="E20" s="483">
        <v>0.25</v>
      </c>
      <c r="F20" s="464" t="s">
        <v>1442</v>
      </c>
      <c r="G20" s="459"/>
      <c r="H20" s="465"/>
      <c r="I20" s="464" t="s">
        <v>550</v>
      </c>
      <c r="J20" s="457"/>
      <c r="K20" s="459"/>
      <c r="L20" s="459"/>
      <c r="M20" s="459"/>
      <c r="N20" s="459"/>
      <c r="O20" s="484"/>
      <c r="P20" s="459"/>
      <c r="Q20" s="459"/>
      <c r="R20" s="459"/>
      <c r="S20" s="459"/>
      <c r="T20" s="459"/>
      <c r="U20" s="459"/>
      <c r="V20" s="467">
        <f>100*(+AD14/$E$9)</f>
        <v>268.94729088461105</v>
      </c>
      <c r="W20" s="474">
        <f>EXP(5.6922-(0.68367*LN(V20)))</f>
        <v>6.4714335045394327</v>
      </c>
      <c r="X20" s="468">
        <f>(+W20*V20)/100</f>
        <v>17.404745091857848</v>
      </c>
      <c r="Y20" s="467">
        <f>100*((((X20/100)-((X20/100)-0.03574)*$E$21)-0.03574-0.00619)/0.344)</f>
        <v>24.736313257634247</v>
      </c>
      <c r="Z20" s="459">
        <f>$E$20</f>
        <v>0.25</v>
      </c>
      <c r="AA20" s="467">
        <f>Y20+Z20</f>
        <v>24.986313257634247</v>
      </c>
      <c r="AB20" s="467">
        <f>100*($E$17*$E$19+($E$18*(AA20/100))/(1-$E$21))</f>
        <v>23.733028104769357</v>
      </c>
      <c r="AC20" s="468">
        <f>AB20/V20</f>
        <v>8.8244161250732797E-2</v>
      </c>
      <c r="AD20" s="466">
        <f>$E$8/(1-AC20)</f>
        <v>10617182.625321301</v>
      </c>
      <c r="AE20" s="459" t="str">
        <f>IF(AD20=AD14,"yes","not yet")</f>
        <v>not yet</v>
      </c>
      <c r="AF20" s="467">
        <f>100*(1-AC20)</f>
        <v>91.17558387492673</v>
      </c>
      <c r="AG20" s="459"/>
      <c r="AH20" s="459"/>
      <c r="AI20" s="459">
        <v>1</v>
      </c>
      <c r="AJ20" s="467">
        <f>AF5</f>
        <v>91.518086674229906</v>
      </c>
      <c r="AK20" s="467">
        <f>AF11</f>
        <v>90.804127388185805</v>
      </c>
      <c r="AL20" s="467">
        <f>AF17</f>
        <v>90.847147112361824</v>
      </c>
      <c r="AM20" s="467">
        <f>AF23</f>
        <v>90.844550574894356</v>
      </c>
      <c r="AN20" s="467">
        <f>AF29</f>
        <v>90.844707277893136</v>
      </c>
      <c r="AO20" s="467">
        <f>AF35</f>
        <v>90.844697820690556</v>
      </c>
      <c r="AP20" s="467">
        <f>AF41</f>
        <v>90.844698457600359</v>
      </c>
      <c r="AQ20" s="467">
        <f>AF47</f>
        <v>90.844698457600359</v>
      </c>
      <c r="AR20" s="467">
        <f>AF53</f>
        <v>90.844698457600359</v>
      </c>
      <c r="AS20" s="457"/>
      <c r="AT20" s="457"/>
      <c r="AU20" s="457"/>
      <c r="AV20" s="457"/>
      <c r="AW20" s="457"/>
      <c r="AX20" s="457"/>
      <c r="AY20" s="457"/>
      <c r="AZ20" s="457"/>
      <c r="BA20" s="457"/>
      <c r="BB20" s="457"/>
      <c r="BC20" s="457"/>
      <c r="BD20" s="457"/>
      <c r="BE20" s="457"/>
      <c r="BF20" s="457"/>
      <c r="BG20" s="457"/>
      <c r="BH20" s="457"/>
      <c r="BI20" s="457"/>
      <c r="BJ20" s="457"/>
    </row>
    <row r="21" spans="1:62" ht="12.75">
      <c r="A21" s="457"/>
      <c r="B21" s="471" t="s">
        <v>550</v>
      </c>
      <c r="C21" s="464" t="s">
        <v>1443</v>
      </c>
      <c r="D21" s="459"/>
      <c r="E21" s="483">
        <v>0.34</v>
      </c>
      <c r="F21" s="464" t="s">
        <v>1444</v>
      </c>
      <c r="G21" s="459"/>
      <c r="H21" s="465">
        <f>'Restating Adj''s'!E118</f>
        <v>4.1173865181838021E-3</v>
      </c>
      <c r="I21" s="464" t="s">
        <v>550</v>
      </c>
      <c r="J21" s="457"/>
      <c r="K21" s="459"/>
      <c r="L21" s="459"/>
      <c r="M21" s="459"/>
      <c r="N21" s="459"/>
      <c r="O21" s="459"/>
      <c r="P21" s="459"/>
      <c r="Q21" s="459"/>
      <c r="R21" s="459"/>
      <c r="S21" s="459"/>
      <c r="T21" s="459"/>
      <c r="U21" s="459"/>
      <c r="V21" s="459"/>
      <c r="W21" s="459"/>
      <c r="X21" s="459"/>
      <c r="Y21" s="459"/>
      <c r="Z21" s="459"/>
      <c r="AA21" s="467"/>
      <c r="AB21" s="459"/>
      <c r="AC21" s="459"/>
      <c r="AD21" s="459"/>
      <c r="AE21" s="459"/>
      <c r="AF21" s="459"/>
      <c r="AG21" s="459"/>
      <c r="AH21" s="459"/>
      <c r="AI21" s="459">
        <v>2</v>
      </c>
      <c r="AJ21" s="467">
        <f>AF6</f>
        <v>91.669526780890635</v>
      </c>
      <c r="AK21" s="467">
        <f>AF12</f>
        <v>90.961236955857103</v>
      </c>
      <c r="AL21" s="467">
        <f>AF18</f>
        <v>91.003002914634095</v>
      </c>
      <c r="AM21" s="467">
        <f>AF24</f>
        <v>91.000535935020849</v>
      </c>
      <c r="AN21" s="467">
        <f>AF30</f>
        <v>91.000681636990208</v>
      </c>
      <c r="AO21" s="467">
        <f>AF36</f>
        <v>91.000673031654117</v>
      </c>
      <c r="AP21" s="467">
        <f>AF42</f>
        <v>91.000673675724912</v>
      </c>
      <c r="AQ21" s="467">
        <f>AF48</f>
        <v>91.000673675724912</v>
      </c>
      <c r="AR21" s="467">
        <f>AF54</f>
        <v>91.000673675724912</v>
      </c>
      <c r="AS21" s="457"/>
      <c r="AT21" s="457"/>
      <c r="AU21" s="457"/>
      <c r="AV21" s="457"/>
      <c r="AW21" s="457"/>
      <c r="AX21" s="457"/>
      <c r="AY21" s="457"/>
      <c r="AZ21" s="457"/>
      <c r="BA21" s="457"/>
      <c r="BB21" s="457"/>
      <c r="BC21" s="457"/>
      <c r="BD21" s="457"/>
      <c r="BE21" s="457"/>
      <c r="BF21" s="457"/>
      <c r="BG21" s="457"/>
      <c r="BH21" s="457"/>
      <c r="BI21" s="457"/>
      <c r="BJ21" s="457"/>
    </row>
    <row r="22" spans="1:62" ht="12.75">
      <c r="A22" s="457"/>
      <c r="B22" s="461"/>
      <c r="C22" s="459"/>
      <c r="D22" s="459"/>
      <c r="E22" s="459"/>
      <c r="F22" s="459"/>
      <c r="G22" s="459"/>
      <c r="H22" s="476"/>
      <c r="I22" s="476"/>
      <c r="J22" s="461"/>
      <c r="K22" s="459"/>
      <c r="L22" s="459"/>
      <c r="M22" s="459"/>
      <c r="N22" s="459"/>
      <c r="O22" s="459"/>
      <c r="P22" s="459"/>
      <c r="Q22" s="459"/>
      <c r="R22" s="459"/>
      <c r="S22" s="459"/>
      <c r="T22" s="459"/>
      <c r="U22" s="459"/>
      <c r="V22" s="464" t="s">
        <v>1445</v>
      </c>
      <c r="W22" s="473" t="s">
        <v>1400</v>
      </c>
      <c r="X22" s="473" t="s">
        <v>1401</v>
      </c>
      <c r="Y22" s="473" t="s">
        <v>1402</v>
      </c>
      <c r="Z22" s="459"/>
      <c r="AA22" s="467"/>
      <c r="AB22" s="459"/>
      <c r="AC22" s="459"/>
      <c r="AD22" s="459"/>
      <c r="AE22" s="459"/>
      <c r="AF22" s="459"/>
      <c r="AG22" s="459"/>
      <c r="AH22" s="459"/>
      <c r="AI22" s="459">
        <v>3</v>
      </c>
      <c r="AJ22" s="467">
        <f>AF7</f>
        <v>91.771539434076971</v>
      </c>
      <c r="AK22" s="467">
        <f>AF13</f>
        <v>91.067284147472776</v>
      </c>
      <c r="AL22" s="467">
        <f>AF19</f>
        <v>91.108201804644111</v>
      </c>
      <c r="AM22" s="467">
        <f>AF25</f>
        <v>91.105820460655323</v>
      </c>
      <c r="AN22" s="467">
        <f>AF31</f>
        <v>91.105959037591688</v>
      </c>
      <c r="AO22" s="467">
        <f>AF37</f>
        <v>91.105950973373808</v>
      </c>
      <c r="AP22" s="467">
        <f>AF43</f>
        <v>91.105951237761957</v>
      </c>
      <c r="AQ22" s="467">
        <f>AF49</f>
        <v>91.105951237761957</v>
      </c>
      <c r="AR22" s="467">
        <f>AF55</f>
        <v>91.105951237761957</v>
      </c>
      <c r="AS22" s="457"/>
      <c r="AT22" s="457"/>
      <c r="AU22" s="457"/>
      <c r="AV22" s="457"/>
      <c r="AW22" s="457"/>
      <c r="AX22" s="457"/>
      <c r="AY22" s="457"/>
      <c r="AZ22" s="457"/>
      <c r="BA22" s="457"/>
      <c r="BB22" s="457"/>
      <c r="BC22" s="457"/>
      <c r="BD22" s="457"/>
      <c r="BE22" s="457"/>
      <c r="BF22" s="457"/>
      <c r="BG22" s="457"/>
      <c r="BH22" s="457"/>
      <c r="BI22" s="457"/>
      <c r="BJ22" s="457"/>
    </row>
    <row r="23" spans="1:62" ht="14.25">
      <c r="A23" s="457"/>
      <c r="B23" s="461"/>
      <c r="C23" s="459"/>
      <c r="D23" s="459"/>
      <c r="E23" s="459"/>
      <c r="F23" s="464" t="s">
        <v>1446</v>
      </c>
      <c r="G23" s="459"/>
      <c r="H23" s="465">
        <f>SUM(H18:H21)</f>
        <v>2.4217386518183802E-2</v>
      </c>
      <c r="I23" s="465"/>
      <c r="J23" s="461"/>
      <c r="K23" s="475"/>
      <c r="N23" s="462"/>
      <c r="O23" s="459"/>
      <c r="P23" s="462"/>
      <c r="Q23" s="459"/>
      <c r="R23" s="459"/>
      <c r="S23" s="459"/>
      <c r="T23" s="459"/>
      <c r="U23" s="459"/>
      <c r="V23" s="467">
        <f>100*(+AD17/$E$9)</f>
        <v>269.80008357646915</v>
      </c>
      <c r="W23" s="474">
        <f>EXP(5.7226-(0.68367*LN(+V23)))</f>
        <v>6.656762514229758</v>
      </c>
      <c r="X23" s="468">
        <f>(+W23*V23)/100</f>
        <v>17.959950826878956</v>
      </c>
      <c r="Y23" s="467">
        <f>100*((((X23/100)-((X23/100)-0.03574)*$E$21)-0.03574-0.00619)/0.344)</f>
        <v>25.801533563197999</v>
      </c>
      <c r="Z23" s="459">
        <f>$E$20</f>
        <v>0.25</v>
      </c>
      <c r="AA23" s="467">
        <f>Y23+Z23</f>
        <v>26.051533563197999</v>
      </c>
      <c r="AB23" s="467">
        <f>100*($E$17*$E$19+($E$18*(AA23/100))/(1-$E$21))</f>
        <v>24.701410200736408</v>
      </c>
      <c r="AC23" s="468">
        <f>AB23/V23</f>
        <v>9.1554494251056495E-2</v>
      </c>
      <c r="AD23" s="466">
        <f>$E$8/(1-AC23)</f>
        <v>10655871.143006342</v>
      </c>
      <c r="AE23" s="459" t="str">
        <f>IF(AD23=AD17,"yes","not yet")</f>
        <v>not yet</v>
      </c>
      <c r="AF23" s="467">
        <f>100*(1-AC23)</f>
        <v>90.844550574894356</v>
      </c>
      <c r="AG23" s="459"/>
      <c r="AH23" s="459"/>
      <c r="AI23" s="459">
        <v>4</v>
      </c>
      <c r="AJ23" s="467">
        <f>AF8</f>
        <v>91.836793783403607</v>
      </c>
      <c r="AK23" s="467">
        <f>AF14</f>
        <v>91.13521018553412</v>
      </c>
      <c r="AL23" s="467">
        <f>AF20</f>
        <v>91.17558387492673</v>
      </c>
      <c r="AM23" s="467">
        <f>AF26</f>
        <v>91.173256600874964</v>
      </c>
      <c r="AN23" s="467">
        <f>AF32</f>
        <v>91.173390739702882</v>
      </c>
      <c r="AO23" s="467">
        <f>AF38</f>
        <v>91.173383008200148</v>
      </c>
      <c r="AP23" s="467">
        <f>AF44</f>
        <v>91.173383494775905</v>
      </c>
      <c r="AQ23" s="467">
        <f>AF50</f>
        <v>91.173383494775905</v>
      </c>
      <c r="AR23" s="467">
        <f>AF56</f>
        <v>91.173383494775905</v>
      </c>
      <c r="AS23" s="457"/>
      <c r="AT23" s="457"/>
      <c r="AU23" s="457"/>
      <c r="AV23" s="457"/>
      <c r="AW23" s="457"/>
      <c r="AX23" s="457"/>
      <c r="AY23" s="457"/>
      <c r="AZ23" s="457"/>
      <c r="BA23" s="457"/>
      <c r="BB23" s="457"/>
      <c r="BC23" s="457"/>
      <c r="BD23" s="457"/>
      <c r="BE23" s="457"/>
      <c r="BF23" s="457"/>
      <c r="BG23" s="457"/>
      <c r="BH23" s="457"/>
      <c r="BI23" s="457"/>
      <c r="BJ23" s="457"/>
    </row>
    <row r="24" spans="1:62" ht="12.75">
      <c r="A24" s="457"/>
      <c r="B24" s="461"/>
      <c r="C24" s="459"/>
      <c r="D24" s="459"/>
      <c r="E24" s="459"/>
      <c r="F24" s="459"/>
      <c r="G24" s="459"/>
      <c r="H24" s="459"/>
      <c r="I24" s="459"/>
      <c r="J24" s="461"/>
      <c r="N24" s="462"/>
      <c r="O24" s="459"/>
      <c r="P24" s="459"/>
      <c r="Q24" s="459"/>
      <c r="R24" s="459"/>
      <c r="S24" s="459"/>
      <c r="T24" s="459"/>
      <c r="U24" s="459"/>
      <c r="V24" s="467">
        <f>100*(+AD18/$E$9)</f>
        <v>269.33801191803843</v>
      </c>
      <c r="W24" s="474">
        <f>EXP(5.70827-(0.68367*LN(+V24)))</f>
        <v>6.5697458275910927</v>
      </c>
      <c r="X24" s="468">
        <f>(+W24*V24)/100</f>
        <v>17.694822800102131</v>
      </c>
      <c r="Y24" s="467">
        <f>100*((((X24/100)-((X24/100)-0.03574)*$E$21)-0.03574-0.00619)/0.344)</f>
        <v>25.292857697870367</v>
      </c>
      <c r="Z24" s="459">
        <f>$E$20</f>
        <v>0.25</v>
      </c>
      <c r="AA24" s="467">
        <f>Y24+Z24</f>
        <v>25.542857697870367</v>
      </c>
      <c r="AB24" s="467">
        <f>100*($E$17*$E$19+($E$18*(AA24/100))/(1-$E$21))</f>
        <v>24.238977595893108</v>
      </c>
      <c r="AC24" s="468">
        <f>AB24/V24</f>
        <v>8.9994640649791416E-2</v>
      </c>
      <c r="AD24" s="466">
        <f>$E$8/(1-AC24)</f>
        <v>10637605.757197073</v>
      </c>
      <c r="AE24" s="459" t="str">
        <f>IF(AD24=AD18,"yes","not yet")</f>
        <v>not yet</v>
      </c>
      <c r="AF24" s="467">
        <f>100*(1-AC24)</f>
        <v>91.000535935020849</v>
      </c>
      <c r="AG24" s="459"/>
      <c r="AH24" s="459"/>
      <c r="AI24" s="459"/>
      <c r="AJ24" s="459"/>
      <c r="AK24" s="459"/>
      <c r="AL24" s="459"/>
      <c r="AM24" s="459"/>
      <c r="AN24" s="459"/>
      <c r="AO24" s="459"/>
      <c r="AP24" s="459"/>
      <c r="AQ24" s="459"/>
      <c r="AR24" s="459"/>
      <c r="AS24" s="457"/>
      <c r="AT24" s="457"/>
      <c r="AU24" s="457"/>
      <c r="AV24" s="457"/>
      <c r="AW24" s="457"/>
      <c r="AX24" s="457"/>
      <c r="AY24" s="457"/>
      <c r="AZ24" s="457"/>
      <c r="BA24" s="457"/>
      <c r="BB24" s="457"/>
      <c r="BC24" s="457"/>
      <c r="BD24" s="457"/>
      <c r="BE24" s="457"/>
      <c r="BF24" s="457"/>
      <c r="BG24" s="457"/>
      <c r="BH24" s="457"/>
      <c r="BI24" s="457"/>
      <c r="BJ24" s="457"/>
    </row>
    <row r="25" spans="1:62" ht="12.75">
      <c r="A25" s="457"/>
      <c r="B25" s="461"/>
      <c r="C25" s="459"/>
      <c r="D25" s="459"/>
      <c r="E25" s="459"/>
      <c r="F25" s="464" t="s">
        <v>1447</v>
      </c>
      <c r="G25" s="459"/>
      <c r="H25" s="468">
        <f>((+H15/100)-H23)</f>
        <v>0.88684212585943578</v>
      </c>
      <c r="I25" s="468"/>
      <c r="J25" s="461"/>
      <c r="N25" s="459"/>
      <c r="O25" s="459"/>
      <c r="P25" s="459"/>
      <c r="Q25" s="459"/>
      <c r="R25" s="459"/>
      <c r="S25" s="459"/>
      <c r="T25" s="459"/>
      <c r="U25" s="459"/>
      <c r="V25" s="467">
        <f>100*(+AD19/$E$9)</f>
        <v>269.0270184034037</v>
      </c>
      <c r="W25" s="474">
        <f>EXP(5.6985-(0.68367*LN(V25)))</f>
        <v>6.511012711932886</v>
      </c>
      <c r="X25" s="468">
        <f>(+W25*V25)/100</f>
        <v>17.516383366779639</v>
      </c>
      <c r="Y25" s="467">
        <f>100*((((X25/100)-((X25/100)-0.03574)*$E$21)-0.03574-0.00619)/0.344)</f>
        <v>24.950502971146982</v>
      </c>
      <c r="Z25" s="459">
        <f>$E$20</f>
        <v>0.25</v>
      </c>
      <c r="AA25" s="467">
        <f>Y25+Z25</f>
        <v>25.200502971146982</v>
      </c>
      <c r="AB25" s="467">
        <f>100*($E$17*$E$19+($E$18*(AA25/100))/(1-$E$21))</f>
        <v>23.927746026144575</v>
      </c>
      <c r="AC25" s="468">
        <f>AB25/V25</f>
        <v>8.8941795393446793E-2</v>
      </c>
      <c r="AD25" s="466">
        <f>$E$8/(1-AC25)</f>
        <v>10625312.631792242</v>
      </c>
      <c r="AE25" s="459" t="str">
        <f>IF(AD25=AD19,"yes","not yet")</f>
        <v>not yet</v>
      </c>
      <c r="AF25" s="467">
        <f>100*(1-AC25)</f>
        <v>91.105820460655323</v>
      </c>
      <c r="AG25" s="459"/>
      <c r="AH25" s="459"/>
      <c r="AI25" s="459"/>
      <c r="AJ25" s="459" t="s">
        <v>1448</v>
      </c>
      <c r="AK25" s="459"/>
      <c r="AL25" s="459"/>
      <c r="AM25" s="459"/>
      <c r="AN25" s="459"/>
      <c r="AO25" s="459"/>
      <c r="AP25" s="459"/>
      <c r="AQ25" s="459"/>
      <c r="AR25" s="459"/>
      <c r="AS25" s="457"/>
      <c r="AT25" s="457"/>
      <c r="AU25" s="457"/>
      <c r="AV25" s="457"/>
      <c r="AW25" s="457"/>
      <c r="AX25" s="457"/>
      <c r="AY25" s="457"/>
      <c r="AZ25" s="457"/>
      <c r="BA25" s="457"/>
      <c r="BB25" s="457"/>
      <c r="BC25" s="457"/>
      <c r="BD25" s="457"/>
      <c r="BE25" s="457"/>
      <c r="BF25" s="457"/>
      <c r="BG25" s="457"/>
      <c r="BH25" s="457"/>
      <c r="BI25" s="457"/>
      <c r="BJ25" s="457"/>
    </row>
    <row r="26" spans="1:62" ht="12.75">
      <c r="A26" s="457"/>
      <c r="B26" s="461"/>
      <c r="C26" s="459"/>
      <c r="D26" s="459"/>
      <c r="E26" s="459"/>
      <c r="F26" s="459"/>
      <c r="G26" s="459"/>
      <c r="H26" s="459"/>
      <c r="I26" s="459"/>
      <c r="J26" s="461"/>
      <c r="N26" s="459"/>
      <c r="O26" s="459"/>
      <c r="P26" s="459"/>
      <c r="Q26" s="459"/>
      <c r="R26" s="459"/>
      <c r="S26" s="459"/>
      <c r="T26" s="459"/>
      <c r="U26" s="459"/>
      <c r="V26" s="467">
        <f>100*(+AD20/$E$9)</f>
        <v>268.82819765895033</v>
      </c>
      <c r="W26" s="474">
        <f>EXP(5.6922-(0.68367*LN(V26)))</f>
        <v>6.473393381595284</v>
      </c>
      <c r="X26" s="468">
        <f>(+W26*V26)/100</f>
        <v>17.402306755116378</v>
      </c>
      <c r="Y26" s="467">
        <f>100*((((X26/100)-((X26/100)-0.03574)*$E$21)-0.03574-0.00619)/0.344)</f>
        <v>24.731635053420963</v>
      </c>
      <c r="Z26" s="459">
        <f>$E$20</f>
        <v>0.25</v>
      </c>
      <c r="AA26" s="467">
        <f>Y26+Z26</f>
        <v>24.981635053420963</v>
      </c>
      <c r="AB26" s="467">
        <f>100*($E$17*$E$19+($E$18*(AA26/100))/(1-$E$21))</f>
        <v>23.72877519184819</v>
      </c>
      <c r="AC26" s="468">
        <f>AB26/V26</f>
        <v>8.826743399125031E-2</v>
      </c>
      <c r="AD26" s="466">
        <f>$E$8/(1-AC26)</f>
        <v>10617453.6378369</v>
      </c>
      <c r="AE26" s="459" t="str">
        <f>IF(AD26=AD20,"yes","not yet")</f>
        <v>not yet</v>
      </c>
      <c r="AF26" s="467">
        <f>100*(1-AC26)</f>
        <v>91.173256600874964</v>
      </c>
      <c r="AG26" s="459"/>
      <c r="AH26" s="459"/>
      <c r="AI26" s="459"/>
      <c r="AJ26" s="467">
        <f>HLOOKUP($AJ$25,$AJ$19:$AR$23,($E$12)+1)</f>
        <v>91.105951237761957</v>
      </c>
      <c r="AK26" s="459"/>
      <c r="AL26" s="459"/>
      <c r="AM26" s="459"/>
      <c r="AN26" s="459"/>
      <c r="AO26" s="459"/>
      <c r="AP26" s="459"/>
      <c r="AQ26" s="459"/>
      <c r="AR26" s="459"/>
      <c r="AS26" s="457"/>
      <c r="AT26" s="457"/>
      <c r="AU26" s="457"/>
      <c r="AV26" s="457"/>
      <c r="AW26" s="457"/>
      <c r="AX26" s="457"/>
      <c r="AY26" s="457"/>
      <c r="AZ26" s="457"/>
      <c r="BA26" s="457"/>
      <c r="BB26" s="457"/>
      <c r="BC26" s="457"/>
      <c r="BD26" s="457"/>
      <c r="BE26" s="457"/>
      <c r="BF26" s="457"/>
      <c r="BG26" s="457"/>
      <c r="BH26" s="457"/>
      <c r="BI26" s="457"/>
      <c r="BJ26" s="457"/>
    </row>
    <row r="27" spans="1:62" ht="12.75">
      <c r="A27" s="457"/>
      <c r="B27" s="461"/>
      <c r="C27" s="459"/>
      <c r="D27" s="459"/>
      <c r="E27" s="466"/>
      <c r="F27" s="459"/>
      <c r="G27" s="459"/>
      <c r="H27" s="459"/>
      <c r="I27" s="459"/>
      <c r="J27" s="461"/>
      <c r="N27" s="459"/>
      <c r="O27" s="459"/>
      <c r="P27" s="459"/>
      <c r="Q27" s="459"/>
      <c r="R27" s="459"/>
      <c r="S27" s="459"/>
      <c r="T27" s="459"/>
      <c r="U27" s="459"/>
      <c r="V27" s="459"/>
      <c r="W27" s="459"/>
      <c r="X27" s="459"/>
      <c r="Y27" s="459"/>
      <c r="Z27" s="459"/>
      <c r="AA27" s="467"/>
      <c r="AB27" s="459"/>
      <c r="AC27" s="459"/>
      <c r="AD27" s="459"/>
      <c r="AE27" s="459"/>
      <c r="AF27" s="459"/>
      <c r="AG27" s="459"/>
      <c r="AH27" s="459"/>
      <c r="AI27" s="459"/>
      <c r="AJ27" s="459"/>
      <c r="AK27" s="459"/>
      <c r="AL27" s="459"/>
      <c r="AM27" s="459"/>
      <c r="AN27" s="459"/>
      <c r="AO27" s="459"/>
      <c r="AP27" s="459"/>
      <c r="AQ27" s="459"/>
      <c r="AR27" s="459"/>
      <c r="AS27" s="457"/>
      <c r="AT27" s="457"/>
      <c r="AU27" s="457"/>
      <c r="AV27" s="457"/>
      <c r="AW27" s="457"/>
      <c r="AX27" s="457"/>
      <c r="AY27" s="457"/>
      <c r="AZ27" s="457"/>
      <c r="BA27" s="457"/>
      <c r="BB27" s="457"/>
      <c r="BC27" s="457"/>
      <c r="BD27" s="457"/>
      <c r="BE27" s="457"/>
      <c r="BF27" s="457"/>
      <c r="BG27" s="457"/>
      <c r="BH27" s="457"/>
      <c r="BI27" s="457"/>
      <c r="BJ27" s="457"/>
    </row>
    <row r="28" spans="1:62" ht="12.75">
      <c r="A28" s="457"/>
      <c r="B28" s="461"/>
      <c r="C28" s="485"/>
      <c r="D28" s="461"/>
      <c r="E28" s="462"/>
      <c r="F28" s="461"/>
      <c r="G28" s="461"/>
      <c r="H28" s="461"/>
      <c r="I28" s="461"/>
      <c r="J28" s="459"/>
      <c r="K28" s="459"/>
      <c r="L28" s="459"/>
      <c r="M28" s="459"/>
      <c r="N28" s="459"/>
      <c r="O28" s="459"/>
      <c r="P28" s="459"/>
      <c r="Q28" s="459"/>
      <c r="R28" s="459"/>
      <c r="S28" s="459"/>
      <c r="T28" s="459"/>
      <c r="U28" s="459"/>
      <c r="V28" s="464" t="s">
        <v>1449</v>
      </c>
      <c r="W28" s="473" t="s">
        <v>1400</v>
      </c>
      <c r="X28" s="473" t="s">
        <v>1401</v>
      </c>
      <c r="Y28" s="473" t="s">
        <v>1402</v>
      </c>
      <c r="Z28" s="459"/>
      <c r="AA28" s="467"/>
      <c r="AB28" s="459"/>
      <c r="AC28" s="459"/>
      <c r="AD28" s="459"/>
      <c r="AE28" s="459"/>
      <c r="AF28" s="459"/>
      <c r="AG28" s="459"/>
      <c r="AH28" s="459"/>
      <c r="AI28" s="459"/>
      <c r="AJ28" s="459" t="str">
        <f>HLOOKUP(1,$AJ$13:$AR$17,($E$12)+1)</f>
        <v>not yet</v>
      </c>
      <c r="AK28" s="459" t="str">
        <f>HLOOKUP(2,$AJ$13:$AR$17,($E$12)+1)</f>
        <v>not yet</v>
      </c>
      <c r="AL28" s="459" t="str">
        <f>HLOOKUP(3,$AJ$13:$AR$17,($E$12)+1)</f>
        <v>not yet</v>
      </c>
      <c r="AM28" s="459" t="str">
        <f>HLOOKUP(4,$AJ$13:$AR$17,($E$12)+1)</f>
        <v>not yet</v>
      </c>
      <c r="AN28" s="459" t="str">
        <f>HLOOKUP(5,$AJ$13:$AR$17,($E$12)+1)</f>
        <v>not yet</v>
      </c>
      <c r="AO28" s="459" t="str">
        <f>HLOOKUP(6,$AJ$13:$AR$17,($E$12)+1)</f>
        <v>not yet</v>
      </c>
      <c r="AP28" s="459" t="str">
        <f>HLOOKUP(7,$AJ$13:$AR$17,($E$12)+1)</f>
        <v>yes</v>
      </c>
      <c r="AQ28" s="459" t="str">
        <f>HLOOKUP(8,$AJ$13:$AR$17,($E$12)+1)</f>
        <v>yes</v>
      </c>
      <c r="AR28" s="459" t="str">
        <f>HLOOKUP(9,$AJ$13:$AR$17,($E$12)+1)</f>
        <v>yes</v>
      </c>
      <c r="AS28" s="457"/>
      <c r="AT28" s="457"/>
      <c r="AU28" s="457"/>
      <c r="AV28" s="457"/>
      <c r="AW28" s="457"/>
      <c r="AX28" s="457"/>
      <c r="AY28" s="457"/>
      <c r="AZ28" s="457"/>
      <c r="BA28" s="457"/>
      <c r="BB28" s="457"/>
      <c r="BC28" s="457"/>
      <c r="BD28" s="457"/>
      <c r="BE28" s="457"/>
      <c r="BF28" s="457"/>
      <c r="BG28" s="457"/>
      <c r="BH28" s="457"/>
      <c r="BI28" s="457"/>
      <c r="BJ28" s="457"/>
    </row>
    <row r="29" spans="1:62" ht="14.25">
      <c r="A29" s="457"/>
      <c r="B29" s="459"/>
      <c r="C29" s="1429" t="s">
        <v>2485</v>
      </c>
      <c r="D29" s="1430"/>
      <c r="E29" s="1431"/>
      <c r="F29" s="459"/>
      <c r="G29" s="466"/>
      <c r="H29" s="459"/>
      <c r="I29" s="463"/>
      <c r="J29" s="459"/>
      <c r="K29" s="459"/>
      <c r="L29" s="459"/>
      <c r="M29" s="459"/>
      <c r="N29" s="459"/>
      <c r="O29" s="459"/>
      <c r="P29" s="459"/>
      <c r="Q29" s="459"/>
      <c r="R29" s="459"/>
      <c r="S29" s="459"/>
      <c r="T29" s="459"/>
      <c r="U29" s="459"/>
      <c r="V29" s="467">
        <f>100*(+AD23/$E$9)</f>
        <v>269.80779505746938</v>
      </c>
      <c r="W29" s="474">
        <f>EXP(5.7226-(0.68367*LN(+V29)))</f>
        <v>6.6566324389256524</v>
      </c>
      <c r="X29" s="468">
        <f>(+W29*V29)/100</f>
        <v>17.96011320854555</v>
      </c>
      <c r="Y29" s="467">
        <f>100*((((X29/100)-((X29/100)-0.03574)*$E$21)-0.03574-0.00619)/0.344)</f>
        <v>25.801845109418792</v>
      </c>
      <c r="Z29" s="459">
        <f>$E$20</f>
        <v>0.25</v>
      </c>
      <c r="AA29" s="467">
        <f>Y29+Z29</f>
        <v>26.051845109418792</v>
      </c>
      <c r="AB29" s="467">
        <f>100*($E$17*$E$19+($E$18*(AA29/100))/(1-$E$21))</f>
        <v>24.701693424573492</v>
      </c>
      <c r="AC29" s="468">
        <f>AB29/V29</f>
        <v>9.1552927221068614E-2</v>
      </c>
      <c r="AD29" s="466">
        <f>$E$8/(1-AC29)</f>
        <v>10655852.762112036</v>
      </c>
      <c r="AE29" s="459" t="str">
        <f>IF(AD29=AD23,"yes","not yet")</f>
        <v>not yet</v>
      </c>
      <c r="AF29" s="467">
        <f>100*(1-AC29)</f>
        <v>90.844707277893136</v>
      </c>
      <c r="AG29" s="459"/>
      <c r="AH29" s="459"/>
      <c r="AI29" s="459">
        <v>1</v>
      </c>
      <c r="AJ29" s="467">
        <f>V5</f>
        <v>306.38209854498763</v>
      </c>
      <c r="AK29" s="467">
        <f>V11</f>
        <v>267.82211882168656</v>
      </c>
      <c r="AL29" s="467">
        <f>V17</f>
        <v>269.92790513603893</v>
      </c>
      <c r="AM29" s="467">
        <f>V23</f>
        <v>269.80008357646915</v>
      </c>
      <c r="AN29" s="467">
        <f>V29</f>
        <v>269.80779505746938</v>
      </c>
      <c r="AO29" s="467">
        <f>V35</f>
        <v>269.80732965126305</v>
      </c>
      <c r="AP29" s="467">
        <f>V41</f>
        <v>269.80736099471847</v>
      </c>
      <c r="AQ29" s="467">
        <f>V47</f>
        <v>269.80736099471847</v>
      </c>
      <c r="AR29" s="467">
        <f>V53</f>
        <v>269.80736099471847</v>
      </c>
      <c r="AS29" s="457"/>
      <c r="AT29" s="457"/>
      <c r="AU29" s="457"/>
      <c r="AV29" s="457"/>
      <c r="AW29" s="457"/>
      <c r="AX29" s="457"/>
      <c r="AY29" s="457"/>
      <c r="AZ29" s="457"/>
      <c r="BA29" s="457"/>
      <c r="BB29" s="457"/>
      <c r="BC29" s="457"/>
      <c r="BD29" s="457"/>
      <c r="BE29" s="457"/>
      <c r="BF29" s="457"/>
      <c r="BG29" s="457"/>
      <c r="BH29" s="457"/>
      <c r="BI29" s="457"/>
      <c r="BJ29" s="457"/>
    </row>
    <row r="30" spans="1:62" ht="15.75" customHeight="1">
      <c r="A30" s="457"/>
      <c r="B30" s="459"/>
      <c r="C30" s="1285" t="s">
        <v>105</v>
      </c>
      <c r="D30" s="493"/>
      <c r="E30" s="1286">
        <f>+E7</f>
        <v>9891961.0444714334</v>
      </c>
      <c r="F30" s="459"/>
      <c r="G30" s="486"/>
      <c r="H30" s="459"/>
      <c r="I30" s="463"/>
      <c r="J30" s="459"/>
      <c r="K30" s="1428"/>
      <c r="L30" s="1428"/>
      <c r="M30" s="1428"/>
      <c r="O30" s="459"/>
      <c r="P30" s="459"/>
      <c r="Q30" s="459"/>
      <c r="R30" s="459"/>
      <c r="S30" s="459"/>
      <c r="T30" s="459"/>
      <c r="U30" s="459"/>
      <c r="V30" s="467">
        <f>100*(+AD24/$E$9)</f>
        <v>269.34531353860194</v>
      </c>
      <c r="W30" s="474">
        <f>EXP(5.70827-(0.68367*LN(+V30)))</f>
        <v>6.569624066988097</v>
      </c>
      <c r="X30" s="468">
        <f>(+W30*V30)/100</f>
        <v>17.694974541536542</v>
      </c>
      <c r="Y30" s="467">
        <f>100*((((X30/100)-((X30/100)-0.03574)*$E$21)-0.03574-0.00619)/0.344)</f>
        <v>25.293148829692207</v>
      </c>
      <c r="Z30" s="459">
        <f>$E$20</f>
        <v>0.25</v>
      </c>
      <c r="AA30" s="467">
        <f>Y30+Z30</f>
        <v>25.543148829692207</v>
      </c>
      <c r="AB30" s="467">
        <f>100*($E$17*$E$19+($E$18*(AA30/100))/(1-$E$21))</f>
        <v>24.239242261185687</v>
      </c>
      <c r="AC30" s="468">
        <f>AB30/V30</f>
        <v>8.9993183630097853E-2</v>
      </c>
      <c r="AD30" s="466">
        <f>$E$8/(1-AC30)</f>
        <v>10637588.725235552</v>
      </c>
      <c r="AE30" s="459" t="str">
        <f>IF(AD30=AD24,"yes","not yet")</f>
        <v>not yet</v>
      </c>
      <c r="AF30" s="467">
        <f>100*(1-AC30)</f>
        <v>91.000681636990208</v>
      </c>
      <c r="AG30" s="459"/>
      <c r="AH30" s="459"/>
      <c r="AI30" s="459">
        <v>2</v>
      </c>
      <c r="AJ30" s="467">
        <f>V6</f>
        <v>306.38209854498763</v>
      </c>
      <c r="AK30" s="467">
        <f>V12</f>
        <v>267.37967069672345</v>
      </c>
      <c r="AL30" s="467">
        <f>V18</f>
        <v>269.46168174355222</v>
      </c>
      <c r="AM30" s="467">
        <f>V24</f>
        <v>269.33801191803843</v>
      </c>
      <c r="AN30" s="467">
        <f>V30</f>
        <v>269.34531353860194</v>
      </c>
      <c r="AO30" s="467">
        <f>V36</f>
        <v>269.34488228751781</v>
      </c>
      <c r="AP30" s="467">
        <f>V42</f>
        <v>269.3449145646897</v>
      </c>
      <c r="AQ30" s="467">
        <f>V48</f>
        <v>269.3449145646897</v>
      </c>
      <c r="AR30" s="467">
        <f>V54</f>
        <v>269.3449145646897</v>
      </c>
      <c r="AS30" s="457"/>
      <c r="AT30" s="457"/>
      <c r="AU30" s="457"/>
      <c r="AV30" s="457"/>
      <c r="AW30" s="457"/>
      <c r="AX30" s="457"/>
      <c r="AY30" s="457"/>
      <c r="AZ30" s="457"/>
      <c r="BA30" s="457"/>
      <c r="BB30" s="457"/>
      <c r="BC30" s="457"/>
      <c r="BD30" s="457"/>
      <c r="BE30" s="457"/>
      <c r="BF30" s="457"/>
      <c r="BG30" s="457"/>
      <c r="BH30" s="457"/>
      <c r="BI30" s="457"/>
      <c r="BJ30" s="457"/>
    </row>
    <row r="31" spans="1:62" ht="14.25">
      <c r="A31" s="457"/>
      <c r="B31" s="459"/>
      <c r="C31" s="1285" t="s">
        <v>2138</v>
      </c>
      <c r="D31" s="1287"/>
      <c r="E31" s="1288">
        <f>-'Yakima Consolidated IS'!P15</f>
        <v>-1383866.5</v>
      </c>
      <c r="F31" s="489"/>
      <c r="G31" s="488"/>
      <c r="H31" s="459"/>
      <c r="I31" s="488"/>
      <c r="J31" s="459"/>
      <c r="K31" s="1257"/>
      <c r="L31" s="1257"/>
      <c r="M31" s="493"/>
      <c r="O31" s="459"/>
      <c r="P31" s="459"/>
      <c r="Q31" s="459"/>
      <c r="R31" s="459"/>
      <c r="S31" s="459"/>
      <c r="T31" s="459"/>
      <c r="U31" s="459"/>
      <c r="V31" s="467">
        <f>100*(+AD25/$E$9)</f>
        <v>269.03405029082717</v>
      </c>
      <c r="W31" s="474">
        <f>EXP(5.6985-(0.68367*LN(V31)))</f>
        <v>6.5108963632366352</v>
      </c>
      <c r="X31" s="468">
        <f>(+W31*V31)/100</f>
        <v>17.516528196253688</v>
      </c>
      <c r="Y31" s="467">
        <f>100*((((X31/100)-((X31/100)-0.03574)*$E$21)-0.03574-0.00619)/0.344)</f>
        <v>24.950780841649525</v>
      </c>
      <c r="Z31" s="459">
        <f>$E$20</f>
        <v>0.25</v>
      </c>
      <c r="AA31" s="467">
        <f>Y31+Z31</f>
        <v>25.200780841649525</v>
      </c>
      <c r="AB31" s="467">
        <f>100*($E$17*$E$19+($E$18*(AA31/100))/(1-$E$21))</f>
        <v>23.927998635692337</v>
      </c>
      <c r="AC31" s="468">
        <f>AB31/V31</f>
        <v>8.8940409624083089E-2</v>
      </c>
      <c r="AD31" s="466">
        <f>$E$8/(1-AC31)</f>
        <v>10625296.470135111</v>
      </c>
      <c r="AE31" s="459" t="str">
        <f>IF(AD31=AD25,"yes","not yet")</f>
        <v>not yet</v>
      </c>
      <c r="AF31" s="467">
        <f>100*(1-AC31)</f>
        <v>91.105959037591688</v>
      </c>
      <c r="AG31" s="459"/>
      <c r="AH31" s="459"/>
      <c r="AI31" s="459">
        <v>3</v>
      </c>
      <c r="AJ31" s="467">
        <f>V7</f>
        <v>306.38209854498763</v>
      </c>
      <c r="AK31" s="467">
        <f>V13</f>
        <v>267.08245317390464</v>
      </c>
      <c r="AL31" s="467">
        <f>V19</f>
        <v>269.14789557034572</v>
      </c>
      <c r="AM31" s="467">
        <f>V25</f>
        <v>269.0270184034037</v>
      </c>
      <c r="AN31" s="467">
        <f>V31</f>
        <v>269.03405029082717</v>
      </c>
      <c r="AO31" s="467">
        <f>V37</f>
        <v>269.03364107594302</v>
      </c>
      <c r="AP31" s="467">
        <f>V43</f>
        <v>269.03365449217858</v>
      </c>
      <c r="AQ31" s="467">
        <f>V49</f>
        <v>269.03365449217858</v>
      </c>
      <c r="AR31" s="467">
        <f>V55</f>
        <v>269.03365449217858</v>
      </c>
      <c r="AS31" s="457"/>
      <c r="AT31" s="457"/>
      <c r="AU31" s="457"/>
      <c r="AV31" s="457"/>
      <c r="AW31" s="457"/>
      <c r="AX31" s="457"/>
      <c r="AY31" s="457"/>
      <c r="AZ31" s="457"/>
      <c r="BA31" s="457"/>
      <c r="BB31" s="457"/>
      <c r="BC31" s="457"/>
      <c r="BD31" s="457"/>
      <c r="BE31" s="457"/>
      <c r="BF31" s="457"/>
      <c r="BG31" s="457"/>
      <c r="BH31" s="457"/>
      <c r="BI31" s="457"/>
      <c r="BJ31" s="457"/>
    </row>
    <row r="32" spans="1:62" ht="12.75">
      <c r="A32" s="457"/>
      <c r="B32" s="459"/>
      <c r="C32" s="1285"/>
      <c r="D32" s="493"/>
      <c r="E32" s="1289">
        <f>+E30+E31</f>
        <v>8508094.5444714334</v>
      </c>
      <c r="F32" s="489"/>
      <c r="G32" s="466"/>
      <c r="H32" s="459"/>
      <c r="I32" s="459"/>
      <c r="J32" s="459"/>
      <c r="K32" s="491"/>
      <c r="L32" s="491"/>
      <c r="M32" s="494"/>
      <c r="O32" s="459"/>
      <c r="P32" s="459"/>
      <c r="Q32" s="459"/>
      <c r="R32" s="459"/>
      <c r="S32" s="459"/>
      <c r="T32" s="459"/>
      <c r="U32" s="459"/>
      <c r="V32" s="467">
        <f>100*(+AD26/$E$9)</f>
        <v>268.83505972478105</v>
      </c>
      <c r="W32" s="474">
        <f>EXP(5.6922-(0.68367*LN(V32)))</f>
        <v>6.4732804152053856</v>
      </c>
      <c r="X32" s="468">
        <f>(+W32*V32)/100</f>
        <v>17.402447270369954</v>
      </c>
      <c r="Y32" s="467">
        <f>100*((((X32/100)-((X32/100)-0.03574)*$E$21)-0.03574-0.00619)/0.344)</f>
        <v>24.731904646640032</v>
      </c>
      <c r="Z32" s="459">
        <f>$E$20</f>
        <v>0.25</v>
      </c>
      <c r="AA32" s="467">
        <f>Y32+Z32</f>
        <v>24.981904646640032</v>
      </c>
      <c r="AB32" s="467">
        <f>100*($E$17*$E$19+($E$18*(AA32/100))/(1-$E$21))</f>
        <v>23.729020276592802</v>
      </c>
      <c r="AC32" s="468">
        <f>AB32/V32</f>
        <v>8.826609260297115E-2</v>
      </c>
      <c r="AD32" s="466">
        <f>$E$8/(1-AC32)</f>
        <v>10617438.016910937</v>
      </c>
      <c r="AE32" s="459" t="str">
        <f>IF(AD32=AD26,"yes","not yet")</f>
        <v>not yet</v>
      </c>
      <c r="AF32" s="467">
        <f>100*(1-AC32)</f>
        <v>91.173390739702882</v>
      </c>
      <c r="AG32" s="459"/>
      <c r="AH32" s="459"/>
      <c r="AI32" s="459">
        <v>4</v>
      </c>
      <c r="AJ32" s="467">
        <f>V8</f>
        <v>306.38209854498763</v>
      </c>
      <c r="AK32" s="467">
        <f>V14</f>
        <v>266.89267856418206</v>
      </c>
      <c r="AL32" s="467">
        <f>V20</f>
        <v>268.94729088461105</v>
      </c>
      <c r="AM32" s="467">
        <f>V26</f>
        <v>268.82819765895033</v>
      </c>
      <c r="AN32" s="467">
        <f>V32</f>
        <v>268.83505972478105</v>
      </c>
      <c r="AO32" s="467">
        <f>V38</f>
        <v>268.8346642012678</v>
      </c>
      <c r="AP32" s="467">
        <f>V44</f>
        <v>268.83468909318793</v>
      </c>
      <c r="AQ32" s="467">
        <f>V50</f>
        <v>268.83468909318793</v>
      </c>
      <c r="AR32" s="467">
        <f>V56</f>
        <v>268.83468909318793</v>
      </c>
      <c r="AS32" s="457"/>
      <c r="AT32" s="457"/>
      <c r="AU32" s="457"/>
      <c r="AV32" s="457"/>
      <c r="AW32" s="457"/>
      <c r="AX32" s="457"/>
      <c r="AY32" s="457"/>
      <c r="AZ32" s="457"/>
      <c r="BA32" s="457"/>
      <c r="BB32" s="457"/>
      <c r="BC32" s="457"/>
      <c r="BD32" s="457"/>
      <c r="BE32" s="457"/>
      <c r="BF32" s="457"/>
      <c r="BG32" s="457"/>
      <c r="BH32" s="457"/>
      <c r="BI32" s="457"/>
      <c r="BJ32" s="457"/>
    </row>
    <row r="33" spans="1:62" ht="12.75">
      <c r="A33" s="457"/>
      <c r="B33" s="459"/>
      <c r="C33" s="1285"/>
      <c r="D33" s="493"/>
      <c r="E33" s="1290"/>
      <c r="F33" s="489"/>
      <c r="G33" s="465"/>
      <c r="H33" s="459"/>
      <c r="I33" s="465"/>
      <c r="J33" s="459"/>
      <c r="K33" s="494"/>
      <c r="L33" s="491"/>
      <c r="M33" s="494"/>
      <c r="O33" s="459"/>
      <c r="P33" s="459"/>
      <c r="Q33" s="459"/>
      <c r="R33" s="459"/>
      <c r="S33" s="459"/>
      <c r="T33" s="459"/>
      <c r="U33" s="459"/>
      <c r="V33" s="459"/>
      <c r="W33" s="459"/>
      <c r="X33" s="459"/>
      <c r="Y33" s="459"/>
      <c r="Z33" s="459"/>
      <c r="AA33" s="467"/>
      <c r="AB33" s="459"/>
      <c r="AC33" s="459"/>
      <c r="AD33" s="459"/>
      <c r="AE33" s="459"/>
      <c r="AF33" s="459"/>
      <c r="AG33" s="459"/>
      <c r="AH33" s="459"/>
      <c r="AI33" s="459"/>
      <c r="AJ33" s="459"/>
      <c r="AK33" s="459"/>
      <c r="AL33" s="459"/>
      <c r="AM33" s="459"/>
      <c r="AN33" s="459"/>
      <c r="AO33" s="459"/>
      <c r="AP33" s="459"/>
      <c r="AQ33" s="459"/>
      <c r="AR33" s="459"/>
      <c r="AS33" s="457"/>
      <c r="AT33" s="457"/>
      <c r="AU33" s="457"/>
      <c r="AV33" s="457"/>
      <c r="AW33" s="457"/>
      <c r="AX33" s="457"/>
      <c r="AY33" s="457"/>
      <c r="AZ33" s="457"/>
      <c r="BA33" s="457"/>
      <c r="BB33" s="457"/>
      <c r="BC33" s="457"/>
      <c r="BD33" s="457"/>
      <c r="BE33" s="457"/>
      <c r="BF33" s="457"/>
      <c r="BG33" s="457"/>
      <c r="BH33" s="457"/>
      <c r="BI33" s="457"/>
      <c r="BJ33" s="457"/>
    </row>
    <row r="34" spans="1:62" ht="12.75">
      <c r="A34" s="457"/>
      <c r="B34" s="459"/>
      <c r="C34" s="1285" t="s">
        <v>1413</v>
      </c>
      <c r="D34" s="493"/>
      <c r="E34" s="1291">
        <f>+E6</f>
        <v>753361.87195883447</v>
      </c>
      <c r="F34" s="489"/>
      <c r="G34" s="459"/>
      <c r="H34" s="459"/>
      <c r="I34" s="459"/>
      <c r="J34" s="459"/>
      <c r="K34" s="493"/>
      <c r="L34" s="491"/>
      <c r="M34" s="495"/>
      <c r="O34" s="459"/>
      <c r="P34" s="459"/>
      <c r="Q34" s="459"/>
      <c r="R34" s="459"/>
      <c r="S34" s="459"/>
      <c r="T34" s="459"/>
      <c r="U34" s="459"/>
      <c r="V34" s="464" t="s">
        <v>1450</v>
      </c>
      <c r="W34" s="473" t="s">
        <v>1400</v>
      </c>
      <c r="X34" s="473" t="s">
        <v>1401</v>
      </c>
      <c r="Y34" s="473" t="s">
        <v>1402</v>
      </c>
      <c r="Z34" s="459"/>
      <c r="AA34" s="467"/>
      <c r="AB34" s="459"/>
      <c r="AC34" s="459"/>
      <c r="AD34" s="459"/>
      <c r="AE34" s="459"/>
      <c r="AF34" s="459"/>
      <c r="AG34" s="459"/>
      <c r="AH34" s="459"/>
      <c r="AI34" s="459"/>
      <c r="AJ34" s="459" t="s">
        <v>1448</v>
      </c>
      <c r="AK34" s="459"/>
      <c r="AL34" s="459"/>
      <c r="AM34" s="459"/>
      <c r="AN34" s="459"/>
      <c r="AO34" s="459"/>
      <c r="AP34" s="459"/>
      <c r="AQ34" s="459"/>
      <c r="AR34" s="459"/>
      <c r="AS34" s="457"/>
      <c r="AT34" s="457"/>
      <c r="AU34" s="457"/>
      <c r="AV34" s="457"/>
      <c r="AW34" s="457"/>
      <c r="AX34" s="457"/>
      <c r="AY34" s="457"/>
      <c r="AZ34" s="457"/>
      <c r="BA34" s="457"/>
      <c r="BB34" s="457"/>
      <c r="BC34" s="457"/>
      <c r="BD34" s="457"/>
      <c r="BE34" s="457"/>
      <c r="BF34" s="457"/>
      <c r="BG34" s="457"/>
      <c r="BH34" s="457"/>
      <c r="BI34" s="457"/>
      <c r="BJ34" s="457"/>
    </row>
    <row r="35" spans="1:62" ht="12.75">
      <c r="A35" s="457"/>
      <c r="B35" s="459"/>
      <c r="C35" s="1285"/>
      <c r="D35" s="493"/>
      <c r="E35" s="1292"/>
      <c r="F35" s="489"/>
      <c r="G35" s="489"/>
      <c r="H35" s="459"/>
      <c r="I35" s="459"/>
      <c r="J35" s="459"/>
      <c r="K35" s="493"/>
      <c r="L35" s="493"/>
      <c r="M35" s="493"/>
      <c r="N35" s="459"/>
      <c r="O35" s="459"/>
      <c r="P35" s="459"/>
      <c r="Q35" s="459"/>
      <c r="R35" s="459"/>
      <c r="S35" s="459"/>
      <c r="T35" s="459"/>
      <c r="U35" s="459"/>
      <c r="V35" s="467">
        <f>100*(+AD29/$E$9)</f>
        <v>269.80732965126305</v>
      </c>
      <c r="W35" s="474">
        <f>EXP(5.7226-(0.68367*LN(+V35)))</f>
        <v>6.6566402891019232</v>
      </c>
      <c r="X35" s="468">
        <f>(+W35*V35)/100</f>
        <v>17.960103408516016</v>
      </c>
      <c r="Y35" s="467">
        <f>100*((((X35/100)-((X35/100)-0.03574)*$E$21)-0.03574-0.00619)/0.344)</f>
        <v>25.801826307036535</v>
      </c>
      <c r="Z35" s="459">
        <f>$E$20</f>
        <v>0.25</v>
      </c>
      <c r="AA35" s="467">
        <f>Y35+Z35</f>
        <v>26.051826307036535</v>
      </c>
      <c r="AB35" s="467">
        <f>100*($E$17*$E$19+($E$18*(AA35/100))/(1-$E$21))</f>
        <v>24.701676331498714</v>
      </c>
      <c r="AC35" s="468">
        <f>AB35/V35</f>
        <v>9.1553021793094491E-2</v>
      </c>
      <c r="AD35" s="466">
        <f>ROUND($E$8/(1-AC35),0)</f>
        <v>10655854</v>
      </c>
      <c r="AE35" s="459" t="str">
        <f>IF(AD35=AD29,"yes","not yet")</f>
        <v>not yet</v>
      </c>
      <c r="AF35" s="467">
        <f>100*(1-AC35)</f>
        <v>90.844697820690556</v>
      </c>
      <c r="AG35" s="459"/>
      <c r="AH35" s="459"/>
      <c r="AI35" s="459"/>
      <c r="AJ35" s="467">
        <f>HLOOKUP($AJ$34,$AJ$28:$AR$32,($E$12)+1)</f>
        <v>269.03365449217858</v>
      </c>
      <c r="AK35" s="459"/>
      <c r="AL35" s="459"/>
      <c r="AM35" s="459"/>
      <c r="AN35" s="459"/>
      <c r="AO35" s="459"/>
      <c r="AP35" s="459"/>
      <c r="AQ35" s="459"/>
      <c r="AR35" s="459"/>
      <c r="AS35" s="457"/>
      <c r="AT35" s="457"/>
      <c r="AU35" s="457"/>
      <c r="AV35" s="457"/>
      <c r="AW35" s="457"/>
      <c r="AX35" s="457"/>
      <c r="AY35" s="457"/>
      <c r="AZ35" s="457"/>
      <c r="BA35" s="457"/>
      <c r="BB35" s="457"/>
      <c r="BC35" s="457"/>
      <c r="BD35" s="457"/>
      <c r="BE35" s="457"/>
      <c r="BF35" s="457"/>
      <c r="BG35" s="457"/>
      <c r="BH35" s="457"/>
      <c r="BI35" s="457"/>
      <c r="BJ35" s="457"/>
    </row>
    <row r="36" spans="1:62" ht="14.25">
      <c r="A36" s="457"/>
      <c r="B36" s="459"/>
      <c r="C36" s="1293" t="s">
        <v>2139</v>
      </c>
      <c r="D36" s="1294"/>
      <c r="E36" s="1295">
        <f>+E34/E32</f>
        <v>8.8546485705000733E-2</v>
      </c>
      <c r="F36" s="459"/>
      <c r="G36" s="459"/>
      <c r="H36" s="459"/>
      <c r="I36" s="459"/>
      <c r="J36" s="459"/>
      <c r="K36" s="459"/>
      <c r="L36" s="459"/>
      <c r="M36" s="459"/>
      <c r="N36" s="459"/>
      <c r="O36" s="459"/>
      <c r="P36" s="459"/>
      <c r="Q36" s="459"/>
      <c r="R36" s="459"/>
      <c r="S36" s="459"/>
      <c r="T36" s="459"/>
      <c r="U36" s="459"/>
      <c r="V36" s="467">
        <f>100*(+AD30/$E$9)</f>
        <v>269.34488228751781</v>
      </c>
      <c r="W36" s="474">
        <f>EXP(5.70827-(0.68367*LN(+V36)))</f>
        <v>6.569631258304609</v>
      </c>
      <c r="X36" s="468">
        <f>(+W36*V36)/100</f>
        <v>17.694965579404524</v>
      </c>
      <c r="Y36" s="467">
        <f>100*((((X36/100)-((X36/100)-0.03574)*$E$21)-0.03574-0.00619)/0.344)</f>
        <v>25.293131634904025</v>
      </c>
      <c r="Z36" s="459">
        <f>$E$20</f>
        <v>0.25</v>
      </c>
      <c r="AA36" s="467">
        <f>Y36+Z36</f>
        <v>25.543131634904025</v>
      </c>
      <c r="AB36" s="467">
        <f>100*($E$17*$E$19+($E$18*(AA36/100))/(1-$E$21))</f>
        <v>24.239226629560068</v>
      </c>
      <c r="AC36" s="468">
        <f>AB36/V36</f>
        <v>8.9993269683458846E-2</v>
      </c>
      <c r="AD36" s="466">
        <f>ROUND($E$8/(1-AC36),0)</f>
        <v>10637590</v>
      </c>
      <c r="AE36" s="459" t="str">
        <f>IF(AD36=AD30,"yes","not yet")</f>
        <v>not yet</v>
      </c>
      <c r="AF36" s="467">
        <f>100*(1-AC36)</f>
        <v>91.000673031654117</v>
      </c>
      <c r="AG36" s="459"/>
      <c r="AH36" s="459"/>
      <c r="AI36" s="459"/>
      <c r="AJ36" s="459"/>
      <c r="AK36" s="459"/>
      <c r="AL36" s="459"/>
      <c r="AM36" s="459"/>
      <c r="AN36" s="459"/>
      <c r="AO36" s="459"/>
      <c r="AP36" s="459"/>
      <c r="AQ36" s="459"/>
      <c r="AR36" s="459"/>
      <c r="AS36" s="457"/>
      <c r="AT36" s="457"/>
      <c r="AU36" s="457"/>
      <c r="AV36" s="457"/>
      <c r="AW36" s="457"/>
      <c r="AX36" s="457"/>
      <c r="AY36" s="457"/>
      <c r="AZ36" s="457"/>
      <c r="BA36" s="457"/>
      <c r="BB36" s="457"/>
      <c r="BC36" s="457"/>
      <c r="BD36" s="457"/>
      <c r="BE36" s="457"/>
      <c r="BF36" s="457"/>
      <c r="BG36" s="457"/>
      <c r="BH36" s="457"/>
      <c r="BI36" s="457"/>
      <c r="BJ36" s="457"/>
    </row>
    <row r="37" spans="1:62" ht="12.75">
      <c r="A37" s="457"/>
      <c r="B37" s="459"/>
      <c r="C37" s="459"/>
      <c r="D37" s="459"/>
      <c r="E37" s="489"/>
      <c r="F37" s="459"/>
      <c r="G37" s="489"/>
      <c r="H37" s="459"/>
      <c r="I37" s="459"/>
      <c r="J37" s="459"/>
      <c r="K37" s="459"/>
      <c r="L37" s="459"/>
      <c r="M37" s="459"/>
      <c r="N37" s="459"/>
      <c r="O37" s="459"/>
      <c r="P37" s="459"/>
      <c r="Q37" s="459"/>
      <c r="R37" s="459"/>
      <c r="S37" s="459"/>
      <c r="T37" s="459"/>
      <c r="U37" s="459"/>
      <c r="V37" s="467">
        <f>100*(+AD31/$E$9)</f>
        <v>269.03364107594302</v>
      </c>
      <c r="W37" s="474">
        <f>EXP(5.6985-(0.68367*LN(V37)))</f>
        <v>6.510903133912664</v>
      </c>
      <c r="X37" s="468">
        <f>(+W37*V37)/100</f>
        <v>17.51651976809292</v>
      </c>
      <c r="Y37" s="467">
        <f>100*((((X37/100)-((X37/100)-0.03574)*$E$21)-0.03574-0.00619)/0.344)</f>
        <v>24.950764671341073</v>
      </c>
      <c r="Z37" s="459">
        <f>$E$20</f>
        <v>0.25</v>
      </c>
      <c r="AA37" s="467">
        <f>Y37+Z37</f>
        <v>25.200764671341073</v>
      </c>
      <c r="AB37" s="467">
        <f>100*($E$17*$E$19+($E$18*(AA37/100))/(1-$E$21))</f>
        <v>23.92798393541193</v>
      </c>
      <c r="AC37" s="468">
        <f>AB37/V37</f>
        <v>8.8940490266261982E-2</v>
      </c>
      <c r="AD37" s="466">
        <f>ROUND($E$8/(1-AC37),0)</f>
        <v>10625297</v>
      </c>
      <c r="AE37" s="459" t="str">
        <f>IF(AD37=AD31,"yes","not yet")</f>
        <v>not yet</v>
      </c>
      <c r="AF37" s="467">
        <f>100*(1-AC37)</f>
        <v>91.105950973373808</v>
      </c>
      <c r="AG37" s="459"/>
      <c r="AH37" s="459"/>
      <c r="AI37" s="459"/>
      <c r="AJ37" s="459" t="str">
        <f>HLOOKUP(1,$AJ$13:$AR$17,($E$12)+1)</f>
        <v>not yet</v>
      </c>
      <c r="AK37" s="459" t="str">
        <f>HLOOKUP(2,$AJ$13:$AR$17,($E$12)+1)</f>
        <v>not yet</v>
      </c>
      <c r="AL37" s="459" t="str">
        <f>HLOOKUP(3,$AJ$13:$AR$17,($E$12)+1)</f>
        <v>not yet</v>
      </c>
      <c r="AM37" s="459" t="str">
        <f>HLOOKUP(4,$AJ$13:$AR$17,($E$12)+1)</f>
        <v>not yet</v>
      </c>
      <c r="AN37" s="459" t="str">
        <f>HLOOKUP(5,$AJ$13:$AR$17,($E$12)+1)</f>
        <v>not yet</v>
      </c>
      <c r="AO37" s="459" t="str">
        <f>HLOOKUP(6,$AJ$13:$AR$17,($E$12)+1)</f>
        <v>not yet</v>
      </c>
      <c r="AP37" s="459" t="str">
        <f>HLOOKUP(7,$AJ$13:$AR$17,($E$12)+1)</f>
        <v>yes</v>
      </c>
      <c r="AQ37" s="459" t="str">
        <f>HLOOKUP(8,$AJ$13:$AR$17,($E$12)+1)</f>
        <v>yes</v>
      </c>
      <c r="AR37" s="459" t="str">
        <f>HLOOKUP(9,$AJ$13:$AR$17,($E$12)+1)</f>
        <v>yes</v>
      </c>
      <c r="AS37" s="457"/>
      <c r="AT37" s="457"/>
      <c r="AU37" s="457"/>
      <c r="AV37" s="457"/>
      <c r="AW37" s="457"/>
      <c r="AX37" s="457"/>
      <c r="AY37" s="457"/>
      <c r="AZ37" s="457"/>
      <c r="BA37" s="457"/>
      <c r="BB37" s="457"/>
      <c r="BC37" s="457"/>
      <c r="BD37" s="457"/>
      <c r="BE37" s="457"/>
      <c r="BF37" s="457"/>
      <c r="BG37" s="457"/>
      <c r="BH37" s="457"/>
      <c r="BI37" s="457"/>
      <c r="BJ37" s="457"/>
    </row>
    <row r="38" spans="1:62" ht="12.75">
      <c r="A38" s="457"/>
      <c r="B38" s="459"/>
      <c r="C38" s="459"/>
      <c r="D38" s="459"/>
      <c r="E38" s="463"/>
      <c r="F38" s="459"/>
      <c r="G38" s="459"/>
      <c r="H38" s="459"/>
      <c r="I38" s="459"/>
      <c r="J38" s="459"/>
      <c r="K38" s="459"/>
      <c r="L38" s="459"/>
      <c r="M38" s="459"/>
      <c r="N38" s="459"/>
      <c r="O38" s="459"/>
      <c r="P38" s="459"/>
      <c r="Q38" s="459"/>
      <c r="R38" s="459"/>
      <c r="S38" s="459"/>
      <c r="T38" s="459"/>
      <c r="U38" s="459"/>
      <c r="V38" s="467">
        <f>100*(+AD32/$E$9)</f>
        <v>268.8346642012678</v>
      </c>
      <c r="W38" s="474">
        <f>EXP(5.6922-(0.68367*LN(V38)))</f>
        <v>6.4732869263581119</v>
      </c>
      <c r="X38" s="468">
        <f>(+W38*V38)/100</f>
        <v>17.402439171259399</v>
      </c>
      <c r="Y38" s="467">
        <f>100*((((X38/100)-((X38/100)-0.03574)*$E$21)-0.03574-0.00619)/0.344)</f>
        <v>24.731889107648847</v>
      </c>
      <c r="Z38" s="459">
        <f>$E$20</f>
        <v>0.25</v>
      </c>
      <c r="AA38" s="467">
        <f>Y38+Z38</f>
        <v>24.981889107648847</v>
      </c>
      <c r="AB38" s="467">
        <f>100*($E$17*$E$19+($E$18*(AA38/100))/(1-$E$21))</f>
        <v>23.729006150237179</v>
      </c>
      <c r="AC38" s="468">
        <f>AB38/V38</f>
        <v>8.826616991799853E-2</v>
      </c>
      <c r="AD38" s="466">
        <f>ROUND($E$8/(1-AC38),0)</f>
        <v>10617439</v>
      </c>
      <c r="AE38" s="459" t="str">
        <f>IF(AD38=AD32,"yes","not yet")</f>
        <v>not yet</v>
      </c>
      <c r="AF38" s="467">
        <f>100*(1-AC38)</f>
        <v>91.173383008200148</v>
      </c>
      <c r="AG38" s="459"/>
      <c r="AH38" s="459"/>
      <c r="AI38" s="459">
        <v>1</v>
      </c>
      <c r="AJ38" s="466">
        <f>AD5</f>
        <v>10577448.241637889</v>
      </c>
      <c r="AK38" s="466">
        <f>AD11</f>
        <v>10660614.806991071</v>
      </c>
      <c r="AL38" s="466">
        <f>AD17</f>
        <v>10655566.583429616</v>
      </c>
      <c r="AM38" s="466">
        <f>AD23</f>
        <v>10655871.143006342</v>
      </c>
      <c r="AN38" s="466">
        <f>AD29</f>
        <v>10655852.762112036</v>
      </c>
      <c r="AO38" s="466">
        <f>AD35</f>
        <v>10655854</v>
      </c>
      <c r="AP38" s="466">
        <f>AD41</f>
        <v>10655854</v>
      </c>
      <c r="AQ38" s="466">
        <f>AD47</f>
        <v>10655854</v>
      </c>
      <c r="AR38" s="466">
        <f>AD53</f>
        <v>10655854</v>
      </c>
      <c r="AS38" s="457"/>
      <c r="AT38" s="457"/>
      <c r="AU38" s="457"/>
      <c r="AV38" s="457"/>
      <c r="AW38" s="457"/>
      <c r="AX38" s="457"/>
      <c r="AY38" s="457"/>
      <c r="AZ38" s="457"/>
      <c r="BA38" s="457"/>
      <c r="BB38" s="457"/>
      <c r="BC38" s="457"/>
      <c r="BD38" s="457"/>
      <c r="BE38" s="457"/>
      <c r="BF38" s="457"/>
      <c r="BG38" s="457"/>
      <c r="BH38" s="457"/>
      <c r="BI38" s="457"/>
      <c r="BJ38" s="457"/>
    </row>
    <row r="39" spans="1:62" ht="12.75">
      <c r="A39" s="457"/>
      <c r="B39" s="459"/>
      <c r="C39" s="459"/>
      <c r="D39" s="459"/>
      <c r="E39" s="463"/>
      <c r="F39" s="459"/>
      <c r="G39" s="459"/>
      <c r="H39" s="459"/>
      <c r="I39" s="459"/>
      <c r="J39" s="459"/>
      <c r="K39" s="459"/>
      <c r="L39" s="459"/>
      <c r="M39" s="459"/>
      <c r="N39" s="459"/>
      <c r="O39" s="459"/>
      <c r="P39" s="459"/>
      <c r="Q39" s="459"/>
      <c r="R39" s="459"/>
      <c r="S39" s="459"/>
      <c r="T39" s="459"/>
      <c r="U39" s="459"/>
      <c r="V39" s="459"/>
      <c r="W39" s="459"/>
      <c r="X39" s="459"/>
      <c r="Y39" s="459"/>
      <c r="Z39" s="459"/>
      <c r="AA39" s="467"/>
      <c r="AB39" s="459"/>
      <c r="AC39" s="459"/>
      <c r="AD39" s="459"/>
      <c r="AE39" s="459"/>
      <c r="AF39" s="459"/>
      <c r="AG39" s="459"/>
      <c r="AH39" s="459"/>
      <c r="AI39" s="459">
        <v>2</v>
      </c>
      <c r="AJ39" s="466">
        <f>AD6</f>
        <v>10559974.060782338</v>
      </c>
      <c r="AK39" s="466">
        <f>AD12</f>
        <v>10642201.638486672</v>
      </c>
      <c r="AL39" s="466">
        <f>AD18</f>
        <v>10637317.384773128</v>
      </c>
      <c r="AM39" s="466">
        <f>AD24</f>
        <v>10637605.757197073</v>
      </c>
      <c r="AN39" s="466">
        <f>AD30</f>
        <v>10637588.725235552</v>
      </c>
      <c r="AO39" s="466">
        <f>AD36</f>
        <v>10637590</v>
      </c>
      <c r="AP39" s="466">
        <f>AD42</f>
        <v>10637590</v>
      </c>
      <c r="AQ39" s="466">
        <f>AD48</f>
        <v>10637590</v>
      </c>
      <c r="AR39" s="466">
        <f>AD54</f>
        <v>10637590</v>
      </c>
      <c r="AS39" s="457"/>
      <c r="AT39" s="457"/>
      <c r="AU39" s="457"/>
      <c r="AV39" s="457"/>
      <c r="AW39" s="457"/>
      <c r="AX39" s="457"/>
      <c r="AY39" s="457"/>
      <c r="AZ39" s="457"/>
      <c r="BA39" s="457"/>
      <c r="BB39" s="457"/>
      <c r="BC39" s="457"/>
      <c r="BD39" s="457"/>
      <c r="BE39" s="457"/>
      <c r="BF39" s="457"/>
      <c r="BG39" s="457"/>
      <c r="BH39" s="457"/>
      <c r="BI39" s="457"/>
      <c r="BJ39" s="457"/>
    </row>
    <row r="40" spans="1:62" ht="12.75">
      <c r="A40" s="457"/>
      <c r="B40" s="459"/>
      <c r="C40" s="459"/>
      <c r="D40" s="459"/>
      <c r="E40" s="463"/>
      <c r="F40" s="459"/>
      <c r="G40" s="459"/>
      <c r="H40" s="459"/>
      <c r="I40" s="459"/>
      <c r="J40" s="459"/>
      <c r="K40" s="459"/>
      <c r="L40" s="459"/>
      <c r="M40" s="459"/>
      <c r="N40" s="459"/>
      <c r="O40" s="459"/>
      <c r="P40" s="459"/>
      <c r="Q40" s="459"/>
      <c r="R40" s="459"/>
      <c r="S40" s="459"/>
      <c r="T40" s="459"/>
      <c r="U40" s="459"/>
      <c r="V40" s="464" t="s">
        <v>1451</v>
      </c>
      <c r="W40" s="473" t="s">
        <v>1400</v>
      </c>
      <c r="X40" s="473" t="s">
        <v>1401</v>
      </c>
      <c r="Y40" s="473" t="s">
        <v>1402</v>
      </c>
      <c r="Z40" s="459"/>
      <c r="AA40" s="467"/>
      <c r="AB40" s="459"/>
      <c r="AC40" s="459"/>
      <c r="AD40" s="459"/>
      <c r="AE40" s="459"/>
      <c r="AF40" s="459"/>
      <c r="AG40" s="459"/>
      <c r="AH40" s="459"/>
      <c r="AI40" s="459">
        <v>3</v>
      </c>
      <c r="AJ40" s="466">
        <f>AD7</f>
        <v>10548235.661512125</v>
      </c>
      <c r="AK40" s="466">
        <f>AD13</f>
        <v>10629808.871897282</v>
      </c>
      <c r="AL40" s="466">
        <f>AD19</f>
        <v>10625034.912290994</v>
      </c>
      <c r="AM40" s="466">
        <f>AD25</f>
        <v>10625312.631792242</v>
      </c>
      <c r="AN40" s="466">
        <f>AD31</f>
        <v>10625296.470135111</v>
      </c>
      <c r="AO40" s="466">
        <f>AD37</f>
        <v>10625297</v>
      </c>
      <c r="AP40" s="466">
        <f>AD43</f>
        <v>10625297</v>
      </c>
      <c r="AQ40" s="466">
        <f>AD49</f>
        <v>10625297</v>
      </c>
      <c r="AR40" s="466">
        <f>AD55</f>
        <v>10625297</v>
      </c>
      <c r="AS40" s="457"/>
      <c r="AT40" s="457"/>
      <c r="AU40" s="457"/>
      <c r="AV40" s="457"/>
      <c r="AW40" s="457"/>
      <c r="AX40" s="457"/>
      <c r="AY40" s="457"/>
      <c r="AZ40" s="457"/>
      <c r="BA40" s="457"/>
      <c r="BB40" s="457"/>
      <c r="BC40" s="457"/>
      <c r="BD40" s="457"/>
      <c r="BE40" s="457"/>
      <c r="BF40" s="457"/>
      <c r="BG40" s="457"/>
      <c r="BH40" s="457"/>
      <c r="BI40" s="457"/>
      <c r="BJ40" s="457"/>
    </row>
    <row r="41" spans="1:62" ht="12.75">
      <c r="A41" s="457"/>
      <c r="B41" s="459"/>
      <c r="C41" s="459"/>
      <c r="D41" s="459"/>
      <c r="E41" s="463"/>
      <c r="F41" s="459"/>
      <c r="G41" s="459"/>
      <c r="H41" s="459"/>
      <c r="I41" s="459"/>
      <c r="J41" s="459"/>
      <c r="K41" s="459"/>
      <c r="L41" s="459"/>
      <c r="M41" s="459"/>
      <c r="N41" s="459"/>
      <c r="O41" s="459"/>
      <c r="P41" s="459"/>
      <c r="Q41" s="459"/>
      <c r="R41" s="459"/>
      <c r="S41" s="459"/>
      <c r="T41" s="459"/>
      <c r="U41" s="459"/>
      <c r="V41" s="467">
        <f>100*(+AD35/$E$9)</f>
        <v>269.80736099471847</v>
      </c>
      <c r="W41" s="474">
        <f>EXP(5.7226-(0.68367*LN(+V41)))</f>
        <v>6.6566397604197078</v>
      </c>
      <c r="X41" s="468">
        <f>(+W41*V41)/100</f>
        <v>17.960104068513562</v>
      </c>
      <c r="Y41" s="467">
        <f>100*((((X41/100)-((X41/100)-0.03574)*$E$21)-0.03574-0.00619)/0.344)</f>
        <v>25.801827573310916</v>
      </c>
      <c r="Z41" s="459">
        <f>$E$20</f>
        <v>0.25</v>
      </c>
      <c r="AA41" s="467">
        <f>Y41+Z41</f>
        <v>26.051827573310916</v>
      </c>
      <c r="AB41" s="467">
        <f>100*($E$17*$E$19+($E$18*(AA41/100))/(1-$E$21))</f>
        <v>24.701677482657239</v>
      </c>
      <c r="AC41" s="468">
        <f>AB41/V41</f>
        <v>9.1553015423996451E-2</v>
      </c>
      <c r="AD41" s="466">
        <f>ROUND($E$8/(1-AC41),0)</f>
        <v>10655854</v>
      </c>
      <c r="AE41" s="459" t="str">
        <f>IF(OR(OR(AD41=AD35,AD41=(AD35+1)),AD41=(AD27-1)),"yes","not yet")</f>
        <v>yes</v>
      </c>
      <c r="AF41" s="467">
        <f>100*(1-AC41)</f>
        <v>90.844698457600359</v>
      </c>
      <c r="AG41" s="459"/>
      <c r="AH41" s="459"/>
      <c r="AI41" s="459">
        <v>4</v>
      </c>
      <c r="AJ41" s="466">
        <f>AD8</f>
        <v>10540740.645339638</v>
      </c>
      <c r="AK41" s="466">
        <f>AD14</f>
        <v>10621886.129407885</v>
      </c>
      <c r="AL41" s="466">
        <f>AD20</f>
        <v>10617182.625321301</v>
      </c>
      <c r="AM41" s="466">
        <f>AD26</f>
        <v>10617453.6378369</v>
      </c>
      <c r="AN41" s="466">
        <f>AD32</f>
        <v>10617438.016910937</v>
      </c>
      <c r="AO41" s="466">
        <f>AD38</f>
        <v>10617439</v>
      </c>
      <c r="AP41" s="466">
        <f>AD44</f>
        <v>10617439</v>
      </c>
      <c r="AQ41" s="466">
        <f>AD50</f>
        <v>10617439</v>
      </c>
      <c r="AR41" s="466">
        <f>AD56</f>
        <v>10617439</v>
      </c>
      <c r="AS41" s="457"/>
      <c r="AT41" s="457"/>
      <c r="AU41" s="457"/>
      <c r="AV41" s="457"/>
      <c r="AW41" s="457"/>
      <c r="AX41" s="457"/>
      <c r="AY41" s="457"/>
      <c r="AZ41" s="457"/>
      <c r="BA41" s="457"/>
      <c r="BB41" s="457"/>
      <c r="BC41" s="457"/>
      <c r="BD41" s="457"/>
      <c r="BE41" s="457"/>
      <c r="BF41" s="457"/>
      <c r="BG41" s="457"/>
      <c r="BH41" s="457"/>
      <c r="BI41" s="457"/>
      <c r="BJ41" s="457"/>
    </row>
    <row r="42" spans="1:62" ht="12.75">
      <c r="A42" s="457"/>
      <c r="B42" s="459"/>
      <c r="C42" s="459"/>
      <c r="D42" s="459"/>
      <c r="E42" s="462"/>
      <c r="F42" s="459"/>
      <c r="G42" s="459"/>
      <c r="H42" s="459"/>
      <c r="I42" s="459"/>
      <c r="J42" s="459"/>
      <c r="K42" s="459"/>
      <c r="L42" s="459"/>
      <c r="M42" s="459"/>
      <c r="N42" s="459"/>
      <c r="O42" s="459"/>
      <c r="P42" s="459"/>
      <c r="Q42" s="459"/>
      <c r="R42" s="459"/>
      <c r="S42" s="459"/>
      <c r="T42" s="459"/>
      <c r="U42" s="459"/>
      <c r="V42" s="467">
        <f>100*(+AD36/$E$9)</f>
        <v>269.3449145646897</v>
      </c>
      <c r="W42" s="474">
        <f>EXP(5.70827-(0.68367*LN(+V42)))</f>
        <v>6.5696307200667787</v>
      </c>
      <c r="X42" s="468">
        <f>(+W42*V42)/100</f>
        <v>17.694966250179476</v>
      </c>
      <c r="Y42" s="467">
        <f>100*((((X42/100)-((X42/100)-0.03574)*$E$21)-0.03574-0.00619)/0.344)</f>
        <v>25.293132921855978</v>
      </c>
      <c r="Z42" s="459">
        <f>$E$20</f>
        <v>0.25</v>
      </c>
      <c r="AA42" s="467">
        <f>Y42+Z42</f>
        <v>25.543132921855978</v>
      </c>
      <c r="AB42" s="467">
        <f>100*($E$17*$E$19+($E$18*(AA42/100))/(1-$E$21))</f>
        <v>24.239227799516389</v>
      </c>
      <c r="AC42" s="468">
        <f>AB42/V42</f>
        <v>8.9993263242750962E-2</v>
      </c>
      <c r="AD42" s="466">
        <f>ROUND($E$8/(1-AC42),0)</f>
        <v>10637590</v>
      </c>
      <c r="AE42" s="459" t="str">
        <f>IF(OR(OR(AD42=AD36,AD42=(AD36+5)),AD42=(AD28-5)),"yes","not yet")</f>
        <v>yes</v>
      </c>
      <c r="AF42" s="467">
        <f>100*(1-AC42)</f>
        <v>91.000673675724912</v>
      </c>
      <c r="AG42" s="459"/>
      <c r="AH42" s="459"/>
      <c r="AI42" s="459"/>
      <c r="AJ42" s="459"/>
      <c r="AK42" s="459"/>
      <c r="AL42" s="459"/>
      <c r="AM42" s="459"/>
      <c r="AN42" s="459"/>
      <c r="AO42" s="459"/>
      <c r="AP42" s="459"/>
      <c r="AQ42" s="459"/>
      <c r="AR42" s="459"/>
      <c r="AS42" s="457"/>
      <c r="AT42" s="457"/>
      <c r="AU42" s="457"/>
      <c r="AV42" s="457"/>
      <c r="AW42" s="457"/>
      <c r="AX42" s="457"/>
      <c r="AY42" s="457"/>
      <c r="AZ42" s="457"/>
      <c r="BA42" s="457"/>
      <c r="BB42" s="457"/>
      <c r="BC42" s="457"/>
      <c r="BD42" s="457"/>
      <c r="BE42" s="457"/>
      <c r="BF42" s="457"/>
      <c r="BG42" s="457"/>
      <c r="BH42" s="457"/>
      <c r="BI42" s="457"/>
      <c r="BJ42" s="457"/>
    </row>
    <row r="43" spans="1:62" ht="12.75">
      <c r="A43" s="457"/>
      <c r="B43" s="459"/>
      <c r="C43" s="459"/>
      <c r="D43" s="459"/>
      <c r="E43" s="463"/>
      <c r="F43" s="459"/>
      <c r="G43" s="459"/>
      <c r="H43" s="459"/>
      <c r="I43" s="459"/>
      <c r="J43" s="459"/>
      <c r="K43" s="459"/>
      <c r="L43" s="459"/>
      <c r="M43" s="459"/>
      <c r="N43" s="459"/>
      <c r="O43" s="459"/>
      <c r="P43" s="459"/>
      <c r="Q43" s="459"/>
      <c r="R43" s="459"/>
      <c r="S43" s="459"/>
      <c r="T43" s="459"/>
      <c r="U43" s="459"/>
      <c r="V43" s="467">
        <f>100*(+AD37/$E$9)</f>
        <v>269.03365449217858</v>
      </c>
      <c r="W43" s="474">
        <f>EXP(5.6985-(0.68367*LN(V43)))</f>
        <v>6.5109029119336945</v>
      </c>
      <c r="X43" s="468">
        <f>(+W43*V43)/100</f>
        <v>17.516520044412889</v>
      </c>
      <c r="Y43" s="467">
        <f>100*((((X43/100)-((X43/100)-0.03574)*$E$21)-0.03574-0.00619)/0.344)</f>
        <v>24.950765201489848</v>
      </c>
      <c r="Z43" s="459">
        <f>$E$20</f>
        <v>0.25</v>
      </c>
      <c r="AA43" s="467">
        <f>Y43+Z43</f>
        <v>25.200765201489848</v>
      </c>
      <c r="AB43" s="467">
        <f>100*($E$17*$E$19+($E$18*(AA43/100))/(1-$E$21))</f>
        <v>23.927984417365362</v>
      </c>
      <c r="AC43" s="468">
        <f>AB43/V43</f>
        <v>8.8940487622380354E-2</v>
      </c>
      <c r="AD43" s="466">
        <f>ROUND($E$8/(1-AC43),0)</f>
        <v>10625297</v>
      </c>
      <c r="AE43" s="459" t="str">
        <f>IF(OR(OR(AD43=AD37,AD43=(AD37+5)),AD43=(AD29-5)),"yes","not yet")</f>
        <v>yes</v>
      </c>
      <c r="AF43" s="467">
        <f>100*(1-AC43)</f>
        <v>91.105951237761957</v>
      </c>
      <c r="AG43" s="459"/>
      <c r="AH43" s="459"/>
      <c r="AI43" s="459"/>
      <c r="AJ43" s="459" t="s">
        <v>1448</v>
      </c>
      <c r="AK43" s="459"/>
      <c r="AL43" s="459"/>
      <c r="AM43" s="459"/>
      <c r="AN43" s="459"/>
      <c r="AO43" s="459"/>
      <c r="AP43" s="459"/>
      <c r="AQ43" s="459"/>
      <c r="AR43" s="459"/>
      <c r="AS43" s="457"/>
      <c r="AT43" s="457"/>
      <c r="AU43" s="457"/>
      <c r="AV43" s="457"/>
      <c r="AW43" s="457"/>
      <c r="AX43" s="457"/>
      <c r="AY43" s="457"/>
      <c r="AZ43" s="457"/>
      <c r="BA43" s="457"/>
      <c r="BB43" s="457"/>
      <c r="BC43" s="457"/>
      <c r="BD43" s="457"/>
      <c r="BE43" s="457"/>
      <c r="BF43" s="457"/>
      <c r="BG43" s="457"/>
      <c r="BH43" s="457"/>
      <c r="BI43" s="457"/>
      <c r="BJ43" s="457"/>
    </row>
    <row r="44" spans="1:62" ht="12.75">
      <c r="A44" s="457"/>
      <c r="B44" s="459"/>
      <c r="C44" s="459"/>
      <c r="D44" s="459"/>
      <c r="E44" s="489"/>
      <c r="F44" s="459"/>
      <c r="G44" s="459"/>
      <c r="H44" s="459"/>
      <c r="I44" s="459"/>
      <c r="J44" s="459"/>
      <c r="K44" s="459"/>
      <c r="L44" s="459"/>
      <c r="M44" s="459"/>
      <c r="N44" s="459"/>
      <c r="O44" s="459"/>
      <c r="P44" s="459"/>
      <c r="Q44" s="459"/>
      <c r="R44" s="459"/>
      <c r="S44" s="459"/>
      <c r="T44" s="459"/>
      <c r="U44" s="459"/>
      <c r="V44" s="467">
        <f>100*(+AD38/$E$9)</f>
        <v>268.83468909318793</v>
      </c>
      <c r="W44" s="474">
        <f>EXP(5.6922-(0.68367*LN(V44)))</f>
        <v>6.4732865165840368</v>
      </c>
      <c r="X44" s="468">
        <f>(+W44*V44)/100</f>
        <v>17.402439680969952</v>
      </c>
      <c r="Y44" s="467">
        <f>100*((((X44/100)-((X44/100)-0.03574)*$E$21)-0.03574-0.00619)/0.344)</f>
        <v>24.731890085581888</v>
      </c>
      <c r="Z44" s="459">
        <f>$E$20</f>
        <v>0.25</v>
      </c>
      <c r="AA44" s="467">
        <f>Y44+Z44</f>
        <v>24.981890085581888</v>
      </c>
      <c r="AB44" s="467">
        <f>100*($E$17*$E$19+($E$18*(AA44/100))/(1-$E$21))</f>
        <v>23.729007039267213</v>
      </c>
      <c r="AC44" s="468">
        <f>AB44/V44</f>
        <v>8.8266165052240969E-2</v>
      </c>
      <c r="AD44" s="466">
        <f>ROUND($E$8/(1-AC44),0)</f>
        <v>10617439</v>
      </c>
      <c r="AE44" s="459" t="str">
        <f>IF(OR(OR(AD44=AD38,AD44=(AD38+5)),AD44=(AD30-5)),"yes","not yet")</f>
        <v>yes</v>
      </c>
      <c r="AF44" s="467">
        <f>100*(1-AC44)</f>
        <v>91.173383494775905</v>
      </c>
      <c r="AG44" s="459"/>
      <c r="AH44" s="459"/>
      <c r="AI44" s="459"/>
      <c r="AJ44" s="466">
        <f>HLOOKUP($AJ$34,$AJ$37:$AR$41,($E$12)+1)</f>
        <v>10625297</v>
      </c>
      <c r="AK44" s="459"/>
      <c r="AL44" s="459"/>
      <c r="AM44" s="459"/>
      <c r="AN44" s="459"/>
      <c r="AO44" s="459"/>
      <c r="AP44" s="459"/>
      <c r="AQ44" s="459"/>
      <c r="AR44" s="459"/>
      <c r="AS44" s="457"/>
      <c r="AT44" s="457"/>
      <c r="AU44" s="457"/>
      <c r="AV44" s="457"/>
      <c r="AW44" s="457"/>
      <c r="AX44" s="457"/>
      <c r="AY44" s="457"/>
      <c r="AZ44" s="457"/>
      <c r="BA44" s="457"/>
      <c r="BB44" s="457"/>
      <c r="BC44" s="457"/>
      <c r="BD44" s="457"/>
      <c r="BE44" s="457"/>
      <c r="BF44" s="457"/>
      <c r="BG44" s="457"/>
      <c r="BH44" s="457"/>
      <c r="BI44" s="457"/>
      <c r="BJ44" s="457"/>
    </row>
    <row r="45" spans="1:62" ht="12.75">
      <c r="A45" s="457"/>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67"/>
      <c r="AB45" s="459"/>
      <c r="AC45" s="459"/>
      <c r="AD45" s="459"/>
      <c r="AE45" s="459"/>
      <c r="AF45" s="459"/>
      <c r="AG45" s="459"/>
      <c r="AH45" s="459"/>
      <c r="AI45" s="459"/>
      <c r="AJ45" s="459"/>
      <c r="AK45" s="459"/>
      <c r="AL45" s="459"/>
      <c r="AM45" s="459"/>
      <c r="AN45" s="459"/>
      <c r="AO45" s="459"/>
      <c r="AP45" s="459"/>
      <c r="AQ45" s="459"/>
      <c r="AR45" s="459"/>
      <c r="AS45" s="457"/>
      <c r="AT45" s="457"/>
      <c r="AU45" s="457"/>
      <c r="AV45" s="457"/>
      <c r="AW45" s="457"/>
      <c r="AX45" s="457"/>
      <c r="AY45" s="457"/>
      <c r="AZ45" s="457"/>
      <c r="BA45" s="457"/>
      <c r="BB45" s="457"/>
      <c r="BC45" s="457"/>
      <c r="BD45" s="457"/>
      <c r="BE45" s="457"/>
      <c r="BF45" s="457"/>
      <c r="BG45" s="457"/>
      <c r="BH45" s="457"/>
      <c r="BI45" s="457"/>
      <c r="BJ45" s="457"/>
    </row>
    <row r="46" spans="1:62" ht="12.75">
      <c r="A46" s="457"/>
      <c r="B46" s="459"/>
      <c r="C46" s="459"/>
      <c r="D46" s="466"/>
      <c r="E46" s="466"/>
      <c r="F46" s="466"/>
      <c r="G46" s="459"/>
      <c r="H46" s="459"/>
      <c r="I46" s="459"/>
      <c r="J46" s="459"/>
      <c r="K46" s="459"/>
      <c r="L46" s="459"/>
      <c r="M46" s="459"/>
      <c r="N46" s="459"/>
      <c r="O46" s="459"/>
      <c r="P46" s="459"/>
      <c r="Q46" s="459"/>
      <c r="R46" s="459"/>
      <c r="S46" s="459"/>
      <c r="T46" s="459"/>
      <c r="U46" s="459"/>
      <c r="V46" s="464" t="s">
        <v>1452</v>
      </c>
      <c r="W46" s="473" t="s">
        <v>1400</v>
      </c>
      <c r="X46" s="473" t="s">
        <v>1401</v>
      </c>
      <c r="Y46" s="473" t="s">
        <v>1402</v>
      </c>
      <c r="Z46" s="459"/>
      <c r="AA46" s="467"/>
      <c r="AB46" s="459"/>
      <c r="AC46" s="459"/>
      <c r="AD46" s="459"/>
      <c r="AE46" s="459"/>
      <c r="AF46" s="459"/>
      <c r="AG46" s="459"/>
      <c r="AH46" s="459"/>
      <c r="AI46" s="459"/>
      <c r="AJ46" s="459"/>
      <c r="AK46" s="459"/>
      <c r="AL46" s="459"/>
      <c r="AM46" s="459"/>
      <c r="AN46" s="459"/>
      <c r="AO46" s="459"/>
      <c r="AP46" s="459"/>
      <c r="AQ46" s="459"/>
      <c r="AR46" s="459"/>
      <c r="AS46" s="457"/>
      <c r="AT46" s="457"/>
      <c r="AU46" s="457"/>
      <c r="AV46" s="457"/>
      <c r="AW46" s="457"/>
      <c r="AX46" s="457"/>
      <c r="AY46" s="457"/>
      <c r="AZ46" s="457"/>
      <c r="BA46" s="457"/>
      <c r="BB46" s="457"/>
      <c r="BC46" s="457"/>
      <c r="BD46" s="457"/>
      <c r="BE46" s="457"/>
      <c r="BF46" s="457"/>
      <c r="BG46" s="457"/>
      <c r="BH46" s="457"/>
      <c r="BI46" s="457"/>
      <c r="BJ46" s="457"/>
    </row>
    <row r="47" spans="1:62" ht="12.75">
      <c r="A47" s="457"/>
      <c r="B47" s="459"/>
      <c r="C47" s="459"/>
      <c r="D47" s="466"/>
      <c r="E47" s="466"/>
      <c r="F47" s="466"/>
      <c r="G47" s="459"/>
      <c r="H47" s="459"/>
      <c r="I47" s="459"/>
      <c r="J47" s="459"/>
      <c r="K47" s="459"/>
      <c r="L47" s="459"/>
      <c r="M47" s="459"/>
      <c r="N47" s="459"/>
      <c r="O47" s="459"/>
      <c r="P47" s="459"/>
      <c r="Q47" s="459"/>
      <c r="R47" s="459"/>
      <c r="S47" s="459"/>
      <c r="T47" s="459"/>
      <c r="U47" s="459"/>
      <c r="V47" s="467">
        <f>100*(+AD41/$E$9)</f>
        <v>269.80736099471847</v>
      </c>
      <c r="W47" s="474">
        <f>EXP(5.7226-(0.68367*LN(+V47)))</f>
        <v>6.6566397604197078</v>
      </c>
      <c r="X47" s="468">
        <f>(+W47*V47)/100</f>
        <v>17.960104068513562</v>
      </c>
      <c r="Y47" s="467">
        <f>100*((((X47/100)-((X47/100)-0.03574)*$E$21)-0.03574-0.00619)/0.344)</f>
        <v>25.801827573310916</v>
      </c>
      <c r="Z47" s="459">
        <f>$E$20</f>
        <v>0.25</v>
      </c>
      <c r="AA47" s="467">
        <f>Y47+Z47</f>
        <v>26.051827573310916</v>
      </c>
      <c r="AB47" s="467">
        <f>100*($E$17*$E$19+($E$18*(AA47/100))/(1-$E$21))</f>
        <v>24.701677482657239</v>
      </c>
      <c r="AC47" s="468">
        <f>AB47/V47</f>
        <v>9.1553015423996451E-2</v>
      </c>
      <c r="AD47" s="466">
        <f>ROUND($E$8/(1-AC47),0)</f>
        <v>10655854</v>
      </c>
      <c r="AE47" s="459" t="str">
        <f>IF(OR(OR(AD47=AD41,AD47=(AD41+1)),AD47=(AD33-1)),"yes","not yet")</f>
        <v>yes</v>
      </c>
      <c r="AF47" s="467">
        <f>100*(1-AC47)</f>
        <v>90.844698457600359</v>
      </c>
      <c r="AG47" s="459"/>
      <c r="AH47" s="459"/>
      <c r="AI47" s="459"/>
      <c r="AJ47" s="459"/>
      <c r="AK47" s="459"/>
      <c r="AL47" s="459"/>
      <c r="AM47" s="459"/>
      <c r="AN47" s="459"/>
      <c r="AO47" s="459"/>
      <c r="AP47" s="459"/>
      <c r="AQ47" s="459"/>
      <c r="AR47" s="459"/>
      <c r="AS47" s="457"/>
      <c r="AT47" s="457"/>
      <c r="AU47" s="457"/>
      <c r="AV47" s="457"/>
      <c r="AW47" s="457"/>
      <c r="AX47" s="457"/>
      <c r="AY47" s="457"/>
      <c r="AZ47" s="457"/>
      <c r="BA47" s="457"/>
      <c r="BB47" s="457"/>
      <c r="BC47" s="457"/>
      <c r="BD47" s="457"/>
      <c r="BE47" s="457"/>
      <c r="BF47" s="457"/>
      <c r="BG47" s="457"/>
      <c r="BH47" s="457"/>
      <c r="BI47" s="457"/>
      <c r="BJ47" s="457"/>
    </row>
    <row r="48" spans="1:62" ht="12.75">
      <c r="A48" s="457"/>
      <c r="B48" s="459"/>
      <c r="C48" s="459"/>
      <c r="D48" s="459"/>
      <c r="E48" s="462"/>
      <c r="F48" s="459"/>
      <c r="G48" s="459"/>
      <c r="H48" s="459"/>
      <c r="I48" s="459"/>
      <c r="J48" s="459"/>
      <c r="K48" s="459"/>
      <c r="L48" s="459"/>
      <c r="M48" s="459"/>
      <c r="N48" s="459"/>
      <c r="O48" s="459"/>
      <c r="P48" s="459"/>
      <c r="Q48" s="459"/>
      <c r="R48" s="459"/>
      <c r="S48" s="459"/>
      <c r="T48" s="459"/>
      <c r="U48" s="459"/>
      <c r="V48" s="467">
        <f>100*(+AD42/$E$9)</f>
        <v>269.3449145646897</v>
      </c>
      <c r="W48" s="474">
        <f>EXP(5.70827-(0.68367*LN(+V48)))</f>
        <v>6.5696307200667787</v>
      </c>
      <c r="X48" s="468">
        <f>(+W48*V48)/100</f>
        <v>17.694966250179476</v>
      </c>
      <c r="Y48" s="467">
        <f>100*((((X48/100)-((X48/100)-0.03574)*$E$21)-0.03574-0.00619)/0.344)</f>
        <v>25.293132921855978</v>
      </c>
      <c r="Z48" s="459">
        <f>$E$20</f>
        <v>0.25</v>
      </c>
      <c r="AA48" s="467">
        <f>Y48+Z48</f>
        <v>25.543132921855978</v>
      </c>
      <c r="AB48" s="467">
        <f>100*($E$17*$E$19+($E$18*(AA48/100))/(1-$E$21))</f>
        <v>24.239227799516389</v>
      </c>
      <c r="AC48" s="468">
        <f>AB48/V48</f>
        <v>8.9993263242750962E-2</v>
      </c>
      <c r="AD48" s="466">
        <f>ROUND($E$8/(1-AC48),0)</f>
        <v>10637590</v>
      </c>
      <c r="AE48" s="459" t="str">
        <f>IF(OR(OR(AD48=AD42,AD48=(AD42+1)),AD48=(AD42-1)),"yes","not yet")</f>
        <v>yes</v>
      </c>
      <c r="AF48" s="467">
        <f>100*(1-AC48)</f>
        <v>91.000673675724912</v>
      </c>
      <c r="AG48" s="459"/>
      <c r="AH48" s="459"/>
      <c r="AI48" s="459"/>
      <c r="AJ48" s="459"/>
      <c r="AK48" s="459"/>
      <c r="AL48" s="459"/>
      <c r="AM48" s="459"/>
      <c r="AN48" s="459"/>
      <c r="AO48" s="459"/>
      <c r="AP48" s="459"/>
      <c r="AQ48" s="459"/>
      <c r="AR48" s="459"/>
      <c r="AS48" s="457"/>
      <c r="AT48" s="457"/>
      <c r="AU48" s="457"/>
      <c r="AV48" s="457"/>
      <c r="AW48" s="457"/>
      <c r="AX48" s="457"/>
      <c r="AY48" s="457"/>
      <c r="AZ48" s="457"/>
      <c r="BA48" s="457"/>
      <c r="BB48" s="457"/>
      <c r="BC48" s="457"/>
      <c r="BD48" s="457"/>
      <c r="BE48" s="457"/>
      <c r="BF48" s="457"/>
      <c r="BG48" s="457"/>
      <c r="BH48" s="457"/>
      <c r="BI48" s="457"/>
      <c r="BJ48" s="457"/>
    </row>
    <row r="49" spans="1:62" ht="12.75">
      <c r="A49" s="457"/>
      <c r="B49" s="459"/>
      <c r="C49" s="459"/>
      <c r="D49" s="459"/>
      <c r="E49" s="462"/>
      <c r="F49" s="459"/>
      <c r="G49" s="459"/>
      <c r="H49" s="459"/>
      <c r="I49" s="459"/>
      <c r="J49" s="459"/>
      <c r="K49" s="459"/>
      <c r="L49" s="459"/>
      <c r="M49" s="459"/>
      <c r="N49" s="459"/>
      <c r="O49" s="459"/>
      <c r="P49" s="459"/>
      <c r="Q49" s="459"/>
      <c r="R49" s="459"/>
      <c r="S49" s="459"/>
      <c r="T49" s="459"/>
      <c r="U49" s="459"/>
      <c r="V49" s="467">
        <f>100*(+AD43/$E$9)</f>
        <v>269.03365449217858</v>
      </c>
      <c r="W49" s="474">
        <f>EXP(5.6985-(0.68367*LN(V49)))</f>
        <v>6.5109029119336945</v>
      </c>
      <c r="X49" s="468">
        <f>(+W49*V49)/100</f>
        <v>17.516520044412889</v>
      </c>
      <c r="Y49" s="467">
        <f>100*((((X49/100)-((X49/100)-0.03574)*$E$21)-0.03574-0.00619)/0.344)</f>
        <v>24.950765201489848</v>
      </c>
      <c r="Z49" s="459">
        <f>$E$20</f>
        <v>0.25</v>
      </c>
      <c r="AA49" s="467">
        <f>Y49+Z49</f>
        <v>25.200765201489848</v>
      </c>
      <c r="AB49" s="467">
        <f>100*($E$17*$E$19+($E$18*(AA49/100))/(1-$E$21))</f>
        <v>23.927984417365362</v>
      </c>
      <c r="AC49" s="468">
        <f>AB49/V49</f>
        <v>8.8940487622380354E-2</v>
      </c>
      <c r="AD49" s="466">
        <f>ROUND($E$8/(1-AC49),0)</f>
        <v>10625297</v>
      </c>
      <c r="AE49" s="459" t="str">
        <f>IF(OR(OR(AD49=AD43,AD49=(AD43+1)),AD49=(AD43-1)),"yes","not yet")</f>
        <v>yes</v>
      </c>
      <c r="AF49" s="467">
        <f>100*(1-AC49)</f>
        <v>91.105951237761957</v>
      </c>
      <c r="AG49" s="459"/>
      <c r="AH49" s="459"/>
      <c r="AI49" s="459"/>
      <c r="AJ49" s="459"/>
      <c r="AK49" s="459"/>
      <c r="AL49" s="459"/>
      <c r="AM49" s="459"/>
      <c r="AN49" s="459"/>
      <c r="AO49" s="459"/>
      <c r="AP49" s="459"/>
      <c r="AQ49" s="459"/>
      <c r="AR49" s="459"/>
      <c r="AS49" s="457"/>
      <c r="AT49" s="457"/>
      <c r="AU49" s="457"/>
      <c r="AV49" s="457"/>
      <c r="AW49" s="457"/>
      <c r="AX49" s="457"/>
      <c r="AY49" s="457"/>
      <c r="AZ49" s="457"/>
      <c r="BA49" s="457"/>
      <c r="BB49" s="457"/>
      <c r="BC49" s="457"/>
      <c r="BD49" s="457"/>
      <c r="BE49" s="457"/>
      <c r="BF49" s="457"/>
      <c r="BG49" s="457"/>
      <c r="BH49" s="457"/>
      <c r="BI49" s="457"/>
      <c r="BJ49" s="457"/>
    </row>
    <row r="50" spans="1:62" ht="12.75">
      <c r="A50" s="457"/>
      <c r="B50" s="459"/>
      <c r="C50" s="459"/>
      <c r="D50" s="459"/>
      <c r="E50" s="462"/>
      <c r="F50" s="459"/>
      <c r="G50" s="459"/>
      <c r="H50" s="459"/>
      <c r="I50" s="459"/>
      <c r="J50" s="459"/>
      <c r="K50" s="459"/>
      <c r="L50" s="459"/>
      <c r="M50" s="459"/>
      <c r="N50" s="459"/>
      <c r="O50" s="459"/>
      <c r="P50" s="459"/>
      <c r="Q50" s="459"/>
      <c r="R50" s="459"/>
      <c r="S50" s="459"/>
      <c r="T50" s="459"/>
      <c r="U50" s="459"/>
      <c r="V50" s="467">
        <f>100*(+AD44/$E$9)</f>
        <v>268.83468909318793</v>
      </c>
      <c r="W50" s="474">
        <f>EXP(5.6922-(0.68367*LN(V50)))</f>
        <v>6.4732865165840368</v>
      </c>
      <c r="X50" s="468">
        <f>(+W50*V50)/100</f>
        <v>17.402439680969952</v>
      </c>
      <c r="Y50" s="467">
        <f>100*((((X50/100)-((X50/100)-0.03574)*$E$21)-0.03574-0.00619)/0.344)</f>
        <v>24.731890085581888</v>
      </c>
      <c r="Z50" s="459">
        <f>$E$20</f>
        <v>0.25</v>
      </c>
      <c r="AA50" s="467">
        <f>Y50+Z50</f>
        <v>24.981890085581888</v>
      </c>
      <c r="AB50" s="467">
        <f>100*($E$17*$E$19+($E$18*(AA50/100))/(1-$E$21))</f>
        <v>23.729007039267213</v>
      </c>
      <c r="AC50" s="468">
        <f>AB50/V50</f>
        <v>8.8266165052240969E-2</v>
      </c>
      <c r="AD50" s="466">
        <f>ROUND($E$8/(1-AC50),0)</f>
        <v>10617439</v>
      </c>
      <c r="AE50" s="459" t="str">
        <f>IF(OR(OR(AD50=AD44,AD50=(AD44+1)),AD50=(AD44-1)),"yes","not yet")</f>
        <v>yes</v>
      </c>
      <c r="AF50" s="467">
        <f>100*(1-AC50)</f>
        <v>91.173383494775905</v>
      </c>
      <c r="AG50" s="459"/>
      <c r="AH50" s="459"/>
      <c r="AI50" s="459"/>
      <c r="AJ50" s="459"/>
      <c r="AK50" s="459"/>
      <c r="AL50" s="459"/>
      <c r="AM50" s="459"/>
      <c r="AN50" s="459"/>
      <c r="AO50" s="459"/>
      <c r="AP50" s="459"/>
      <c r="AQ50" s="459"/>
      <c r="AR50" s="459"/>
      <c r="AS50" s="457"/>
      <c r="AT50" s="457"/>
      <c r="AU50" s="457"/>
      <c r="AV50" s="457"/>
      <c r="AW50" s="457"/>
      <c r="AX50" s="457"/>
      <c r="AY50" s="457"/>
      <c r="AZ50" s="457"/>
      <c r="BA50" s="457"/>
      <c r="BB50" s="457"/>
      <c r="BC50" s="457"/>
      <c r="BD50" s="457"/>
      <c r="BE50" s="457"/>
      <c r="BF50" s="457"/>
      <c r="BG50" s="457"/>
      <c r="BH50" s="457"/>
      <c r="BI50" s="457"/>
      <c r="BJ50" s="457"/>
    </row>
    <row r="51" spans="1:62" ht="12.75">
      <c r="A51" s="457"/>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67"/>
      <c r="AB51" s="459"/>
      <c r="AC51" s="459"/>
      <c r="AD51" s="459"/>
      <c r="AE51" s="459"/>
      <c r="AF51" s="459"/>
      <c r="AG51" s="459"/>
      <c r="AH51" s="459"/>
      <c r="AI51" s="459"/>
      <c r="AJ51" s="459"/>
      <c r="AK51" s="459"/>
      <c r="AL51" s="459"/>
      <c r="AM51" s="459"/>
      <c r="AN51" s="459"/>
      <c r="AO51" s="459"/>
      <c r="AP51" s="459"/>
      <c r="AQ51" s="459"/>
      <c r="AR51" s="459"/>
      <c r="AS51" s="457"/>
      <c r="AT51" s="457"/>
      <c r="AU51" s="457"/>
      <c r="AV51" s="457"/>
      <c r="AW51" s="457"/>
      <c r="AX51" s="457"/>
      <c r="AY51" s="457"/>
      <c r="AZ51" s="457"/>
      <c r="BA51" s="457"/>
      <c r="BB51" s="457"/>
      <c r="BC51" s="457"/>
      <c r="BD51" s="457"/>
      <c r="BE51" s="457"/>
      <c r="BF51" s="457"/>
      <c r="BG51" s="457"/>
      <c r="BH51" s="457"/>
      <c r="BI51" s="457"/>
      <c r="BJ51" s="457"/>
    </row>
    <row r="52" spans="1:62" ht="12.75">
      <c r="A52" s="457"/>
      <c r="B52" s="459"/>
      <c r="C52" s="459"/>
      <c r="D52" s="459"/>
      <c r="E52" s="459"/>
      <c r="F52" s="459"/>
      <c r="G52" s="459"/>
      <c r="H52" s="459"/>
      <c r="I52" s="459"/>
      <c r="J52" s="459"/>
      <c r="K52" s="459"/>
      <c r="L52" s="459"/>
      <c r="M52" s="459"/>
      <c r="N52" s="459"/>
      <c r="O52" s="459"/>
      <c r="P52" s="459"/>
      <c r="Q52" s="459"/>
      <c r="R52" s="459"/>
      <c r="S52" s="459"/>
      <c r="T52" s="459"/>
      <c r="U52" s="459"/>
      <c r="V52" s="464" t="s">
        <v>1453</v>
      </c>
      <c r="W52" s="473" t="s">
        <v>1400</v>
      </c>
      <c r="X52" s="473" t="s">
        <v>1401</v>
      </c>
      <c r="Y52" s="473" t="s">
        <v>1402</v>
      </c>
      <c r="Z52" s="459"/>
      <c r="AA52" s="467"/>
      <c r="AB52" s="459"/>
      <c r="AC52" s="459"/>
      <c r="AD52" s="459"/>
      <c r="AE52" s="459"/>
      <c r="AF52" s="459"/>
      <c r="AG52" s="459"/>
      <c r="AH52" s="459"/>
      <c r="AI52" s="459"/>
      <c r="AJ52" s="459"/>
      <c r="AK52" s="459"/>
      <c r="AL52" s="459"/>
      <c r="AM52" s="459"/>
      <c r="AN52" s="459"/>
      <c r="AO52" s="459"/>
      <c r="AP52" s="459"/>
      <c r="AQ52" s="459"/>
      <c r="AR52" s="459"/>
      <c r="AS52" s="457"/>
      <c r="AT52" s="457"/>
      <c r="AU52" s="457"/>
      <c r="AV52" s="457"/>
      <c r="AW52" s="457"/>
      <c r="AX52" s="457"/>
      <c r="AY52" s="457"/>
      <c r="AZ52" s="457"/>
      <c r="BA52" s="457"/>
      <c r="BB52" s="457"/>
      <c r="BC52" s="457"/>
      <c r="BD52" s="457"/>
      <c r="BE52" s="457"/>
      <c r="BF52" s="457"/>
      <c r="BG52" s="457"/>
      <c r="BH52" s="457"/>
      <c r="BI52" s="457"/>
      <c r="BJ52" s="457"/>
    </row>
    <row r="53" spans="1:62" ht="12.75">
      <c r="A53" s="457"/>
      <c r="B53" s="459"/>
      <c r="C53" s="459"/>
      <c r="D53" s="459"/>
      <c r="E53" s="459"/>
      <c r="F53" s="459"/>
      <c r="G53" s="459"/>
      <c r="H53" s="459"/>
      <c r="I53" s="459"/>
      <c r="J53" s="459"/>
      <c r="K53" s="459"/>
      <c r="L53" s="459"/>
      <c r="M53" s="459"/>
      <c r="N53" s="459"/>
      <c r="O53" s="459"/>
      <c r="P53" s="459"/>
      <c r="Q53" s="459"/>
      <c r="R53" s="459"/>
      <c r="S53" s="459"/>
      <c r="T53" s="459"/>
      <c r="U53" s="459"/>
      <c r="V53" s="467">
        <f>100*(+AD47/$E$9)</f>
        <v>269.80736099471847</v>
      </c>
      <c r="W53" s="474">
        <f>EXP(5.7226-(0.68367*LN(+V53)))</f>
        <v>6.6566397604197078</v>
      </c>
      <c r="X53" s="468">
        <f>(+W53*V53)/100</f>
        <v>17.960104068513562</v>
      </c>
      <c r="Y53" s="467">
        <f>100*((((X53/100)-((X53/100)-0.03574)*$E$21)-0.03574-0.00619)/0.344)</f>
        <v>25.801827573310916</v>
      </c>
      <c r="Z53" s="459">
        <f>$E$20</f>
        <v>0.25</v>
      </c>
      <c r="AA53" s="467">
        <f>Y53+Z53</f>
        <v>26.051827573310916</v>
      </c>
      <c r="AB53" s="467">
        <f>100*($E$17*$E$19+($E$18*(AA53/100))/(1-$E$21))</f>
        <v>24.701677482657239</v>
      </c>
      <c r="AC53" s="468">
        <f>AB53/V53</f>
        <v>9.1553015423996451E-2</v>
      </c>
      <c r="AD53" s="466">
        <f>ROUND($E$8/(1-AC53),0)</f>
        <v>10655854</v>
      </c>
      <c r="AE53" s="459" t="str">
        <f>IF(OR(OR(AD53=AD47,AD53=(AD47+1)),AD53=(AD39-1)),"yes","not yet")</f>
        <v>yes</v>
      </c>
      <c r="AF53" s="467">
        <f>100*(1-AC53)</f>
        <v>90.844698457600359</v>
      </c>
      <c r="AG53" s="459"/>
      <c r="AH53" s="459"/>
      <c r="AI53" s="459"/>
      <c r="AJ53" s="459"/>
      <c r="AK53" s="459"/>
      <c r="AL53" s="459"/>
      <c r="AM53" s="459"/>
      <c r="AN53" s="459"/>
      <c r="AO53" s="459"/>
      <c r="AP53" s="459"/>
      <c r="AQ53" s="459"/>
      <c r="AR53" s="459"/>
      <c r="AS53" s="457"/>
      <c r="AT53" s="457"/>
      <c r="AU53" s="457"/>
      <c r="AV53" s="457"/>
      <c r="AW53" s="457"/>
      <c r="AX53" s="457"/>
      <c r="AY53" s="457"/>
      <c r="AZ53" s="457"/>
      <c r="BA53" s="457"/>
      <c r="BB53" s="457"/>
      <c r="BC53" s="457"/>
      <c r="BD53" s="457"/>
      <c r="BE53" s="457"/>
      <c r="BF53" s="457"/>
      <c r="BG53" s="457"/>
      <c r="BH53" s="457"/>
      <c r="BI53" s="457"/>
      <c r="BJ53" s="457"/>
    </row>
    <row r="54" spans="1:62" ht="12.75">
      <c r="A54" s="457"/>
      <c r="B54" s="459"/>
      <c r="C54" s="459"/>
      <c r="D54" s="459"/>
      <c r="E54" s="459"/>
      <c r="F54" s="459"/>
      <c r="G54" s="459"/>
      <c r="H54" s="459"/>
      <c r="I54" s="459"/>
      <c r="J54" s="459"/>
      <c r="K54" s="459"/>
      <c r="L54" s="459"/>
      <c r="M54" s="459"/>
      <c r="N54" s="459"/>
      <c r="O54" s="459"/>
      <c r="P54" s="459"/>
      <c r="Q54" s="459"/>
      <c r="R54" s="459"/>
      <c r="S54" s="459"/>
      <c r="T54" s="459"/>
      <c r="U54" s="459"/>
      <c r="V54" s="467">
        <f>100*(+AD48/$E$9)</f>
        <v>269.3449145646897</v>
      </c>
      <c r="W54" s="474">
        <f>EXP(5.70827-(0.68367*LN(+V54)))</f>
        <v>6.5696307200667787</v>
      </c>
      <c r="X54" s="468">
        <f>(+W54*V54)/100</f>
        <v>17.694966250179476</v>
      </c>
      <c r="Y54" s="467">
        <f>100*((((X54/100)-((X54/100)-0.03574)*$E$21)-0.03574-0.00619)/0.344)</f>
        <v>25.293132921855978</v>
      </c>
      <c r="Z54" s="459">
        <f>$E$20</f>
        <v>0.25</v>
      </c>
      <c r="AA54" s="467">
        <f>Y54+Z54</f>
        <v>25.543132921855978</v>
      </c>
      <c r="AB54" s="467">
        <f>100*($E$17*$E$19+($E$18*(AA54/100))/(1-$E$21))</f>
        <v>24.239227799516389</v>
      </c>
      <c r="AC54" s="468">
        <f>AB54/V54</f>
        <v>8.9993263242750962E-2</v>
      </c>
      <c r="AD54" s="466">
        <f>ROUND($E$8/(1-AC54),0)</f>
        <v>10637590</v>
      </c>
      <c r="AE54" s="459" t="str">
        <f>IF(OR(OR(AD54=AD48,AD54=(AD48+1)),AD54=(AD48-1)),"yes","not yet")</f>
        <v>yes</v>
      </c>
      <c r="AF54" s="467">
        <f>100*(1-AC54)</f>
        <v>91.000673675724912</v>
      </c>
      <c r="AG54" s="459"/>
      <c r="AH54" s="459"/>
      <c r="AI54" s="459"/>
      <c r="AJ54" s="459"/>
      <c r="AK54" s="459"/>
      <c r="AL54" s="459"/>
      <c r="AM54" s="459"/>
      <c r="AN54" s="459"/>
      <c r="AO54" s="459"/>
      <c r="AP54" s="459"/>
      <c r="AQ54" s="459"/>
      <c r="AR54" s="459"/>
      <c r="AS54" s="457"/>
      <c r="AT54" s="457"/>
      <c r="AU54" s="457"/>
      <c r="AV54" s="457"/>
      <c r="AW54" s="457"/>
      <c r="AX54" s="457"/>
      <c r="AY54" s="457"/>
      <c r="AZ54" s="457"/>
      <c r="BA54" s="457"/>
      <c r="BB54" s="457"/>
      <c r="BC54" s="457"/>
      <c r="BD54" s="457"/>
      <c r="BE54" s="457"/>
      <c r="BF54" s="457"/>
      <c r="BG54" s="457"/>
      <c r="BH54" s="457"/>
      <c r="BI54" s="457"/>
      <c r="BJ54" s="457"/>
    </row>
    <row r="55" spans="1:62" ht="12.75">
      <c r="A55" s="457"/>
      <c r="B55" s="459"/>
      <c r="C55" s="459"/>
      <c r="D55" s="459"/>
      <c r="E55" s="459"/>
      <c r="F55" s="459"/>
      <c r="G55" s="459"/>
      <c r="H55" s="459"/>
      <c r="I55" s="459"/>
      <c r="J55" s="459"/>
      <c r="K55" s="459"/>
      <c r="L55" s="459"/>
      <c r="M55" s="459"/>
      <c r="N55" s="459"/>
      <c r="O55" s="459"/>
      <c r="P55" s="459"/>
      <c r="Q55" s="459"/>
      <c r="R55" s="459"/>
      <c r="S55" s="459"/>
      <c r="T55" s="459"/>
      <c r="U55" s="459"/>
      <c r="V55" s="467">
        <f>100*(+AD49/$E$9)</f>
        <v>269.03365449217858</v>
      </c>
      <c r="W55" s="474">
        <f>EXP(5.6985-(0.68367*LN(V55)))</f>
        <v>6.5109029119336945</v>
      </c>
      <c r="X55" s="468">
        <f>(+W55*V55)/100</f>
        <v>17.516520044412889</v>
      </c>
      <c r="Y55" s="467">
        <f>100*((((X55/100)-((X55/100)-0.03574)*$E$21)-0.03574-0.00619)/0.344)</f>
        <v>24.950765201489848</v>
      </c>
      <c r="Z55" s="459">
        <f>$E$20</f>
        <v>0.25</v>
      </c>
      <c r="AA55" s="467">
        <f>Y55+Z55</f>
        <v>25.200765201489848</v>
      </c>
      <c r="AB55" s="467">
        <f>100*($E$17*$E$19+($E$18*(AA55/100))/(1-$E$21))</f>
        <v>23.927984417365362</v>
      </c>
      <c r="AC55" s="468">
        <f>AB55/V55</f>
        <v>8.8940487622380354E-2</v>
      </c>
      <c r="AD55" s="466">
        <f>ROUND($E$8/(1-AC55),0)</f>
        <v>10625297</v>
      </c>
      <c r="AE55" s="459" t="str">
        <f>IF(OR(OR(AD55=AD49,AD55=(AD49+1)),AD55=(AD49-1)),"yes","not yet")</f>
        <v>yes</v>
      </c>
      <c r="AF55" s="467">
        <f>100*(1-AC55)</f>
        <v>91.105951237761957</v>
      </c>
      <c r="AG55" s="459"/>
      <c r="AH55" s="459"/>
      <c r="AI55" s="459"/>
      <c r="AJ55" s="459"/>
      <c r="AK55" s="459"/>
      <c r="AL55" s="459"/>
      <c r="AM55" s="459"/>
      <c r="AN55" s="459"/>
      <c r="AO55" s="459"/>
      <c r="AP55" s="459"/>
      <c r="AQ55" s="459"/>
      <c r="AR55" s="459"/>
      <c r="AS55" s="457"/>
      <c r="AT55" s="457"/>
      <c r="AU55" s="457"/>
      <c r="AV55" s="457"/>
      <c r="AW55" s="457"/>
      <c r="AX55" s="457"/>
      <c r="AY55" s="457"/>
      <c r="AZ55" s="457"/>
      <c r="BA55" s="457"/>
      <c r="BB55" s="457"/>
      <c r="BC55" s="457"/>
      <c r="BD55" s="457"/>
      <c r="BE55" s="457"/>
      <c r="BF55" s="457"/>
      <c r="BG55" s="457"/>
      <c r="BH55" s="457"/>
      <c r="BI55" s="457"/>
      <c r="BJ55" s="457"/>
    </row>
    <row r="56" spans="1:62" ht="12.75">
      <c r="A56" s="457"/>
      <c r="B56" s="459"/>
      <c r="C56" s="459"/>
      <c r="D56" s="459"/>
      <c r="E56" s="459"/>
      <c r="F56" s="459"/>
      <c r="G56" s="459"/>
      <c r="H56" s="459"/>
      <c r="I56" s="459"/>
      <c r="J56" s="459"/>
      <c r="K56" s="459"/>
      <c r="L56" s="459"/>
      <c r="M56" s="459"/>
      <c r="N56" s="459"/>
      <c r="O56" s="459"/>
      <c r="P56" s="459"/>
      <c r="Q56" s="459"/>
      <c r="R56" s="459"/>
      <c r="S56" s="459"/>
      <c r="T56" s="459"/>
      <c r="U56" s="459"/>
      <c r="V56" s="467">
        <f>100*(+AD50/$E$9)</f>
        <v>268.83468909318793</v>
      </c>
      <c r="W56" s="474">
        <f>EXP(5.6922-(0.68367*LN(V56)))</f>
        <v>6.4732865165840368</v>
      </c>
      <c r="X56" s="468">
        <f>(+W56*V56)/100</f>
        <v>17.402439680969952</v>
      </c>
      <c r="Y56" s="467">
        <f>100*((((X56/100)-((X56/100)-0.03574)*$E$21)-0.03574-0.00619)/0.344)</f>
        <v>24.731890085581888</v>
      </c>
      <c r="Z56" s="459">
        <f>$E$20</f>
        <v>0.25</v>
      </c>
      <c r="AA56" s="467">
        <f>Y56+Z56</f>
        <v>24.981890085581888</v>
      </c>
      <c r="AB56" s="467">
        <f>100*($E$17*$E$19+($E$18*(AA56/100))/(1-$E$21))</f>
        <v>23.729007039267213</v>
      </c>
      <c r="AC56" s="468">
        <f>AB56/V56</f>
        <v>8.8266165052240969E-2</v>
      </c>
      <c r="AD56" s="466">
        <f>ROUND($E$8/(1-AC56),0)</f>
        <v>10617439</v>
      </c>
      <c r="AE56" s="459" t="str">
        <f>IF(OR(OR(AD56=AD50,AD56=(AD50+1)),AD56=(AD50-1)),"yes","not yet")</f>
        <v>yes</v>
      </c>
      <c r="AF56" s="467">
        <f>100*(1-AC56)</f>
        <v>91.173383494775905</v>
      </c>
      <c r="AG56" s="459"/>
      <c r="AH56" s="459"/>
      <c r="AI56" s="459"/>
      <c r="AJ56" s="459"/>
      <c r="AK56" s="459"/>
      <c r="AL56" s="459"/>
      <c r="AM56" s="459"/>
      <c r="AN56" s="459"/>
      <c r="AO56" s="459"/>
      <c r="AP56" s="459"/>
      <c r="AQ56" s="459"/>
      <c r="AR56" s="459"/>
      <c r="AS56" s="457"/>
      <c r="AT56" s="457"/>
      <c r="AU56" s="457"/>
      <c r="AV56" s="457"/>
      <c r="AW56" s="457"/>
      <c r="AX56" s="457"/>
      <c r="AY56" s="457"/>
      <c r="AZ56" s="457"/>
      <c r="BA56" s="457"/>
      <c r="BB56" s="457"/>
      <c r="BC56" s="457"/>
      <c r="BD56" s="457"/>
      <c r="BE56" s="457"/>
      <c r="BF56" s="457"/>
      <c r="BG56" s="457"/>
      <c r="BH56" s="457"/>
      <c r="BI56" s="457"/>
      <c r="BJ56" s="457"/>
    </row>
    <row r="57" spans="1:62" ht="12.75">
      <c r="A57" s="457"/>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67"/>
      <c r="AB57" s="459"/>
      <c r="AC57" s="459"/>
      <c r="AD57" s="459"/>
      <c r="AE57" s="459"/>
      <c r="AF57" s="459"/>
      <c r="AG57" s="459"/>
      <c r="AH57" s="459"/>
      <c r="AI57" s="459"/>
      <c r="AJ57" s="459"/>
      <c r="AK57" s="459"/>
      <c r="AL57" s="459"/>
      <c r="AM57" s="459"/>
      <c r="AN57" s="459"/>
      <c r="AO57" s="459"/>
      <c r="AP57" s="459"/>
      <c r="AQ57" s="459"/>
      <c r="AR57" s="459"/>
      <c r="AS57" s="457"/>
      <c r="AT57" s="457"/>
      <c r="AU57" s="457"/>
      <c r="AV57" s="457"/>
      <c r="AW57" s="457"/>
      <c r="AX57" s="457"/>
      <c r="AY57" s="457"/>
      <c r="AZ57" s="457"/>
      <c r="BA57" s="457"/>
      <c r="BB57" s="457"/>
      <c r="BC57" s="457"/>
      <c r="BD57" s="457"/>
      <c r="BE57" s="457"/>
      <c r="BF57" s="457"/>
      <c r="BG57" s="457"/>
      <c r="BH57" s="457"/>
      <c r="BI57" s="457"/>
      <c r="BJ57" s="457"/>
    </row>
    <row r="58" spans="1:62" ht="12.75">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row>
    <row r="59" spans="1:62" ht="12.75">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row>
    <row r="60" spans="1:62" ht="12.75">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row>
    <row r="61" spans="1:62" ht="12.75">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row>
    <row r="62" spans="1:62" ht="12.75">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c r="BI62" s="457"/>
      <c r="BJ62" s="457"/>
    </row>
    <row r="63" spans="1:62" ht="12.75">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row>
    <row r="64" spans="1:62" ht="12.75">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row>
    <row r="65" spans="1:62" ht="12.75">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row>
    <row r="66" spans="1:62" ht="12.75">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row>
    <row r="67" spans="1:62" ht="12.75">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row>
    <row r="68" spans="1:62" ht="12.75">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row>
    <row r="69" spans="1:62" ht="12.75">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row>
    <row r="70" spans="1:62" ht="12.75">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row>
    <row r="71" spans="1:62" ht="12.75">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row>
    <row r="72" spans="1:62" ht="12.75">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c r="BI72" s="457"/>
      <c r="BJ72" s="457"/>
    </row>
    <row r="73" spans="1:62" ht="12.75">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row>
    <row r="74" spans="1:62" ht="12.75">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row>
    <row r="75" spans="1:62" ht="12.7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row>
    <row r="76" spans="1:62" ht="12.75">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row>
    <row r="77" spans="1:62" ht="12.75">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row>
    <row r="78" spans="1:62" ht="12.75">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row>
    <row r="79" spans="1:62" ht="12.75">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row>
    <row r="80" spans="1:62" ht="12.75">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row>
    <row r="81" spans="1:62" ht="12.75">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row>
    <row r="82" spans="1:62" ht="12.75">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row>
    <row r="83" spans="1:62" ht="12.75">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row>
    <row r="84" spans="1:62" ht="12.75">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row>
    <row r="85" spans="1:62" ht="12.75">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row>
    <row r="86" spans="1:62" ht="12.75">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row>
    <row r="87" spans="1:62" ht="12.75">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row>
    <row r="88" spans="1:62" ht="12.75">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c r="BI88" s="457"/>
      <c r="BJ88" s="457"/>
    </row>
    <row r="89" spans="1:62" ht="12.75">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c r="BF89" s="457"/>
      <c r="BG89" s="457"/>
      <c r="BH89" s="457"/>
      <c r="BI89" s="457"/>
      <c r="BJ89" s="457"/>
    </row>
    <row r="90" spans="1:62" ht="12.75">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row>
    <row r="91" spans="1:62" ht="12.75">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c r="BF91" s="457"/>
      <c r="BG91" s="457"/>
      <c r="BH91" s="457"/>
      <c r="BI91" s="457"/>
      <c r="BJ91" s="457"/>
    </row>
    <row r="92" spans="1:62" ht="12.75">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c r="BI92" s="457"/>
      <c r="BJ92" s="457"/>
    </row>
    <row r="93" spans="1:62" ht="12.75">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c r="BI93" s="457"/>
      <c r="BJ93" s="457"/>
    </row>
    <row r="94" spans="1:62" ht="12.75">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c r="BI94" s="457"/>
      <c r="BJ94" s="457"/>
    </row>
    <row r="95" spans="1:62" ht="12.75">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c r="BI95" s="457"/>
      <c r="BJ95" s="457"/>
    </row>
    <row r="96" spans="1:62" ht="12.75">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row>
    <row r="97" spans="1:62" ht="12.75">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row>
    <row r="98" spans="1:62" ht="12.75">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row>
    <row r="99" spans="1:62" ht="12.75">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row>
    <row r="100" spans="1:62" ht="12.75">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row>
    <row r="101" spans="1:62" ht="12.75">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c r="BI101" s="457"/>
      <c r="BJ101" s="457"/>
    </row>
    <row r="102" spans="1:62" ht="12.75">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row>
    <row r="103" spans="1:62" ht="12.75">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row>
    <row r="104" spans="1:62" ht="12.75">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row>
    <row r="105" spans="1:62" ht="12.7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c r="BI105" s="457"/>
      <c r="BJ105" s="457"/>
    </row>
    <row r="106" spans="1:62" ht="12.75">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row>
    <row r="107" spans="1:62" ht="12.75">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c r="BI107" s="457"/>
      <c r="BJ107" s="457"/>
    </row>
    <row r="108" spans="1:62" ht="12.75">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row>
    <row r="109" spans="1:62" ht="12.75">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c r="BI109" s="457"/>
      <c r="BJ109" s="457"/>
    </row>
    <row r="110" spans="1:62" ht="12.75">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row>
    <row r="111" spans="1:62" ht="12.75">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row>
    <row r="112" spans="1:62" ht="12.75">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c r="BF112" s="457"/>
      <c r="BG112" s="457"/>
      <c r="BH112" s="457"/>
      <c r="BI112" s="457"/>
      <c r="BJ112" s="457"/>
    </row>
    <row r="113" spans="1:62" ht="12.75">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c r="BI113" s="457"/>
      <c r="BJ113" s="457"/>
    </row>
    <row r="114" spans="1:62" ht="12.75">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c r="BF114" s="457"/>
      <c r="BG114" s="457"/>
      <c r="BH114" s="457"/>
      <c r="BI114" s="457"/>
      <c r="BJ114" s="457"/>
    </row>
    <row r="115" spans="1:62" ht="12.75">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c r="BF115" s="457"/>
      <c r="BG115" s="457"/>
      <c r="BH115" s="457"/>
      <c r="BI115" s="457"/>
      <c r="BJ115" s="457"/>
    </row>
    <row r="116" spans="1:62" ht="12.75">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c r="BF116" s="457"/>
      <c r="BG116" s="457"/>
      <c r="BH116" s="457"/>
      <c r="BI116" s="457"/>
      <c r="BJ116" s="457"/>
    </row>
    <row r="117" spans="1:62" ht="12.75">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c r="BF117" s="457"/>
      <c r="BG117" s="457"/>
      <c r="BH117" s="457"/>
      <c r="BI117" s="457"/>
      <c r="BJ117" s="457"/>
    </row>
    <row r="118" spans="1:62" ht="12.75">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c r="BF118" s="457"/>
      <c r="BG118" s="457"/>
      <c r="BH118" s="457"/>
      <c r="BI118" s="457"/>
      <c r="BJ118" s="457"/>
    </row>
    <row r="119" spans="1:62" ht="12.75">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c r="BI119" s="457"/>
      <c r="BJ119" s="457"/>
    </row>
    <row r="120" spans="1:62" ht="12.75">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c r="BF120" s="457"/>
      <c r="BG120" s="457"/>
      <c r="BH120" s="457"/>
      <c r="BI120" s="457"/>
      <c r="BJ120" s="457"/>
    </row>
    <row r="121" spans="1:62" ht="12.75">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c r="BI121" s="457"/>
      <c r="BJ121" s="457"/>
    </row>
    <row r="122" spans="1:62" ht="12.75">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c r="BI122" s="457"/>
      <c r="BJ122" s="457"/>
    </row>
    <row r="123" spans="1:62" ht="12.75">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row>
    <row r="124" spans="1:62" ht="12.75">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row>
    <row r="125" spans="1:62" ht="12.75">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row>
    <row r="126" spans="1:62" ht="12.75">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row>
    <row r="127" spans="1:62" ht="12.75">
      <c r="A127" s="457"/>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row>
    <row r="128" spans="1:62" ht="12.75">
      <c r="A128" s="457"/>
      <c r="B128" s="45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c r="BF128" s="457"/>
      <c r="BG128" s="457"/>
      <c r="BH128" s="457"/>
      <c r="BI128" s="457"/>
      <c r="BJ128" s="457"/>
    </row>
    <row r="129" spans="1:62" ht="12.75">
      <c r="A129" s="457"/>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c r="BF129" s="457"/>
      <c r="BG129" s="457"/>
      <c r="BH129" s="457"/>
      <c r="BI129" s="457"/>
      <c r="BJ129" s="457"/>
    </row>
    <row r="130" spans="1:62" ht="12.75">
      <c r="A130" s="457"/>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c r="BF130" s="457"/>
      <c r="BG130" s="457"/>
      <c r="BH130" s="457"/>
      <c r="BI130" s="457"/>
      <c r="BJ130" s="457"/>
    </row>
    <row r="131" spans="1:62" ht="12.75">
      <c r="A131" s="457"/>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c r="BI131" s="457"/>
      <c r="BJ131" s="457"/>
    </row>
    <row r="132" spans="1:62" ht="12.75">
      <c r="A132" s="457"/>
      <c r="B132" s="45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row>
    <row r="133" spans="1:62" ht="12.75">
      <c r="A133" s="457"/>
      <c r="B133" s="45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row>
    <row r="134" spans="1:62" ht="12.75">
      <c r="A134" s="457"/>
      <c r="B134" s="45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row>
    <row r="135" spans="1:62" ht="12.75">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row>
    <row r="136" spans="1:62" ht="12.75">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row>
    <row r="137" spans="1:62" ht="12.75">
      <c r="A137" s="457"/>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row>
    <row r="138" spans="1:62" ht="12.75">
      <c r="A138" s="457"/>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row>
    <row r="139" spans="1:62" ht="12.75">
      <c r="A139" s="457"/>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row>
    <row r="140" spans="1:62" ht="12.75">
      <c r="A140" s="457"/>
      <c r="B140" s="45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row>
    <row r="141" spans="1:62" ht="12.75">
      <c r="A141" s="457"/>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c r="BF141" s="457"/>
      <c r="BG141" s="457"/>
      <c r="BH141" s="457"/>
      <c r="BI141" s="457"/>
      <c r="BJ141" s="457"/>
    </row>
    <row r="142" spans="1:62" ht="12.75">
      <c r="A142" s="457"/>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c r="BF142" s="457"/>
      <c r="BG142" s="457"/>
      <c r="BH142" s="457"/>
      <c r="BI142" s="457"/>
      <c r="BJ142" s="457"/>
    </row>
    <row r="143" spans="1:62" ht="12.75">
      <c r="A143" s="457"/>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c r="BF143" s="457"/>
      <c r="BG143" s="457"/>
      <c r="BH143" s="457"/>
      <c r="BI143" s="457"/>
      <c r="BJ143" s="457"/>
    </row>
    <row r="144" spans="1:62" ht="12.75">
      <c r="A144" s="457"/>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c r="BF144" s="457"/>
      <c r="BG144" s="457"/>
      <c r="BH144" s="457"/>
      <c r="BI144" s="457"/>
      <c r="BJ144" s="457"/>
    </row>
    <row r="145" spans="1:62" ht="12.75">
      <c r="A145" s="457"/>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row>
    <row r="146" spans="1:62" ht="12.75">
      <c r="A146" s="457"/>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c r="AS146" s="457"/>
      <c r="AT146" s="457"/>
      <c r="AU146" s="457"/>
      <c r="AV146" s="457"/>
      <c r="AW146" s="457"/>
      <c r="AX146" s="457"/>
      <c r="AY146" s="457"/>
      <c r="AZ146" s="457"/>
      <c r="BA146" s="457"/>
      <c r="BB146" s="457"/>
      <c r="BC146" s="457"/>
      <c r="BD146" s="457"/>
      <c r="BE146" s="457"/>
      <c r="BF146" s="457"/>
      <c r="BG146" s="457"/>
      <c r="BH146" s="457"/>
      <c r="BI146" s="457"/>
      <c r="BJ146" s="457"/>
    </row>
    <row r="147" spans="1:62" ht="12.75">
      <c r="A147" s="457"/>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c r="BF147" s="457"/>
      <c r="BG147" s="457"/>
      <c r="BH147" s="457"/>
      <c r="BI147" s="457"/>
      <c r="BJ147" s="457"/>
    </row>
    <row r="148" spans="1:62" ht="12.75">
      <c r="A148" s="457"/>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row>
    <row r="149" spans="1:62" ht="12.75">
      <c r="A149" s="457"/>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c r="BF149" s="457"/>
      <c r="BG149" s="457"/>
      <c r="BH149" s="457"/>
      <c r="BI149" s="457"/>
      <c r="BJ149" s="457"/>
    </row>
    <row r="150" spans="1:62" ht="12.75">
      <c r="A150" s="457"/>
      <c r="B150" s="45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c r="BF150" s="457"/>
      <c r="BG150" s="457"/>
      <c r="BH150" s="457"/>
      <c r="BI150" s="457"/>
      <c r="BJ150" s="457"/>
    </row>
    <row r="151" spans="1:62" ht="12.75">
      <c r="A151" s="457"/>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c r="BF151" s="457"/>
      <c r="BG151" s="457"/>
      <c r="BH151" s="457"/>
      <c r="BI151" s="457"/>
      <c r="BJ151" s="457"/>
    </row>
    <row r="152" spans="1:62" ht="12.75">
      <c r="A152" s="457"/>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c r="AX152" s="457"/>
      <c r="AY152" s="457"/>
      <c r="AZ152" s="457"/>
      <c r="BA152" s="457"/>
      <c r="BB152" s="457"/>
      <c r="BC152" s="457"/>
      <c r="BD152" s="457"/>
      <c r="BE152" s="457"/>
      <c r="BF152" s="457"/>
      <c r="BG152" s="457"/>
      <c r="BH152" s="457"/>
      <c r="BI152" s="457"/>
      <c r="BJ152" s="457"/>
    </row>
    <row r="153" spans="1:62" ht="12.75">
      <c r="A153" s="457"/>
      <c r="B153" s="45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c r="BF153" s="457"/>
      <c r="BG153" s="457"/>
      <c r="BH153" s="457"/>
      <c r="BI153" s="457"/>
      <c r="BJ153" s="457"/>
    </row>
    <row r="154" spans="1:62" ht="12.75">
      <c r="A154" s="457"/>
      <c r="B154" s="45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row>
    <row r="155" spans="1:62" ht="12.75">
      <c r="A155" s="457"/>
      <c r="B155" s="45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c r="BF155" s="457"/>
      <c r="BG155" s="457"/>
      <c r="BH155" s="457"/>
      <c r="BI155" s="457"/>
      <c r="BJ155" s="457"/>
    </row>
    <row r="156" spans="1:62" ht="12.75">
      <c r="A156" s="457"/>
      <c r="B156" s="45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c r="AS156" s="457"/>
      <c r="AT156" s="457"/>
      <c r="AU156" s="457"/>
      <c r="AV156" s="457"/>
      <c r="AW156" s="457"/>
      <c r="AX156" s="457"/>
      <c r="AY156" s="457"/>
      <c r="AZ156" s="457"/>
      <c r="BA156" s="457"/>
      <c r="BB156" s="457"/>
      <c r="BC156" s="457"/>
      <c r="BD156" s="457"/>
      <c r="BE156" s="457"/>
      <c r="BF156" s="457"/>
      <c r="BG156" s="457"/>
      <c r="BH156" s="457"/>
      <c r="BI156" s="457"/>
      <c r="BJ156" s="457"/>
    </row>
    <row r="157" spans="1:62" ht="12.75">
      <c r="A157" s="457"/>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row>
    <row r="158" spans="1:62" ht="12.75">
      <c r="A158" s="457"/>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c r="BF158" s="457"/>
      <c r="BG158" s="457"/>
      <c r="BH158" s="457"/>
      <c r="BI158" s="457"/>
      <c r="BJ158" s="457"/>
    </row>
    <row r="159" spans="1:62" ht="12.75">
      <c r="A159" s="457"/>
      <c r="B159" s="45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c r="AS159" s="457"/>
      <c r="AT159" s="457"/>
      <c r="AU159" s="457"/>
      <c r="AV159" s="457"/>
      <c r="AW159" s="457"/>
      <c r="AX159" s="457"/>
      <c r="AY159" s="457"/>
      <c r="AZ159" s="457"/>
      <c r="BA159" s="457"/>
      <c r="BB159" s="457"/>
      <c r="BC159" s="457"/>
      <c r="BD159" s="457"/>
      <c r="BE159" s="457"/>
      <c r="BF159" s="457"/>
      <c r="BG159" s="457"/>
      <c r="BH159" s="457"/>
      <c r="BI159" s="457"/>
      <c r="BJ159" s="457"/>
    </row>
    <row r="160" spans="1:62" ht="12.75">
      <c r="A160" s="457"/>
      <c r="B160" s="45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c r="AS160" s="457"/>
      <c r="AT160" s="457"/>
      <c r="AU160" s="457"/>
      <c r="AV160" s="457"/>
      <c r="AW160" s="457"/>
      <c r="AX160" s="457"/>
      <c r="AY160" s="457"/>
      <c r="AZ160" s="457"/>
      <c r="BA160" s="457"/>
      <c r="BB160" s="457"/>
      <c r="BC160" s="457"/>
      <c r="BD160" s="457"/>
      <c r="BE160" s="457"/>
      <c r="BF160" s="457"/>
      <c r="BG160" s="457"/>
      <c r="BH160" s="457"/>
      <c r="BI160" s="457"/>
      <c r="BJ160" s="457"/>
    </row>
    <row r="161" spans="1:62" ht="12.75">
      <c r="A161" s="457"/>
      <c r="B161" s="45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c r="AS161" s="457"/>
      <c r="AT161" s="457"/>
      <c r="AU161" s="457"/>
      <c r="AV161" s="457"/>
      <c r="AW161" s="457"/>
      <c r="AX161" s="457"/>
      <c r="AY161" s="457"/>
      <c r="AZ161" s="457"/>
      <c r="BA161" s="457"/>
      <c r="BB161" s="457"/>
      <c r="BC161" s="457"/>
      <c r="BD161" s="457"/>
      <c r="BE161" s="457"/>
      <c r="BF161" s="457"/>
      <c r="BG161" s="457"/>
      <c r="BH161" s="457"/>
      <c r="BI161" s="457"/>
      <c r="BJ161" s="457"/>
    </row>
    <row r="162" spans="1:62" ht="12.75">
      <c r="A162" s="457"/>
      <c r="B162" s="45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c r="BF162" s="457"/>
      <c r="BG162" s="457"/>
      <c r="BH162" s="457"/>
      <c r="BI162" s="457"/>
      <c r="BJ162" s="457"/>
    </row>
    <row r="163" spans="1:62" ht="12.75">
      <c r="A163" s="457"/>
      <c r="B163" s="45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457"/>
      <c r="AV163" s="457"/>
      <c r="AW163" s="457"/>
      <c r="AX163" s="457"/>
      <c r="AY163" s="457"/>
      <c r="AZ163" s="457"/>
      <c r="BA163" s="457"/>
      <c r="BB163" s="457"/>
      <c r="BC163" s="457"/>
      <c r="BD163" s="457"/>
      <c r="BE163" s="457"/>
      <c r="BF163" s="457"/>
      <c r="BG163" s="457"/>
      <c r="BH163" s="457"/>
      <c r="BI163" s="457"/>
      <c r="BJ163" s="457"/>
    </row>
    <row r="164" spans="1:62" ht="12.75">
      <c r="A164" s="457"/>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c r="AZ164" s="457"/>
      <c r="BA164" s="457"/>
      <c r="BB164" s="457"/>
      <c r="BC164" s="457"/>
      <c r="BD164" s="457"/>
      <c r="BE164" s="457"/>
      <c r="BF164" s="457"/>
      <c r="BG164" s="457"/>
      <c r="BH164" s="457"/>
      <c r="BI164" s="457"/>
      <c r="BJ164" s="457"/>
    </row>
    <row r="165" spans="1:62" ht="12.75">
      <c r="A165" s="457"/>
      <c r="B165" s="45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c r="AS165" s="457"/>
      <c r="AT165" s="457"/>
      <c r="AU165" s="457"/>
      <c r="AV165" s="457"/>
      <c r="AW165" s="457"/>
      <c r="AX165" s="457"/>
      <c r="AY165" s="457"/>
      <c r="AZ165" s="457"/>
      <c r="BA165" s="457"/>
      <c r="BB165" s="457"/>
      <c r="BC165" s="457"/>
      <c r="BD165" s="457"/>
      <c r="BE165" s="457"/>
      <c r="BF165" s="457"/>
      <c r="BG165" s="457"/>
      <c r="BH165" s="457"/>
      <c r="BI165" s="457"/>
      <c r="BJ165" s="457"/>
    </row>
    <row r="166" spans="1:62" ht="12.75">
      <c r="A166" s="457"/>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c r="AX166" s="457"/>
      <c r="AY166" s="457"/>
      <c r="AZ166" s="457"/>
      <c r="BA166" s="457"/>
      <c r="BB166" s="457"/>
      <c r="BC166" s="457"/>
      <c r="BD166" s="457"/>
      <c r="BE166" s="457"/>
      <c r="BF166" s="457"/>
      <c r="BG166" s="457"/>
      <c r="BH166" s="457"/>
      <c r="BI166" s="457"/>
      <c r="BJ166" s="457"/>
    </row>
    <row r="167" spans="1:62" ht="12.75">
      <c r="A167" s="457"/>
      <c r="B167" s="45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457"/>
      <c r="AX167" s="457"/>
      <c r="AY167" s="457"/>
      <c r="AZ167" s="457"/>
      <c r="BA167" s="457"/>
      <c r="BB167" s="457"/>
      <c r="BC167" s="457"/>
      <c r="BD167" s="457"/>
      <c r="BE167" s="457"/>
      <c r="BF167" s="457"/>
      <c r="BG167" s="457"/>
      <c r="BH167" s="457"/>
      <c r="BI167" s="457"/>
      <c r="BJ167" s="457"/>
    </row>
    <row r="168" spans="1:62" ht="12.75">
      <c r="A168" s="457"/>
      <c r="B168" s="45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c r="AS168" s="457"/>
      <c r="AT168" s="457"/>
      <c r="AU168" s="457"/>
      <c r="AV168" s="457"/>
      <c r="AW168" s="457"/>
      <c r="AX168" s="457"/>
      <c r="AY168" s="457"/>
      <c r="AZ168" s="457"/>
      <c r="BA168" s="457"/>
      <c r="BB168" s="457"/>
      <c r="BC168" s="457"/>
      <c r="BD168" s="457"/>
      <c r="BE168" s="457"/>
      <c r="BF168" s="457"/>
      <c r="BG168" s="457"/>
      <c r="BH168" s="457"/>
      <c r="BI168" s="457"/>
      <c r="BJ168" s="457"/>
    </row>
    <row r="169" spans="1:62" ht="12.75">
      <c r="A169" s="457"/>
      <c r="B169" s="45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row>
    <row r="170" spans="1:62" ht="12.75">
      <c r="A170" s="457"/>
      <c r="B170" s="45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c r="AS170" s="457"/>
      <c r="AT170" s="457"/>
      <c r="AU170" s="457"/>
      <c r="AV170" s="457"/>
      <c r="AW170" s="457"/>
      <c r="AX170" s="457"/>
      <c r="AY170" s="457"/>
      <c r="AZ170" s="457"/>
      <c r="BA170" s="457"/>
      <c r="BB170" s="457"/>
      <c r="BC170" s="457"/>
      <c r="BD170" s="457"/>
      <c r="BE170" s="457"/>
      <c r="BF170" s="457"/>
      <c r="BG170" s="457"/>
      <c r="BH170" s="457"/>
      <c r="BI170" s="457"/>
      <c r="BJ170" s="457"/>
    </row>
    <row r="171" spans="1:62" ht="12.75">
      <c r="A171" s="457"/>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c r="AS171" s="457"/>
      <c r="AT171" s="457"/>
      <c r="AU171" s="457"/>
      <c r="AV171" s="457"/>
      <c r="AW171" s="457"/>
      <c r="AX171" s="457"/>
      <c r="AY171" s="457"/>
      <c r="AZ171" s="457"/>
      <c r="BA171" s="457"/>
      <c r="BB171" s="457"/>
      <c r="BC171" s="457"/>
      <c r="BD171" s="457"/>
      <c r="BE171" s="457"/>
      <c r="BF171" s="457"/>
      <c r="BG171" s="457"/>
      <c r="BH171" s="457"/>
      <c r="BI171" s="457"/>
      <c r="BJ171" s="457"/>
    </row>
    <row r="172" spans="1:62" ht="12.75">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c r="AX172" s="457"/>
      <c r="AY172" s="457"/>
      <c r="AZ172" s="457"/>
      <c r="BA172" s="457"/>
      <c r="BB172" s="457"/>
      <c r="BC172" s="457"/>
      <c r="BD172" s="457"/>
      <c r="BE172" s="457"/>
      <c r="BF172" s="457"/>
      <c r="BG172" s="457"/>
      <c r="BH172" s="457"/>
      <c r="BI172" s="457"/>
      <c r="BJ172" s="457"/>
    </row>
    <row r="173" spans="1:62" ht="12.75">
      <c r="A173" s="457"/>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c r="AX173" s="457"/>
      <c r="AY173" s="457"/>
      <c r="AZ173" s="457"/>
      <c r="BA173" s="457"/>
      <c r="BB173" s="457"/>
      <c r="BC173" s="457"/>
      <c r="BD173" s="457"/>
      <c r="BE173" s="457"/>
      <c r="BF173" s="457"/>
      <c r="BG173" s="457"/>
      <c r="BH173" s="457"/>
      <c r="BI173" s="457"/>
      <c r="BJ173" s="457"/>
    </row>
    <row r="174" spans="1:62" ht="12.75">
      <c r="A174" s="457"/>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c r="AS174" s="457"/>
      <c r="AT174" s="457"/>
      <c r="AU174" s="457"/>
      <c r="AV174" s="457"/>
      <c r="AW174" s="457"/>
      <c r="AX174" s="457"/>
      <c r="AY174" s="457"/>
      <c r="AZ174" s="457"/>
      <c r="BA174" s="457"/>
      <c r="BB174" s="457"/>
      <c r="BC174" s="457"/>
      <c r="BD174" s="457"/>
      <c r="BE174" s="457"/>
      <c r="BF174" s="457"/>
      <c r="BG174" s="457"/>
      <c r="BH174" s="457"/>
      <c r="BI174" s="457"/>
      <c r="BJ174" s="457"/>
    </row>
    <row r="175" spans="1:62" ht="12.75">
      <c r="A175" s="457"/>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c r="AS175" s="457"/>
      <c r="AT175" s="457"/>
      <c r="AU175" s="457"/>
      <c r="AV175" s="457"/>
      <c r="AW175" s="457"/>
      <c r="AX175" s="457"/>
      <c r="AY175" s="457"/>
      <c r="AZ175" s="457"/>
      <c r="BA175" s="457"/>
      <c r="BB175" s="457"/>
      <c r="BC175" s="457"/>
      <c r="BD175" s="457"/>
      <c r="BE175" s="457"/>
      <c r="BF175" s="457"/>
      <c r="BG175" s="457"/>
      <c r="BH175" s="457"/>
      <c r="BI175" s="457"/>
      <c r="BJ175" s="457"/>
    </row>
    <row r="176" spans="1:62" ht="12.75">
      <c r="A176" s="457"/>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c r="AS176" s="457"/>
      <c r="AT176" s="457"/>
      <c r="AU176" s="457"/>
      <c r="AV176" s="457"/>
      <c r="AW176" s="457"/>
      <c r="AX176" s="457"/>
      <c r="AY176" s="457"/>
      <c r="AZ176" s="457"/>
      <c r="BA176" s="457"/>
      <c r="BB176" s="457"/>
      <c r="BC176" s="457"/>
      <c r="BD176" s="457"/>
      <c r="BE176" s="457"/>
      <c r="BF176" s="457"/>
      <c r="BG176" s="457"/>
      <c r="BH176" s="457"/>
      <c r="BI176" s="457"/>
      <c r="BJ176" s="457"/>
    </row>
    <row r="177" spans="1:62" ht="12.75">
      <c r="A177" s="457"/>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c r="AS177" s="457"/>
      <c r="AT177" s="457"/>
      <c r="AU177" s="457"/>
      <c r="AV177" s="457"/>
      <c r="AW177" s="457"/>
      <c r="AX177" s="457"/>
      <c r="AY177" s="457"/>
      <c r="AZ177" s="457"/>
      <c r="BA177" s="457"/>
      <c r="BB177" s="457"/>
      <c r="BC177" s="457"/>
      <c r="BD177" s="457"/>
      <c r="BE177" s="457"/>
      <c r="BF177" s="457"/>
      <c r="BG177" s="457"/>
      <c r="BH177" s="457"/>
      <c r="BI177" s="457"/>
      <c r="BJ177" s="457"/>
    </row>
    <row r="178" spans="1:62" ht="12.75">
      <c r="A178" s="457"/>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c r="BF178" s="457"/>
      <c r="BG178" s="457"/>
      <c r="BH178" s="457"/>
      <c r="BI178" s="457"/>
      <c r="BJ178" s="457"/>
    </row>
    <row r="179" spans="1:62" ht="12.75">
      <c r="A179" s="457"/>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c r="AS179" s="457"/>
      <c r="AT179" s="457"/>
      <c r="AU179" s="457"/>
      <c r="AV179" s="457"/>
      <c r="AW179" s="457"/>
      <c r="AX179" s="457"/>
      <c r="AY179" s="457"/>
      <c r="AZ179" s="457"/>
      <c r="BA179" s="457"/>
      <c r="BB179" s="457"/>
      <c r="BC179" s="457"/>
      <c r="BD179" s="457"/>
      <c r="BE179" s="457"/>
      <c r="BF179" s="457"/>
      <c r="BG179" s="457"/>
      <c r="BH179" s="457"/>
      <c r="BI179" s="457"/>
      <c r="BJ179" s="457"/>
    </row>
    <row r="180" spans="1:62" ht="12.75">
      <c r="A180" s="457"/>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c r="AX180" s="457"/>
      <c r="AY180" s="457"/>
      <c r="AZ180" s="457"/>
      <c r="BA180" s="457"/>
      <c r="BB180" s="457"/>
      <c r="BC180" s="457"/>
      <c r="BD180" s="457"/>
      <c r="BE180" s="457"/>
      <c r="BF180" s="457"/>
      <c r="BG180" s="457"/>
      <c r="BH180" s="457"/>
      <c r="BI180" s="457"/>
      <c r="BJ180" s="457"/>
    </row>
    <row r="181" spans="1:62" ht="12.75">
      <c r="A181" s="457"/>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c r="AX181" s="457"/>
      <c r="AY181" s="457"/>
      <c r="AZ181" s="457"/>
      <c r="BA181" s="457"/>
      <c r="BB181" s="457"/>
      <c r="BC181" s="457"/>
      <c r="BD181" s="457"/>
      <c r="BE181" s="457"/>
      <c r="BF181" s="457"/>
      <c r="BG181" s="457"/>
      <c r="BH181" s="457"/>
      <c r="BI181" s="457"/>
      <c r="BJ181" s="457"/>
    </row>
    <row r="182" spans="1:62" ht="12.75">
      <c r="A182" s="457"/>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c r="AS182" s="457"/>
      <c r="AT182" s="457"/>
      <c r="AU182" s="457"/>
      <c r="AV182" s="457"/>
      <c r="AW182" s="457"/>
      <c r="AX182" s="457"/>
      <c r="AY182" s="457"/>
      <c r="AZ182" s="457"/>
      <c r="BA182" s="457"/>
      <c r="BB182" s="457"/>
      <c r="BC182" s="457"/>
      <c r="BD182" s="457"/>
      <c r="BE182" s="457"/>
      <c r="BF182" s="457"/>
      <c r="BG182" s="457"/>
      <c r="BH182" s="457"/>
      <c r="BI182" s="457"/>
      <c r="BJ182" s="457"/>
    </row>
    <row r="183" spans="1:62" ht="12.75">
      <c r="A183" s="457"/>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c r="BF183" s="457"/>
      <c r="BG183" s="457"/>
      <c r="BH183" s="457"/>
      <c r="BI183" s="457"/>
      <c r="BJ183" s="457"/>
    </row>
    <row r="184" spans="1:62" ht="12.75">
      <c r="A184" s="457"/>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c r="AS184" s="457"/>
      <c r="AT184" s="457"/>
      <c r="AU184" s="457"/>
      <c r="AV184" s="457"/>
      <c r="AW184" s="457"/>
      <c r="AX184" s="457"/>
      <c r="AY184" s="457"/>
      <c r="AZ184" s="457"/>
      <c r="BA184" s="457"/>
      <c r="BB184" s="457"/>
      <c r="BC184" s="457"/>
      <c r="BD184" s="457"/>
      <c r="BE184" s="457"/>
      <c r="BF184" s="457"/>
      <c r="BG184" s="457"/>
      <c r="BH184" s="457"/>
      <c r="BI184" s="457"/>
      <c r="BJ184" s="457"/>
    </row>
    <row r="185" spans="1:62" ht="12.75">
      <c r="A185" s="457"/>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U185" s="457"/>
      <c r="AV185" s="457"/>
      <c r="AW185" s="457"/>
      <c r="AX185" s="457"/>
      <c r="AY185" s="457"/>
      <c r="AZ185" s="457"/>
      <c r="BA185" s="457"/>
      <c r="BB185" s="457"/>
      <c r="BC185" s="457"/>
      <c r="BD185" s="457"/>
      <c r="BE185" s="457"/>
      <c r="BF185" s="457"/>
      <c r="BG185" s="457"/>
      <c r="BH185" s="457"/>
      <c r="BI185" s="457"/>
      <c r="BJ185" s="457"/>
    </row>
    <row r="186" spans="1:62" ht="12.75">
      <c r="A186" s="457"/>
      <c r="B186" s="45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c r="BF186" s="457"/>
      <c r="BG186" s="457"/>
      <c r="BH186" s="457"/>
      <c r="BI186" s="457"/>
      <c r="BJ186" s="457"/>
    </row>
    <row r="187" spans="1:62" ht="12.75">
      <c r="A187" s="457"/>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c r="AZ187" s="457"/>
      <c r="BA187" s="457"/>
      <c r="BB187" s="457"/>
      <c r="BC187" s="457"/>
      <c r="BD187" s="457"/>
      <c r="BE187" s="457"/>
      <c r="BF187" s="457"/>
      <c r="BG187" s="457"/>
      <c r="BH187" s="457"/>
      <c r="BI187" s="457"/>
      <c r="BJ187" s="457"/>
    </row>
    <row r="188" spans="1:62" ht="12.75">
      <c r="A188" s="457"/>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c r="AS188" s="457"/>
      <c r="AT188" s="457"/>
      <c r="AU188" s="457"/>
      <c r="AV188" s="457"/>
      <c r="AW188" s="457"/>
      <c r="AX188" s="457"/>
      <c r="AY188" s="457"/>
      <c r="AZ188" s="457"/>
      <c r="BA188" s="457"/>
      <c r="BB188" s="457"/>
      <c r="BC188" s="457"/>
      <c r="BD188" s="457"/>
      <c r="BE188" s="457"/>
      <c r="BF188" s="457"/>
      <c r="BG188" s="457"/>
      <c r="BH188" s="457"/>
      <c r="BI188" s="457"/>
      <c r="BJ188" s="457"/>
    </row>
    <row r="189" spans="1:62" ht="12.75">
      <c r="A189" s="457"/>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c r="AS189" s="457"/>
      <c r="AT189" s="457"/>
      <c r="AU189" s="457"/>
      <c r="AV189" s="457"/>
      <c r="AW189" s="457"/>
      <c r="AX189" s="457"/>
      <c r="AY189" s="457"/>
      <c r="AZ189" s="457"/>
      <c r="BA189" s="457"/>
      <c r="BB189" s="457"/>
      <c r="BC189" s="457"/>
      <c r="BD189" s="457"/>
      <c r="BE189" s="457"/>
      <c r="BF189" s="457"/>
      <c r="BG189" s="457"/>
      <c r="BH189" s="457"/>
      <c r="BI189" s="457"/>
      <c r="BJ189" s="457"/>
    </row>
    <row r="190" spans="1:62" ht="12.75">
      <c r="A190" s="457"/>
      <c r="B190" s="45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c r="AS190" s="457"/>
      <c r="AT190" s="457"/>
      <c r="AU190" s="457"/>
      <c r="AV190" s="457"/>
      <c r="AW190" s="457"/>
      <c r="AX190" s="457"/>
      <c r="AY190" s="457"/>
      <c r="AZ190" s="457"/>
      <c r="BA190" s="457"/>
      <c r="BB190" s="457"/>
      <c r="BC190" s="457"/>
      <c r="BD190" s="457"/>
      <c r="BE190" s="457"/>
      <c r="BF190" s="457"/>
      <c r="BG190" s="457"/>
      <c r="BH190" s="457"/>
      <c r="BI190" s="457"/>
      <c r="BJ190" s="457"/>
    </row>
    <row r="191" spans="1:62" ht="12.75">
      <c r="A191" s="457"/>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c r="BF191" s="457"/>
      <c r="BG191" s="457"/>
      <c r="BH191" s="457"/>
      <c r="BI191" s="457"/>
      <c r="BJ191" s="457"/>
    </row>
    <row r="192" spans="1:62" ht="12.75">
      <c r="A192" s="457"/>
      <c r="B192" s="45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c r="AS192" s="457"/>
      <c r="AT192" s="457"/>
      <c r="AU192" s="457"/>
      <c r="AV192" s="457"/>
      <c r="AW192" s="457"/>
      <c r="AX192" s="457"/>
      <c r="AY192" s="457"/>
      <c r="AZ192" s="457"/>
      <c r="BA192" s="457"/>
      <c r="BB192" s="457"/>
      <c r="BC192" s="457"/>
      <c r="BD192" s="457"/>
      <c r="BE192" s="457"/>
      <c r="BF192" s="457"/>
      <c r="BG192" s="457"/>
      <c r="BH192" s="457"/>
      <c r="BI192" s="457"/>
      <c r="BJ192" s="457"/>
    </row>
    <row r="193" spans="1:62" ht="12.75">
      <c r="A193" s="457"/>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c r="AS193" s="457"/>
      <c r="AT193" s="457"/>
      <c r="AU193" s="457"/>
      <c r="AV193" s="457"/>
      <c r="AW193" s="457"/>
      <c r="AX193" s="457"/>
      <c r="AY193" s="457"/>
      <c r="AZ193" s="457"/>
      <c r="BA193" s="457"/>
      <c r="BB193" s="457"/>
      <c r="BC193" s="457"/>
      <c r="BD193" s="457"/>
      <c r="BE193" s="457"/>
      <c r="BF193" s="457"/>
      <c r="BG193" s="457"/>
      <c r="BH193" s="457"/>
      <c r="BI193" s="457"/>
      <c r="BJ193" s="457"/>
    </row>
    <row r="194" spans="1:62" ht="12.75">
      <c r="A194" s="457"/>
      <c r="B194" s="45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c r="AS194" s="457"/>
      <c r="AT194" s="457"/>
      <c r="AU194" s="457"/>
      <c r="AV194" s="457"/>
      <c r="AW194" s="457"/>
      <c r="AX194" s="457"/>
      <c r="AY194" s="457"/>
      <c r="AZ194" s="457"/>
      <c r="BA194" s="457"/>
      <c r="BB194" s="457"/>
      <c r="BC194" s="457"/>
      <c r="BD194" s="457"/>
      <c r="BE194" s="457"/>
      <c r="BF194" s="457"/>
      <c r="BG194" s="457"/>
      <c r="BH194" s="457"/>
      <c r="BI194" s="457"/>
      <c r="BJ194" s="457"/>
    </row>
    <row r="195" spans="1:62" ht="12.75">
      <c r="A195" s="457"/>
      <c r="B195" s="45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c r="AS195" s="457"/>
      <c r="AT195" s="457"/>
      <c r="AU195" s="457"/>
      <c r="AV195" s="457"/>
      <c r="AW195" s="457"/>
      <c r="AX195" s="457"/>
      <c r="AY195" s="457"/>
      <c r="AZ195" s="457"/>
      <c r="BA195" s="457"/>
      <c r="BB195" s="457"/>
      <c r="BC195" s="457"/>
      <c r="BD195" s="457"/>
      <c r="BE195" s="457"/>
      <c r="BF195" s="457"/>
      <c r="BG195" s="457"/>
      <c r="BH195" s="457"/>
      <c r="BI195" s="457"/>
      <c r="BJ195" s="457"/>
    </row>
    <row r="196" spans="1:62" ht="12.75">
      <c r="A196" s="457"/>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c r="AS196" s="457"/>
      <c r="AT196" s="457"/>
      <c r="AU196" s="457"/>
      <c r="AV196" s="457"/>
      <c r="AW196" s="457"/>
      <c r="AX196" s="457"/>
      <c r="AY196" s="457"/>
      <c r="AZ196" s="457"/>
      <c r="BA196" s="457"/>
      <c r="BB196" s="457"/>
      <c r="BC196" s="457"/>
      <c r="BD196" s="457"/>
      <c r="BE196" s="457"/>
      <c r="BF196" s="457"/>
      <c r="BG196" s="457"/>
      <c r="BH196" s="457"/>
      <c r="BI196" s="457"/>
      <c r="BJ196" s="457"/>
    </row>
    <row r="197" spans="1:62" ht="12.75">
      <c r="A197" s="457"/>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c r="BF197" s="457"/>
      <c r="BG197" s="457"/>
      <c r="BH197" s="457"/>
      <c r="BI197" s="457"/>
      <c r="BJ197" s="457"/>
    </row>
    <row r="198" spans="1:62" ht="12.75">
      <c r="A198" s="457"/>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c r="AS198" s="457"/>
      <c r="AT198" s="457"/>
      <c r="AU198" s="457"/>
      <c r="AV198" s="457"/>
      <c r="AW198" s="457"/>
      <c r="AX198" s="457"/>
      <c r="AY198" s="457"/>
      <c r="AZ198" s="457"/>
      <c r="BA198" s="457"/>
      <c r="BB198" s="457"/>
      <c r="BC198" s="457"/>
      <c r="BD198" s="457"/>
      <c r="BE198" s="457"/>
      <c r="BF198" s="457"/>
      <c r="BG198" s="457"/>
      <c r="BH198" s="457"/>
      <c r="BI198" s="457"/>
      <c r="BJ198" s="457"/>
    </row>
    <row r="199" spans="1:62" ht="12.75">
      <c r="A199" s="457"/>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c r="AX199" s="457"/>
      <c r="AY199" s="457"/>
      <c r="AZ199" s="457"/>
      <c r="BA199" s="457"/>
      <c r="BB199" s="457"/>
      <c r="BC199" s="457"/>
      <c r="BD199" s="457"/>
      <c r="BE199" s="457"/>
      <c r="BF199" s="457"/>
      <c r="BG199" s="457"/>
      <c r="BH199" s="457"/>
      <c r="BI199" s="457"/>
      <c r="BJ199" s="457"/>
    </row>
    <row r="200" spans="1:62" ht="12.75">
      <c r="A200" s="457"/>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c r="AX200" s="457"/>
      <c r="AY200" s="457"/>
      <c r="AZ200" s="457"/>
      <c r="BA200" s="457"/>
      <c r="BB200" s="457"/>
      <c r="BC200" s="457"/>
      <c r="BD200" s="457"/>
      <c r="BE200" s="457"/>
      <c r="BF200" s="457"/>
      <c r="BG200" s="457"/>
      <c r="BH200" s="457"/>
      <c r="BI200" s="457"/>
      <c r="BJ200" s="457"/>
    </row>
    <row r="201" spans="1:62" ht="12.75">
      <c r="A201" s="457"/>
      <c r="B201" s="45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c r="AS201" s="457"/>
      <c r="AT201" s="457"/>
      <c r="AU201" s="457"/>
      <c r="AV201" s="457"/>
      <c r="AW201" s="457"/>
      <c r="AX201" s="457"/>
      <c r="AY201" s="457"/>
      <c r="AZ201" s="457"/>
      <c r="BA201" s="457"/>
      <c r="BB201" s="457"/>
      <c r="BC201" s="457"/>
      <c r="BD201" s="457"/>
      <c r="BE201" s="457"/>
      <c r="BF201" s="457"/>
      <c r="BG201" s="457"/>
      <c r="BH201" s="457"/>
      <c r="BI201" s="457"/>
      <c r="BJ201" s="457"/>
    </row>
    <row r="202" spans="1:62" ht="12.75">
      <c r="A202" s="457"/>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row>
    <row r="203" spans="1:62" ht="12.75">
      <c r="A203" s="457"/>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row>
    <row r="204" spans="1:62" ht="12.75">
      <c r="A204" s="457"/>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c r="AX204" s="457"/>
      <c r="AY204" s="457"/>
      <c r="AZ204" s="457"/>
      <c r="BA204" s="457"/>
      <c r="BB204" s="457"/>
      <c r="BC204" s="457"/>
      <c r="BD204" s="457"/>
      <c r="BE204" s="457"/>
      <c r="BF204" s="457"/>
      <c r="BG204" s="457"/>
      <c r="BH204" s="457"/>
      <c r="BI204" s="457"/>
      <c r="BJ204" s="457"/>
    </row>
    <row r="205" spans="1:62" ht="12.75">
      <c r="A205" s="457"/>
      <c r="B205" s="45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c r="AS205" s="457"/>
      <c r="AT205" s="457"/>
      <c r="AU205" s="457"/>
      <c r="AV205" s="457"/>
      <c r="AW205" s="457"/>
      <c r="AX205" s="457"/>
      <c r="AY205" s="457"/>
      <c r="AZ205" s="457"/>
      <c r="BA205" s="457"/>
      <c r="BB205" s="457"/>
      <c r="BC205" s="457"/>
      <c r="BD205" s="457"/>
      <c r="BE205" s="457"/>
      <c r="BF205" s="457"/>
      <c r="BG205" s="457"/>
      <c r="BH205" s="457"/>
      <c r="BI205" s="457"/>
      <c r="BJ205" s="457"/>
    </row>
    <row r="206" spans="1:62" ht="12.75">
      <c r="A206" s="457"/>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c r="AX206" s="457"/>
      <c r="AY206" s="457"/>
      <c r="AZ206" s="457"/>
      <c r="BA206" s="457"/>
      <c r="BB206" s="457"/>
      <c r="BC206" s="457"/>
      <c r="BD206" s="457"/>
      <c r="BE206" s="457"/>
      <c r="BF206" s="457"/>
      <c r="BG206" s="457"/>
      <c r="BH206" s="457"/>
      <c r="BI206" s="457"/>
      <c r="BJ206" s="457"/>
    </row>
    <row r="207" spans="1:62" ht="12.75">
      <c r="A207" s="457"/>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row>
    <row r="208" spans="1:62" ht="12.75">
      <c r="A208" s="457"/>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row>
    <row r="209" spans="1:62" ht="12.75">
      <c r="A209" s="457"/>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c r="AX209" s="457"/>
      <c r="AY209" s="457"/>
      <c r="AZ209" s="457"/>
      <c r="BA209" s="457"/>
      <c r="BB209" s="457"/>
      <c r="BC209" s="457"/>
      <c r="BD209" s="457"/>
      <c r="BE209" s="457"/>
      <c r="BF209" s="457"/>
      <c r="BG209" s="457"/>
      <c r="BH209" s="457"/>
      <c r="BI209" s="457"/>
      <c r="BJ209" s="457"/>
    </row>
    <row r="210" spans="1:62" ht="12.75">
      <c r="A210" s="457"/>
      <c r="B210" s="45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row>
    <row r="211" spans="1:62" ht="12.75">
      <c r="A211" s="457"/>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c r="AX211" s="457"/>
      <c r="AY211" s="457"/>
      <c r="AZ211" s="457"/>
      <c r="BA211" s="457"/>
      <c r="BB211" s="457"/>
      <c r="BC211" s="457"/>
      <c r="BD211" s="457"/>
      <c r="BE211" s="457"/>
      <c r="BF211" s="457"/>
      <c r="BG211" s="457"/>
      <c r="BH211" s="457"/>
      <c r="BI211" s="457"/>
      <c r="BJ211" s="457"/>
    </row>
    <row r="212" spans="1:62" ht="12.75">
      <c r="A212" s="457"/>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c r="AX212" s="457"/>
      <c r="AY212" s="457"/>
      <c r="AZ212" s="457"/>
      <c r="BA212" s="457"/>
      <c r="BB212" s="457"/>
      <c r="BC212" s="457"/>
      <c r="BD212" s="457"/>
      <c r="BE212" s="457"/>
      <c r="BF212" s="457"/>
      <c r="BG212" s="457"/>
      <c r="BH212" s="457"/>
      <c r="BI212" s="457"/>
      <c r="BJ212" s="457"/>
    </row>
    <row r="213" spans="1:62" ht="12.75">
      <c r="A213" s="457"/>
      <c r="B213" s="45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c r="AS213" s="457"/>
      <c r="AT213" s="457"/>
      <c r="AU213" s="457"/>
      <c r="AV213" s="457"/>
      <c r="AW213" s="457"/>
      <c r="AX213" s="457"/>
      <c r="AY213" s="457"/>
      <c r="AZ213" s="457"/>
      <c r="BA213" s="457"/>
      <c r="BB213" s="457"/>
      <c r="BC213" s="457"/>
      <c r="BD213" s="457"/>
      <c r="BE213" s="457"/>
      <c r="BF213" s="457"/>
      <c r="BG213" s="457"/>
      <c r="BH213" s="457"/>
      <c r="BI213" s="457"/>
      <c r="BJ213" s="457"/>
    </row>
    <row r="214" spans="1:62" ht="12.75">
      <c r="A214" s="457"/>
      <c r="B214" s="45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7"/>
      <c r="AY214" s="457"/>
      <c r="AZ214" s="457"/>
      <c r="BA214" s="457"/>
      <c r="BB214" s="457"/>
      <c r="BC214" s="457"/>
      <c r="BD214" s="457"/>
      <c r="BE214" s="457"/>
      <c r="BF214" s="457"/>
      <c r="BG214" s="457"/>
      <c r="BH214" s="457"/>
      <c r="BI214" s="457"/>
      <c r="BJ214" s="457"/>
    </row>
    <row r="215" spans="1:62" ht="12.75">
      <c r="A215" s="457"/>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c r="AX215" s="457"/>
      <c r="AY215" s="457"/>
      <c r="AZ215" s="457"/>
      <c r="BA215" s="457"/>
      <c r="BB215" s="457"/>
      <c r="BC215" s="457"/>
      <c r="BD215" s="457"/>
      <c r="BE215" s="457"/>
      <c r="BF215" s="457"/>
      <c r="BG215" s="457"/>
      <c r="BH215" s="457"/>
      <c r="BI215" s="457"/>
      <c r="BJ215" s="457"/>
    </row>
    <row r="216" spans="1:62" ht="12.75">
      <c r="A216" s="457"/>
      <c r="B216" s="45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c r="AS216" s="457"/>
      <c r="AT216" s="457"/>
      <c r="AU216" s="457"/>
      <c r="AV216" s="457"/>
      <c r="AW216" s="457"/>
      <c r="AX216" s="457"/>
      <c r="AY216" s="457"/>
      <c r="AZ216" s="457"/>
      <c r="BA216" s="457"/>
      <c r="BB216" s="457"/>
      <c r="BC216" s="457"/>
      <c r="BD216" s="457"/>
      <c r="BE216" s="457"/>
      <c r="BF216" s="457"/>
      <c r="BG216" s="457"/>
      <c r="BH216" s="457"/>
      <c r="BI216" s="457"/>
      <c r="BJ216" s="457"/>
    </row>
    <row r="217" spans="1:62" ht="12.75">
      <c r="A217" s="457"/>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c r="AX217" s="457"/>
      <c r="AY217" s="457"/>
      <c r="AZ217" s="457"/>
      <c r="BA217" s="457"/>
      <c r="BB217" s="457"/>
      <c r="BC217" s="457"/>
      <c r="BD217" s="457"/>
      <c r="BE217" s="457"/>
      <c r="BF217" s="457"/>
      <c r="BG217" s="457"/>
      <c r="BH217" s="457"/>
      <c r="BI217" s="457"/>
      <c r="BJ217" s="457"/>
    </row>
    <row r="218" spans="1:62" ht="12.75">
      <c r="A218" s="457"/>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c r="AX218" s="457"/>
      <c r="AY218" s="457"/>
      <c r="AZ218" s="457"/>
      <c r="BA218" s="457"/>
      <c r="BB218" s="457"/>
      <c r="BC218" s="457"/>
      <c r="BD218" s="457"/>
      <c r="BE218" s="457"/>
      <c r="BF218" s="457"/>
      <c r="BG218" s="457"/>
      <c r="BH218" s="457"/>
      <c r="BI218" s="457"/>
      <c r="BJ218" s="457"/>
    </row>
    <row r="219" spans="1:62" ht="12.75">
      <c r="A219" s="457"/>
      <c r="B219" s="45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c r="AS219" s="457"/>
      <c r="AT219" s="457"/>
      <c r="AU219" s="457"/>
      <c r="AV219" s="457"/>
      <c r="AW219" s="457"/>
      <c r="AX219" s="457"/>
      <c r="AY219" s="457"/>
      <c r="AZ219" s="457"/>
      <c r="BA219" s="457"/>
      <c r="BB219" s="457"/>
      <c r="BC219" s="457"/>
      <c r="BD219" s="457"/>
      <c r="BE219" s="457"/>
      <c r="BF219" s="457"/>
      <c r="BG219" s="457"/>
      <c r="BH219" s="457"/>
      <c r="BI219" s="457"/>
      <c r="BJ219" s="457"/>
    </row>
    <row r="220" spans="1:62" ht="12.75">
      <c r="A220" s="457"/>
      <c r="B220" s="45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c r="AS220" s="457"/>
      <c r="AT220" s="457"/>
      <c r="AU220" s="457"/>
      <c r="AV220" s="457"/>
      <c r="AW220" s="457"/>
      <c r="AX220" s="457"/>
      <c r="AY220" s="457"/>
      <c r="AZ220" s="457"/>
      <c r="BA220" s="457"/>
      <c r="BB220" s="457"/>
      <c r="BC220" s="457"/>
      <c r="BD220" s="457"/>
      <c r="BE220" s="457"/>
      <c r="BF220" s="457"/>
      <c r="BG220" s="457"/>
      <c r="BH220" s="457"/>
      <c r="BI220" s="457"/>
      <c r="BJ220" s="457"/>
    </row>
    <row r="221" spans="1:62" ht="12.75">
      <c r="A221" s="457"/>
      <c r="B221" s="45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c r="AS221" s="457"/>
      <c r="AT221" s="457"/>
      <c r="AU221" s="457"/>
      <c r="AV221" s="457"/>
      <c r="AW221" s="457"/>
      <c r="AX221" s="457"/>
      <c r="AY221" s="457"/>
      <c r="AZ221" s="457"/>
      <c r="BA221" s="457"/>
      <c r="BB221" s="457"/>
      <c r="BC221" s="457"/>
      <c r="BD221" s="457"/>
      <c r="BE221" s="457"/>
      <c r="BF221" s="457"/>
      <c r="BG221" s="457"/>
      <c r="BH221" s="457"/>
      <c r="BI221" s="457"/>
      <c r="BJ221" s="457"/>
    </row>
    <row r="222" spans="1:62" ht="12.75">
      <c r="A222" s="457"/>
      <c r="B222" s="45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c r="AS222" s="457"/>
      <c r="AT222" s="457"/>
      <c r="AU222" s="457"/>
      <c r="AV222" s="457"/>
      <c r="AW222" s="457"/>
      <c r="AX222" s="457"/>
      <c r="AY222" s="457"/>
      <c r="AZ222" s="457"/>
      <c r="BA222" s="457"/>
      <c r="BB222" s="457"/>
      <c r="BC222" s="457"/>
      <c r="BD222" s="457"/>
      <c r="BE222" s="457"/>
      <c r="BF222" s="457"/>
      <c r="BG222" s="457"/>
      <c r="BH222" s="457"/>
      <c r="BI222" s="457"/>
      <c r="BJ222" s="457"/>
    </row>
    <row r="223" spans="1:62" ht="12.75">
      <c r="A223" s="457"/>
      <c r="B223" s="45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c r="AS223" s="457"/>
      <c r="AT223" s="457"/>
      <c r="AU223" s="457"/>
      <c r="AV223" s="457"/>
      <c r="AW223" s="457"/>
      <c r="AX223" s="457"/>
      <c r="AY223" s="457"/>
      <c r="AZ223" s="457"/>
      <c r="BA223" s="457"/>
      <c r="BB223" s="457"/>
      <c r="BC223" s="457"/>
      <c r="BD223" s="457"/>
      <c r="BE223" s="457"/>
      <c r="BF223" s="457"/>
      <c r="BG223" s="457"/>
      <c r="BH223" s="457"/>
      <c r="BI223" s="457"/>
      <c r="BJ223" s="457"/>
    </row>
    <row r="224" spans="1:62" ht="12.75">
      <c r="A224" s="457"/>
      <c r="B224" s="45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c r="AS224" s="457"/>
      <c r="AT224" s="457"/>
      <c r="AU224" s="457"/>
      <c r="AV224" s="457"/>
      <c r="AW224" s="457"/>
      <c r="AX224" s="457"/>
      <c r="AY224" s="457"/>
      <c r="AZ224" s="457"/>
      <c r="BA224" s="457"/>
      <c r="BB224" s="457"/>
      <c r="BC224" s="457"/>
      <c r="BD224" s="457"/>
      <c r="BE224" s="457"/>
      <c r="BF224" s="457"/>
      <c r="BG224" s="457"/>
      <c r="BH224" s="457"/>
      <c r="BI224" s="457"/>
      <c r="BJ224" s="457"/>
    </row>
    <row r="225" spans="1:62" ht="12.75">
      <c r="A225" s="457"/>
      <c r="B225" s="45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c r="AS225" s="457"/>
      <c r="AT225" s="457"/>
      <c r="AU225" s="457"/>
      <c r="AV225" s="457"/>
      <c r="AW225" s="457"/>
      <c r="AX225" s="457"/>
      <c r="AY225" s="457"/>
      <c r="AZ225" s="457"/>
      <c r="BA225" s="457"/>
      <c r="BB225" s="457"/>
      <c r="BC225" s="457"/>
      <c r="BD225" s="457"/>
      <c r="BE225" s="457"/>
      <c r="BF225" s="457"/>
      <c r="BG225" s="457"/>
      <c r="BH225" s="457"/>
      <c r="BI225" s="457"/>
      <c r="BJ225" s="457"/>
    </row>
    <row r="226" spans="1:62" ht="12.75">
      <c r="A226" s="457"/>
      <c r="B226" s="45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c r="AS226" s="457"/>
      <c r="AT226" s="457"/>
      <c r="AU226" s="457"/>
      <c r="AV226" s="457"/>
      <c r="AW226" s="457"/>
      <c r="AX226" s="457"/>
      <c r="AY226" s="457"/>
      <c r="AZ226" s="457"/>
      <c r="BA226" s="457"/>
      <c r="BB226" s="457"/>
      <c r="BC226" s="457"/>
      <c r="BD226" s="457"/>
      <c r="BE226" s="457"/>
      <c r="BF226" s="457"/>
      <c r="BG226" s="457"/>
      <c r="BH226" s="457"/>
      <c r="BI226" s="457"/>
      <c r="BJ226" s="457"/>
    </row>
    <row r="227" spans="1:62" ht="12.75">
      <c r="A227" s="457"/>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row>
    <row r="228" spans="1:62" ht="12.75">
      <c r="A228" s="457"/>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row>
    <row r="229" spans="1:62" ht="12.75">
      <c r="A229" s="457"/>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row>
    <row r="230" spans="1:62" ht="12.75">
      <c r="A230" s="457"/>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row>
    <row r="231" spans="1:62" ht="12.75">
      <c r="A231" s="457"/>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row>
    <row r="232" spans="1:62" ht="12.75">
      <c r="A232" s="457"/>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row>
    <row r="233" spans="1:62" ht="12.75">
      <c r="A233" s="457"/>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row>
    <row r="234" spans="1:62" ht="12.75">
      <c r="A234" s="457"/>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row>
    <row r="235" spans="1:62" ht="12.75">
      <c r="A235" s="457"/>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row>
    <row r="236" spans="1:62" ht="12.75">
      <c r="A236" s="457"/>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row>
    <row r="237" spans="1:62" ht="12.75">
      <c r="A237" s="457"/>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row>
    <row r="238" spans="1:62" ht="12.75">
      <c r="A238" s="457"/>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row>
    <row r="239" spans="1:62" ht="12.75">
      <c r="A239" s="457"/>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row>
    <row r="240" spans="1:62" ht="12.75">
      <c r="A240" s="457"/>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row>
    <row r="241" spans="1:62" ht="12.75">
      <c r="A241" s="457"/>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row>
    <row r="242" spans="1:62" ht="12.75">
      <c r="A242" s="457"/>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row>
    <row r="243" spans="1:62" ht="12.75">
      <c r="A243" s="457"/>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row>
    <row r="244" spans="1:62" ht="12.75">
      <c r="A244" s="457"/>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row>
    <row r="245" spans="1:62" ht="12.75">
      <c r="A245" s="457"/>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row>
    <row r="246" spans="1:62" ht="12.75">
      <c r="A246" s="457"/>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row>
    <row r="247" spans="1:62" ht="12.75">
      <c r="A247" s="457"/>
      <c r="B247" s="45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c r="AS247" s="457"/>
      <c r="AT247" s="457"/>
      <c r="AU247" s="457"/>
      <c r="AV247" s="457"/>
      <c r="AW247" s="457"/>
      <c r="AX247" s="457"/>
      <c r="AY247" s="457"/>
      <c r="AZ247" s="457"/>
      <c r="BA247" s="457"/>
      <c r="BB247" s="457"/>
      <c r="BC247" s="457"/>
      <c r="BD247" s="457"/>
      <c r="BE247" s="457"/>
      <c r="BF247" s="457"/>
      <c r="BG247" s="457"/>
      <c r="BH247" s="457"/>
      <c r="BI247" s="457"/>
      <c r="BJ247" s="457"/>
    </row>
    <row r="248" spans="1:62" ht="12.75">
      <c r="A248" s="457"/>
      <c r="B248" s="45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c r="AS248" s="457"/>
      <c r="AT248" s="457"/>
      <c r="AU248" s="457"/>
      <c r="AV248" s="457"/>
      <c r="AW248" s="457"/>
      <c r="AX248" s="457"/>
      <c r="AY248" s="457"/>
      <c r="AZ248" s="457"/>
      <c r="BA248" s="457"/>
      <c r="BB248" s="457"/>
      <c r="BC248" s="457"/>
      <c r="BD248" s="457"/>
      <c r="BE248" s="457"/>
      <c r="BF248" s="457"/>
      <c r="BG248" s="457"/>
      <c r="BH248" s="457"/>
      <c r="BI248" s="457"/>
      <c r="BJ248" s="457"/>
    </row>
    <row r="249" spans="1:62" ht="12.75">
      <c r="A249" s="457"/>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row>
    <row r="250" spans="1:62" ht="12.75">
      <c r="A250" s="457"/>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row>
    <row r="251" spans="1:62" ht="12.75">
      <c r="A251" s="457"/>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row>
    <row r="252" spans="1:62" ht="12.75">
      <c r="A252" s="457"/>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row>
    <row r="253" spans="1:62" ht="12.75">
      <c r="A253" s="457"/>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row>
    <row r="254" spans="1:62" ht="12.75">
      <c r="A254" s="457"/>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row>
    <row r="255" spans="1:62" ht="12.75">
      <c r="A255" s="457"/>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row>
    <row r="256" spans="1:62" ht="12.75">
      <c r="A256" s="457"/>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row>
    <row r="257" spans="1:62" ht="12.75">
      <c r="A257" s="457"/>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row>
    <row r="258" spans="1:62" ht="12.75">
      <c r="A258" s="457"/>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row>
    <row r="259" spans="1:62" ht="12.75">
      <c r="A259" s="457"/>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row>
  </sheetData>
  <mergeCells count="2">
    <mergeCell ref="K30:M30"/>
    <mergeCell ref="C29:E29"/>
  </mergeCells>
  <pageMargins left="0.75" right="0.75" top="1" bottom="1" header="0.5" footer="0.5"/>
  <pageSetup scale="63" orientation="landscape" r:id="rId1"/>
  <headerFooter alignWithMargins="0"/>
  <colBreaks count="1" manualBreakCount="1">
    <brk id="21" max="5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64CCC4739605949B629952B78825575" ma:contentTypeVersion="104" ma:contentTypeDescription="" ma:contentTypeScope="" ma:versionID="8dd20520cfecfb9906b686d2f150492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73172a68e7f9fac6748cf5da6db34b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1af0c028-e016-4365-948e-cc2e26d65303"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Document</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2017-08-04T07:00:00+00:00</OpenedDate>
    <Date1 xmlns="dc463f71-b30c-4ab2-9473-d307f9d35888">2017-08-04T07:00:00+00:00</Date1>
    <IsDocumentOrder xmlns="dc463f71-b30c-4ab2-9473-d307f9d35888" xsi:nil="true"/>
    <IsHighlyConfidential xmlns="dc463f71-b30c-4ab2-9473-d307f9d35888">false</IsHighlyConfidential>
    <CaseCompanyNames xmlns="dc463f71-b30c-4ab2-9473-d307f9d35888">YAKIMA WASTE SYSTEMS, INC.</CaseCompanyNames>
    <Nickname xmlns="http://schemas.microsoft.com/sharepoint/v3" xsi:nil="true"/>
    <DocketNumber xmlns="dc463f71-b30c-4ab2-9473-d307f9d35888">170878</DocketNumber>
    <DelegatedOrder xmlns="dc463f71-b30c-4ab2-9473-d307f9d35888">false</DelegatedOrder>
    <SignificantOrder xmlns="dc463f71-b30c-4ab2-9473-d307f9d35888">false</SignificantOrder>
  </documentManagement>
</p:properties>
</file>

<file path=customXml/itemProps1.xml><?xml version="1.0" encoding="utf-8"?>
<ds:datastoreItem xmlns:ds="http://schemas.openxmlformats.org/officeDocument/2006/customXml" ds:itemID="{E96DB939-ACEC-44BB-AE75-256ED140AB22}"/>
</file>

<file path=customXml/itemProps2.xml><?xml version="1.0" encoding="utf-8"?>
<ds:datastoreItem xmlns:ds="http://schemas.openxmlformats.org/officeDocument/2006/customXml" ds:itemID="{D62F4171-390C-4BD0-815F-58D61E3BE952}"/>
</file>

<file path=customXml/itemProps3.xml><?xml version="1.0" encoding="utf-8"?>
<ds:datastoreItem xmlns:ds="http://schemas.openxmlformats.org/officeDocument/2006/customXml" ds:itemID="{E4CA52B3-75EE-4A73-A3AF-CB1E7F573075}"/>
</file>

<file path=customXml/itemProps4.xml><?xml version="1.0" encoding="utf-8"?>
<ds:datastoreItem xmlns:ds="http://schemas.openxmlformats.org/officeDocument/2006/customXml" ds:itemID="{C89EDB66-B87C-45EE-9E51-5CF151860D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133</vt:i4>
      </vt:variant>
    </vt:vector>
  </HeadingPairs>
  <TitlesOfParts>
    <vt:vector size="164" baseType="lpstr">
      <vt:lpstr>Yakima BS</vt:lpstr>
      <vt:lpstr>Yakima IS</vt:lpstr>
      <vt:lpstr>References</vt:lpstr>
      <vt:lpstr>Yakima Consolidated IS</vt:lpstr>
      <vt:lpstr>Ratios</vt:lpstr>
      <vt:lpstr>Restating Adj's</vt:lpstr>
      <vt:lpstr>Pro-forma Adj's</vt:lpstr>
      <vt:lpstr>LG-Total Reg</vt:lpstr>
      <vt:lpstr>LG-Garbage</vt:lpstr>
      <vt:lpstr>LG-Recycle</vt:lpstr>
      <vt:lpstr>LG-Yardwaste</vt:lpstr>
      <vt:lpstr>Yakima Regulated Price Out</vt:lpstr>
      <vt:lpstr>Proposed Rates</vt:lpstr>
      <vt:lpstr>Revenue Summary</vt:lpstr>
      <vt:lpstr>Depr Summary</vt:lpstr>
      <vt:lpstr>Yakima Payroll</vt:lpstr>
      <vt:lpstr>Disposal</vt:lpstr>
      <vt:lpstr>Fuel Schedule</vt:lpstr>
      <vt:lpstr>A-Team Summary</vt:lpstr>
      <vt:lpstr>Roll Off Cust Count</vt:lpstr>
      <vt:lpstr>DivCon-DVP Alloc In</vt:lpstr>
      <vt:lpstr>Region OH Calc</vt:lpstr>
      <vt:lpstr>WCI P&amp;L</vt:lpstr>
      <vt:lpstr>WCI BS</vt:lpstr>
      <vt:lpstr>Corp OH</vt:lpstr>
      <vt:lpstr>July Fuel</vt:lpstr>
      <vt:lpstr>70149 Detail</vt:lpstr>
      <vt:lpstr>70095 Detail</vt:lpstr>
      <vt:lpstr>70195 Detail</vt:lpstr>
      <vt:lpstr>70255 Detail</vt:lpstr>
      <vt:lpstr>6.30.16 BS</vt:lpstr>
      <vt:lpstr>'70149 Detail'!Accounts</vt:lpstr>
      <vt:lpstr>'70195 Detail'!Accounts</vt:lpstr>
      <vt:lpstr>'70255 Detail'!Accounts</vt:lpstr>
      <vt:lpstr>'July Fuel'!Accounts</vt:lpstr>
      <vt:lpstr>Accounts</vt:lpstr>
      <vt:lpstr>'70149 Detail'!AmountFrom</vt:lpstr>
      <vt:lpstr>'70195 Detail'!AmountFrom</vt:lpstr>
      <vt:lpstr>'70255 Detail'!AmountFrom</vt:lpstr>
      <vt:lpstr>'July Fuel'!AmountFrom</vt:lpstr>
      <vt:lpstr>AmountFrom</vt:lpstr>
      <vt:lpstr>'70149 Detail'!AmountTo</vt:lpstr>
      <vt:lpstr>'70195 Detail'!AmountTo</vt:lpstr>
      <vt:lpstr>'70255 Detail'!AmountTo</vt:lpstr>
      <vt:lpstr>'July Fuel'!AmountTo</vt:lpstr>
      <vt:lpstr>AmountTo</vt:lpstr>
      <vt:lpstr>'70095 Detail'!CurrentMonth</vt:lpstr>
      <vt:lpstr>'70149 Detail'!CurrentMonth</vt:lpstr>
      <vt:lpstr>'70195 Detail'!CurrentMonth</vt:lpstr>
      <vt:lpstr>'70255 Detail'!CurrentMonth</vt:lpstr>
      <vt:lpstr>'July Fuel'!CurrentMonth</vt:lpstr>
      <vt:lpstr>'70095 Detail'!DateFrom</vt:lpstr>
      <vt:lpstr>'70149 Detail'!DateFrom</vt:lpstr>
      <vt:lpstr>'70195 Detail'!DateFrom</vt:lpstr>
      <vt:lpstr>'70255 Detail'!DateFrom</vt:lpstr>
      <vt:lpstr>'July Fuel'!DateFrom</vt:lpstr>
      <vt:lpstr>'70095 Detail'!DateTo</vt:lpstr>
      <vt:lpstr>'70149 Detail'!DateTo</vt:lpstr>
      <vt:lpstr>'70195 Detail'!DateTo</vt:lpstr>
      <vt:lpstr>'70255 Detail'!DateTo</vt:lpstr>
      <vt:lpstr>'July Fuel'!DateTo</vt:lpstr>
      <vt:lpstr>'6.30.16 BS'!District</vt:lpstr>
      <vt:lpstr>'Region OH Calc'!District</vt:lpstr>
      <vt:lpstr>'Yakima BS'!District</vt:lpstr>
      <vt:lpstr>'Yakima IS'!District</vt:lpstr>
      <vt:lpstr>'6.30.16 BS'!DistrictName</vt:lpstr>
      <vt:lpstr>'Region OH Calc'!DistrictName</vt:lpstr>
      <vt:lpstr>'Yakima IS'!DistrictName</vt:lpstr>
      <vt:lpstr>'70149 Detail'!Districts</vt:lpstr>
      <vt:lpstr>'70195 Detail'!Districts</vt:lpstr>
      <vt:lpstr>'70255 Detail'!Districts</vt:lpstr>
      <vt:lpstr>'July Fuel'!Districts</vt:lpstr>
      <vt:lpstr>Districts</vt:lpstr>
      <vt:lpstr>'70095 Detail'!EntrieShownLimit</vt:lpstr>
      <vt:lpstr>'70149 Detail'!EntrieShownLimit</vt:lpstr>
      <vt:lpstr>'70195 Detail'!EntrieShownLimit</vt:lpstr>
      <vt:lpstr>'70255 Detail'!EntrieShownLimit</vt:lpstr>
      <vt:lpstr>'July Fuel'!EntrieShownLimit</vt:lpstr>
      <vt:lpstr>'6.30.16 BS'!ExcludeIC</vt:lpstr>
      <vt:lpstr>'Region OH Calc'!ExcludeIC</vt:lpstr>
      <vt:lpstr>'Yakima IS'!ExcludeIC</vt:lpstr>
      <vt:lpstr>'70149 Detail'!FromMonth</vt:lpstr>
      <vt:lpstr>'70195 Detail'!FromMonth</vt:lpstr>
      <vt:lpstr>'70255 Detail'!FromMonth</vt:lpstr>
      <vt:lpstr>'July Fuel'!FromMonth</vt:lpstr>
      <vt:lpstr>FromMonth</vt:lpstr>
      <vt:lpstr>'70149 Detail'!Posting</vt:lpstr>
      <vt:lpstr>'70195 Detail'!Posting</vt:lpstr>
      <vt:lpstr>'70255 Detail'!Posting</vt:lpstr>
      <vt:lpstr>'July Fuel'!Posting</vt:lpstr>
      <vt:lpstr>Posting</vt:lpstr>
      <vt:lpstr>'6.30.16 BS'!Print_Area</vt:lpstr>
      <vt:lpstr>'70095 Detail'!Print_Area</vt:lpstr>
      <vt:lpstr>'70149 Detail'!Print_Area</vt:lpstr>
      <vt:lpstr>'70195 Detail'!Print_Area</vt:lpstr>
      <vt:lpstr>'70255 Detail'!Print_Area</vt:lpstr>
      <vt:lpstr>'A-Team Summary'!Print_Area</vt:lpstr>
      <vt:lpstr>'Corp OH'!Print_Area</vt:lpstr>
      <vt:lpstr>'Depr Summary'!Print_Area</vt:lpstr>
      <vt:lpstr>Disposal!Print_Area</vt:lpstr>
      <vt:lpstr>'Fuel Schedule'!Print_Area</vt:lpstr>
      <vt:lpstr>'July Fuel'!Print_Area</vt:lpstr>
      <vt:lpstr>'LG-Garbage'!Print_Area</vt:lpstr>
      <vt:lpstr>'LG-Recycle'!Print_Area</vt:lpstr>
      <vt:lpstr>'LG-Total Reg'!Print_Area</vt:lpstr>
      <vt:lpstr>'LG-Yardwaste'!Print_Area</vt:lpstr>
      <vt:lpstr>'Pro-forma Adj''s'!Print_Area</vt:lpstr>
      <vt:lpstr>'Proposed Rates'!Print_Area</vt:lpstr>
      <vt:lpstr>Ratios!Print_Area</vt:lpstr>
      <vt:lpstr>References!Print_Area</vt:lpstr>
      <vt:lpstr>'Region OH Calc'!Print_Area</vt:lpstr>
      <vt:lpstr>'Restating Adj''s'!Print_Area</vt:lpstr>
      <vt:lpstr>'Revenue Summary'!Print_Area</vt:lpstr>
      <vt:lpstr>'Roll Off Cust Count'!Print_Area</vt:lpstr>
      <vt:lpstr>'WCI P&amp;L'!Print_Area</vt:lpstr>
      <vt:lpstr>'Yakima BS'!Print_Area</vt:lpstr>
      <vt:lpstr>'Yakima Consolidated IS'!Print_Area</vt:lpstr>
      <vt:lpstr>'Yakima IS'!Print_Area</vt:lpstr>
      <vt:lpstr>'Yakima Payroll'!Print_Area</vt:lpstr>
      <vt:lpstr>'Yakima Regulated Price Out'!Print_Area</vt:lpstr>
      <vt:lpstr>'6.30.16 BS'!Print_Titles</vt:lpstr>
      <vt:lpstr>'70095 Detail'!Print_Titles</vt:lpstr>
      <vt:lpstr>'70149 Detail'!Print_Titles</vt:lpstr>
      <vt:lpstr>'70195 Detail'!Print_Titles</vt:lpstr>
      <vt:lpstr>'70255 Detail'!Print_Titles</vt:lpstr>
      <vt:lpstr>'Corp OH'!Print_Titles</vt:lpstr>
      <vt:lpstr>'July Fuel'!Print_Titles</vt:lpstr>
      <vt:lpstr>'Proposed Rates'!Print_Titles</vt:lpstr>
      <vt:lpstr>'Region OH Calc'!Print_Titles</vt:lpstr>
      <vt:lpstr>'Restating Adj''s'!Print_Titles</vt:lpstr>
      <vt:lpstr>'Roll Off Cust Count'!Print_Titles</vt:lpstr>
      <vt:lpstr>'WCI BS'!Print_Titles</vt:lpstr>
      <vt:lpstr>'Yakima BS'!Print_Titles</vt:lpstr>
      <vt:lpstr>'Yakima Consolidated IS'!Print_Titles</vt:lpstr>
      <vt:lpstr>'Yakima IS'!Print_Titles</vt:lpstr>
      <vt:lpstr>'Yakima Payroll'!Print_Titles</vt:lpstr>
      <vt:lpstr>'Yakima Regulated Price Out'!Print_Titles</vt:lpstr>
      <vt:lpstr>'70149 Detail'!SubSystems</vt:lpstr>
      <vt:lpstr>'70195 Detail'!SubSystems</vt:lpstr>
      <vt:lpstr>'70255 Detail'!SubSystems</vt:lpstr>
      <vt:lpstr>'July Fuel'!SubSystems</vt:lpstr>
      <vt:lpstr>SubSystems</vt:lpstr>
      <vt:lpstr>'6.30.16 BS'!System</vt:lpstr>
      <vt:lpstr>'Region OH Calc'!System</vt:lpstr>
      <vt:lpstr>'Yakima IS'!System</vt:lpstr>
      <vt:lpstr>'70149 Detail'!Systems</vt:lpstr>
      <vt:lpstr>'70195 Detail'!Systems</vt:lpstr>
      <vt:lpstr>'70255 Detail'!Systems</vt:lpstr>
      <vt:lpstr>'July Fuel'!Systems</vt:lpstr>
      <vt:lpstr>Systems</vt:lpstr>
      <vt:lpstr>'70149 Detail'!ToMonth</vt:lpstr>
      <vt:lpstr>'70195 Detail'!ToMonth</vt:lpstr>
      <vt:lpstr>'70255 Detail'!ToMonth</vt:lpstr>
      <vt:lpstr>'July Fuel'!ToMonth</vt:lpstr>
      <vt:lpstr>ToMonth</vt:lpstr>
      <vt:lpstr>'70149 Detail'!VendorCode</vt:lpstr>
      <vt:lpstr>'70195 Detail'!VendorCode</vt:lpstr>
      <vt:lpstr>'70255 Detail'!VendorCode</vt:lpstr>
      <vt:lpstr>'July Fuel'!VendorCode</vt:lpstr>
      <vt:lpstr>VendorCode</vt:lpstr>
      <vt:lpstr>'6.30.16 BS'!YearMonth</vt:lpstr>
      <vt:lpstr>'Region OH Calc'!YearMonth</vt:lpstr>
      <vt:lpstr>'Yakima BS'!YearMonth</vt:lpstr>
      <vt:lpstr>'Yakima IS'!YearMonth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Garland</dc:creator>
  <cp:lastModifiedBy>Heather Garland</cp:lastModifiedBy>
  <cp:lastPrinted>2017-08-04T21:16:36Z</cp:lastPrinted>
  <dcterms:created xsi:type="dcterms:W3CDTF">2017-07-11T18:22:12Z</dcterms:created>
  <dcterms:modified xsi:type="dcterms:W3CDTF">2017-08-04T21:20:18Z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0x0101006E56B4D1795A2E4DB2F0B01679ED314A00864CCC4739605949B629952B78825575</vt:lpwstr>
  </property>
  <property fmtid="{D5CDD505-2E9C-101B-9397-08002B2CF9AE}" pid="3" name="_docset_NoMedatataSyncRequired">
    <vt:lpwstr>False</vt:lpwstr>
  </property>
  <property fmtid="{D5CDD505-2E9C-101B-9397-08002B2CF9AE}" pid="4" name="IsEFSEC">
    <vt:bool>false</vt:bool>
  </property>
</Properties>
</file>