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3\2023 WA ERM (2022 Review)\For Filing\Supplemental Filing\"/>
    </mc:Choice>
  </mc:AlternateContent>
  <xr:revisionPtr revIDLastSave="0" documentId="13_ncr:1_{01372EBB-DD8E-49D3-8D68-5F3846153BB1}" xr6:coauthVersionLast="47" xr6:coauthVersionMax="47" xr10:uidLastSave="{00000000-0000-0000-0000-000000000000}"/>
  <bookViews>
    <workbookView xWindow="26265" yWindow="210" windowWidth="25635" windowHeight="20880" tabRatio="715" xr2:uid="{00000000-000D-0000-FFFF-FFFF00000000}"/>
  </bookViews>
  <sheets>
    <sheet name="Rate Design" sheetId="2" r:id="rId1"/>
    <sheet name="Forecast Balance" sheetId="5" r:id="rId2"/>
    <sheet name="Forecasted Revenue 2" sheetId="12" state="hidden" r:id="rId3"/>
    <sheet name="Forecasted Revenue" sheetId="6" r:id="rId4"/>
    <sheet name="kWh Forecast" sheetId="3" r:id="rId5"/>
    <sheet name="CF WA Elec" sheetId="9" r:id="rId6"/>
    <sheet name="Summary Info" sheetId="10" r:id="rId7"/>
  </sheets>
  <externalReferences>
    <externalReference r:id="rId8"/>
    <externalReference r:id="rId9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Balance'!$A$5:$AM$35</definedName>
    <definedName name="_xlnm.Print_Area" localSheetId="3">'Forecasted Revenue'!$A$1:$AG$47</definedName>
    <definedName name="_xlnm.Print_Area" localSheetId="2">'Forecasted Revenue 2'!$A$1:$AG$47</definedName>
    <definedName name="_xlnm.Print_Area" localSheetId="4">'kWh Forecast'!$A$1:$AP$57</definedName>
    <definedName name="_xlnm.Print_Area" localSheetId="0">'Rate Design'!$A$1:$J$45</definedName>
    <definedName name="_xlnm.Print_Titles" localSheetId="3">'Forecasted Revenue'!$A:$C</definedName>
    <definedName name="_xlnm.Print_Titles" localSheetId="2">'Forecasted Revenue 2'!$A:$C</definedName>
    <definedName name="_xlnm.Print_Titles" localSheetId="4">'kWh Forecast'!$A:$A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0" l="1"/>
  <c r="AJ9" i="5"/>
  <c r="AI9" i="5"/>
  <c r="AJ7" i="5"/>
  <c r="AI7" i="5"/>
  <c r="T9" i="5"/>
  <c r="U9" i="5"/>
  <c r="O9" i="5"/>
  <c r="E9" i="5"/>
  <c r="O8" i="5"/>
  <c r="J9" i="5"/>
  <c r="I9" i="5"/>
  <c r="D30" i="2"/>
  <c r="D24" i="2"/>
  <c r="C16" i="10"/>
  <c r="I9" i="10"/>
  <c r="I8" i="10"/>
  <c r="I7" i="10"/>
  <c r="I6" i="10"/>
  <c r="I5" i="10"/>
  <c r="I4" i="10"/>
  <c r="I3" i="10"/>
  <c r="D17" i="2"/>
  <c r="AA7" i="3" l="1"/>
  <c r="AB7" i="3"/>
  <c r="AC7" i="3"/>
  <c r="AD7" i="3"/>
  <c r="AE7" i="3"/>
  <c r="AF7" i="3"/>
  <c r="AG7" i="3"/>
  <c r="AH7" i="3"/>
  <c r="AI7" i="3"/>
  <c r="AJ7" i="3"/>
  <c r="AK7" i="3"/>
  <c r="AL7" i="3"/>
  <c r="AA8" i="3"/>
  <c r="AB8" i="3"/>
  <c r="AC8" i="3"/>
  <c r="AD8" i="3"/>
  <c r="AE8" i="3"/>
  <c r="AF8" i="3"/>
  <c r="AG8" i="3"/>
  <c r="AH8" i="3"/>
  <c r="AI8" i="3"/>
  <c r="AJ8" i="3"/>
  <c r="AK8" i="3"/>
  <c r="AL8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Z7" i="3"/>
  <c r="AP7" i="3" l="1"/>
  <c r="C33" i="10" l="1"/>
  <c r="C34" i="10" s="1"/>
  <c r="C32" i="10"/>
  <c r="D20" i="10"/>
  <c r="C22" i="10" l="1"/>
  <c r="B12" i="5" l="1"/>
  <c r="AG36" i="12" l="1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I33" i="12"/>
  <c r="I42" i="12" s="1"/>
  <c r="H33" i="12"/>
  <c r="H42" i="12" s="1"/>
  <c r="G33" i="12"/>
  <c r="G42" i="12" s="1"/>
  <c r="F33" i="12"/>
  <c r="F42" i="12" s="1"/>
  <c r="E33" i="12"/>
  <c r="E42" i="12" s="1"/>
  <c r="D33" i="12"/>
  <c r="D42" i="12" s="1"/>
  <c r="I32" i="12"/>
  <c r="I41" i="12" s="1"/>
  <c r="H32" i="12"/>
  <c r="H41" i="12" s="1"/>
  <c r="G32" i="12"/>
  <c r="G41" i="12" s="1"/>
  <c r="F32" i="12"/>
  <c r="F41" i="12" s="1"/>
  <c r="E32" i="12"/>
  <c r="E41" i="12" s="1"/>
  <c r="D32" i="12"/>
  <c r="D41" i="12" s="1"/>
  <c r="I31" i="12"/>
  <c r="I40" i="12" s="1"/>
  <c r="H31" i="12"/>
  <c r="H40" i="12" s="1"/>
  <c r="G31" i="12"/>
  <c r="G40" i="12" s="1"/>
  <c r="F31" i="12"/>
  <c r="F40" i="12" s="1"/>
  <c r="E31" i="12"/>
  <c r="E40" i="12" s="1"/>
  <c r="D31" i="12"/>
  <c r="D40" i="12" s="1"/>
  <c r="I30" i="12"/>
  <c r="I39" i="12" s="1"/>
  <c r="H30" i="12"/>
  <c r="H39" i="12" s="1"/>
  <c r="G30" i="12"/>
  <c r="G39" i="12" s="1"/>
  <c r="F30" i="12"/>
  <c r="F39" i="12" s="1"/>
  <c r="E30" i="12"/>
  <c r="E39" i="12" s="1"/>
  <c r="D30" i="12"/>
  <c r="D39" i="12" s="1"/>
  <c r="I29" i="12"/>
  <c r="I38" i="12" s="1"/>
  <c r="H29" i="12"/>
  <c r="H38" i="12" s="1"/>
  <c r="G29" i="12"/>
  <c r="G38" i="12" s="1"/>
  <c r="F29" i="12"/>
  <c r="F34" i="12" s="1"/>
  <c r="E29" i="12"/>
  <c r="E38" i="12" s="1"/>
  <c r="D29" i="12"/>
  <c r="D38" i="12" s="1"/>
  <c r="I28" i="12"/>
  <c r="I34" i="12" s="1"/>
  <c r="H28" i="12"/>
  <c r="H34" i="12" s="1"/>
  <c r="G28" i="12"/>
  <c r="G34" i="12" s="1"/>
  <c r="F28" i="12"/>
  <c r="F37" i="12" s="1"/>
  <c r="E28" i="12"/>
  <c r="E34" i="12" s="1"/>
  <c r="D28" i="12"/>
  <c r="D37" i="12" s="1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G16" i="12"/>
  <c r="D16" i="12"/>
  <c r="I15" i="12"/>
  <c r="I16" i="12" s="1"/>
  <c r="H15" i="12"/>
  <c r="H16" i="12" s="1"/>
  <c r="G15" i="12"/>
  <c r="F15" i="12"/>
  <c r="F16" i="12" s="1"/>
  <c r="E15" i="12"/>
  <c r="E16" i="12" s="1"/>
  <c r="D15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U13" i="12"/>
  <c r="T13" i="12"/>
  <c r="S13" i="12"/>
  <c r="R13" i="12"/>
  <c r="R15" i="12" s="1"/>
  <c r="Q13" i="12"/>
  <c r="P13" i="12"/>
  <c r="O13" i="12"/>
  <c r="N13" i="12"/>
  <c r="M13" i="12"/>
  <c r="L13" i="12"/>
  <c r="K13" i="12"/>
  <c r="J13" i="12"/>
  <c r="J15" i="12" s="1"/>
  <c r="J16" i="12" s="1"/>
  <c r="U12" i="12"/>
  <c r="T12" i="12"/>
  <c r="S12" i="12"/>
  <c r="R12" i="12"/>
  <c r="Q12" i="12"/>
  <c r="P12" i="12"/>
  <c r="O12" i="12"/>
  <c r="N12" i="12"/>
  <c r="M12" i="12"/>
  <c r="L12" i="12"/>
  <c r="K12" i="12"/>
  <c r="J12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U9" i="12"/>
  <c r="U15" i="12" s="1"/>
  <c r="T9" i="12"/>
  <c r="T15" i="12" s="1"/>
  <c r="S9" i="12"/>
  <c r="R9" i="12"/>
  <c r="Q9" i="12"/>
  <c r="Q15" i="12" s="1"/>
  <c r="P9" i="12"/>
  <c r="P15" i="12" s="1"/>
  <c r="O9" i="12"/>
  <c r="O15" i="12" s="1"/>
  <c r="N9" i="12"/>
  <c r="N15" i="12" s="1"/>
  <c r="M9" i="12"/>
  <c r="M15" i="12" s="1"/>
  <c r="L9" i="12"/>
  <c r="L15" i="12" s="1"/>
  <c r="L16" i="12" s="1"/>
  <c r="K9" i="12"/>
  <c r="J9" i="12"/>
  <c r="E17" i="2"/>
  <c r="F17" i="2"/>
  <c r="H17" i="2"/>
  <c r="I17" i="2"/>
  <c r="G16" i="2"/>
  <c r="G17" i="2" s="1"/>
  <c r="C8" i="5"/>
  <c r="D8" i="5" l="1"/>
  <c r="C16" i="2"/>
  <c r="D43" i="12"/>
  <c r="E37" i="12"/>
  <c r="E43" i="12" s="1"/>
  <c r="D34" i="12"/>
  <c r="S15" i="12"/>
  <c r="F38" i="12"/>
  <c r="G37" i="12"/>
  <c r="G43" i="12" s="1"/>
  <c r="K15" i="12"/>
  <c r="K16" i="12" s="1"/>
  <c r="H37" i="12"/>
  <c r="H43" i="12" s="1"/>
  <c r="I37" i="12"/>
  <c r="I43" i="12" s="1"/>
  <c r="E8" i="5" l="1"/>
  <c r="F43" i="12"/>
  <c r="F8" i="5" l="1"/>
  <c r="C18" i="5"/>
  <c r="Q20" i="5"/>
  <c r="P7" i="3"/>
  <c r="Q7" i="3"/>
  <c r="R7" i="3"/>
  <c r="S7" i="3"/>
  <c r="T7" i="3"/>
  <c r="U7" i="3"/>
  <c r="V7" i="3"/>
  <c r="W7" i="3"/>
  <c r="X7" i="3"/>
  <c r="Y7" i="3"/>
  <c r="P8" i="3"/>
  <c r="Q8" i="3"/>
  <c r="R8" i="3"/>
  <c r="S8" i="3"/>
  <c r="T8" i="3"/>
  <c r="U8" i="3"/>
  <c r="V8" i="3"/>
  <c r="W8" i="3"/>
  <c r="X8" i="3"/>
  <c r="Y8" i="3"/>
  <c r="Z8" i="3"/>
  <c r="P10" i="3"/>
  <c r="Q10" i="3"/>
  <c r="R10" i="3"/>
  <c r="S10" i="3"/>
  <c r="T10" i="3"/>
  <c r="U10" i="3"/>
  <c r="V10" i="3"/>
  <c r="W10" i="3"/>
  <c r="X10" i="3"/>
  <c r="Y10" i="3"/>
  <c r="Z10" i="3"/>
  <c r="P12" i="3"/>
  <c r="Q12" i="3"/>
  <c r="R12" i="3"/>
  <c r="S12" i="3"/>
  <c r="T12" i="3"/>
  <c r="U12" i="3"/>
  <c r="V12" i="3"/>
  <c r="W12" i="3"/>
  <c r="X12" i="3"/>
  <c r="Y12" i="3"/>
  <c r="Z12" i="3"/>
  <c r="P13" i="3"/>
  <c r="Q13" i="3"/>
  <c r="R13" i="3"/>
  <c r="S13" i="3"/>
  <c r="T13" i="3"/>
  <c r="U13" i="3"/>
  <c r="V13" i="3"/>
  <c r="W13" i="3"/>
  <c r="X13" i="3"/>
  <c r="Y13" i="3"/>
  <c r="Z13" i="3"/>
  <c r="P15" i="3"/>
  <c r="Q15" i="3"/>
  <c r="R15" i="3"/>
  <c r="S15" i="3"/>
  <c r="T15" i="3"/>
  <c r="U15" i="3"/>
  <c r="V15" i="3"/>
  <c r="W15" i="3"/>
  <c r="X15" i="3"/>
  <c r="Y15" i="3"/>
  <c r="Z15" i="3"/>
  <c r="O12" i="3"/>
  <c r="O15" i="3"/>
  <c r="O13" i="3"/>
  <c r="O10" i="3"/>
  <c r="O8" i="3"/>
  <c r="O7" i="3"/>
  <c r="G8" i="5" l="1"/>
  <c r="H8" i="5" l="1"/>
  <c r="G10" i="2" l="1"/>
  <c r="Q10" i="5" l="1"/>
  <c r="C21" i="10" l="1"/>
  <c r="C23" i="10" s="1"/>
  <c r="E15" i="6" l="1"/>
  <c r="H15" i="6"/>
  <c r="I15" i="6"/>
  <c r="F15" i="6"/>
  <c r="G15" i="6"/>
  <c r="D27" i="6"/>
  <c r="E27" i="6"/>
  <c r="F27" i="6"/>
  <c r="G27" i="6"/>
  <c r="H27" i="6"/>
  <c r="I27" i="6"/>
  <c r="D36" i="6"/>
  <c r="E36" i="6"/>
  <c r="F36" i="6"/>
  <c r="G36" i="6"/>
  <c r="H36" i="6"/>
  <c r="I36" i="6"/>
  <c r="D15" i="6" l="1"/>
  <c r="E3" i="10" l="1"/>
  <c r="D11" i="2" l="1"/>
  <c r="B25" i="5" l="1"/>
  <c r="D25" i="5" s="1"/>
  <c r="H9" i="5" s="1"/>
  <c r="C9" i="5" l="1"/>
  <c r="D9" i="5"/>
  <c r="C19" i="5"/>
  <c r="C22" i="5" s="1"/>
  <c r="F9" i="5"/>
  <c r="G9" i="5"/>
  <c r="AO20" i="3"/>
  <c r="AO19" i="3"/>
  <c r="AP35" i="3"/>
  <c r="AP36" i="3"/>
  <c r="AP37" i="3"/>
  <c r="AP38" i="3"/>
  <c r="AP39" i="3"/>
  <c r="AP40" i="3"/>
  <c r="AP41" i="3"/>
  <c r="AP42" i="3"/>
  <c r="AP34" i="3"/>
  <c r="AP45" i="3" s="1"/>
  <c r="AP8" i="3"/>
  <c r="AP9" i="3"/>
  <c r="AP10" i="3"/>
  <c r="AP11" i="3"/>
  <c r="AP12" i="3"/>
  <c r="AP13" i="3"/>
  <c r="AP14" i="3"/>
  <c r="AP15" i="3"/>
  <c r="D19" i="5" l="1"/>
  <c r="D22" i="5" s="1"/>
  <c r="D18" i="5"/>
  <c r="C12" i="5"/>
  <c r="D12" i="5" s="1"/>
  <c r="D28" i="6"/>
  <c r="E28" i="6"/>
  <c r="F28" i="6"/>
  <c r="G28" i="6"/>
  <c r="H28" i="6"/>
  <c r="I28" i="6"/>
  <c r="AP48" i="3"/>
  <c r="AP49" i="3"/>
  <c r="AP50" i="3"/>
  <c r="E18" i="5" l="1"/>
  <c r="E19" i="5"/>
  <c r="E22" i="5" s="1"/>
  <c r="AP46" i="3"/>
  <c r="AP47" i="3"/>
  <c r="AP43" i="3"/>
  <c r="AP17" i="3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R19" i="3"/>
  <c r="M9" i="6" s="1"/>
  <c r="S19" i="3"/>
  <c r="N9" i="6" s="1"/>
  <c r="T19" i="3"/>
  <c r="O9" i="6" s="1"/>
  <c r="U19" i="3"/>
  <c r="P9" i="6" s="1"/>
  <c r="V19" i="3"/>
  <c r="Q9" i="6" s="1"/>
  <c r="W19" i="3"/>
  <c r="R9" i="6" s="1"/>
  <c r="X19" i="3"/>
  <c r="S9" i="6" s="1"/>
  <c r="Y19" i="3"/>
  <c r="T9" i="6" s="1"/>
  <c r="Z19" i="3"/>
  <c r="U9" i="6" s="1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R20" i="3"/>
  <c r="M10" i="6" s="1"/>
  <c r="S20" i="3"/>
  <c r="N10" i="6" s="1"/>
  <c r="T20" i="3"/>
  <c r="O10" i="6" s="1"/>
  <c r="U20" i="3"/>
  <c r="P10" i="6" s="1"/>
  <c r="V20" i="3"/>
  <c r="Q10" i="6" s="1"/>
  <c r="W20" i="3"/>
  <c r="R10" i="6" s="1"/>
  <c r="X20" i="3"/>
  <c r="S10" i="6" s="1"/>
  <c r="Y20" i="3"/>
  <c r="T10" i="6" s="1"/>
  <c r="Z20" i="3"/>
  <c r="U10" i="6" s="1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R21" i="3"/>
  <c r="M11" i="6" s="1"/>
  <c r="S21" i="3"/>
  <c r="N11" i="6" s="1"/>
  <c r="T21" i="3"/>
  <c r="O11" i="6" s="1"/>
  <c r="U21" i="3"/>
  <c r="P11" i="6" s="1"/>
  <c r="V21" i="3"/>
  <c r="Q11" i="6" s="1"/>
  <c r="W21" i="3"/>
  <c r="R11" i="6" s="1"/>
  <c r="X21" i="3"/>
  <c r="S11" i="6" s="1"/>
  <c r="Y21" i="3"/>
  <c r="T11" i="6" s="1"/>
  <c r="Z21" i="3"/>
  <c r="U11" i="6" s="1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R22" i="3"/>
  <c r="M12" i="6" s="1"/>
  <c r="S22" i="3"/>
  <c r="N12" i="6" s="1"/>
  <c r="T22" i="3"/>
  <c r="O12" i="6" s="1"/>
  <c r="U22" i="3"/>
  <c r="P12" i="6" s="1"/>
  <c r="V22" i="3"/>
  <c r="Q12" i="6" s="1"/>
  <c r="W22" i="3"/>
  <c r="R12" i="6" s="1"/>
  <c r="X22" i="3"/>
  <c r="S12" i="6" s="1"/>
  <c r="Y22" i="3"/>
  <c r="T12" i="6" s="1"/>
  <c r="Z22" i="3"/>
  <c r="U12" i="6" s="1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R23" i="3"/>
  <c r="M13" i="6" s="1"/>
  <c r="S23" i="3"/>
  <c r="N13" i="6" s="1"/>
  <c r="T23" i="3"/>
  <c r="O13" i="6" s="1"/>
  <c r="U23" i="3"/>
  <c r="P13" i="6" s="1"/>
  <c r="V23" i="3"/>
  <c r="Q13" i="6" s="1"/>
  <c r="W23" i="3"/>
  <c r="R13" i="6" s="1"/>
  <c r="X23" i="3"/>
  <c r="S13" i="6" s="1"/>
  <c r="Y23" i="3"/>
  <c r="T13" i="6" s="1"/>
  <c r="Z23" i="3"/>
  <c r="U13" i="6" s="1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R24" i="3"/>
  <c r="M14" i="6" s="1"/>
  <c r="S24" i="3"/>
  <c r="N14" i="6" s="1"/>
  <c r="T24" i="3"/>
  <c r="O14" i="6" s="1"/>
  <c r="U24" i="3"/>
  <c r="P14" i="6" s="1"/>
  <c r="V24" i="3"/>
  <c r="Q14" i="6" s="1"/>
  <c r="W24" i="3"/>
  <c r="R14" i="6" s="1"/>
  <c r="X24" i="3"/>
  <c r="S14" i="6" s="1"/>
  <c r="Y24" i="3"/>
  <c r="T14" i="6" s="1"/>
  <c r="Z24" i="3"/>
  <c r="U14" i="6" s="1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O25" i="3" s="1"/>
  <c r="R25" i="3"/>
  <c r="V25" i="3"/>
  <c r="AJ25" i="3"/>
  <c r="S27" i="3"/>
  <c r="T27" i="3"/>
  <c r="W27" i="3"/>
  <c r="Y2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E33" i="3"/>
  <c r="AF33" i="3"/>
  <c r="AG33" i="3"/>
  <c r="AH33" i="3"/>
  <c r="AI33" i="3"/>
  <c r="AJ33" i="3"/>
  <c r="AK33" i="3"/>
  <c r="AL33" i="3"/>
  <c r="AM33" i="3"/>
  <c r="AN33" i="3"/>
  <c r="AO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A12" i="6" l="1"/>
  <c r="AA12" i="12"/>
  <c r="AA31" i="12" s="1"/>
  <c r="AA40" i="12" s="1"/>
  <c r="Z14" i="6"/>
  <c r="Z14" i="12"/>
  <c r="Z33" i="12" s="1"/>
  <c r="Z42" i="12" s="1"/>
  <c r="Z13" i="6"/>
  <c r="Z13" i="12"/>
  <c r="Z12" i="6"/>
  <c r="Z12" i="12"/>
  <c r="Z31" i="12" s="1"/>
  <c r="Z40" i="12" s="1"/>
  <c r="Z11" i="6"/>
  <c r="Z11" i="12"/>
  <c r="Z30" i="12" s="1"/>
  <c r="Z39" i="12" s="1"/>
  <c r="AG10" i="6"/>
  <c r="AG10" i="12"/>
  <c r="AG29" i="12" s="1"/>
  <c r="AG38" i="12" s="1"/>
  <c r="Y10" i="6"/>
  <c r="Y10" i="12"/>
  <c r="Y29" i="12" s="1"/>
  <c r="Y38" i="12" s="1"/>
  <c r="AF9" i="6"/>
  <c r="AF9" i="12"/>
  <c r="X9" i="6"/>
  <c r="X9" i="12"/>
  <c r="AA14" i="6"/>
  <c r="AA14" i="12"/>
  <c r="AA33" i="12" s="1"/>
  <c r="AA42" i="12" s="1"/>
  <c r="AA11" i="6"/>
  <c r="AA11" i="12"/>
  <c r="AA30" i="12" s="1"/>
  <c r="AA39" i="12" s="1"/>
  <c r="AG14" i="6"/>
  <c r="AG14" i="12"/>
  <c r="AG33" i="12" s="1"/>
  <c r="AG42" i="12" s="1"/>
  <c r="Y14" i="6"/>
  <c r="Y14" i="12"/>
  <c r="Y33" i="12" s="1"/>
  <c r="Y42" i="12" s="1"/>
  <c r="AG13" i="6"/>
  <c r="AG13" i="12"/>
  <c r="AG32" i="12" s="1"/>
  <c r="AG41" i="12" s="1"/>
  <c r="Y13" i="6"/>
  <c r="Y13" i="12"/>
  <c r="Y32" i="12" s="1"/>
  <c r="Y41" i="12" s="1"/>
  <c r="AG12" i="6"/>
  <c r="AG12" i="12"/>
  <c r="AG31" i="12" s="1"/>
  <c r="AG40" i="12" s="1"/>
  <c r="Y12" i="6"/>
  <c r="Y12" i="12"/>
  <c r="Y31" i="12" s="1"/>
  <c r="Y40" i="12" s="1"/>
  <c r="AG11" i="6"/>
  <c r="AG11" i="12"/>
  <c r="AG30" i="12" s="1"/>
  <c r="AG39" i="12" s="1"/>
  <c r="Y11" i="6"/>
  <c r="Y11" i="12"/>
  <c r="Y30" i="12" s="1"/>
  <c r="Y39" i="12" s="1"/>
  <c r="AF10" i="6"/>
  <c r="AF10" i="12"/>
  <c r="AF29" i="12" s="1"/>
  <c r="AF38" i="12" s="1"/>
  <c r="X10" i="6"/>
  <c r="X10" i="12"/>
  <c r="X29" i="12" s="1"/>
  <c r="X38" i="12" s="1"/>
  <c r="AE9" i="6"/>
  <c r="AE9" i="12"/>
  <c r="W9" i="6"/>
  <c r="W9" i="12"/>
  <c r="AF14" i="6"/>
  <c r="AF14" i="12"/>
  <c r="AF33" i="12" s="1"/>
  <c r="AF42" i="12" s="1"/>
  <c r="AF13" i="6"/>
  <c r="AF13" i="12"/>
  <c r="AF32" i="12" s="1"/>
  <c r="AF41" i="12" s="1"/>
  <c r="X12" i="6"/>
  <c r="X12" i="12"/>
  <c r="X31" i="12" s="1"/>
  <c r="X40" i="12" s="1"/>
  <c r="AF11" i="6"/>
  <c r="AF11" i="12"/>
  <c r="AF30" i="12" s="1"/>
  <c r="AF39" i="12" s="1"/>
  <c r="X11" i="6"/>
  <c r="X11" i="12"/>
  <c r="X30" i="12" s="1"/>
  <c r="X39" i="12" s="1"/>
  <c r="AE10" i="6"/>
  <c r="AE10" i="12"/>
  <c r="AE29" i="12" s="1"/>
  <c r="AE38" i="12" s="1"/>
  <c r="W10" i="6"/>
  <c r="W10" i="12"/>
  <c r="W29" i="12" s="1"/>
  <c r="W38" i="12" s="1"/>
  <c r="AD9" i="6"/>
  <c r="AD9" i="12"/>
  <c r="V9" i="6"/>
  <c r="V9" i="12"/>
  <c r="Y9" i="6"/>
  <c r="Y9" i="12"/>
  <c r="X14" i="6"/>
  <c r="X14" i="12"/>
  <c r="X33" i="12" s="1"/>
  <c r="X42" i="12" s="1"/>
  <c r="AC25" i="3"/>
  <c r="AE14" i="6"/>
  <c r="AE14" i="12"/>
  <c r="AE33" i="12" s="1"/>
  <c r="AE42" i="12" s="1"/>
  <c r="W14" i="6"/>
  <c r="W14" i="12"/>
  <c r="W33" i="12" s="1"/>
  <c r="W42" i="12" s="1"/>
  <c r="AE13" i="6"/>
  <c r="AE13" i="12"/>
  <c r="AE32" i="12" s="1"/>
  <c r="AE41" i="12" s="1"/>
  <c r="W13" i="6"/>
  <c r="W13" i="12"/>
  <c r="W32" i="12" s="1"/>
  <c r="W41" i="12" s="1"/>
  <c r="AE12" i="6"/>
  <c r="AE12" i="12"/>
  <c r="AE31" i="12" s="1"/>
  <c r="AE40" i="12" s="1"/>
  <c r="W12" i="6"/>
  <c r="W15" i="6" s="1"/>
  <c r="W12" i="12"/>
  <c r="W31" i="12" s="1"/>
  <c r="W40" i="12" s="1"/>
  <c r="AE11" i="6"/>
  <c r="AE11" i="12"/>
  <c r="AE30" i="12" s="1"/>
  <c r="AE39" i="12" s="1"/>
  <c r="W11" i="6"/>
  <c r="W11" i="12"/>
  <c r="W30" i="12" s="1"/>
  <c r="W39" i="12" s="1"/>
  <c r="AD10" i="6"/>
  <c r="AD10" i="12"/>
  <c r="AD29" i="12" s="1"/>
  <c r="AD38" i="12" s="1"/>
  <c r="V10" i="6"/>
  <c r="V15" i="6" s="1"/>
  <c r="V10" i="12"/>
  <c r="AC9" i="6"/>
  <c r="AC9" i="12"/>
  <c r="AA13" i="6"/>
  <c r="AA13" i="12"/>
  <c r="AA32" i="12" s="1"/>
  <c r="AA41" i="12" s="1"/>
  <c r="AG9" i="6"/>
  <c r="AG9" i="12"/>
  <c r="AD14" i="6"/>
  <c r="AD14" i="12"/>
  <c r="AD33" i="12" s="1"/>
  <c r="AD42" i="12" s="1"/>
  <c r="V14" i="6"/>
  <c r="V14" i="12"/>
  <c r="AD13" i="6"/>
  <c r="AD13" i="12"/>
  <c r="AD32" i="12" s="1"/>
  <c r="AD41" i="12" s="1"/>
  <c r="V13" i="6"/>
  <c r="V13" i="12"/>
  <c r="AD12" i="6"/>
  <c r="AD15" i="6" s="1"/>
  <c r="AD12" i="12"/>
  <c r="AD31" i="12" s="1"/>
  <c r="AD40" i="12" s="1"/>
  <c r="V12" i="6"/>
  <c r="V12" i="12"/>
  <c r="AD11" i="6"/>
  <c r="AD11" i="12"/>
  <c r="AD30" i="12" s="1"/>
  <c r="AD39" i="12" s="1"/>
  <c r="V11" i="6"/>
  <c r="V11" i="12"/>
  <c r="AC10" i="6"/>
  <c r="AC15" i="6" s="1"/>
  <c r="AC10" i="12"/>
  <c r="AC29" i="12" s="1"/>
  <c r="AC38" i="12" s="1"/>
  <c r="AB9" i="6"/>
  <c r="AB9" i="12"/>
  <c r="X13" i="6"/>
  <c r="X13" i="12"/>
  <c r="X32" i="12" s="1"/>
  <c r="X41" i="12" s="1"/>
  <c r="AC14" i="6"/>
  <c r="AC14" i="12"/>
  <c r="AC33" i="12" s="1"/>
  <c r="AC42" i="12" s="1"/>
  <c r="AC13" i="6"/>
  <c r="AC13" i="12"/>
  <c r="AC32" i="12" s="1"/>
  <c r="AC41" i="12" s="1"/>
  <c r="AC12" i="6"/>
  <c r="AC12" i="12"/>
  <c r="AC31" i="12" s="1"/>
  <c r="AC40" i="12" s="1"/>
  <c r="AC11" i="6"/>
  <c r="AC11" i="12"/>
  <c r="AC30" i="12" s="1"/>
  <c r="AC39" i="12" s="1"/>
  <c r="AB10" i="6"/>
  <c r="AB10" i="12"/>
  <c r="AB29" i="12" s="1"/>
  <c r="AB38" i="12" s="1"/>
  <c r="AA9" i="6"/>
  <c r="AA9" i="12"/>
  <c r="Z10" i="6"/>
  <c r="Z10" i="12"/>
  <c r="Z29" i="12" s="1"/>
  <c r="Z38" i="12" s="1"/>
  <c r="AF12" i="6"/>
  <c r="AF12" i="12"/>
  <c r="AF31" i="12" s="1"/>
  <c r="AF40" i="12" s="1"/>
  <c r="AB14" i="6"/>
  <c r="AB14" i="12"/>
  <c r="AB33" i="12" s="1"/>
  <c r="AB42" i="12" s="1"/>
  <c r="AB13" i="6"/>
  <c r="AB15" i="6" s="1"/>
  <c r="AB13" i="12"/>
  <c r="AB32" i="12" s="1"/>
  <c r="AB41" i="12" s="1"/>
  <c r="AB12" i="6"/>
  <c r="AB12" i="12"/>
  <c r="AB31" i="12" s="1"/>
  <c r="AB40" i="12" s="1"/>
  <c r="AB11" i="6"/>
  <c r="AB11" i="12"/>
  <c r="AB30" i="12" s="1"/>
  <c r="AB39" i="12" s="1"/>
  <c r="AA10" i="6"/>
  <c r="AA10" i="12"/>
  <c r="AA29" i="12" s="1"/>
  <c r="AA38" i="12" s="1"/>
  <c r="Z9" i="6"/>
  <c r="Z9" i="12"/>
  <c r="Z28" i="12" s="1"/>
  <c r="F18" i="5"/>
  <c r="F19" i="5"/>
  <c r="F22" i="5" s="1"/>
  <c r="E12" i="5"/>
  <c r="AO27" i="3"/>
  <c r="AM25" i="3"/>
  <c r="AN25" i="3"/>
  <c r="AK27" i="3"/>
  <c r="AB25" i="3"/>
  <c r="AE27" i="3"/>
  <c r="V27" i="3"/>
  <c r="AL25" i="3"/>
  <c r="AE25" i="3"/>
  <c r="Z25" i="3"/>
  <c r="T25" i="3"/>
  <c r="AH25" i="3"/>
  <c r="U25" i="3"/>
  <c r="AC27" i="3"/>
  <c r="U27" i="3"/>
  <c r="AK25" i="3"/>
  <c r="AD25" i="3"/>
  <c r="W25" i="3"/>
  <c r="S25" i="3"/>
  <c r="X27" i="3"/>
  <c r="Y25" i="3"/>
  <c r="X25" i="3"/>
  <c r="Z27" i="3"/>
  <c r="R27" i="3"/>
  <c r="AJ27" i="3"/>
  <c r="AB27" i="3"/>
  <c r="AG25" i="3"/>
  <c r="AI27" i="3"/>
  <c r="AA27" i="3"/>
  <c r="AF25" i="3"/>
  <c r="AH27" i="3"/>
  <c r="AG27" i="3"/>
  <c r="AF27" i="3"/>
  <c r="AL27" i="3"/>
  <c r="AD27" i="3"/>
  <c r="AI25" i="3"/>
  <c r="AA25" i="3"/>
  <c r="AN27" i="3"/>
  <c r="AM27" i="3"/>
  <c r="Y15" i="6"/>
  <c r="Q15" i="6"/>
  <c r="AG15" i="6"/>
  <c r="Z15" i="6"/>
  <c r="R15" i="6"/>
  <c r="N15" i="6"/>
  <c r="U15" i="6"/>
  <c r="M15" i="6"/>
  <c r="AE15" i="6"/>
  <c r="AA15" i="6"/>
  <c r="S15" i="6"/>
  <c r="O15" i="6"/>
  <c r="AP53" i="3"/>
  <c r="AP51" i="3"/>
  <c r="AF15" i="6"/>
  <c r="X15" i="6"/>
  <c r="T15" i="6"/>
  <c r="P15" i="6"/>
  <c r="V30" i="12" l="1"/>
  <c r="V39" i="12" s="1"/>
  <c r="AH11" i="12"/>
  <c r="V32" i="12"/>
  <c r="V41" i="12" s="1"/>
  <c r="AH13" i="12"/>
  <c r="AG15" i="12"/>
  <c r="AG28" i="12"/>
  <c r="AD15" i="12"/>
  <c r="AD28" i="12"/>
  <c r="W15" i="12"/>
  <c r="W28" i="12"/>
  <c r="Z15" i="12"/>
  <c r="Z32" i="12"/>
  <c r="Z41" i="12" s="1"/>
  <c r="V15" i="12"/>
  <c r="AH9" i="12"/>
  <c r="V28" i="12"/>
  <c r="AF15" i="12"/>
  <c r="AF28" i="12"/>
  <c r="AE15" i="12"/>
  <c r="AE28" i="12"/>
  <c r="AB15" i="12"/>
  <c r="AB28" i="12"/>
  <c r="V31" i="12"/>
  <c r="V40" i="12" s="1"/>
  <c r="AH12" i="12"/>
  <c r="V33" i="12"/>
  <c r="V42" i="12" s="1"/>
  <c r="AH14" i="12"/>
  <c r="AC15" i="12"/>
  <c r="AC28" i="12"/>
  <c r="Y15" i="12"/>
  <c r="Y28" i="12"/>
  <c r="X15" i="12"/>
  <c r="X28" i="12"/>
  <c r="Z37" i="12"/>
  <c r="Z43" i="12" s="1"/>
  <c r="AA28" i="12"/>
  <c r="AA15" i="12"/>
  <c r="V29" i="12"/>
  <c r="V38" i="12" s="1"/>
  <c r="AH10" i="12"/>
  <c r="AH15" i="12" s="1"/>
  <c r="G18" i="5"/>
  <c r="G19" i="5"/>
  <c r="G22" i="5" s="1"/>
  <c r="F12" i="5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G34" i="12" l="1"/>
  <c r="AG37" i="12"/>
  <c r="AG43" i="12" s="1"/>
  <c r="Y34" i="12"/>
  <c r="Y37" i="12"/>
  <c r="Y43" i="12" s="1"/>
  <c r="AC34" i="12"/>
  <c r="AC37" i="12"/>
  <c r="AC43" i="12" s="1"/>
  <c r="AE37" i="12"/>
  <c r="AE43" i="12" s="1"/>
  <c r="AE34" i="12"/>
  <c r="X34" i="12"/>
  <c r="X37" i="12"/>
  <c r="X43" i="12" s="1"/>
  <c r="V34" i="12"/>
  <c r="V37" i="12"/>
  <c r="V43" i="12" s="1"/>
  <c r="AB37" i="12"/>
  <c r="AB43" i="12" s="1"/>
  <c r="AB34" i="12"/>
  <c r="AA34" i="12"/>
  <c r="AA37" i="12"/>
  <c r="AA43" i="12" s="1"/>
  <c r="W34" i="12"/>
  <c r="W37" i="12"/>
  <c r="W43" i="12" s="1"/>
  <c r="AD34" i="12"/>
  <c r="AD37" i="12"/>
  <c r="AD43" i="12" s="1"/>
  <c r="Z34" i="12"/>
  <c r="AF37" i="12"/>
  <c r="AF43" i="12" s="1"/>
  <c r="AF34" i="12"/>
  <c r="H18" i="5"/>
  <c r="H19" i="5"/>
  <c r="H22" i="5" s="1"/>
  <c r="G12" i="5"/>
  <c r="B45" i="3"/>
  <c r="B46" i="3"/>
  <c r="B47" i="3"/>
  <c r="B48" i="3"/>
  <c r="B49" i="3"/>
  <c r="B50" i="3"/>
  <c r="H12" i="5" l="1"/>
  <c r="B51" i="3"/>
  <c r="B53" i="3"/>
  <c r="O43" i="3" l="1"/>
  <c r="K43" i="3"/>
  <c r="G43" i="3"/>
  <c r="F43" i="3"/>
  <c r="C43" i="3"/>
  <c r="D43" i="3"/>
  <c r="E43" i="3"/>
  <c r="H43" i="3"/>
  <c r="I43" i="3"/>
  <c r="J43" i="3"/>
  <c r="L43" i="3"/>
  <c r="M43" i="3"/>
  <c r="N43" i="3"/>
  <c r="P43" i="3"/>
  <c r="Q43" i="3"/>
  <c r="B43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B17" i="3"/>
  <c r="A1" i="9" l="1"/>
  <c r="E17" i="9" l="1"/>
  <c r="E19" i="9" s="1"/>
  <c r="B34" i="5" l="1"/>
  <c r="E21" i="9"/>
  <c r="E23" i="9"/>
  <c r="C36" i="6"/>
  <c r="G37" i="6" l="1"/>
  <c r="F37" i="6"/>
  <c r="D37" i="6"/>
  <c r="E37" i="6"/>
  <c r="H37" i="6"/>
  <c r="I37" i="6"/>
  <c r="B19" i="3"/>
  <c r="Q50" i="3" l="1"/>
  <c r="P50" i="3"/>
  <c r="O50" i="3"/>
  <c r="N50" i="3"/>
  <c r="M50" i="3"/>
  <c r="L50" i="3"/>
  <c r="K50" i="3"/>
  <c r="J50" i="3"/>
  <c r="I50" i="3"/>
  <c r="H50" i="3"/>
  <c r="G50" i="3"/>
  <c r="F50" i="3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Q24" i="3"/>
  <c r="L14" i="6" s="1"/>
  <c r="P24" i="3"/>
  <c r="K14" i="6" s="1"/>
  <c r="O24" i="3"/>
  <c r="J14" i="6" s="1"/>
  <c r="N24" i="3"/>
  <c r="M24" i="3"/>
  <c r="L24" i="3"/>
  <c r="K24" i="3"/>
  <c r="J24" i="3"/>
  <c r="I24" i="3"/>
  <c r="H24" i="3"/>
  <c r="G24" i="3"/>
  <c r="F24" i="3"/>
  <c r="Q23" i="3"/>
  <c r="L13" i="6" s="1"/>
  <c r="P23" i="3"/>
  <c r="K13" i="6" s="1"/>
  <c r="O23" i="3"/>
  <c r="J13" i="6" s="1"/>
  <c r="N23" i="3"/>
  <c r="M23" i="3"/>
  <c r="L23" i="3"/>
  <c r="K23" i="3"/>
  <c r="J23" i="3"/>
  <c r="I23" i="3"/>
  <c r="H23" i="3"/>
  <c r="G23" i="3"/>
  <c r="F23" i="3"/>
  <c r="Q22" i="3"/>
  <c r="L12" i="6" s="1"/>
  <c r="P22" i="3"/>
  <c r="K12" i="6" s="1"/>
  <c r="O22" i="3"/>
  <c r="J12" i="6" s="1"/>
  <c r="N22" i="3"/>
  <c r="M22" i="3"/>
  <c r="L22" i="3"/>
  <c r="K22" i="3"/>
  <c r="J22" i="3"/>
  <c r="I22" i="3"/>
  <c r="H22" i="3"/>
  <c r="G22" i="3"/>
  <c r="F22" i="3"/>
  <c r="Q21" i="3"/>
  <c r="L11" i="6" s="1"/>
  <c r="P21" i="3"/>
  <c r="K11" i="6" s="1"/>
  <c r="O21" i="3"/>
  <c r="J11" i="6" s="1"/>
  <c r="N21" i="3"/>
  <c r="M21" i="3"/>
  <c r="L21" i="3"/>
  <c r="K21" i="3"/>
  <c r="J21" i="3"/>
  <c r="I21" i="3"/>
  <c r="H21" i="3"/>
  <c r="G21" i="3"/>
  <c r="F21" i="3"/>
  <c r="Q20" i="3"/>
  <c r="L10" i="6" s="1"/>
  <c r="P20" i="3"/>
  <c r="K10" i="6" s="1"/>
  <c r="O20" i="3"/>
  <c r="J10" i="6" s="1"/>
  <c r="N20" i="3"/>
  <c r="M20" i="3"/>
  <c r="L20" i="3"/>
  <c r="K20" i="3"/>
  <c r="J20" i="3"/>
  <c r="I20" i="3"/>
  <c r="H20" i="3"/>
  <c r="G20" i="3"/>
  <c r="F20" i="3"/>
  <c r="Q19" i="3"/>
  <c r="L9" i="6" s="1"/>
  <c r="P19" i="3"/>
  <c r="O19" i="3"/>
  <c r="J9" i="6" s="1"/>
  <c r="N19" i="3"/>
  <c r="M19" i="3"/>
  <c r="L19" i="3"/>
  <c r="K19" i="3"/>
  <c r="J19" i="3"/>
  <c r="I19" i="3"/>
  <c r="H19" i="3"/>
  <c r="G19" i="3"/>
  <c r="F19" i="3"/>
  <c r="L36" i="6"/>
  <c r="K36" i="6"/>
  <c r="J36" i="6"/>
  <c r="L27" i="6"/>
  <c r="K27" i="6"/>
  <c r="J27" i="6"/>
  <c r="C29" i="2"/>
  <c r="A10" i="2"/>
  <c r="A11" i="2" s="1"/>
  <c r="A12" i="2" s="1"/>
  <c r="A13" i="2" s="1"/>
  <c r="AP19" i="3" l="1"/>
  <c r="AP23" i="3"/>
  <c r="AP21" i="3"/>
  <c r="N27" i="3"/>
  <c r="D12" i="2"/>
  <c r="AP20" i="3"/>
  <c r="AP22" i="3"/>
  <c r="J27" i="3"/>
  <c r="AP24" i="3"/>
  <c r="A20" i="2"/>
  <c r="A21" i="2" s="1"/>
  <c r="A22" i="2" s="1"/>
  <c r="A23" i="2" s="1"/>
  <c r="A24" i="2" s="1"/>
  <c r="A29" i="2" s="1"/>
  <c r="A30" i="2" s="1"/>
  <c r="AH13" i="6"/>
  <c r="AH14" i="6"/>
  <c r="F27" i="3"/>
  <c r="AH11" i="6"/>
  <c r="AH12" i="6"/>
  <c r="I51" i="3"/>
  <c r="M51" i="3"/>
  <c r="Q53" i="3"/>
  <c r="F53" i="3"/>
  <c r="J53" i="3"/>
  <c r="N53" i="3"/>
  <c r="G53" i="3"/>
  <c r="K53" i="3"/>
  <c r="O53" i="3"/>
  <c r="H51" i="3"/>
  <c r="L51" i="3"/>
  <c r="P51" i="3"/>
  <c r="J25" i="3"/>
  <c r="E16" i="6" s="1"/>
  <c r="AH10" i="6"/>
  <c r="Q51" i="3"/>
  <c r="F51" i="3"/>
  <c r="J51" i="3"/>
  <c r="N51" i="3"/>
  <c r="H53" i="3"/>
  <c r="L53" i="3"/>
  <c r="P53" i="3"/>
  <c r="G51" i="3"/>
  <c r="K51" i="3"/>
  <c r="O51" i="3"/>
  <c r="I53" i="3"/>
  <c r="M53" i="3"/>
  <c r="J15" i="6"/>
  <c r="G25" i="3"/>
  <c r="K25" i="3"/>
  <c r="F16" i="6" s="1"/>
  <c r="O25" i="3"/>
  <c r="F25" i="3"/>
  <c r="H25" i="3"/>
  <c r="L25" i="3"/>
  <c r="G16" i="6" s="1"/>
  <c r="P25" i="3"/>
  <c r="K9" i="6"/>
  <c r="AH9" i="6" s="1"/>
  <c r="H27" i="3"/>
  <c r="I27" i="3"/>
  <c r="M27" i="3"/>
  <c r="Q27" i="3"/>
  <c r="N25" i="3"/>
  <c r="I16" i="6" s="1"/>
  <c r="L27" i="3"/>
  <c r="P27" i="3"/>
  <c r="I25" i="3"/>
  <c r="D16" i="6" s="1"/>
  <c r="M25" i="3"/>
  <c r="H16" i="6" s="1"/>
  <c r="Q25" i="3"/>
  <c r="G27" i="3"/>
  <c r="K27" i="3"/>
  <c r="O27" i="3"/>
  <c r="L15" i="6"/>
  <c r="D18" i="2" l="1"/>
  <c r="D13" i="2"/>
  <c r="D19" i="2"/>
  <c r="AP27" i="3"/>
  <c r="L16" i="6"/>
  <c r="K15" i="6"/>
  <c r="K16" i="6" s="1"/>
  <c r="J16" i="6"/>
  <c r="D24" i="3"/>
  <c r="D20" i="3"/>
  <c r="C23" i="3"/>
  <c r="B24" i="3"/>
  <c r="C20" i="3"/>
  <c r="B23" i="3"/>
  <c r="C22" i="3"/>
  <c r="E24" i="3"/>
  <c r="E21" i="3"/>
  <c r="B22" i="3"/>
  <c r="D23" i="3"/>
  <c r="B20" i="3"/>
  <c r="E22" i="3"/>
  <c r="B21" i="3"/>
  <c r="D19" i="3"/>
  <c r="D21" i="3"/>
  <c r="C24" i="3"/>
  <c r="C21" i="3"/>
  <c r="D22" i="3"/>
  <c r="E23" i="3"/>
  <c r="E20" i="3"/>
  <c r="E19" i="3"/>
  <c r="C19" i="3"/>
  <c r="V19" i="6" l="1"/>
  <c r="AD19" i="6"/>
  <c r="W19" i="6"/>
  <c r="AE19" i="6"/>
  <c r="X19" i="6"/>
  <c r="AF19" i="6"/>
  <c r="Y19" i="6"/>
  <c r="AG19" i="6"/>
  <c r="Z19" i="6"/>
  <c r="AA19" i="6"/>
  <c r="AB19" i="6"/>
  <c r="AC19" i="6"/>
  <c r="D21" i="2"/>
  <c r="C17" i="10" s="1"/>
  <c r="K19" i="6"/>
  <c r="S19" i="6"/>
  <c r="L19" i="6"/>
  <c r="T19" i="6"/>
  <c r="O19" i="6"/>
  <c r="P19" i="6"/>
  <c r="M19" i="6"/>
  <c r="U19" i="6"/>
  <c r="N19" i="6"/>
  <c r="Q19" i="6"/>
  <c r="R19" i="6"/>
  <c r="J19" i="6"/>
  <c r="R19" i="12"/>
  <c r="R28" i="12" s="1"/>
  <c r="O19" i="12"/>
  <c r="O28" i="12" s="1"/>
  <c r="N19" i="12"/>
  <c r="N28" i="12" s="1"/>
  <c r="L19" i="12"/>
  <c r="L28" i="12" s="1"/>
  <c r="K19" i="12"/>
  <c r="K28" i="12" s="1"/>
  <c r="Q19" i="12"/>
  <c r="Q28" i="12" s="1"/>
  <c r="P19" i="12"/>
  <c r="P28" i="12" s="1"/>
  <c r="S19" i="12"/>
  <c r="S28" i="12" s="1"/>
  <c r="J19" i="12"/>
  <c r="J28" i="12" s="1"/>
  <c r="U19" i="12"/>
  <c r="U28" i="12" s="1"/>
  <c r="M19" i="12"/>
  <c r="M28" i="12" s="1"/>
  <c r="T19" i="12"/>
  <c r="T28" i="12" s="1"/>
  <c r="F12" i="2"/>
  <c r="F18" i="2" s="1"/>
  <c r="F19" i="2" s="1"/>
  <c r="E12" i="2"/>
  <c r="E18" i="2" s="1"/>
  <c r="I12" i="2"/>
  <c r="I18" i="2" s="1"/>
  <c r="I19" i="2" s="1"/>
  <c r="G12" i="2"/>
  <c r="G18" i="2" s="1"/>
  <c r="G19" i="2" s="1"/>
  <c r="H12" i="2"/>
  <c r="H18" i="2" s="1"/>
  <c r="H19" i="2" s="1"/>
  <c r="AH15" i="6"/>
  <c r="B27" i="3"/>
  <c r="E27" i="3"/>
  <c r="D27" i="3"/>
  <c r="B25" i="3"/>
  <c r="E25" i="3"/>
  <c r="C25" i="3"/>
  <c r="C27" i="3"/>
  <c r="D25" i="3"/>
  <c r="M37" i="12" l="1"/>
  <c r="N37" i="12"/>
  <c r="U37" i="12"/>
  <c r="O37" i="12"/>
  <c r="R22" i="12"/>
  <c r="R31" i="12" s="1"/>
  <c r="R40" i="12" s="1"/>
  <c r="M22" i="12"/>
  <c r="M31" i="12" s="1"/>
  <c r="M40" i="12" s="1"/>
  <c r="U22" i="12"/>
  <c r="U31" i="12" s="1"/>
  <c r="U40" i="12" s="1"/>
  <c r="K22" i="12"/>
  <c r="K31" i="12" s="1"/>
  <c r="K40" i="12" s="1"/>
  <c r="N22" i="12"/>
  <c r="N31" i="12" s="1"/>
  <c r="N40" i="12" s="1"/>
  <c r="Q22" i="12"/>
  <c r="Q31" i="12" s="1"/>
  <c r="Q40" i="12" s="1"/>
  <c r="O22" i="12"/>
  <c r="O31" i="12" s="1"/>
  <c r="O40" i="12" s="1"/>
  <c r="L22" i="12"/>
  <c r="L31" i="12" s="1"/>
  <c r="L40" i="12" s="1"/>
  <c r="S22" i="12"/>
  <c r="S31" i="12" s="1"/>
  <c r="S40" i="12" s="1"/>
  <c r="J22" i="12"/>
  <c r="J31" i="12" s="1"/>
  <c r="P22" i="12"/>
  <c r="P31" i="12" s="1"/>
  <c r="P40" i="12" s="1"/>
  <c r="T22" i="12"/>
  <c r="T31" i="12" s="1"/>
  <c r="T40" i="12" s="1"/>
  <c r="J37" i="12"/>
  <c r="AH28" i="12"/>
  <c r="R37" i="12"/>
  <c r="S37" i="12"/>
  <c r="E19" i="2"/>
  <c r="C18" i="2"/>
  <c r="P37" i="12"/>
  <c r="T23" i="12"/>
  <c r="T32" i="12" s="1"/>
  <c r="T41" i="12" s="1"/>
  <c r="M23" i="12"/>
  <c r="M32" i="12" s="1"/>
  <c r="M41" i="12" s="1"/>
  <c r="J23" i="12"/>
  <c r="J32" i="12" s="1"/>
  <c r="U23" i="12"/>
  <c r="U32" i="12" s="1"/>
  <c r="U41" i="12" s="1"/>
  <c r="L23" i="12"/>
  <c r="L32" i="12" s="1"/>
  <c r="L41" i="12" s="1"/>
  <c r="S23" i="12"/>
  <c r="S32" i="12" s="1"/>
  <c r="S41" i="12" s="1"/>
  <c r="Q23" i="12"/>
  <c r="Q32" i="12" s="1"/>
  <c r="Q41" i="12" s="1"/>
  <c r="O23" i="12"/>
  <c r="O32" i="12" s="1"/>
  <c r="O41" i="12" s="1"/>
  <c r="N23" i="12"/>
  <c r="N32" i="12" s="1"/>
  <c r="N41" i="12" s="1"/>
  <c r="K23" i="12"/>
  <c r="K32" i="12" s="1"/>
  <c r="K41" i="12" s="1"/>
  <c r="R23" i="12"/>
  <c r="R32" i="12" s="1"/>
  <c r="R41" i="12" s="1"/>
  <c r="P23" i="12"/>
  <c r="P32" i="12" s="1"/>
  <c r="P41" i="12" s="1"/>
  <c r="N21" i="12"/>
  <c r="N30" i="12" s="1"/>
  <c r="N39" i="12" s="1"/>
  <c r="K21" i="12"/>
  <c r="K30" i="12" s="1"/>
  <c r="K39" i="12" s="1"/>
  <c r="S21" i="12"/>
  <c r="S30" i="12" s="1"/>
  <c r="S39" i="12" s="1"/>
  <c r="R21" i="12"/>
  <c r="R30" i="12" s="1"/>
  <c r="R39" i="12" s="1"/>
  <c r="P21" i="12"/>
  <c r="P30" i="12" s="1"/>
  <c r="P39" i="12" s="1"/>
  <c r="J21" i="12"/>
  <c r="J30" i="12" s="1"/>
  <c r="Q21" i="12"/>
  <c r="Q30" i="12" s="1"/>
  <c r="Q39" i="12" s="1"/>
  <c r="T21" i="12"/>
  <c r="T30" i="12" s="1"/>
  <c r="T39" i="12" s="1"/>
  <c r="L21" i="12"/>
  <c r="L30" i="12" s="1"/>
  <c r="L39" i="12" s="1"/>
  <c r="O21" i="12"/>
  <c r="O30" i="12" s="1"/>
  <c r="O39" i="12" s="1"/>
  <c r="U21" i="12"/>
  <c r="U30" i="12" s="1"/>
  <c r="U39" i="12" s="1"/>
  <c r="M21" i="12"/>
  <c r="M30" i="12" s="1"/>
  <c r="M39" i="12" s="1"/>
  <c r="Q37" i="12"/>
  <c r="K37" i="12"/>
  <c r="U24" i="12"/>
  <c r="U33" i="12" s="1"/>
  <c r="U42" i="12" s="1"/>
  <c r="R24" i="12"/>
  <c r="R33" i="12" s="1"/>
  <c r="R42" i="12" s="1"/>
  <c r="J24" i="12"/>
  <c r="J33" i="12" s="1"/>
  <c r="T24" i="12"/>
  <c r="T33" i="12" s="1"/>
  <c r="T42" i="12" s="1"/>
  <c r="P24" i="12"/>
  <c r="P33" i="12" s="1"/>
  <c r="P42" i="12" s="1"/>
  <c r="N24" i="12"/>
  <c r="N33" i="12" s="1"/>
  <c r="N42" i="12" s="1"/>
  <c r="L24" i="12"/>
  <c r="L33" i="12" s="1"/>
  <c r="L42" i="12" s="1"/>
  <c r="Q24" i="12"/>
  <c r="Q33" i="12" s="1"/>
  <c r="Q42" i="12" s="1"/>
  <c r="O24" i="12"/>
  <c r="O33" i="12" s="1"/>
  <c r="O42" i="12" s="1"/>
  <c r="M24" i="12"/>
  <c r="M33" i="12" s="1"/>
  <c r="M42" i="12" s="1"/>
  <c r="K24" i="12"/>
  <c r="K33" i="12" s="1"/>
  <c r="K42" i="12" s="1"/>
  <c r="S24" i="12"/>
  <c r="S33" i="12" s="1"/>
  <c r="S42" i="12" s="1"/>
  <c r="T37" i="12"/>
  <c r="L37" i="12"/>
  <c r="C25" i="10"/>
  <c r="C12" i="2"/>
  <c r="AP25" i="3"/>
  <c r="P28" i="6"/>
  <c r="T28" i="6"/>
  <c r="X28" i="6"/>
  <c r="AB28" i="6"/>
  <c r="AF28" i="6"/>
  <c r="M28" i="6"/>
  <c r="Q28" i="6"/>
  <c r="U28" i="6"/>
  <c r="Y28" i="6"/>
  <c r="AC28" i="6"/>
  <c r="AG28" i="6"/>
  <c r="O28" i="6"/>
  <c r="W28" i="6"/>
  <c r="AE28" i="6"/>
  <c r="AA28" i="6"/>
  <c r="V28" i="6"/>
  <c r="R28" i="6"/>
  <c r="Z28" i="6"/>
  <c r="S28" i="6"/>
  <c r="N28" i="6"/>
  <c r="AD28" i="6"/>
  <c r="E11" i="2"/>
  <c r="F11" i="2"/>
  <c r="H11" i="2"/>
  <c r="G11" i="2"/>
  <c r="I11" i="2"/>
  <c r="E13" i="2" l="1"/>
  <c r="AH37" i="12"/>
  <c r="G13" i="2"/>
  <c r="I13" i="2"/>
  <c r="U20" i="12"/>
  <c r="U29" i="12" s="1"/>
  <c r="S20" i="12"/>
  <c r="S29" i="12" s="1"/>
  <c r="P20" i="12"/>
  <c r="P29" i="12" s="1"/>
  <c r="K20" i="12"/>
  <c r="K29" i="12" s="1"/>
  <c r="O20" i="12"/>
  <c r="O29" i="12" s="1"/>
  <c r="T20" i="12"/>
  <c r="T29" i="12" s="1"/>
  <c r="J20" i="12"/>
  <c r="J29" i="12" s="1"/>
  <c r="R20" i="12"/>
  <c r="R29" i="12" s="1"/>
  <c r="N20" i="12"/>
  <c r="N29" i="12" s="1"/>
  <c r="M20" i="12"/>
  <c r="M29" i="12" s="1"/>
  <c r="Q20" i="12"/>
  <c r="Q29" i="12" s="1"/>
  <c r="L20" i="12"/>
  <c r="L29" i="12" s="1"/>
  <c r="J39" i="12"/>
  <c r="AH39" i="12" s="1"/>
  <c r="AH30" i="12"/>
  <c r="J41" i="12"/>
  <c r="AH41" i="12" s="1"/>
  <c r="AH32" i="12"/>
  <c r="H13" i="2"/>
  <c r="J40" i="12"/>
  <c r="AH40" i="12" s="1"/>
  <c r="AH31" i="12"/>
  <c r="F13" i="2"/>
  <c r="J42" i="12"/>
  <c r="AH42" i="12" s="1"/>
  <c r="AH33" i="12"/>
  <c r="C27" i="10"/>
  <c r="G33" i="6"/>
  <c r="G42" i="6" s="1"/>
  <c r="H33" i="6"/>
  <c r="H42" i="6" s="1"/>
  <c r="I33" i="6"/>
  <c r="I42" i="6" s="1"/>
  <c r="F33" i="6"/>
  <c r="F42" i="6" s="1"/>
  <c r="D33" i="6"/>
  <c r="D42" i="6" s="1"/>
  <c r="E33" i="6"/>
  <c r="E42" i="6" s="1"/>
  <c r="N37" i="6"/>
  <c r="AE37" i="6"/>
  <c r="M37" i="6"/>
  <c r="R37" i="6"/>
  <c r="Y37" i="6"/>
  <c r="S37" i="6"/>
  <c r="V37" i="6"/>
  <c r="O37" i="6"/>
  <c r="U37" i="6"/>
  <c r="AF37" i="6"/>
  <c r="P37" i="6"/>
  <c r="Z37" i="6"/>
  <c r="AC37" i="6"/>
  <c r="X37" i="6"/>
  <c r="W37" i="6"/>
  <c r="T37" i="6"/>
  <c r="AD37" i="6"/>
  <c r="AA37" i="6"/>
  <c r="AG37" i="6"/>
  <c r="Q37" i="6"/>
  <c r="AB37" i="6"/>
  <c r="C10" i="2"/>
  <c r="V23" i="6" l="1"/>
  <c r="V32" i="6" s="1"/>
  <c r="V41" i="6" s="1"/>
  <c r="AD23" i="6"/>
  <c r="AC23" i="6"/>
  <c r="AC32" i="6" s="1"/>
  <c r="AC41" i="6" s="1"/>
  <c r="W23" i="6"/>
  <c r="W32" i="6" s="1"/>
  <c r="W41" i="6" s="1"/>
  <c r="AE23" i="6"/>
  <c r="AE32" i="6" s="1"/>
  <c r="AE41" i="6" s="1"/>
  <c r="X23" i="6"/>
  <c r="AF23" i="6"/>
  <c r="Y23" i="6"/>
  <c r="Y32" i="6" s="1"/>
  <c r="AG23" i="6"/>
  <c r="AG32" i="6" s="1"/>
  <c r="AG41" i="6" s="1"/>
  <c r="Z23" i="6"/>
  <c r="Z32" i="6" s="1"/>
  <c r="Z41" i="6" s="1"/>
  <c r="AA23" i="6"/>
  <c r="AA32" i="6" s="1"/>
  <c r="AA41" i="6" s="1"/>
  <c r="AB23" i="6"/>
  <c r="AB32" i="6" s="1"/>
  <c r="AB41" i="6" s="1"/>
  <c r="Z24" i="6"/>
  <c r="Z33" i="6" s="1"/>
  <c r="Z42" i="6" s="1"/>
  <c r="AA24" i="6"/>
  <c r="AA33" i="6" s="1"/>
  <c r="AA42" i="6" s="1"/>
  <c r="AB24" i="6"/>
  <c r="AB33" i="6" s="1"/>
  <c r="AB42" i="6" s="1"/>
  <c r="AC24" i="6"/>
  <c r="AC33" i="6" s="1"/>
  <c r="AC42" i="6" s="1"/>
  <c r="AG24" i="6"/>
  <c r="AG33" i="6" s="1"/>
  <c r="AG42" i="6" s="1"/>
  <c r="V24" i="6"/>
  <c r="V33" i="6" s="1"/>
  <c r="V42" i="6" s="1"/>
  <c r="AD24" i="6"/>
  <c r="AD33" i="6" s="1"/>
  <c r="AD42" i="6" s="1"/>
  <c r="Y24" i="6"/>
  <c r="Y33" i="6" s="1"/>
  <c r="Y42" i="6" s="1"/>
  <c r="W24" i="6"/>
  <c r="W33" i="6" s="1"/>
  <c r="W42" i="6" s="1"/>
  <c r="AE24" i="6"/>
  <c r="AE33" i="6" s="1"/>
  <c r="AE42" i="6" s="1"/>
  <c r="X24" i="6"/>
  <c r="X33" i="6" s="1"/>
  <c r="X42" i="6" s="1"/>
  <c r="AF24" i="6"/>
  <c r="AF33" i="6" s="1"/>
  <c r="AF42" i="6" s="1"/>
  <c r="V21" i="6"/>
  <c r="V30" i="6" s="1"/>
  <c r="V39" i="6" s="1"/>
  <c r="AD21" i="6"/>
  <c r="W21" i="6"/>
  <c r="W30" i="6" s="1"/>
  <c r="W39" i="6" s="1"/>
  <c r="AE21" i="6"/>
  <c r="AE30" i="6" s="1"/>
  <c r="AE39" i="6" s="1"/>
  <c r="X21" i="6"/>
  <c r="X30" i="6" s="1"/>
  <c r="X39" i="6" s="1"/>
  <c r="AF21" i="6"/>
  <c r="AF30" i="6" s="1"/>
  <c r="AF39" i="6" s="1"/>
  <c r="Y21" i="6"/>
  <c r="Y30" i="6" s="1"/>
  <c r="AG21" i="6"/>
  <c r="AG30" i="6" s="1"/>
  <c r="AG39" i="6" s="1"/>
  <c r="AC21" i="6"/>
  <c r="AC30" i="6" s="1"/>
  <c r="AC39" i="6" s="1"/>
  <c r="Z21" i="6"/>
  <c r="AA21" i="6"/>
  <c r="AA30" i="6" s="1"/>
  <c r="AA39" i="6" s="1"/>
  <c r="AB21" i="6"/>
  <c r="AB30" i="6" s="1"/>
  <c r="AB39" i="6" s="1"/>
  <c r="Z22" i="6"/>
  <c r="AA22" i="6"/>
  <c r="Y22" i="6"/>
  <c r="AB22" i="6"/>
  <c r="AB31" i="6" s="1"/>
  <c r="AB40" i="6" s="1"/>
  <c r="AG22" i="6"/>
  <c r="AG31" i="6" s="1"/>
  <c r="AG40" i="6" s="1"/>
  <c r="AC22" i="6"/>
  <c r="V22" i="6"/>
  <c r="V31" i="6" s="1"/>
  <c r="V40" i="6" s="1"/>
  <c r="AD22" i="6"/>
  <c r="AD31" i="6" s="1"/>
  <c r="AD40" i="6" s="1"/>
  <c r="W22" i="6"/>
  <c r="W31" i="6" s="1"/>
  <c r="W40" i="6" s="1"/>
  <c r="AE22" i="6"/>
  <c r="X22" i="6"/>
  <c r="X31" i="6" s="1"/>
  <c r="X40" i="6" s="1"/>
  <c r="AF22" i="6"/>
  <c r="AF31" i="6" s="1"/>
  <c r="AF40" i="6" s="1"/>
  <c r="E21" i="2"/>
  <c r="E23" i="2" s="1"/>
  <c r="E24" i="2" s="1"/>
  <c r="E30" i="2" s="1"/>
  <c r="Z20" i="6"/>
  <c r="Z29" i="6" s="1"/>
  <c r="AA20" i="6"/>
  <c r="AA29" i="6" s="1"/>
  <c r="AB20" i="6"/>
  <c r="AB29" i="6" s="1"/>
  <c r="AC20" i="6"/>
  <c r="V20" i="6"/>
  <c r="AD20" i="6"/>
  <c r="AG20" i="6"/>
  <c r="AG29" i="6" s="1"/>
  <c r="W20" i="6"/>
  <c r="AE20" i="6"/>
  <c r="AE29" i="6" s="1"/>
  <c r="Y20" i="6"/>
  <c r="Y29" i="6" s="1"/>
  <c r="X20" i="6"/>
  <c r="X29" i="6" s="1"/>
  <c r="AF20" i="6"/>
  <c r="AF29" i="6" s="1"/>
  <c r="M21" i="6"/>
  <c r="M30" i="6" s="1"/>
  <c r="U21" i="6"/>
  <c r="U30" i="6" s="1"/>
  <c r="U39" i="6" s="1"/>
  <c r="N21" i="6"/>
  <c r="N30" i="6" s="1"/>
  <c r="N39" i="6" s="1"/>
  <c r="O21" i="6"/>
  <c r="O30" i="6" s="1"/>
  <c r="O39" i="6" s="1"/>
  <c r="P21" i="6"/>
  <c r="P30" i="6" s="1"/>
  <c r="P39" i="6" s="1"/>
  <c r="Q21" i="6"/>
  <c r="Q30" i="6" s="1"/>
  <c r="Q39" i="6" s="1"/>
  <c r="J21" i="6"/>
  <c r="J30" i="6" s="1"/>
  <c r="J39" i="6" s="1"/>
  <c r="K21" i="6"/>
  <c r="K30" i="6" s="1"/>
  <c r="K39" i="6" s="1"/>
  <c r="S21" i="6"/>
  <c r="S30" i="6" s="1"/>
  <c r="S39" i="6" s="1"/>
  <c r="L21" i="6"/>
  <c r="L30" i="6" s="1"/>
  <c r="L39" i="6" s="1"/>
  <c r="T21" i="6"/>
  <c r="T30" i="6" s="1"/>
  <c r="T39" i="6" s="1"/>
  <c r="R21" i="6"/>
  <c r="R30" i="6" s="1"/>
  <c r="R39" i="6" s="1"/>
  <c r="F21" i="2"/>
  <c r="F23" i="2" s="1"/>
  <c r="F24" i="2" s="1"/>
  <c r="F30" i="2" s="1"/>
  <c r="M38" i="12"/>
  <c r="M43" i="12" s="1"/>
  <c r="L17" i="5" s="1"/>
  <c r="M34" i="12"/>
  <c r="S38" i="12"/>
  <c r="S43" i="12" s="1"/>
  <c r="R17" i="5" s="1"/>
  <c r="S34" i="12"/>
  <c r="R22" i="6"/>
  <c r="R31" i="6" s="1"/>
  <c r="R40" i="6" s="1"/>
  <c r="K22" i="6"/>
  <c r="K31" i="6" s="1"/>
  <c r="K40" i="6" s="1"/>
  <c r="S22" i="6"/>
  <c r="S31" i="6" s="1"/>
  <c r="S40" i="6" s="1"/>
  <c r="J22" i="6"/>
  <c r="J31" i="6" s="1"/>
  <c r="J40" i="6" s="1"/>
  <c r="L22" i="6"/>
  <c r="L31" i="6" s="1"/>
  <c r="L40" i="6" s="1"/>
  <c r="T22" i="6"/>
  <c r="T31" i="6" s="1"/>
  <c r="T40" i="6" s="1"/>
  <c r="M22" i="6"/>
  <c r="M31" i="6" s="1"/>
  <c r="U22" i="6"/>
  <c r="U31" i="6" s="1"/>
  <c r="U40" i="6" s="1"/>
  <c r="N22" i="6"/>
  <c r="N31" i="6" s="1"/>
  <c r="N40" i="6" s="1"/>
  <c r="O22" i="6"/>
  <c r="O31" i="6" s="1"/>
  <c r="O40" i="6" s="1"/>
  <c r="P22" i="6"/>
  <c r="P31" i="6" s="1"/>
  <c r="P40" i="6" s="1"/>
  <c r="Q22" i="6"/>
  <c r="Q31" i="6" s="1"/>
  <c r="Q40" i="6" s="1"/>
  <c r="G21" i="2"/>
  <c r="G23" i="2" s="1"/>
  <c r="G24" i="2" s="1"/>
  <c r="N38" i="12"/>
  <c r="N43" i="12" s="1"/>
  <c r="M17" i="5" s="1"/>
  <c r="N34" i="12"/>
  <c r="U38" i="12"/>
  <c r="U43" i="12" s="1"/>
  <c r="T17" i="5" s="1"/>
  <c r="U34" i="12"/>
  <c r="R38" i="12"/>
  <c r="R43" i="12" s="1"/>
  <c r="Q17" i="5" s="1"/>
  <c r="R34" i="12"/>
  <c r="J38" i="12"/>
  <c r="AH29" i="12"/>
  <c r="J34" i="12"/>
  <c r="T38" i="12"/>
  <c r="T43" i="12" s="1"/>
  <c r="S17" i="5" s="1"/>
  <c r="T34" i="12"/>
  <c r="P38" i="12"/>
  <c r="P43" i="12" s="1"/>
  <c r="O17" i="5" s="1"/>
  <c r="P34" i="12"/>
  <c r="O38" i="12"/>
  <c r="O43" i="12" s="1"/>
  <c r="N17" i="5" s="1"/>
  <c r="O34" i="12"/>
  <c r="L24" i="6"/>
  <c r="L33" i="6" s="1"/>
  <c r="L42" i="6" s="1"/>
  <c r="T24" i="6"/>
  <c r="T33" i="6" s="1"/>
  <c r="T42" i="6" s="1"/>
  <c r="M24" i="6"/>
  <c r="M33" i="6" s="1"/>
  <c r="M42" i="6" s="1"/>
  <c r="U24" i="6"/>
  <c r="U33" i="6" s="1"/>
  <c r="U42" i="6" s="1"/>
  <c r="Q24" i="6"/>
  <c r="Q33" i="6" s="1"/>
  <c r="Q42" i="6" s="1"/>
  <c r="N24" i="6"/>
  <c r="N33" i="6" s="1"/>
  <c r="N42" i="6" s="1"/>
  <c r="J24" i="6"/>
  <c r="J33" i="6" s="1"/>
  <c r="J42" i="6" s="1"/>
  <c r="O24" i="6"/>
  <c r="O33" i="6" s="1"/>
  <c r="O42" i="6" s="1"/>
  <c r="P24" i="6"/>
  <c r="P33" i="6" s="1"/>
  <c r="P42" i="6" s="1"/>
  <c r="R24" i="6"/>
  <c r="R33" i="6" s="1"/>
  <c r="R42" i="6" s="1"/>
  <c r="K24" i="6"/>
  <c r="K33" i="6" s="1"/>
  <c r="K42" i="6" s="1"/>
  <c r="S24" i="6"/>
  <c r="S33" i="6" s="1"/>
  <c r="S42" i="6" s="1"/>
  <c r="I21" i="2"/>
  <c r="I23" i="2" s="1"/>
  <c r="I24" i="2" s="1"/>
  <c r="I30" i="2" s="1"/>
  <c r="Q38" i="12"/>
  <c r="Q43" i="12" s="1"/>
  <c r="P17" i="5" s="1"/>
  <c r="Q34" i="12"/>
  <c r="O23" i="6"/>
  <c r="O32" i="6" s="1"/>
  <c r="O41" i="6" s="1"/>
  <c r="L23" i="6"/>
  <c r="L32" i="6" s="1"/>
  <c r="L41" i="6" s="1"/>
  <c r="P23" i="6"/>
  <c r="P32" i="6" s="1"/>
  <c r="P41" i="6" s="1"/>
  <c r="Q23" i="6"/>
  <c r="Q32" i="6" s="1"/>
  <c r="Q41" i="6" s="1"/>
  <c r="R23" i="6"/>
  <c r="R32" i="6" s="1"/>
  <c r="R41" i="6" s="1"/>
  <c r="J23" i="6"/>
  <c r="J32" i="6" s="1"/>
  <c r="J41" i="6" s="1"/>
  <c r="K23" i="6"/>
  <c r="K32" i="6" s="1"/>
  <c r="K41" i="6" s="1"/>
  <c r="S23" i="6"/>
  <c r="S32" i="6" s="1"/>
  <c r="S41" i="6" s="1"/>
  <c r="T23" i="6"/>
  <c r="T32" i="6" s="1"/>
  <c r="T41" i="6" s="1"/>
  <c r="M23" i="6"/>
  <c r="M32" i="6" s="1"/>
  <c r="U23" i="6"/>
  <c r="U32" i="6" s="1"/>
  <c r="U41" i="6" s="1"/>
  <c r="N23" i="6"/>
  <c r="N32" i="6" s="1"/>
  <c r="N41" i="6" s="1"/>
  <c r="H21" i="2"/>
  <c r="H23" i="2" s="1"/>
  <c r="H24" i="2" s="1"/>
  <c r="H30" i="2" s="1"/>
  <c r="L38" i="12"/>
  <c r="L43" i="12" s="1"/>
  <c r="K17" i="5" s="1"/>
  <c r="L34" i="12"/>
  <c r="K38" i="12"/>
  <c r="K43" i="12" s="1"/>
  <c r="J17" i="5" s="1"/>
  <c r="K34" i="12"/>
  <c r="P20" i="6"/>
  <c r="P29" i="6" s="1"/>
  <c r="Q20" i="6"/>
  <c r="Q29" i="6" s="1"/>
  <c r="R20" i="6"/>
  <c r="R29" i="6" s="1"/>
  <c r="K20" i="6"/>
  <c r="K29" i="6" s="1"/>
  <c r="K38" i="6" s="1"/>
  <c r="S20" i="6"/>
  <c r="S29" i="6" s="1"/>
  <c r="L20" i="6"/>
  <c r="L29" i="6" s="1"/>
  <c r="L38" i="6" s="1"/>
  <c r="T20" i="6"/>
  <c r="T29" i="6" s="1"/>
  <c r="M20" i="6"/>
  <c r="M29" i="6" s="1"/>
  <c r="U20" i="6"/>
  <c r="U29" i="6" s="1"/>
  <c r="N20" i="6"/>
  <c r="N29" i="6" s="1"/>
  <c r="J20" i="6"/>
  <c r="J29" i="6" s="1"/>
  <c r="J38" i="6" s="1"/>
  <c r="O20" i="6"/>
  <c r="O29" i="6" s="1"/>
  <c r="H32" i="6"/>
  <c r="H41" i="6" s="1"/>
  <c r="I32" i="6"/>
  <c r="I41" i="6" s="1"/>
  <c r="D32" i="6"/>
  <c r="D41" i="6" s="1"/>
  <c r="E32" i="6"/>
  <c r="E41" i="6" s="1"/>
  <c r="F32" i="6"/>
  <c r="F41" i="6" s="1"/>
  <c r="G32" i="6"/>
  <c r="G41" i="6" s="1"/>
  <c r="I31" i="6"/>
  <c r="I40" i="6" s="1"/>
  <c r="D31" i="6"/>
  <c r="D40" i="6" s="1"/>
  <c r="E31" i="6"/>
  <c r="E40" i="6" s="1"/>
  <c r="F31" i="6"/>
  <c r="F40" i="6" s="1"/>
  <c r="G31" i="6"/>
  <c r="G40" i="6" s="1"/>
  <c r="H31" i="6"/>
  <c r="H40" i="6" s="1"/>
  <c r="D29" i="6"/>
  <c r="E29" i="6"/>
  <c r="F29" i="6"/>
  <c r="G29" i="6"/>
  <c r="H29" i="6"/>
  <c r="I29" i="6"/>
  <c r="D30" i="6"/>
  <c r="D39" i="6" s="1"/>
  <c r="E30" i="6"/>
  <c r="E39" i="6" s="1"/>
  <c r="F30" i="6"/>
  <c r="F39" i="6" s="1"/>
  <c r="G30" i="6"/>
  <c r="G39" i="6" s="1"/>
  <c r="H30" i="6"/>
  <c r="H39" i="6" s="1"/>
  <c r="I30" i="6"/>
  <c r="I39" i="6" s="1"/>
  <c r="X32" i="6"/>
  <c r="X41" i="6" s="1"/>
  <c r="AF32" i="6"/>
  <c r="AF41" i="6" s="1"/>
  <c r="AD32" i="6"/>
  <c r="AD41" i="6" s="1"/>
  <c r="AD30" i="6"/>
  <c r="AD39" i="6" s="1"/>
  <c r="Z30" i="6"/>
  <c r="Z39" i="6" s="1"/>
  <c r="AC29" i="6"/>
  <c r="W29" i="6"/>
  <c r="AD29" i="6"/>
  <c r="V29" i="6"/>
  <c r="Y31" i="6"/>
  <c r="AC31" i="6"/>
  <c r="AC40" i="6" s="1"/>
  <c r="AE31" i="6"/>
  <c r="AE40" i="6" s="1"/>
  <c r="AA31" i="6"/>
  <c r="AA40" i="6" s="1"/>
  <c r="Z31" i="6"/>
  <c r="Z40" i="6" s="1"/>
  <c r="G30" i="2" l="1"/>
  <c r="AI17" i="5"/>
  <c r="AL17" i="5" s="1"/>
  <c r="AH34" i="12"/>
  <c r="AH38" i="12"/>
  <c r="AH43" i="12" s="1"/>
  <c r="J43" i="12"/>
  <c r="I17" i="5" s="1"/>
  <c r="AH33" i="6"/>
  <c r="G34" i="6"/>
  <c r="G38" i="6"/>
  <c r="G43" i="6" s="1"/>
  <c r="F34" i="6"/>
  <c r="F38" i="6"/>
  <c r="F43" i="6" s="1"/>
  <c r="H34" i="6"/>
  <c r="H38" i="6"/>
  <c r="H43" i="6" s="1"/>
  <c r="E34" i="6"/>
  <c r="E38" i="6"/>
  <c r="E43" i="6" s="1"/>
  <c r="D34" i="6"/>
  <c r="D38" i="6"/>
  <c r="D43" i="6" s="1"/>
  <c r="I34" i="6"/>
  <c r="I38" i="6"/>
  <c r="I43" i="6" s="1"/>
  <c r="AH29" i="6"/>
  <c r="AH32" i="6"/>
  <c r="AH42" i="6"/>
  <c r="AH30" i="6"/>
  <c r="AH31" i="6"/>
  <c r="Y40" i="6"/>
  <c r="Y39" i="6"/>
  <c r="Y41" i="6"/>
  <c r="M40" i="6"/>
  <c r="M39" i="6"/>
  <c r="M41" i="6"/>
  <c r="Z38" i="6"/>
  <c r="Z43" i="6" s="1"/>
  <c r="Y7" i="5" s="1"/>
  <c r="Z34" i="6"/>
  <c r="O38" i="6"/>
  <c r="O43" i="6" s="1"/>
  <c r="N7" i="5" s="1"/>
  <c r="O34" i="6"/>
  <c r="AF38" i="6"/>
  <c r="AF43" i="6" s="1"/>
  <c r="AE7" i="5" s="1"/>
  <c r="AF34" i="6"/>
  <c r="R38" i="6"/>
  <c r="R43" i="6" s="1"/>
  <c r="Q7" i="5" s="1"/>
  <c r="R34" i="6"/>
  <c r="AG38" i="6"/>
  <c r="AG43" i="6" s="1"/>
  <c r="AF7" i="5" s="1"/>
  <c r="AG34" i="6"/>
  <c r="AB38" i="6"/>
  <c r="AB43" i="6" s="1"/>
  <c r="AA7" i="5" s="1"/>
  <c r="AB34" i="6"/>
  <c r="AA38" i="6"/>
  <c r="AA43" i="6" s="1"/>
  <c r="Z7" i="5" s="1"/>
  <c r="AA34" i="6"/>
  <c r="AD38" i="6"/>
  <c r="AD43" i="6" s="1"/>
  <c r="AC7" i="5" s="1"/>
  <c r="AD34" i="6"/>
  <c r="AE38" i="6"/>
  <c r="AE43" i="6" s="1"/>
  <c r="AD7" i="5" s="1"/>
  <c r="AE34" i="6"/>
  <c r="AC38" i="6"/>
  <c r="AC43" i="6" s="1"/>
  <c r="AB7" i="5" s="1"/>
  <c r="AC34" i="6"/>
  <c r="M38" i="6"/>
  <c r="M34" i="6"/>
  <c r="X38" i="6"/>
  <c r="X43" i="6" s="1"/>
  <c r="W7" i="5" s="1"/>
  <c r="X34" i="6"/>
  <c r="U38" i="6"/>
  <c r="U43" i="6" s="1"/>
  <c r="T7" i="5" s="1"/>
  <c r="U34" i="6"/>
  <c r="P38" i="6"/>
  <c r="P43" i="6" s="1"/>
  <c r="O7" i="5" s="1"/>
  <c r="P34" i="6"/>
  <c r="V38" i="6"/>
  <c r="V43" i="6" s="1"/>
  <c r="U7" i="5" s="1"/>
  <c r="V34" i="6"/>
  <c r="S38" i="6"/>
  <c r="S43" i="6" s="1"/>
  <c r="R7" i="5" s="1"/>
  <c r="S34" i="6"/>
  <c r="Q38" i="6"/>
  <c r="Q43" i="6" s="1"/>
  <c r="P7" i="5" s="1"/>
  <c r="Q34" i="6"/>
  <c r="N38" i="6"/>
  <c r="N43" i="6" s="1"/>
  <c r="M7" i="5" s="1"/>
  <c r="N34" i="6"/>
  <c r="W38" i="6"/>
  <c r="W43" i="6" s="1"/>
  <c r="V7" i="5" s="1"/>
  <c r="W34" i="6"/>
  <c r="Y38" i="6"/>
  <c r="Y34" i="6"/>
  <c r="T38" i="6"/>
  <c r="T43" i="6" s="1"/>
  <c r="S7" i="5" s="1"/>
  <c r="T34" i="6"/>
  <c r="K28" i="6"/>
  <c r="J28" i="6"/>
  <c r="L28" i="6"/>
  <c r="D23" i="2"/>
  <c r="D4" i="10" l="1"/>
  <c r="C24" i="2"/>
  <c r="I18" i="5"/>
  <c r="I19" i="5"/>
  <c r="I22" i="5" s="1"/>
  <c r="AH40" i="6"/>
  <c r="AH41" i="6"/>
  <c r="AH28" i="6"/>
  <c r="AH38" i="6"/>
  <c r="AH39" i="6"/>
  <c r="Y43" i="6"/>
  <c r="X7" i="5" s="1"/>
  <c r="B30" i="5" s="1"/>
  <c r="C30" i="5" s="1"/>
  <c r="M43" i="6"/>
  <c r="L7" i="5" s="1"/>
  <c r="K37" i="6"/>
  <c r="K43" i="6" s="1"/>
  <c r="J7" i="5" s="1"/>
  <c r="K34" i="6"/>
  <c r="L37" i="6"/>
  <c r="L43" i="6" s="1"/>
  <c r="K7" i="5" s="1"/>
  <c r="L34" i="6"/>
  <c r="J37" i="6"/>
  <c r="J43" i="6" s="1"/>
  <c r="I7" i="5" s="1"/>
  <c r="J34" i="6"/>
  <c r="I12" i="5" l="1"/>
  <c r="B29" i="5"/>
  <c r="C36" i="10"/>
  <c r="C37" i="10" s="1"/>
  <c r="D5" i="10"/>
  <c r="J19" i="5"/>
  <c r="J22" i="5" s="1"/>
  <c r="J18" i="5"/>
  <c r="I8" i="5"/>
  <c r="E4" i="10"/>
  <c r="AH37" i="6"/>
  <c r="AH34" i="6"/>
  <c r="C29" i="5" l="1"/>
  <c r="C31" i="2" s="1"/>
  <c r="B32" i="5"/>
  <c r="K19" i="5"/>
  <c r="K22" i="5" s="1"/>
  <c r="K18" i="5"/>
  <c r="J8" i="5"/>
  <c r="K9" i="5" s="1"/>
  <c r="J12" i="5"/>
  <c r="D6" i="10"/>
  <c r="E5" i="10"/>
  <c r="C30" i="2"/>
  <c r="AH43" i="6"/>
  <c r="L18" i="5" l="1"/>
  <c r="L19" i="5"/>
  <c r="L22" i="5" s="1"/>
  <c r="K8" i="5"/>
  <c r="L9" i="5" s="1"/>
  <c r="E6" i="10"/>
  <c r="E49" i="3"/>
  <c r="D50" i="3"/>
  <c r="C50" i="3"/>
  <c r="D49" i="3"/>
  <c r="E50" i="3"/>
  <c r="C49" i="3"/>
  <c r="E31" i="2" l="1"/>
  <c r="F31" i="2"/>
  <c r="G31" i="2"/>
  <c r="G32" i="2" s="1"/>
  <c r="D31" i="2"/>
  <c r="D32" i="2" s="1"/>
  <c r="H31" i="2"/>
  <c r="I31" i="2"/>
  <c r="K12" i="5"/>
  <c r="B35" i="5"/>
  <c r="M18" i="5"/>
  <c r="M19" i="5"/>
  <c r="M22" i="5" s="1"/>
  <c r="E51" i="3"/>
  <c r="C32" i="5"/>
  <c r="AL7" i="5"/>
  <c r="D53" i="3"/>
  <c r="C53" i="3"/>
  <c r="C51" i="3"/>
  <c r="D51" i="3"/>
  <c r="E53" i="3"/>
  <c r="L8" i="5" l="1"/>
  <c r="M9" i="5" s="1"/>
  <c r="N18" i="5"/>
  <c r="N19" i="5"/>
  <c r="N22" i="5" s="1"/>
  <c r="C32" i="2"/>
  <c r="I19" i="10" s="1"/>
  <c r="H32" i="2"/>
  <c r="I17" i="10" s="1"/>
  <c r="J17" i="10"/>
  <c r="J18" i="10"/>
  <c r="I32" i="2"/>
  <c r="I18" i="10" s="1"/>
  <c r="J13" i="10"/>
  <c r="I13" i="10"/>
  <c r="F32" i="2"/>
  <c r="I15" i="10" s="1"/>
  <c r="J15" i="10"/>
  <c r="I16" i="10"/>
  <c r="J16" i="10"/>
  <c r="E32" i="2"/>
  <c r="I14" i="10" s="1"/>
  <c r="J14" i="10"/>
  <c r="L12" i="5"/>
  <c r="O18" i="5" l="1"/>
  <c r="O19" i="5"/>
  <c r="O22" i="5" s="1"/>
  <c r="M12" i="5"/>
  <c r="M8" i="5"/>
  <c r="N9" i="5" s="1"/>
  <c r="J19" i="10"/>
  <c r="N12" i="5" l="1"/>
  <c r="P18" i="5"/>
  <c r="P19" i="5"/>
  <c r="P22" i="5" s="1"/>
  <c r="N8" i="5"/>
  <c r="O12" i="5" l="1"/>
  <c r="P9" i="5"/>
  <c r="Q19" i="5"/>
  <c r="Q18" i="5"/>
  <c r="Q22" i="5" l="1"/>
  <c r="P8" i="5"/>
  <c r="Q9" i="5" s="1"/>
  <c r="P12" i="5"/>
  <c r="R19" i="5" l="1"/>
  <c r="R22" i="5" s="1"/>
  <c r="R18" i="5"/>
  <c r="Q8" i="5"/>
  <c r="Q12" i="5" l="1"/>
  <c r="R9" i="5"/>
  <c r="S19" i="5"/>
  <c r="S22" i="5" s="1"/>
  <c r="S18" i="5"/>
  <c r="T19" i="5" s="1"/>
  <c r="R12" i="5" l="1"/>
  <c r="R8" i="5"/>
  <c r="S9" i="5" s="1"/>
  <c r="T22" i="5"/>
  <c r="T18" i="5"/>
  <c r="S12" i="5" l="1"/>
  <c r="T8" i="5" s="1"/>
  <c r="S8" i="5"/>
  <c r="T12" i="5" l="1"/>
  <c r="U8" i="5" l="1"/>
  <c r="V9" i="5" s="1"/>
  <c r="U12" i="5"/>
  <c r="V8" i="5" l="1"/>
  <c r="W9" i="5" s="1"/>
  <c r="V12" i="5"/>
  <c r="W8" i="5" l="1"/>
  <c r="X9" i="5" s="1"/>
  <c r="W12" i="5"/>
  <c r="AI19" i="5"/>
  <c r="AL9" i="5"/>
  <c r="X8" i="5" l="1"/>
  <c r="Y9" i="5" s="1"/>
  <c r="X12" i="5"/>
  <c r="AL19" i="5"/>
  <c r="AI22" i="5"/>
  <c r="AJ22" i="5" s="1"/>
  <c r="Y8" i="5" l="1"/>
  <c r="Z9" i="5" s="1"/>
  <c r="Y12" i="5"/>
  <c r="Z8" i="5" l="1"/>
  <c r="Z12" i="5"/>
  <c r="AA9" i="5" s="1"/>
  <c r="AA8" i="5" l="1"/>
  <c r="AB9" i="5" s="1"/>
  <c r="AA12" i="5"/>
  <c r="AB8" i="5" l="1"/>
  <c r="AC9" i="5" s="1"/>
  <c r="AB12" i="5"/>
  <c r="AC8" i="5" l="1"/>
  <c r="AD9" i="5" s="1"/>
  <c r="AC12" i="5"/>
  <c r="AD8" i="5" l="1"/>
  <c r="AE9" i="5" s="1"/>
  <c r="AD12" i="5"/>
  <c r="AE8" i="5" l="1"/>
  <c r="AF9" i="5" s="1"/>
  <c r="AE12" i="5"/>
  <c r="AF8" i="5" l="1"/>
  <c r="AF12" i="5"/>
</calcChain>
</file>

<file path=xl/sharedStrings.xml><?xml version="1.0" encoding="utf-8"?>
<sst xmlns="http://schemas.openxmlformats.org/spreadsheetml/2006/main" count="343" uniqueCount="177">
  <si>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</si>
  <si>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</si>
  <si>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</si>
  <si>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</si>
  <si>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</si>
  <si>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</si>
  <si>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</si>
  <si>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</si>
  <si>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</si>
  <si>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</si>
  <si>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</si>
  <si>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</si>
  <si>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</si>
  <si>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</si>
  <si>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</si>
  <si>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</si>
  <si>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</si>
  <si>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</si>
  <si>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</si>
  <si>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</si>
  <si>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</si>
  <si>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</si>
  <si>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</si>
  <si>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</si>
  <si>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</si>
  <si>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</si>
  <si>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</si>
  <si>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</si>
  <si>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</si>
  <si>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</si>
  <si>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</si>
  <si>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</si>
  <si>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</si>
  <si>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</si>
  <si>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</si>
  <si>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</si>
  <si>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</si>
  <si>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</si>
  <si>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</si>
  <si>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</si>
  <si>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</si>
  <si>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</si>
  <si>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</si>
  <si>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</si>
  <si>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</si>
  <si>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</si>
  <si>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</si>
  <si>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</si>
  <si>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</si>
  <si>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</si>
  <si>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</si>
  <si>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</si>
  <si>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</si>
  <si>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</si>
  <si>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</si>
  <si>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</si>
  <si>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</si>
  <si>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</si>
  <si>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</si>
  <si>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</si>
  <si>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</si>
  <si>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</si>
  <si>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</si>
  <si>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</si>
  <si>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</si>
  <si>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</si>
  <si>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</si>
  <si>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</si>
  <si>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</si>
  <si>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</si>
  <si>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</si>
  <si>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</si>
  <si>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</si>
  <si>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</si>
  <si>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</si>
  <si>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</si>
  <si>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</si>
  <si>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</si>
  <si>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</si>
  <si>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</si>
  <si>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</si>
  <si>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</si>
  <si>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</si>
  <si>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</si>
  <si>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</si>
  <si>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</si>
  <si>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</si>
  <si>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</si>
  <si>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</si>
  <si>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</si>
  <si>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</si>
  <si>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</si>
  <si>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</si>
  <si>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</si>
  <si>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</si>
  <si>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</si>
  <si>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</si>
  <si>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</si>
  <si>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</si>
  <si>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</si>
  <si>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</si>
  <si>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</si>
  <si>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</si>
  <si>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</si>
  <si>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</si>
  <si>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</si>
  <si>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</si>
  <si>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</si>
  <si>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</si>
  <si>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</si>
  <si>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</si>
  <si>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</si>
  <si>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</si>
  <si>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</si>
  <si>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</si>
  <si>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</si>
  <si>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</si>
  <si>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</si>
  <si>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</si>
  <si>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</si>
  <si>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</si>
  <si>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</si>
  <si>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Line</t>
  </si>
  <si>
    <t>No.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</si>
  <si>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</si>
  <si>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</si>
  <si>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</si>
  <si>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</si>
  <si>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</si>
  <si>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25</t>
  </si>
  <si>
    <t>ERM Only</t>
  </si>
  <si>
    <t>ERM</t>
  </si>
  <si>
    <t>Present Annual Billed Revenue</t>
  </si>
  <si>
    <t>Revenue</t>
  </si>
  <si>
    <t xml:space="preserve">Schedule 93 </t>
  </si>
  <si>
    <t>TWELVE MONTHS ENDED SEPTEMBER 30, 2021</t>
  </si>
  <si>
    <t>Approved in UE-220053</t>
  </si>
  <si>
    <t>UE-220053 Cost of Service Study</t>
  </si>
  <si>
    <t>Amortization</t>
  </si>
  <si>
    <t>Other ERM Adjustments</t>
  </si>
  <si>
    <t>Actual Cost of Debt as of 12.31.2022</t>
  </si>
  <si>
    <t>WA_1</t>
  </si>
  <si>
    <t>WA_2</t>
  </si>
  <si>
    <t>WA_11</t>
  </si>
  <si>
    <t>WA_12</t>
  </si>
  <si>
    <t>WA_13</t>
  </si>
  <si>
    <t>WA_21</t>
  </si>
  <si>
    <t>WA_22</t>
  </si>
  <si>
    <t>WA_23</t>
  </si>
  <si>
    <t>WA_25</t>
  </si>
  <si>
    <t>WA_31</t>
  </si>
  <si>
    <t>WA_32</t>
  </si>
  <si>
    <t>WA_4X</t>
  </si>
  <si>
    <t>WA_25P</t>
  </si>
  <si>
    <t>Annual Load</t>
  </si>
  <si>
    <t xml:space="preserve">Surcharge Amount </t>
  </si>
  <si>
    <t xml:space="preserve">Rebate Amount </t>
  </si>
  <si>
    <t xml:space="preserve">ERM Allocation </t>
  </si>
  <si>
    <t>Annual Surcharge</t>
  </si>
  <si>
    <t xml:space="preserve">Total Billed Percentage Change </t>
  </si>
  <si>
    <t>SCHEDULE 25/Sp Ct</t>
  </si>
  <si>
    <t>Proposed Change</t>
  </si>
  <si>
    <t xml:space="preserve">Change in Billed Revenue </t>
  </si>
  <si>
    <t>Change % Billed Revenue (1-Year)</t>
  </si>
  <si>
    <t>Change $ Billed Revenue (1-Year)</t>
  </si>
  <si>
    <t>Residential Bill Impact (932 kWh's)</t>
  </si>
  <si>
    <t>Bill at 932 kWhs</t>
  </si>
  <si>
    <t>Plus Bill Impact</t>
  </si>
  <si>
    <t>25/Sp Ct</t>
  </si>
  <si>
    <t>Current Billing Rate</t>
  </si>
  <si>
    <t>Proposed Billing Rate</t>
  </si>
  <si>
    <t xml:space="preserve">Electric Service         </t>
  </si>
  <si>
    <t>Load - Yr 2</t>
  </si>
  <si>
    <t>Yr1</t>
  </si>
  <si>
    <t>Yr2</t>
  </si>
  <si>
    <t>July 1, 2023 through June 30, 2025 Forecasted Loads (input)</t>
  </si>
  <si>
    <t>Amortization Period: July 2023 -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</si>
</sst>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0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0" fontId="6" fillId="0" borderId="0" xfId="0" applyFont="1" applyFill="1" applyBorder="1"/>
    <xf numFmtId="0" fontId="6" fillId="0" borderId="6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9" xfId="4" applyFont="1" applyFill="1" applyBorder="1" applyAlignment="1">
      <alignment horizontal="center"/>
    </xf>
    <xf numFmtId="0" fontId="6" fillId="0" borderId="12" xfId="4" applyFont="1" applyFill="1" applyBorder="1" applyAlignment="1">
      <alignment horizontal="center" wrapText="1"/>
    </xf>
    <xf numFmtId="0" fontId="6" fillId="0" borderId="13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10" fontId="6" fillId="0" borderId="6" xfId="0" applyNumberFormat="1" applyFont="1" applyFill="1" applyBorder="1"/>
    <xf numFmtId="164" fontId="8" fillId="0" borderId="15" xfId="2" applyNumberFormat="1" applyFont="1" applyFill="1" applyBorder="1"/>
    <xf numFmtId="37" fontId="6" fillId="0" borderId="6" xfId="5" applyNumberFormat="1" applyFont="1" applyFill="1" applyBorder="1"/>
    <xf numFmtId="0" fontId="6" fillId="0" borderId="6" xfId="0" applyFont="1" applyFill="1" applyBorder="1"/>
    <xf numFmtId="0" fontId="6" fillId="0" borderId="0" xfId="0" applyFont="1" applyFill="1"/>
    <xf numFmtId="165" fontId="6" fillId="0" borderId="6" xfId="0" applyNumberFormat="1" applyFont="1" applyFill="1" applyBorder="1"/>
    <xf numFmtId="164" fontId="6" fillId="0" borderId="10" xfId="0" applyNumberFormat="1" applyFont="1" applyFill="1" applyBorder="1"/>
    <xf numFmtId="164" fontId="6" fillId="0" borderId="9" xfId="0" applyNumberFormat="1" applyFont="1" applyFill="1" applyBorder="1"/>
    <xf numFmtId="44" fontId="2" fillId="0" borderId="0" xfId="2" applyFont="1"/>
    <xf numFmtId="49" fontId="5" fillId="0" borderId="0" xfId="0" applyNumberFormat="1" applyFont="1" applyBorder="1" applyAlignment="1">
      <alignment horizontal="center"/>
    </xf>
    <xf numFmtId="37" fontId="2" fillId="0" borderId="0" xfId="0" applyNumberFormat="1" applyFont="1"/>
    <xf numFmtId="0" fontId="8" fillId="0" borderId="0" xfId="0" applyFont="1"/>
    <xf numFmtId="17" fontId="2" fillId="0" borderId="0" xfId="0" applyNumberFormat="1" applyFont="1" applyAlignment="1">
      <alignment horizontal="center"/>
    </xf>
    <xf numFmtId="166" fontId="2" fillId="0" borderId="0" xfId="0" applyNumberFormat="1" applyFont="1" applyFill="1"/>
    <xf numFmtId="166" fontId="2" fillId="0" borderId="2" xfId="0" applyNumberFormat="1" applyFont="1" applyBorder="1"/>
    <xf numFmtId="166" fontId="2" fillId="0" borderId="0" xfId="0" applyNumberFormat="1" applyFont="1"/>
    <xf numFmtId="170" fontId="2" fillId="0" borderId="0" xfId="0" applyNumberFormat="1" applyFont="1"/>
    <xf numFmtId="10" fontId="2" fillId="0" borderId="0" xfId="0" applyNumberFormat="1" applyFont="1"/>
    <xf numFmtId="164" fontId="2" fillId="0" borderId="0" xfId="2" applyNumberFormat="1" applyFont="1"/>
    <xf numFmtId="164" fontId="2" fillId="0" borderId="0" xfId="0" applyNumberFormat="1" applyFont="1"/>
    <xf numFmtId="164" fontId="2" fillId="0" borderId="8" xfId="2" applyNumberFormat="1" applyFont="1" applyBorder="1"/>
    <xf numFmtId="0" fontId="2" fillId="0" borderId="0" xfId="0" applyFont="1" applyFill="1"/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/>
    <xf numFmtId="164" fontId="6" fillId="0" borderId="6" xfId="2" applyNumberFormat="1" applyFont="1" applyFill="1" applyBorder="1"/>
    <xf numFmtId="164" fontId="12" fillId="0" borderId="0" xfId="2" applyNumberFormat="1" applyFont="1" applyFill="1"/>
    <xf numFmtId="164" fontId="12" fillId="0" borderId="0" xfId="0" applyNumberFormat="1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0" fontId="1" fillId="0" borderId="0" xfId="0" applyFont="1"/>
    <xf numFmtId="167" fontId="9" fillId="0" borderId="0" xfId="0" applyNumberFormat="1" applyFont="1" applyAlignment="1">
      <alignment readingOrder="1"/>
    </xf>
    <xf numFmtId="0" fontId="6" fillId="0" borderId="0" xfId="0" applyFont="1" applyAlignment="1">
      <alignment horizontal="left" indent="1" readingOrder="1"/>
    </xf>
    <xf numFmtId="0" fontId="6" fillId="0" borderId="0" xfId="0" applyFont="1" applyFill="1" applyAlignment="1">
      <alignment horizontal="left" indent="1" readingOrder="1"/>
    </xf>
    <xf numFmtId="0" fontId="6" fillId="0" borderId="0" xfId="0" applyFont="1" applyBorder="1" applyAlignment="1">
      <alignment horizontal="left" indent="1" readingOrder="1"/>
    </xf>
    <xf numFmtId="0" fontId="6" fillId="0" borderId="0" xfId="0" applyFont="1" applyFill="1" applyBorder="1" applyAlignment="1">
      <alignment horizontal="left" indent="1" readingOrder="1"/>
    </xf>
    <xf numFmtId="0" fontId="6" fillId="0" borderId="0" xfId="0" applyFont="1"/>
    <xf numFmtId="166" fontId="1" fillId="0" borderId="0" xfId="0" applyNumberFormat="1" applyFont="1"/>
    <xf numFmtId="166" fontId="6" fillId="0" borderId="0" xfId="0" applyNumberFormat="1" applyFont="1"/>
    <xf numFmtId="168" fontId="9" fillId="0" borderId="0" xfId="5" applyNumberFormat="1" applyFont="1"/>
    <xf numFmtId="14" fontId="9" fillId="0" borderId="0" xfId="5" applyNumberFormat="1" applyFont="1"/>
    <xf numFmtId="0" fontId="9" fillId="0" borderId="0" xfId="5" applyFont="1"/>
    <xf numFmtId="168" fontId="9" fillId="0" borderId="0" xfId="5" applyNumberFormat="1" applyFont="1" applyAlignment="1">
      <alignment horizontal="right"/>
    </xf>
    <xf numFmtId="168" fontId="6" fillId="0" borderId="0" xfId="5" applyNumberFormat="1" applyFont="1"/>
    <xf numFmtId="0" fontId="6" fillId="0" borderId="0" xfId="5" applyFont="1"/>
    <xf numFmtId="168" fontId="6" fillId="0" borderId="13" xfId="5" applyNumberFormat="1" applyFont="1" applyBorder="1"/>
    <xf numFmtId="0" fontId="15" fillId="0" borderId="0" xfId="5" applyFont="1"/>
    <xf numFmtId="4" fontId="16" fillId="0" borderId="0" xfId="5" applyNumberFormat="1" applyFont="1" applyAlignment="1">
      <alignment horizontal="left"/>
    </xf>
    <xf numFmtId="44" fontId="6" fillId="0" borderId="0" xfId="2" applyFont="1"/>
    <xf numFmtId="165" fontId="2" fillId="0" borderId="0" xfId="2" applyNumberFormat="1" applyFont="1"/>
    <xf numFmtId="165" fontId="6" fillId="0" borderId="0" xfId="2" applyNumberFormat="1" applyFont="1"/>
    <xf numFmtId="0" fontId="11" fillId="0" borderId="0" xfId="0" applyFont="1"/>
    <xf numFmtId="0" fontId="11" fillId="0" borderId="0" xfId="5" applyFont="1"/>
    <xf numFmtId="0" fontId="17" fillId="0" borderId="0" xfId="0" applyFont="1"/>
    <xf numFmtId="0" fontId="17" fillId="0" borderId="0" xfId="5" applyFont="1"/>
    <xf numFmtId="166" fontId="10" fillId="0" borderId="0" xfId="1" applyNumberFormat="1" applyFont="1" applyFill="1" applyAlignment="1">
      <alignment readingOrder="1"/>
    </xf>
    <xf numFmtId="166" fontId="10" fillId="0" borderId="0" xfId="1" applyNumberFormat="1" applyFont="1" applyFill="1"/>
    <xf numFmtId="3" fontId="10" fillId="0" borderId="0" xfId="4" applyNumberFormat="1" applyFont="1" applyFill="1"/>
    <xf numFmtId="165" fontId="9" fillId="0" borderId="14" xfId="2" applyNumberFormat="1" applyFont="1" applyFill="1" applyBorder="1"/>
    <xf numFmtId="165" fontId="10" fillId="0" borderId="6" xfId="0" applyNumberFormat="1" applyFont="1" applyFill="1" applyBorder="1"/>
    <xf numFmtId="0" fontId="2" fillId="0" borderId="0" xfId="0" applyFont="1" applyAlignment="1">
      <alignment wrapText="1"/>
    </xf>
    <xf numFmtId="10" fontId="6" fillId="0" borderId="0" xfId="5" applyNumberFormat="1" applyFont="1" applyFill="1"/>
    <xf numFmtId="10" fontId="6" fillId="0" borderId="6" xfId="3" applyNumberFormat="1" applyFont="1" applyFill="1" applyBorder="1"/>
    <xf numFmtId="164" fontId="12" fillId="0" borderId="0" xfId="2" applyNumberFormat="1" applyFont="1" applyFill="1" applyBorder="1"/>
    <xf numFmtId="164" fontId="12" fillId="0" borderId="8" xfId="2" applyNumberFormat="1" applyFont="1" applyFill="1" applyBorder="1"/>
    <xf numFmtId="0" fontId="18" fillId="0" borderId="0" xfId="0" applyFont="1" applyFill="1" applyAlignment="1">
      <alignment horizontal="center"/>
    </xf>
    <xf numFmtId="0" fontId="12" fillId="0" borderId="0" xfId="0" applyFont="1" applyFill="1" applyBorder="1"/>
    <xf numFmtId="0" fontId="12" fillId="0" borderId="14" xfId="0" applyFont="1" applyFill="1" applyBorder="1" applyAlignment="1">
      <alignment wrapText="1"/>
    </xf>
    <xf numFmtId="171" fontId="14" fillId="0" borderId="14" xfId="3" applyNumberFormat="1" applyFont="1" applyFill="1" applyBorder="1"/>
    <xf numFmtId="172" fontId="12" fillId="0" borderId="14" xfId="3" applyNumberFormat="1" applyFont="1" applyFill="1" applyBorder="1"/>
    <xf numFmtId="0" fontId="13" fillId="0" borderId="0" xfId="0" applyFont="1" applyFill="1"/>
    <xf numFmtId="0" fontId="12" fillId="0" borderId="0" xfId="0" applyFont="1" applyFill="1" applyAlignment="1">
      <alignment horizontal="right"/>
    </xf>
    <xf numFmtId="164" fontId="12" fillId="0" borderId="0" xfId="2" applyNumberFormat="1" applyFont="1" applyFill="1" applyAlignment="1">
      <alignment horizontal="right"/>
    </xf>
    <xf numFmtId="0" fontId="19" fillId="0" borderId="0" xfId="0" applyFont="1" applyFill="1"/>
    <xf numFmtId="173" fontId="12" fillId="0" borderId="0" xfId="2" applyNumberFormat="1" applyFont="1" applyFill="1"/>
    <xf numFmtId="44" fontId="12" fillId="0" borderId="0" xfId="2" applyFont="1" applyFill="1"/>
    <xf numFmtId="0" fontId="20" fillId="0" borderId="0" xfId="0" applyFont="1" applyFill="1"/>
    <xf numFmtId="165" fontId="12" fillId="0" borderId="0" xfId="2" applyNumberFormat="1" applyFont="1" applyFill="1"/>
    <xf numFmtId="166" fontId="10" fillId="0" borderId="0" xfId="1" applyNumberFormat="1" applyFont="1"/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10" xfId="0" applyFont="1" applyBorder="1"/>
    <xf numFmtId="0" fontId="6" fillId="0" borderId="3" xfId="4" applyFont="1" applyFill="1" applyBorder="1" applyAlignment="1">
      <alignment horizontal="center"/>
    </xf>
    <xf numFmtId="0" fontId="12" fillId="0" borderId="8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/>
    <xf numFmtId="0" fontId="2" fillId="0" borderId="2" xfId="0" applyFont="1" applyBorder="1"/>
    <xf numFmtId="0" fontId="6" fillId="0" borderId="8" xfId="0" applyFont="1" applyFill="1" applyBorder="1"/>
    <xf numFmtId="169" fontId="2" fillId="0" borderId="9" xfId="3" applyNumberFormat="1" applyFont="1" applyBorder="1"/>
    <xf numFmtId="169" fontId="2" fillId="0" borderId="0" xfId="3" applyNumberFormat="1" applyFont="1" applyBorder="1"/>
    <xf numFmtId="0" fontId="6" fillId="0" borderId="0" xfId="4" applyFont="1" applyFill="1" applyBorder="1" applyAlignment="1">
      <alignment horizontal="center"/>
    </xf>
    <xf numFmtId="0" fontId="2" fillId="0" borderId="1" xfId="0" applyFont="1" applyBorder="1"/>
    <xf numFmtId="0" fontId="6" fillId="0" borderId="0" xfId="4" applyFont="1" applyFill="1" applyBorder="1" applyAlignment="1">
      <alignment horizontal="center" vertical="center"/>
    </xf>
    <xf numFmtId="169" fontId="2" fillId="0" borderId="11" xfId="3" applyNumberFormat="1" applyFont="1" applyBorder="1"/>
    <xf numFmtId="164" fontId="12" fillId="0" borderId="8" xfId="0" applyNumberFormat="1" applyFont="1" applyFill="1" applyBorder="1"/>
    <xf numFmtId="0" fontId="6" fillId="0" borderId="1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/>
    </xf>
    <xf numFmtId="0" fontId="21" fillId="2" borderId="10" xfId="0" applyFont="1" applyFill="1" applyBorder="1"/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/>
    <xf numFmtId="0" fontId="21" fillId="0" borderId="2" xfId="0" applyFont="1" applyBorder="1" applyAlignment="1">
      <alignment horizontal="center" vertical="center"/>
    </xf>
    <xf numFmtId="0" fontId="23" fillId="0" borderId="0" xfId="0" applyFont="1"/>
    <xf numFmtId="16" fontId="21" fillId="0" borderId="5" xfId="0" quotePrefix="1" applyNumberFormat="1" applyFont="1" applyBorder="1" applyAlignment="1">
      <alignment horizontal="center"/>
    </xf>
    <xf numFmtId="0" fontId="21" fillId="0" borderId="0" xfId="0" applyFont="1" applyBorder="1"/>
    <xf numFmtId="169" fontId="21" fillId="0" borderId="7" xfId="0" applyNumberFormat="1" applyFont="1" applyBorder="1"/>
    <xf numFmtId="0" fontId="21" fillId="0" borderId="5" xfId="0" quotePrefix="1" applyFont="1" applyBorder="1" applyAlignment="1">
      <alignment horizontal="center"/>
    </xf>
    <xf numFmtId="0" fontId="21" fillId="0" borderId="10" xfId="0" applyFont="1" applyBorder="1"/>
    <xf numFmtId="0" fontId="22" fillId="0" borderId="8" xfId="0" applyFont="1" applyBorder="1"/>
    <xf numFmtId="169" fontId="22" fillId="0" borderId="11" xfId="0" applyNumberFormat="1" applyFont="1" applyBorder="1"/>
    <xf numFmtId="0" fontId="24" fillId="0" borderId="1" xfId="0" applyFont="1" applyBorder="1"/>
    <xf numFmtId="0" fontId="23" fillId="0" borderId="4" xfId="0" applyFont="1" applyBorder="1"/>
    <xf numFmtId="0" fontId="25" fillId="0" borderId="5" xfId="0" applyFont="1" applyBorder="1"/>
    <xf numFmtId="165" fontId="25" fillId="0" borderId="7" xfId="2" applyNumberFormat="1" applyFont="1" applyBorder="1"/>
    <xf numFmtId="169" fontId="25" fillId="0" borderId="7" xfId="3" applyNumberFormat="1" applyFont="1" applyBorder="1"/>
    <xf numFmtId="0" fontId="25" fillId="0" borderId="7" xfId="0" applyFont="1" applyBorder="1"/>
    <xf numFmtId="0" fontId="26" fillId="0" borderId="5" xfId="0" applyFont="1" applyBorder="1"/>
    <xf numFmtId="44" fontId="25" fillId="0" borderId="7" xfId="2" applyFont="1" applyBorder="1"/>
    <xf numFmtId="44" fontId="25" fillId="0" borderId="7" xfId="0" applyNumberFormat="1" applyFont="1" applyFill="1" applyBorder="1"/>
    <xf numFmtId="0" fontId="25" fillId="0" borderId="10" xfId="0" applyFont="1" applyBorder="1"/>
    <xf numFmtId="44" fontId="25" fillId="0" borderId="11" xfId="0" applyNumberFormat="1" applyFont="1" applyBorder="1"/>
    <xf numFmtId="0" fontId="25" fillId="0" borderId="0" xfId="0" applyFont="1"/>
    <xf numFmtId="164" fontId="25" fillId="2" borderId="7" xfId="2" applyNumberFormat="1" applyFont="1" applyFill="1" applyBorder="1"/>
    <xf numFmtId="0" fontId="21" fillId="2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4" xfId="0" applyFont="1" applyFill="1" applyBorder="1"/>
    <xf numFmtId="0" fontId="22" fillId="2" borderId="14" xfId="0" applyFont="1" applyFill="1" applyBorder="1"/>
    <xf numFmtId="169" fontId="22" fillId="2" borderId="14" xfId="0" applyNumberFormat="1" applyFont="1" applyFill="1" applyBorder="1"/>
    <xf numFmtId="16" fontId="21" fillId="2" borderId="6" xfId="0" quotePrefix="1" applyNumberFormat="1" applyFont="1" applyFill="1" applyBorder="1" applyAlignment="1">
      <alignment horizontal="center"/>
    </xf>
    <xf numFmtId="0" fontId="21" fillId="2" borderId="6" xfId="0" quotePrefix="1" applyFont="1" applyFill="1" applyBorder="1" applyAlignment="1">
      <alignment horizontal="center"/>
    </xf>
    <xf numFmtId="0" fontId="21" fillId="2" borderId="6" xfId="0" applyFont="1" applyFill="1" applyBorder="1"/>
    <xf numFmtId="169" fontId="21" fillId="2" borderId="6" xfId="0" applyNumberFormat="1" applyFont="1" applyFill="1" applyBorder="1"/>
    <xf numFmtId="164" fontId="25" fillId="2" borderId="17" xfId="2" applyNumberFormat="1" applyFont="1" applyFill="1" applyBorder="1"/>
    <xf numFmtId="0" fontId="21" fillId="2" borderId="1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5" xfId="0" applyFont="1" applyFill="1" applyBorder="1"/>
    <xf numFmtId="44" fontId="21" fillId="2" borderId="7" xfId="2" applyFont="1" applyFill="1" applyBorder="1"/>
    <xf numFmtId="165" fontId="21" fillId="2" borderId="7" xfId="2" applyNumberFormat="1" applyFont="1" applyFill="1" applyBorder="1"/>
    <xf numFmtId="165" fontId="21" fillId="2" borderId="11" xfId="2" applyNumberFormat="1" applyFont="1" applyFill="1" applyBorder="1"/>
    <xf numFmtId="44" fontId="21" fillId="2" borderId="6" xfId="2" applyFont="1" applyFill="1" applyBorder="1"/>
    <xf numFmtId="165" fontId="21" fillId="2" borderId="6" xfId="2" applyNumberFormat="1" applyFont="1" applyFill="1" applyBorder="1"/>
    <xf numFmtId="165" fontId="21" fillId="2" borderId="9" xfId="2" applyNumberFormat="1" applyFont="1" applyFill="1" applyBorder="1"/>
    <xf numFmtId="174" fontId="21" fillId="2" borderId="6" xfId="2" applyNumberFormat="1" applyFont="1" applyFill="1" applyBorder="1"/>
    <xf numFmtId="0" fontId="28" fillId="0" borderId="0" xfId="0" applyFont="1"/>
    <xf numFmtId="164" fontId="6" fillId="0" borderId="3" xfId="2" applyNumberFormat="1" applyFont="1" applyBorder="1"/>
    <xf numFmtId="165" fontId="21" fillId="0" borderId="6" xfId="2" applyNumberFormat="1" applyFont="1" applyFill="1" applyBorder="1"/>
    <xf numFmtId="165" fontId="21" fillId="0" borderId="9" xfId="2" applyNumberFormat="1" applyFont="1" applyFill="1" applyBorder="1"/>
    <xf numFmtId="0" fontId="25" fillId="0" borderId="0" xfId="0" applyFont="1" applyFill="1" applyBorder="1"/>
    <xf numFmtId="0" fontId="28" fillId="0" borderId="0" xfId="0" applyFont="1" applyFill="1" applyBorder="1"/>
    <xf numFmtId="0" fontId="23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quotePrefix="1" applyFont="1" applyFill="1" applyBorder="1" applyAlignment="1">
      <alignment horizontal="center"/>
    </xf>
    <xf numFmtId="169" fontId="25" fillId="0" borderId="0" xfId="3" applyNumberFormat="1" applyFont="1" applyFill="1" applyBorder="1"/>
    <xf numFmtId="0" fontId="27" fillId="0" borderId="0" xfId="0" applyFont="1" applyFill="1" applyBorder="1"/>
    <xf numFmtId="44" fontId="27" fillId="0" borderId="0" xfId="2" applyFont="1" applyFill="1" applyBorder="1"/>
    <xf numFmtId="174" fontId="27" fillId="0" borderId="0" xfId="2" applyNumberFormat="1" applyFont="1" applyFill="1" applyBorder="1"/>
    <xf numFmtId="165" fontId="27" fillId="0" borderId="0" xfId="2" applyNumberFormat="1" applyFont="1" applyFill="1" applyBorder="1"/>
    <xf numFmtId="0" fontId="25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/>
    <xf numFmtId="169" fontId="22" fillId="0" borderId="0" xfId="0" applyNumberFormat="1" applyFont="1" applyFill="1" applyBorder="1"/>
    <xf numFmtId="168" fontId="2" fillId="0" borderId="0" xfId="0" applyNumberFormat="1" applyFont="1" applyFill="1"/>
    <xf numFmtId="168" fontId="9" fillId="0" borderId="0" xfId="5" applyNumberFormat="1" applyFont="1" applyFill="1"/>
    <xf numFmtId="168" fontId="16" fillId="0" borderId="16" xfId="5" applyNumberFormat="1" applyFont="1" applyFill="1" applyBorder="1"/>
    <xf numFmtId="164" fontId="29" fillId="0" borderId="0" xfId="2" applyNumberFormat="1" applyFont="1" applyFill="1"/>
    <xf numFmtId="0" fontId="12" fillId="0" borderId="0" xfId="0" applyFont="1" applyFill="1" applyAlignment="1">
      <alignment vertical="center"/>
    </xf>
    <xf numFmtId="0" fontId="30" fillId="0" borderId="0" xfId="0" applyFont="1"/>
    <xf numFmtId="0" fontId="31" fillId="0" borderId="0" xfId="0" applyFont="1"/>
    <xf numFmtId="164" fontId="12" fillId="3" borderId="0" xfId="2" applyNumberFormat="1" applyFont="1" applyFill="1"/>
    <xf numFmtId="3" fontId="0" fillId="0" borderId="0" xfId="0" applyNumberFormat="1"/>
    <xf numFmtId="0" fontId="32" fillId="0" borderId="0" xfId="0" applyFont="1"/>
    <xf numFmtId="165" fontId="9" fillId="0" borderId="6" xfId="2" applyNumberFormat="1" applyFont="1" applyFill="1" applyBorder="1"/>
    <xf numFmtId="10" fontId="6" fillId="3" borderId="6" xfId="3" applyNumberFormat="1" applyFont="1" applyFill="1" applyBorder="1"/>
    <xf numFmtId="164" fontId="6" fillId="0" borderId="3" xfId="2" applyNumberFormat="1" applyFont="1" applyFill="1" applyBorder="1"/>
    <xf numFmtId="164" fontId="6" fillId="0" borderId="4" xfId="2" applyNumberFormat="1" applyFont="1" applyFill="1" applyBorder="1"/>
    <xf numFmtId="44" fontId="23" fillId="0" borderId="0" xfId="0" applyNumberFormat="1" applyFont="1"/>
    <xf numFmtId="169" fontId="23" fillId="0" borderId="0" xfId="3" applyNumberFormat="1" applyFont="1"/>
    <xf numFmtId="0" fontId="12" fillId="0" borderId="0" xfId="0" applyFont="1" applyFill="1" applyAlignment="1">
      <alignment horizontal="left" vertical="top" wrapText="1"/>
    </xf>
    <xf numFmtId="166" fontId="1" fillId="0" borderId="0" xfId="1" applyNumberFormat="1" applyFont="1"/>
    <xf numFmtId="44" fontId="12" fillId="0" borderId="0" xfId="0" applyNumberFormat="1" applyFont="1" applyFill="1"/>
    <xf numFmtId="0" fontId="12" fillId="0" borderId="0" xfId="0" applyFont="1" applyFill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16" xfId="5" xr:uid="{00000000-0005-0000-0000-000003000000}"/>
    <cellStyle name="Normal 2" xfId="4" xr:uid="{00000000-0005-0000-0000-000004000000}"/>
    <cellStyle name="Normal 24" xfId="6" xr:uid="{00000000-0005-0000-0000-000005000000}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25</xdr:row>
      <xdr:rowOff>0</xdr:rowOff>
    </xdr:from>
    <xdr:to>
      <xdr:col>15</xdr:col>
      <xdr:colOff>640571</xdr:colOff>
      <xdr:row>40</xdr:row>
      <xdr:rowOff>3640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BF45A5-642E-4654-AC8B-1E70BDE9C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5" y="4210050"/>
          <a:ext cx="5669771" cy="2432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Normal="100" workbookViewId="0">
      <selection activeCell="B20" sqref="B20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6" width="17" style="1" customWidth="1"/>
    <col min="7" max="7" width="17.85546875" style="1" bestFit="1" customWidth="1"/>
    <col min="8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3" ht="18.75" x14ac:dyDescent="0.3">
      <c r="C1" s="185" t="s">
        <v>157</v>
      </c>
      <c r="D1" s="2"/>
    </row>
    <row r="2" spans="1:13" ht="21" x14ac:dyDescent="0.35">
      <c r="A2" s="186" t="s">
        <v>134</v>
      </c>
      <c r="C2" s="2"/>
      <c r="D2" s="2"/>
    </row>
    <row r="3" spans="1:13" x14ac:dyDescent="0.25">
      <c r="C3" s="2"/>
      <c r="D3" s="2"/>
    </row>
    <row r="5" spans="1:13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3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3" x14ac:dyDescent="0.25">
      <c r="A7" s="6"/>
      <c r="B7" s="9" t="s">
        <v>8</v>
      </c>
      <c r="C7" s="10" t="s">
        <v>9</v>
      </c>
      <c r="D7" s="10" t="s">
        <v>81</v>
      </c>
      <c r="E7" s="10" t="s">
        <v>10</v>
      </c>
      <c r="F7" s="10" t="s">
        <v>11</v>
      </c>
      <c r="G7" s="10" t="s">
        <v>160</v>
      </c>
      <c r="H7" s="10" t="s">
        <v>13</v>
      </c>
      <c r="I7" s="10" t="s">
        <v>14</v>
      </c>
      <c r="J7" s="107"/>
    </row>
    <row r="8" spans="1:13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7"/>
    </row>
    <row r="9" spans="1:13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7"/>
      <c r="M9" s="1">
        <v>0</v>
      </c>
    </row>
    <row r="10" spans="1:13" ht="15.75" thickBot="1" x14ac:dyDescent="0.3">
      <c r="A10" s="14">
        <f>A9+1</f>
        <v>2</v>
      </c>
      <c r="B10" s="7" t="s">
        <v>25</v>
      </c>
      <c r="C10" s="16">
        <f>SUM(D10:I10)</f>
        <v>1.000000000163366</v>
      </c>
      <c r="D10" s="77">
        <v>0.44502079821027724</v>
      </c>
      <c r="E10" s="77">
        <v>0.11302726434932626</v>
      </c>
      <c r="F10" s="77">
        <v>0.23126829205880595</v>
      </c>
      <c r="G10" s="77">
        <f>0.0988175271598525+0.079770736</f>
        <v>0.17858826315985249</v>
      </c>
      <c r="H10" s="77">
        <v>2.9072115954172154E-2</v>
      </c>
      <c r="I10" s="77">
        <v>3.0232664309319053E-3</v>
      </c>
      <c r="J10" s="25" t="s">
        <v>26</v>
      </c>
    </row>
    <row r="11" spans="1:13" ht="15.75" thickBot="1" x14ac:dyDescent="0.3">
      <c r="A11" s="14">
        <f t="shared" ref="A11:A24" si="0">A10+1</f>
        <v>3</v>
      </c>
      <c r="B11" s="7" t="s">
        <v>155</v>
      </c>
      <c r="C11" s="17">
        <v>35246167.371337488</v>
      </c>
      <c r="D11" s="40">
        <f>$C$11*D10</f>
        <v>15685277.537445638</v>
      </c>
      <c r="E11" s="40">
        <f t="shared" ref="E11:I11" si="1">$C$11*E10</f>
        <v>3983777.8767807605</v>
      </c>
      <c r="F11" s="40">
        <f t="shared" si="1"/>
        <v>8151320.9295880347</v>
      </c>
      <c r="G11" s="40">
        <f t="shared" si="1"/>
        <v>6294551.8138886252</v>
      </c>
      <c r="H11" s="40">
        <f t="shared" si="1"/>
        <v>1024680.6647596826</v>
      </c>
      <c r="I11" s="40">
        <f t="shared" si="1"/>
        <v>106558.55463277207</v>
      </c>
      <c r="J11" s="7"/>
    </row>
    <row r="12" spans="1:13" x14ac:dyDescent="0.25">
      <c r="A12" s="14">
        <f t="shared" si="0"/>
        <v>4</v>
      </c>
      <c r="B12" s="7" t="s">
        <v>172</v>
      </c>
      <c r="C12" s="18">
        <f>SUM(D12:I12)</f>
        <v>11448102572.69841</v>
      </c>
      <c r="D12" s="18">
        <f>'kWh Forecast'!AP19</f>
        <v>5135728824.8850031</v>
      </c>
      <c r="E12" s="18">
        <f>'kWh Forecast'!AP20</f>
        <v>1335876929.0180392</v>
      </c>
      <c r="F12" s="18">
        <f>'kWh Forecast'!AP21</f>
        <v>2525887988.0570698</v>
      </c>
      <c r="G12" s="18">
        <f>'kWh Forecast'!AP22</f>
        <v>2125579283</v>
      </c>
      <c r="H12" s="18">
        <f>'kWh Forecast'!AP23</f>
        <v>294185686.12331212</v>
      </c>
      <c r="I12" s="18">
        <f>'kWh Forecast'!AP24</f>
        <v>30843861.614985753</v>
      </c>
      <c r="J12" s="25" t="s">
        <v>27</v>
      </c>
    </row>
    <row r="13" spans="1:13" x14ac:dyDescent="0.25">
      <c r="A13" s="14">
        <f t="shared" si="0"/>
        <v>5</v>
      </c>
      <c r="B13" s="7" t="s">
        <v>28</v>
      </c>
      <c r="C13" s="19"/>
      <c r="D13" s="73">
        <f>D11/D12</f>
        <v>3.0541483151219255E-3</v>
      </c>
      <c r="E13" s="73">
        <f t="shared" ref="E13:I13" si="2">E11/E12</f>
        <v>2.9821443804026989E-3</v>
      </c>
      <c r="F13" s="73">
        <f t="shared" si="2"/>
        <v>3.2271110073483844E-3</v>
      </c>
      <c r="G13" s="73">
        <f t="shared" si="2"/>
        <v>2.961334759061361E-3</v>
      </c>
      <c r="H13" s="73">
        <f t="shared" si="2"/>
        <v>3.4831085028731584E-3</v>
      </c>
      <c r="I13" s="73">
        <f t="shared" si="2"/>
        <v>3.4547734639361655E-3</v>
      </c>
      <c r="J13" s="7"/>
    </row>
    <row r="14" spans="1:13" hidden="1" x14ac:dyDescent="0.25">
      <c r="A14" s="14"/>
      <c r="B14" s="7"/>
      <c r="C14" s="6"/>
      <c r="D14" s="190"/>
      <c r="E14" s="190"/>
      <c r="F14" s="190"/>
      <c r="G14" s="190"/>
      <c r="H14" s="190"/>
      <c r="I14" s="190"/>
      <c r="J14" s="7"/>
    </row>
    <row r="15" spans="1:13" hidden="1" x14ac:dyDescent="0.25">
      <c r="A15" s="14"/>
      <c r="B15" s="15" t="s">
        <v>24</v>
      </c>
      <c r="C15" s="8"/>
      <c r="D15" s="8"/>
      <c r="E15" s="8"/>
      <c r="F15" s="8"/>
      <c r="G15" s="8"/>
      <c r="H15" s="8"/>
      <c r="I15" s="8"/>
      <c r="J15" s="7"/>
    </row>
    <row r="16" spans="1:13" ht="15.75" hidden="1" thickBot="1" x14ac:dyDescent="0.3">
      <c r="A16" s="14"/>
      <c r="B16" s="7" t="s">
        <v>25</v>
      </c>
      <c r="C16" s="16">
        <f>SUM(D16:I16)</f>
        <v>1.000000000163366</v>
      </c>
      <c r="D16" s="191">
        <v>0.44502079821027724</v>
      </c>
      <c r="E16" s="191">
        <v>0.11302726434932626</v>
      </c>
      <c r="F16" s="191">
        <v>0.23126829205880595</v>
      </c>
      <c r="G16" s="191">
        <f>0.0988175271598525+0.079770736</f>
        <v>0.17858826315985249</v>
      </c>
      <c r="H16" s="191">
        <v>2.9072115954172154E-2</v>
      </c>
      <c r="I16" s="191">
        <v>3.0232664309319053E-3</v>
      </c>
      <c r="J16" s="7"/>
    </row>
    <row r="17" spans="1:11" ht="15.75" hidden="1" thickBot="1" x14ac:dyDescent="0.3">
      <c r="A17" s="14"/>
      <c r="B17" s="7" t="s">
        <v>156</v>
      </c>
      <c r="C17" s="17">
        <v>0</v>
      </c>
      <c r="D17" s="40">
        <f>$C$17*D16</f>
        <v>0</v>
      </c>
      <c r="E17" s="40">
        <f t="shared" ref="E17:I17" si="3">$C$17*E16</f>
        <v>0</v>
      </c>
      <c r="F17" s="40">
        <f t="shared" si="3"/>
        <v>0</v>
      </c>
      <c r="G17" s="40">
        <f t="shared" si="3"/>
        <v>0</v>
      </c>
      <c r="H17" s="40">
        <f t="shared" si="3"/>
        <v>0</v>
      </c>
      <c r="I17" s="40">
        <f t="shared" si="3"/>
        <v>0</v>
      </c>
      <c r="J17" s="7"/>
    </row>
    <row r="18" spans="1:11" hidden="1" x14ac:dyDescent="0.25">
      <c r="A18" s="14"/>
      <c r="B18" s="7" t="s">
        <v>154</v>
      </c>
      <c r="C18" s="18">
        <f>SUM(D18:I18)</f>
        <v>11448102572.69841</v>
      </c>
      <c r="D18" s="18">
        <f>D12</f>
        <v>5135728824.8850031</v>
      </c>
      <c r="E18" s="18">
        <f t="shared" ref="E18:I18" si="4">E12</f>
        <v>1335876929.0180392</v>
      </c>
      <c r="F18" s="18">
        <f t="shared" si="4"/>
        <v>2525887988.0570698</v>
      </c>
      <c r="G18" s="18">
        <f t="shared" si="4"/>
        <v>2125579283</v>
      </c>
      <c r="H18" s="18">
        <f t="shared" si="4"/>
        <v>294185686.12331212</v>
      </c>
      <c r="I18" s="18">
        <f t="shared" si="4"/>
        <v>30843861.614985753</v>
      </c>
      <c r="J18" s="7"/>
    </row>
    <row r="19" spans="1:11" hidden="1" x14ac:dyDescent="0.25">
      <c r="A19" s="14"/>
      <c r="B19" s="7" t="s">
        <v>28</v>
      </c>
      <c r="C19" s="19"/>
      <c r="D19" s="73">
        <f>D17/D18</f>
        <v>0</v>
      </c>
      <c r="E19" s="73">
        <f t="shared" ref="E19:I19" si="5">E17/E18</f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0</v>
      </c>
      <c r="J19" s="7"/>
    </row>
    <row r="20" spans="1:11" x14ac:dyDescent="0.25">
      <c r="A20" s="14">
        <f>A13+1</f>
        <v>6</v>
      </c>
      <c r="B20" s="20"/>
      <c r="C20" s="6"/>
      <c r="D20" s="19"/>
      <c r="E20" s="19"/>
      <c r="F20" s="19"/>
      <c r="G20" s="19"/>
      <c r="H20" s="19"/>
      <c r="I20" s="19"/>
      <c r="J20" s="7"/>
    </row>
    <row r="21" spans="1:11" x14ac:dyDescent="0.25">
      <c r="A21" s="14">
        <f t="shared" si="0"/>
        <v>7</v>
      </c>
      <c r="B21" s="20" t="s">
        <v>29</v>
      </c>
      <c r="C21" s="6"/>
      <c r="D21" s="21">
        <f>D13+D19</f>
        <v>3.0541483151219255E-3</v>
      </c>
      <c r="E21" s="21">
        <f t="shared" ref="E21:I21" si="6">E13+E19</f>
        <v>2.9821443804026989E-3</v>
      </c>
      <c r="F21" s="21">
        <f t="shared" si="6"/>
        <v>3.2271110073483844E-3</v>
      </c>
      <c r="G21" s="21">
        <f t="shared" si="6"/>
        <v>2.961334759061361E-3</v>
      </c>
      <c r="H21" s="21">
        <f t="shared" si="6"/>
        <v>3.4831085028731584E-3</v>
      </c>
      <c r="I21" s="21">
        <f t="shared" si="6"/>
        <v>3.4547734639361655E-3</v>
      </c>
      <c r="J21" s="7"/>
    </row>
    <row r="22" spans="1:11" x14ac:dyDescent="0.25">
      <c r="A22" s="14">
        <f t="shared" si="0"/>
        <v>8</v>
      </c>
      <c r="B22" s="20" t="s">
        <v>30</v>
      </c>
      <c r="C22" s="6"/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"/>
    </row>
    <row r="23" spans="1:11" x14ac:dyDescent="0.25">
      <c r="A23" s="14">
        <f t="shared" si="0"/>
        <v>9</v>
      </c>
      <c r="B23" s="20" t="s">
        <v>31</v>
      </c>
      <c r="C23" s="6"/>
      <c r="D23" s="21">
        <f t="shared" ref="D23:I23" si="7">D21-D22</f>
        <v>3.0541483151219255E-3</v>
      </c>
      <c r="E23" s="21">
        <f t="shared" si="7"/>
        <v>2.9821443804026989E-3</v>
      </c>
      <c r="F23" s="21">
        <f t="shared" si="7"/>
        <v>3.2271110073483844E-3</v>
      </c>
      <c r="G23" s="21">
        <f t="shared" si="7"/>
        <v>2.961334759061361E-3</v>
      </c>
      <c r="H23" s="21">
        <f t="shared" si="7"/>
        <v>3.4831085028731584E-3</v>
      </c>
      <c r="I23" s="21">
        <f t="shared" si="7"/>
        <v>3.4547734639361655E-3</v>
      </c>
      <c r="J23" s="7"/>
    </row>
    <row r="24" spans="1:11" x14ac:dyDescent="0.25">
      <c r="A24" s="38">
        <f t="shared" si="0"/>
        <v>10</v>
      </c>
      <c r="B24" s="39" t="s">
        <v>32</v>
      </c>
      <c r="C24" s="22">
        <f>SUM(D24:I24)</f>
        <v>35246167.377095513</v>
      </c>
      <c r="D24" s="23">
        <f>D23*D12</f>
        <v>15685277.537445638</v>
      </c>
      <c r="E24" s="23">
        <f t="shared" ref="E24:I24" si="8">E23*E12</f>
        <v>3983777.8767807609</v>
      </c>
      <c r="F24" s="23">
        <f t="shared" si="8"/>
        <v>8151320.9295880347</v>
      </c>
      <c r="G24" s="23">
        <f t="shared" si="8"/>
        <v>6294551.8138886252</v>
      </c>
      <c r="H24" s="23">
        <f t="shared" si="8"/>
        <v>1024680.6647596826</v>
      </c>
      <c r="I24" s="23">
        <f t="shared" si="8"/>
        <v>106558.55463277207</v>
      </c>
      <c r="J24" s="7"/>
    </row>
    <row r="25" spans="1:11" x14ac:dyDescent="0.25">
      <c r="A25" s="14"/>
      <c r="B25" s="20"/>
      <c r="C25" s="20"/>
      <c r="D25" s="20"/>
      <c r="E25" s="20"/>
      <c r="F25" s="20"/>
      <c r="G25" s="20"/>
      <c r="H25" s="20"/>
      <c r="I25" s="20"/>
      <c r="J25" s="7"/>
    </row>
    <row r="26" spans="1:11" x14ac:dyDescent="0.25">
      <c r="A26" s="14"/>
      <c r="B26" s="20"/>
      <c r="C26" s="20"/>
      <c r="D26" s="20"/>
      <c r="E26" s="20"/>
      <c r="F26" s="20"/>
      <c r="G26" s="20"/>
      <c r="H26" s="20"/>
      <c r="I26" s="20"/>
      <c r="J26" s="20"/>
    </row>
    <row r="27" spans="1:11" x14ac:dyDescent="0.25">
      <c r="A27" s="96" t="s">
        <v>122</v>
      </c>
      <c r="B27" s="103"/>
      <c r="C27" s="112" t="s">
        <v>1</v>
      </c>
      <c r="D27" s="99" t="s">
        <v>2</v>
      </c>
      <c r="E27" s="99" t="s">
        <v>3</v>
      </c>
      <c r="F27" s="99" t="s">
        <v>4</v>
      </c>
      <c r="G27" s="99" t="s">
        <v>5</v>
      </c>
      <c r="H27" s="99" t="s">
        <v>6</v>
      </c>
      <c r="I27" s="99" t="s">
        <v>7</v>
      </c>
      <c r="J27" s="20"/>
    </row>
    <row r="28" spans="1:11" x14ac:dyDescent="0.25">
      <c r="A28" s="14" t="s">
        <v>123</v>
      </c>
      <c r="B28" s="109" t="s">
        <v>8</v>
      </c>
      <c r="C28" s="113" t="s">
        <v>9</v>
      </c>
      <c r="D28" s="8" t="s">
        <v>81</v>
      </c>
      <c r="E28" s="8" t="s">
        <v>10</v>
      </c>
      <c r="F28" s="8" t="s">
        <v>11</v>
      </c>
      <c r="G28" s="8" t="s">
        <v>12</v>
      </c>
      <c r="H28" s="8" t="s">
        <v>13</v>
      </c>
      <c r="I28" s="8" t="s">
        <v>14</v>
      </c>
      <c r="J28" s="20"/>
    </row>
    <row r="29" spans="1:11" x14ac:dyDescent="0.25">
      <c r="A29" s="108">
        <f>A24+1</f>
        <v>11</v>
      </c>
      <c r="B29" s="4" t="s">
        <v>132</v>
      </c>
      <c r="C29" s="161">
        <f>SUM(D29:I29)</f>
        <v>577145000</v>
      </c>
      <c r="D29" s="192">
        <v>257489000</v>
      </c>
      <c r="E29" s="192">
        <v>91803000</v>
      </c>
      <c r="F29" s="192">
        <v>138061000</v>
      </c>
      <c r="G29" s="192">
        <v>68056000</v>
      </c>
      <c r="H29" s="192">
        <v>14275000</v>
      </c>
      <c r="I29" s="193">
        <v>7461000</v>
      </c>
      <c r="J29" s="20"/>
    </row>
    <row r="30" spans="1:11" x14ac:dyDescent="0.25">
      <c r="A30" s="98">
        <f>A29+1</f>
        <v>12</v>
      </c>
      <c r="B30" s="104" t="s">
        <v>159</v>
      </c>
      <c r="C30" s="105">
        <f>C24/C29</f>
        <v>6.10698652454678E-2</v>
      </c>
      <c r="D30" s="105">
        <f>D24/D29</f>
        <v>6.0916301424315748E-2</v>
      </c>
      <c r="E30" s="105">
        <f t="shared" ref="E30:I30" si="9">E24/E29</f>
        <v>4.3394855035028934E-2</v>
      </c>
      <c r="F30" s="105">
        <f t="shared" si="9"/>
        <v>5.9041444938020403E-2</v>
      </c>
      <c r="G30" s="105">
        <f>G24/G29</f>
        <v>9.2490769570480566E-2</v>
      </c>
      <c r="H30" s="105">
        <f t="shared" si="9"/>
        <v>7.1781482645161654E-2</v>
      </c>
      <c r="I30" s="110">
        <f t="shared" si="9"/>
        <v>1.4282074069531171E-2</v>
      </c>
      <c r="J30" s="20"/>
    </row>
    <row r="31" spans="1:11" x14ac:dyDescent="0.25">
      <c r="A31" s="108">
        <v>13</v>
      </c>
      <c r="B31" s="4" t="s">
        <v>158</v>
      </c>
      <c r="C31" s="161">
        <f>'Forecast Balance'!C29</f>
        <v>17596103.601414617</v>
      </c>
      <c r="D31" s="161">
        <f>$C$31*D10</f>
        <v>7830632.0700922664</v>
      </c>
      <c r="E31" s="161">
        <f t="shared" ref="E31:I31" si="10">$C$31*E10</f>
        <v>1988839.4532752219</v>
      </c>
      <c r="F31" s="161">
        <f t="shared" si="10"/>
        <v>4069420.8267889628</v>
      </c>
      <c r="G31" s="161">
        <f t="shared" si="10"/>
        <v>3142457.5805574618</v>
      </c>
      <c r="H31" s="161">
        <f t="shared" si="10"/>
        <v>511555.964241952</v>
      </c>
      <c r="I31" s="161">
        <f t="shared" si="10"/>
        <v>53197.709333356812</v>
      </c>
      <c r="J31" s="20"/>
      <c r="K31" s="35"/>
    </row>
    <row r="32" spans="1:11" x14ac:dyDescent="0.25">
      <c r="A32" s="98">
        <v>14</v>
      </c>
      <c r="B32" s="104" t="s">
        <v>159</v>
      </c>
      <c r="C32" s="105">
        <f>C31/C29</f>
        <v>3.048818512057562E-2</v>
      </c>
      <c r="D32" s="105">
        <f>D31/D29</f>
        <v>3.0411520764352135E-2</v>
      </c>
      <c r="E32" s="105">
        <f t="shared" ref="E32:I32" si="11">E31/E29</f>
        <v>2.1664209810956306E-2</v>
      </c>
      <c r="F32" s="105">
        <f t="shared" si="11"/>
        <v>2.9475527678265136E-2</v>
      </c>
      <c r="G32" s="105">
        <f>G31/G29</f>
        <v>4.617458534967471E-2</v>
      </c>
      <c r="H32" s="105">
        <f t="shared" si="11"/>
        <v>3.5835794342693662E-2</v>
      </c>
      <c r="I32" s="110">
        <f t="shared" si="11"/>
        <v>7.1301044542764792E-3</v>
      </c>
      <c r="J32" s="97"/>
    </row>
    <row r="33" spans="1:10" x14ac:dyDescent="0.25">
      <c r="A33" s="97"/>
      <c r="B33" s="7"/>
      <c r="C33" s="106"/>
      <c r="D33" s="106"/>
      <c r="E33" s="106"/>
      <c r="F33" s="106"/>
      <c r="G33" s="106"/>
      <c r="H33" s="106"/>
      <c r="I33" s="106"/>
      <c r="J33" s="97"/>
    </row>
    <row r="34" spans="1:10" x14ac:dyDescent="0.25">
      <c r="A34" s="97"/>
      <c r="B34" s="7"/>
      <c r="C34" s="106"/>
      <c r="D34" s="106"/>
      <c r="E34" s="106"/>
      <c r="F34" s="106"/>
      <c r="G34" s="106"/>
      <c r="H34" s="106"/>
      <c r="I34" s="106"/>
      <c r="J34" s="97"/>
    </row>
    <row r="35" spans="1:10" x14ac:dyDescent="0.25">
      <c r="A35" s="25" t="s">
        <v>26</v>
      </c>
      <c r="B35" s="7" t="s">
        <v>137</v>
      </c>
      <c r="C35" s="37"/>
    </row>
    <row r="36" spans="1:10" x14ac:dyDescent="0.25">
      <c r="A36" s="25"/>
      <c r="B36" s="7" t="s">
        <v>80</v>
      </c>
      <c r="C36" s="37"/>
      <c r="G36" s="68"/>
    </row>
    <row r="37" spans="1:10" x14ac:dyDescent="0.25">
      <c r="A37" s="25" t="s">
        <v>27</v>
      </c>
      <c r="B37" s="7" t="s">
        <v>175</v>
      </c>
      <c r="C37" s="37"/>
      <c r="G37" s="26"/>
    </row>
  </sheetData>
  <pageMargins left="0.7" right="0.7" top="0.75" bottom="0.75" header="0.3" footer="0.3"/>
  <pageSetup scale="72" orientation="landscape" r:id="rId1"/>
  <headerFooter>
    <oddHeader>&amp;LAvista
UE-230313
&amp;F</oddHeader>
    <oddFooter>&amp;L&amp;F&amp;RPage: &amp;P of &amp;N</oddFooter>
  </headerFooter>
  <customProperties>
    <customPr name="xxe4aPID" r:id="rId2"/>
  </customProperties>
  <ignoredErrors>
    <ignoredError sqref="A35 A37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7"/>
  <sheetViews>
    <sheetView topLeftCell="V1" zoomScaleNormal="100" workbookViewId="0">
      <selection activeCell="AI28" sqref="AI28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8" width="12.5703125" style="44" bestFit="1" customWidth="1"/>
    <col min="9" max="9" width="15.5703125" style="44" customWidth="1"/>
    <col min="10" max="19" width="12.5703125" style="44" bestFit="1" customWidth="1"/>
    <col min="20" max="33" width="12.28515625" style="44" customWidth="1"/>
    <col min="34" max="34" width="3" style="44" customWidth="1"/>
    <col min="35" max="35" width="12.5703125" style="44" bestFit="1" customWidth="1"/>
    <col min="36" max="36" width="14.85546875" style="44" customWidth="1"/>
    <col min="37" max="38" width="12.5703125" style="44" bestFit="1" customWidth="1"/>
    <col min="39" max="16384" width="9.140625" style="44"/>
  </cols>
  <sheetData>
    <row r="1" spans="1:38" x14ac:dyDescent="0.2">
      <c r="A1" s="44" t="s">
        <v>126</v>
      </c>
    </row>
    <row r="2" spans="1:38" x14ac:dyDescent="0.2">
      <c r="A2" s="44" t="s">
        <v>127</v>
      </c>
    </row>
    <row r="3" spans="1:38" x14ac:dyDescent="0.2">
      <c r="A3" s="102" t="s">
        <v>176</v>
      </c>
    </row>
    <row r="5" spans="1:38" s="95" customFormat="1" x14ac:dyDescent="0.2">
      <c r="B5" s="95">
        <v>2022</v>
      </c>
      <c r="C5" s="95">
        <v>2023</v>
      </c>
      <c r="D5" s="95">
        <v>2023</v>
      </c>
      <c r="E5" s="95">
        <v>2023</v>
      </c>
      <c r="F5" s="95">
        <v>2023</v>
      </c>
      <c r="G5" s="95">
        <v>2023</v>
      </c>
      <c r="H5" s="101">
        <v>2023</v>
      </c>
      <c r="I5" s="80" t="s">
        <v>64</v>
      </c>
      <c r="J5" s="95">
        <v>2023</v>
      </c>
      <c r="K5" s="95">
        <v>2023</v>
      </c>
      <c r="L5" s="95">
        <v>2023</v>
      </c>
      <c r="M5" s="95">
        <v>2023</v>
      </c>
      <c r="N5" s="80">
        <v>2023</v>
      </c>
      <c r="O5" s="80" t="s">
        <v>64</v>
      </c>
      <c r="P5" s="95">
        <v>2024</v>
      </c>
      <c r="Q5" s="95">
        <v>2024</v>
      </c>
      <c r="R5" s="95">
        <v>2024</v>
      </c>
      <c r="S5" s="95">
        <v>2024</v>
      </c>
      <c r="T5" s="95">
        <v>2024</v>
      </c>
      <c r="U5" s="80" t="s">
        <v>64</v>
      </c>
      <c r="V5" s="95">
        <v>2024</v>
      </c>
      <c r="W5" s="95">
        <v>2024</v>
      </c>
      <c r="X5" s="95">
        <v>2024</v>
      </c>
      <c r="Y5" s="95">
        <v>2024</v>
      </c>
      <c r="Z5" s="95">
        <v>2024</v>
      </c>
      <c r="AA5" s="80" t="s">
        <v>64</v>
      </c>
      <c r="AB5" s="95">
        <v>2025</v>
      </c>
      <c r="AC5" s="95">
        <v>2025</v>
      </c>
      <c r="AD5" s="95">
        <v>2025</v>
      </c>
      <c r="AE5" s="95">
        <v>2025</v>
      </c>
      <c r="AF5" s="95">
        <v>2025</v>
      </c>
    </row>
    <row r="6" spans="1:38" s="95" customFormat="1" x14ac:dyDescent="0.2">
      <c r="A6" s="94"/>
      <c r="B6" s="94" t="s">
        <v>52</v>
      </c>
      <c r="C6" s="94" t="s">
        <v>53</v>
      </c>
      <c r="D6" s="94" t="s">
        <v>115</v>
      </c>
      <c r="E6" s="94" t="s">
        <v>114</v>
      </c>
      <c r="F6" s="94" t="s">
        <v>113</v>
      </c>
      <c r="G6" s="94" t="s">
        <v>107</v>
      </c>
      <c r="H6" s="94" t="s">
        <v>108</v>
      </c>
      <c r="I6" s="94" t="s">
        <v>106</v>
      </c>
      <c r="J6" s="94" t="s">
        <v>121</v>
      </c>
      <c r="K6" s="94" t="s">
        <v>120</v>
      </c>
      <c r="L6" s="94" t="s">
        <v>119</v>
      </c>
      <c r="M6" s="94" t="s">
        <v>118</v>
      </c>
      <c r="N6" s="94" t="s">
        <v>117</v>
      </c>
      <c r="O6" s="94" t="s">
        <v>116</v>
      </c>
      <c r="P6" s="94" t="s">
        <v>115</v>
      </c>
      <c r="Q6" s="94" t="s">
        <v>114</v>
      </c>
      <c r="R6" s="94" t="s">
        <v>113</v>
      </c>
      <c r="S6" s="94" t="s">
        <v>107</v>
      </c>
      <c r="T6" s="94" t="s">
        <v>108</v>
      </c>
      <c r="U6" s="94" t="s">
        <v>106</v>
      </c>
      <c r="V6" s="94" t="s">
        <v>121</v>
      </c>
      <c r="W6" s="94" t="s">
        <v>120</v>
      </c>
      <c r="X6" s="94" t="s">
        <v>119</v>
      </c>
      <c r="Y6" s="94" t="s">
        <v>118</v>
      </c>
      <c r="Z6" s="94" t="s">
        <v>117</v>
      </c>
      <c r="AA6" s="94" t="s">
        <v>116</v>
      </c>
      <c r="AB6" s="94" t="s">
        <v>115</v>
      </c>
      <c r="AC6" s="94" t="s">
        <v>114</v>
      </c>
      <c r="AD6" s="94" t="s">
        <v>113</v>
      </c>
      <c r="AE6" s="94" t="s">
        <v>107</v>
      </c>
      <c r="AF6" s="94" t="s">
        <v>108</v>
      </c>
      <c r="AG6" s="101"/>
      <c r="AI6" s="94"/>
      <c r="AJ6" s="94"/>
      <c r="AK6" s="94"/>
      <c r="AL6" s="94" t="s">
        <v>0</v>
      </c>
    </row>
    <row r="7" spans="1:38" x14ac:dyDescent="0.2">
      <c r="A7" s="44" t="s">
        <v>104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Revenue'!J43</f>
        <v>1426934.6738575629</v>
      </c>
      <c r="J7" s="79">
        <f>'Forecasted Revenue'!K43</f>
        <v>1478568.2424623009</v>
      </c>
      <c r="K7" s="79">
        <f>'Forecasted Revenue'!L43</f>
        <v>1233194.5501809805</v>
      </c>
      <c r="L7" s="79">
        <f>'Forecasted Revenue'!M43</f>
        <v>1296294.5289764523</v>
      </c>
      <c r="M7" s="79">
        <f>'Forecasted Revenue'!N43</f>
        <v>1432575.0644107563</v>
      </c>
      <c r="N7" s="79">
        <f>'Forecasted Revenue'!O43</f>
        <v>1640338.3794071591</v>
      </c>
      <c r="O7" s="79">
        <f>'Forecasted Revenue'!P43</f>
        <v>1659051.4464850379</v>
      </c>
      <c r="P7" s="79">
        <f>'Forecasted Revenue'!Q43</f>
        <v>1489712.8619205311</v>
      </c>
      <c r="Q7" s="79">
        <f>'Forecasted Revenue'!R43</f>
        <v>1405170.3626629219</v>
      </c>
      <c r="R7" s="79">
        <f>'Forecasted Revenue'!S43</f>
        <v>1258504.6270783821</v>
      </c>
      <c r="S7" s="79">
        <f>'Forecasted Revenue'!T43</f>
        <v>1229937.709475369</v>
      </c>
      <c r="T7" s="79">
        <f>'Forecasted Revenue'!U43</f>
        <v>1272798.8374840936</v>
      </c>
      <c r="U7" s="79">
        <f>'Forecasted Revenue'!V43</f>
        <v>1417817.4053452259</v>
      </c>
      <c r="V7" s="79">
        <f>'Forecasted Revenue'!W43</f>
        <v>1472979.6528281195</v>
      </c>
      <c r="W7" s="79">
        <f>'Forecasted Revenue'!X43</f>
        <v>1237742.7167531459</v>
      </c>
      <c r="X7" s="79">
        <f>'Forecasted Revenue'!Y43</f>
        <v>1307881.4500515265</v>
      </c>
      <c r="Y7" s="79">
        <f>'Forecasted Revenue'!Z43</f>
        <v>1439787.0033407887</v>
      </c>
      <c r="Z7" s="79">
        <f>'Forecasted Revenue'!AA43</f>
        <v>1647932.8474063086</v>
      </c>
      <c r="AA7" s="79">
        <f>'Forecasted Revenue'!AB43</f>
        <v>1662498.9755518106</v>
      </c>
      <c r="AB7" s="79">
        <f>'Forecasted Revenue'!AC43</f>
        <v>1495407.9803529868</v>
      </c>
      <c r="AC7" s="79">
        <f>'Forecasted Revenue'!AD43</f>
        <v>1414216.6118986062</v>
      </c>
      <c r="AD7" s="79">
        <f>'Forecasted Revenue'!AE43</f>
        <v>1267578.4924729138</v>
      </c>
      <c r="AE7" s="79">
        <f>'Forecasted Revenue'!AF43</f>
        <v>1237433.0672788436</v>
      </c>
      <c r="AF7" s="79">
        <f>'Forecasted Revenue'!AG43</f>
        <v>1273394.7067773249</v>
      </c>
      <c r="AG7" s="78"/>
      <c r="AH7" s="43"/>
      <c r="AI7" s="79">
        <f>SUM(I7:T7)</f>
        <v>16823081.284401547</v>
      </c>
      <c r="AJ7" s="79">
        <f>SUM(U7:AF7)</f>
        <v>16874670.910057601</v>
      </c>
      <c r="AK7" s="79"/>
      <c r="AL7" s="79">
        <f>SUM(AI7:AK7)</f>
        <v>33697752.194459148</v>
      </c>
    </row>
    <row r="8" spans="1:38" x14ac:dyDescent="0.2">
      <c r="A8" s="44" t="s">
        <v>63</v>
      </c>
      <c r="B8" s="41">
        <v>0</v>
      </c>
      <c r="C8" s="41">
        <f>B12</f>
        <v>-31864265</v>
      </c>
      <c r="D8" s="41">
        <f>C8+D7</f>
        <v>-31864265</v>
      </c>
      <c r="E8" s="41">
        <f t="shared" ref="E8:H8" si="0">D8+E7</f>
        <v>-31864265</v>
      </c>
      <c r="F8" s="41">
        <f t="shared" si="0"/>
        <v>-31864265</v>
      </c>
      <c r="G8" s="41">
        <f t="shared" si="0"/>
        <v>-31864265</v>
      </c>
      <c r="H8" s="41">
        <f t="shared" si="0"/>
        <v>-31864265</v>
      </c>
      <c r="I8" s="41">
        <f t="shared" ref="I8" si="1">H12+I7</f>
        <v>-31040218.152074933</v>
      </c>
      <c r="J8" s="41">
        <f t="shared" ref="J8" si="2">I12+J7</f>
        <v>-29661782.510661747</v>
      </c>
      <c r="K8" s="41">
        <f t="shared" ref="K8" si="3">J12+K7</f>
        <v>-28524139.430869199</v>
      </c>
      <c r="L8" s="41">
        <f t="shared" ref="L8" si="4">K12+L7</f>
        <v>-27319436.47310102</v>
      </c>
      <c r="M8" s="41">
        <f t="shared" ref="M8" si="5">L12+M7</f>
        <v>-25974766.026987597</v>
      </c>
      <c r="N8" s="41">
        <f t="shared" ref="N8" si="6">M12+N7</f>
        <v>-24418318.460836474</v>
      </c>
      <c r="O8" s="41">
        <f>N12+O7</f>
        <v>-22838589.939261407</v>
      </c>
      <c r="P8" s="41">
        <f t="shared" ref="P8" si="7">O12+P7</f>
        <v>-21423512.507739607</v>
      </c>
      <c r="Q8" s="41">
        <f t="shared" ref="Q8" si="8">P12+Q7</f>
        <v>-20088012.892550655</v>
      </c>
      <c r="R8" s="41">
        <f t="shared" ref="R8" si="9">Q12+R7</f>
        <v>-18894849.983052157</v>
      </c>
      <c r="S8" s="41">
        <f>R12+S7</f>
        <v>-17726273.853499319</v>
      </c>
      <c r="T8" s="41">
        <f>S12+T7</f>
        <v>-16511119.09782994</v>
      </c>
      <c r="U8" s="41">
        <f>T12+U7</f>
        <v>-15147193.187358517</v>
      </c>
      <c r="V8" s="41">
        <f t="shared" ref="V8:AF8" si="10">U12+V7</f>
        <v>-13724214.430498786</v>
      </c>
      <c r="W8" s="41">
        <f t="shared" si="10"/>
        <v>-12531914.665902432</v>
      </c>
      <c r="X8" s="41">
        <f t="shared" si="10"/>
        <v>-11265359.823116921</v>
      </c>
      <c r="Y8" s="41">
        <f t="shared" si="10"/>
        <v>-9863029.0207675248</v>
      </c>
      <c r="Z8" s="41">
        <f t="shared" si="10"/>
        <v>-8248350.4226170368</v>
      </c>
      <c r="AA8" s="41">
        <f t="shared" si="10"/>
        <v>-6614355.3777098525</v>
      </c>
      <c r="AB8" s="41">
        <f t="shared" si="10"/>
        <v>-5142426.491833102</v>
      </c>
      <c r="AC8" s="41">
        <f t="shared" si="10"/>
        <v>-3746709.8761974662</v>
      </c>
      <c r="AD8" s="41">
        <f t="shared" si="10"/>
        <v>-2493117.7900138879</v>
      </c>
      <c r="AE8" s="41">
        <f t="shared" si="10"/>
        <v>-1265501.0585315737</v>
      </c>
      <c r="AF8" s="41">
        <f t="shared" si="10"/>
        <v>1982.8800838787574</v>
      </c>
      <c r="AG8" s="41"/>
      <c r="AI8" s="41"/>
      <c r="AJ8" s="41"/>
      <c r="AK8" s="41"/>
      <c r="AL8" s="41"/>
    </row>
    <row r="9" spans="1:38" x14ac:dyDescent="0.2">
      <c r="A9" s="44" t="s">
        <v>62</v>
      </c>
      <c r="B9" s="78">
        <v>0</v>
      </c>
      <c r="C9" s="78">
        <f>(B12+(0.5*C7))*$D$25</f>
        <v>-100481.30432208334</v>
      </c>
      <c r="D9" s="78">
        <f>(C8+(0.5*D7))*$D$25</f>
        <v>-100481.30432208334</v>
      </c>
      <c r="E9" s="78">
        <f>(D8+(0.5*E7))*$D$25</f>
        <v>-100481.30432208334</v>
      </c>
      <c r="F9" s="78">
        <f t="shared" ref="E9:H9" si="11">(E8+(0.5*F7))*$D$25</f>
        <v>-100481.30432208334</v>
      </c>
      <c r="G9" s="78">
        <f t="shared" si="11"/>
        <v>-100481.30432208334</v>
      </c>
      <c r="H9" s="78">
        <f t="shared" si="11"/>
        <v>-100481.30432208334</v>
      </c>
      <c r="I9" s="78">
        <f>(H12+(0.5*I7))*$D$25</f>
        <v>-100132.60104911579</v>
      </c>
      <c r="J9" s="78">
        <f>(I8+(0.5*J7))*$D$25</f>
        <v>-95551.470388429967</v>
      </c>
      <c r="K9" s="78">
        <f t="shared" ref="K9:N9" si="12">(J8+(0.5*K7))*$D$25</f>
        <v>-91591.571208270994</v>
      </c>
      <c r="L9" s="78">
        <f t="shared" si="12"/>
        <v>-87904.618297335197</v>
      </c>
      <c r="M9" s="78">
        <f t="shared" si="12"/>
        <v>-83890.81325603601</v>
      </c>
      <c r="N9" s="78">
        <f t="shared" si="12"/>
        <v>-79322.924909972047</v>
      </c>
      <c r="O9" s="78">
        <f>(N12+(0.5*O7))*$D$25</f>
        <v>-74635.430398734257</v>
      </c>
      <c r="P9" s="78">
        <f>(O8+(0.5*P7))*$D$25</f>
        <v>-69670.747473968629</v>
      </c>
      <c r="Q9" s="78">
        <f t="shared" ref="Q9:S9" si="13">(P8+(0.5*Q7))*$D$25</f>
        <v>-65341.717579884229</v>
      </c>
      <c r="R9" s="78">
        <f t="shared" si="13"/>
        <v>-61361.579922531062</v>
      </c>
      <c r="S9" s="78">
        <f t="shared" si="13"/>
        <v>-57644.081814712335</v>
      </c>
      <c r="T9" s="78">
        <f>(S8+(0.5*T7))*$D$25</f>
        <v>-53891.494873804171</v>
      </c>
      <c r="U9" s="78">
        <f>(T12+(0.5*U7))*$D$25</f>
        <v>-50000.895968388999</v>
      </c>
      <c r="V9" s="78">
        <f>(U8+(0.5*V7))*$D$25</f>
        <v>-45442.952156791602</v>
      </c>
      <c r="W9" s="78">
        <f t="shared" ref="W9" si="14">(V8+(0.5*W7))*$D$25</f>
        <v>-41326.607266014718</v>
      </c>
      <c r="X9" s="78">
        <f t="shared" ref="X9" si="15">(W8+(0.5*X7))*$D$25</f>
        <v>-37456.200991392834</v>
      </c>
      <c r="Y9" s="78">
        <f t="shared" ref="Y9" si="16">(X8+(0.5*Y7))*$D$25</f>
        <v>-33254.249255821502</v>
      </c>
      <c r="Z9" s="78">
        <f t="shared" ref="Z9" si="17">(Y8+(0.5*Z7))*$D$25</f>
        <v>-28503.930644626071</v>
      </c>
      <c r="AA9" s="78">
        <f>(Z12+(0.5*AA7))*$D$25</f>
        <v>-23479.094476237213</v>
      </c>
      <c r="AB9" s="78">
        <f t="shared" ref="AB9" si="18">(AA8+(0.5*AB7))*$D$25</f>
        <v>-18499.996262970821</v>
      </c>
      <c r="AC9" s="78">
        <f t="shared" ref="AC9" si="19">(AB8+(0.5*AC7))*$D$25</f>
        <v>-13986.406289335735</v>
      </c>
      <c r="AD9" s="78">
        <f t="shared" ref="AD9" si="20">(AC8+(0.5*AD7))*$D$25</f>
        <v>-9816.3357965295454</v>
      </c>
      <c r="AE9" s="78">
        <f t="shared" ref="AE9" si="21">(AD8+(0.5*AE7))*$D$25</f>
        <v>-5910.7681618721817</v>
      </c>
      <c r="AF9" s="78">
        <f t="shared" ref="AF9" si="22">(AE8+(0.5*AF7))*$D$25</f>
        <v>-1982.8800838594088</v>
      </c>
      <c r="AG9" s="78"/>
      <c r="AH9" s="42"/>
      <c r="AI9" s="78">
        <f>SUM(I9:T9)</f>
        <v>-920939.05117279477</v>
      </c>
      <c r="AJ9" s="78">
        <f>SUM(U9:AF9)</f>
        <v>-309660.31735384068</v>
      </c>
      <c r="AK9" s="78"/>
      <c r="AL9" s="78">
        <f>SUM(AI9:AK9)</f>
        <v>-1230599.3685266355</v>
      </c>
    </row>
    <row r="10" spans="1:38" x14ac:dyDescent="0.2">
      <c r="A10" s="44" t="s">
        <v>139</v>
      </c>
      <c r="B10" s="78"/>
      <c r="C10" s="78">
        <v>0</v>
      </c>
      <c r="D10" s="78"/>
      <c r="E10" s="78"/>
      <c r="F10" s="78"/>
      <c r="G10" s="78"/>
      <c r="H10" s="78"/>
      <c r="J10" s="78"/>
      <c r="K10" s="78"/>
      <c r="L10" s="78"/>
      <c r="M10" s="78"/>
      <c r="N10" s="78"/>
      <c r="O10" s="78"/>
      <c r="P10" s="78"/>
      <c r="Q10" s="78">
        <f>-Q26</f>
        <v>0</v>
      </c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42"/>
      <c r="AI10" s="78"/>
      <c r="AJ10" s="78"/>
      <c r="AK10" s="78"/>
      <c r="AL10" s="78"/>
    </row>
    <row r="11" spans="1:38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111"/>
      <c r="AI11" s="79"/>
      <c r="AJ11" s="79"/>
      <c r="AK11" s="78"/>
      <c r="AL11" s="78"/>
    </row>
    <row r="12" spans="1:38" x14ac:dyDescent="0.2">
      <c r="A12" s="44" t="s">
        <v>105</v>
      </c>
      <c r="B12" s="41">
        <f>-38105837+4502576+767326+971670</f>
        <v>-31864265</v>
      </c>
      <c r="C12" s="41">
        <f>C8+C9</f>
        <v>-31964746.304322083</v>
      </c>
      <c r="D12" s="41">
        <f>C12+D9</f>
        <v>-32065227.608644165</v>
      </c>
      <c r="E12" s="41">
        <f t="shared" ref="E12:G12" si="23">D12+E9</f>
        <v>-32165708.912966248</v>
      </c>
      <c r="F12" s="41">
        <f t="shared" si="23"/>
        <v>-32266190.21728833</v>
      </c>
      <c r="G12" s="41">
        <f t="shared" si="23"/>
        <v>-32366671.521610413</v>
      </c>
      <c r="H12" s="78">
        <f>G12+H9</f>
        <v>-32467152.825932495</v>
      </c>
      <c r="I12" s="41">
        <f>H12+I9+I7+C10</f>
        <v>-31140350.753124047</v>
      </c>
      <c r="J12" s="41">
        <f t="shared" ref="J12:P12" si="24">I12+J9+J7</f>
        <v>-29757333.981050178</v>
      </c>
      <c r="K12" s="41">
        <f t="shared" si="24"/>
        <v>-28615731.002077471</v>
      </c>
      <c r="L12" s="41">
        <f t="shared" si="24"/>
        <v>-27407341.091398355</v>
      </c>
      <c r="M12" s="41">
        <f t="shared" si="24"/>
        <v>-26058656.840243634</v>
      </c>
      <c r="N12" s="41">
        <f t="shared" si="24"/>
        <v>-24497641.385746446</v>
      </c>
      <c r="O12" s="41">
        <f t="shared" si="24"/>
        <v>-22913225.369660139</v>
      </c>
      <c r="P12" s="41">
        <f t="shared" si="24"/>
        <v>-21493183.255213577</v>
      </c>
      <c r="Q12" s="41">
        <f>Q8+Q9</f>
        <v>-20153354.610130537</v>
      </c>
      <c r="R12" s="41">
        <f>Q12+R9+R7</f>
        <v>-18956211.562974688</v>
      </c>
      <c r="S12" s="41">
        <f t="shared" ref="S12" si="25">R12+S9+S7</f>
        <v>-17783917.935314033</v>
      </c>
      <c r="T12" s="41">
        <f>S12+T9+T7</f>
        <v>-16565010.592703743</v>
      </c>
      <c r="U12" s="41">
        <f t="shared" ref="U12:AF12" si="26">T12+U9+U7</f>
        <v>-15197194.083326906</v>
      </c>
      <c r="V12" s="41">
        <f t="shared" si="26"/>
        <v>-13769657.382655578</v>
      </c>
      <c r="W12" s="41">
        <f t="shared" si="26"/>
        <v>-12573241.273168446</v>
      </c>
      <c r="X12" s="41">
        <f t="shared" si="26"/>
        <v>-11302816.024108313</v>
      </c>
      <c r="Y12" s="41">
        <f t="shared" si="26"/>
        <v>-9896283.2700233459</v>
      </c>
      <c r="Z12" s="41">
        <f t="shared" si="26"/>
        <v>-8276854.3532616626</v>
      </c>
      <c r="AA12" s="41">
        <f t="shared" si="26"/>
        <v>-6637834.4721860886</v>
      </c>
      <c r="AB12" s="41">
        <f t="shared" si="26"/>
        <v>-5160926.4880960723</v>
      </c>
      <c r="AC12" s="41">
        <f t="shared" si="26"/>
        <v>-3760696.2824868015</v>
      </c>
      <c r="AD12" s="41">
        <f t="shared" si="26"/>
        <v>-2502934.1258104173</v>
      </c>
      <c r="AE12" s="41">
        <f t="shared" si="26"/>
        <v>-1271411.8266934461</v>
      </c>
      <c r="AF12" s="41">
        <f t="shared" si="26"/>
        <v>1.9324943423271179E-8</v>
      </c>
      <c r="AG12" s="41"/>
      <c r="AI12" s="43"/>
      <c r="AJ12" s="43"/>
      <c r="AK12" s="43"/>
      <c r="AL12" s="43"/>
    </row>
    <row r="13" spans="1:38" x14ac:dyDescent="0.2">
      <c r="A13" s="81"/>
      <c r="B13" s="78"/>
      <c r="C13" s="78"/>
      <c r="D13" s="78"/>
      <c r="E13" s="78"/>
      <c r="F13" s="78"/>
      <c r="G13" s="78"/>
      <c r="H13" s="41"/>
      <c r="I13" s="41"/>
      <c r="J13" s="41"/>
      <c r="K13" s="41"/>
      <c r="L13" s="41"/>
      <c r="M13" s="41"/>
      <c r="N13" s="41"/>
      <c r="O13" s="41"/>
      <c r="P13" s="41"/>
      <c r="Q13" s="78"/>
      <c r="R13" s="81"/>
      <c r="S13" s="81"/>
    </row>
    <row r="14" spans="1:38" x14ac:dyDescent="0.2">
      <c r="A14" s="81"/>
      <c r="B14" s="78"/>
      <c r="C14" s="78"/>
      <c r="D14" s="78"/>
      <c r="E14" s="78"/>
      <c r="F14" s="78"/>
      <c r="G14" s="78"/>
      <c r="H14" s="41"/>
      <c r="I14" s="41"/>
      <c r="J14" s="41"/>
      <c r="K14" s="41"/>
      <c r="L14" s="41"/>
      <c r="M14" s="41"/>
      <c r="N14" s="41"/>
      <c r="O14" s="41"/>
      <c r="P14" s="41"/>
      <c r="Q14" s="78"/>
      <c r="R14" s="81"/>
      <c r="S14" s="81"/>
    </row>
    <row r="15" spans="1:38" s="95" customFormat="1" hidden="1" x14ac:dyDescent="0.2">
      <c r="B15" s="95">
        <v>2022</v>
      </c>
      <c r="C15" s="95">
        <v>2023</v>
      </c>
      <c r="D15" s="95">
        <v>2023</v>
      </c>
      <c r="E15" s="95">
        <v>2023</v>
      </c>
      <c r="F15" s="95">
        <v>2023</v>
      </c>
      <c r="G15" s="95">
        <v>2023</v>
      </c>
      <c r="H15" s="101">
        <v>2023</v>
      </c>
      <c r="I15" s="80" t="s">
        <v>64</v>
      </c>
      <c r="J15" s="95">
        <v>2023</v>
      </c>
      <c r="K15" s="95">
        <v>2023</v>
      </c>
      <c r="L15" s="95">
        <v>2023</v>
      </c>
      <c r="M15" s="95">
        <v>2023</v>
      </c>
      <c r="N15" s="80">
        <v>2023</v>
      </c>
      <c r="O15" s="80" t="s">
        <v>64</v>
      </c>
      <c r="P15" s="95">
        <v>2024</v>
      </c>
      <c r="Q15" s="95">
        <v>2024</v>
      </c>
      <c r="R15" s="95">
        <v>2024</v>
      </c>
      <c r="S15" s="95">
        <v>2024</v>
      </c>
      <c r="T15" s="95">
        <v>2024</v>
      </c>
    </row>
    <row r="16" spans="1:38" s="95" customFormat="1" hidden="1" x14ac:dyDescent="0.2">
      <c r="A16" s="94"/>
      <c r="B16" s="94" t="s">
        <v>52</v>
      </c>
      <c r="C16" s="94" t="s">
        <v>53</v>
      </c>
      <c r="D16" s="94" t="s">
        <v>115</v>
      </c>
      <c r="E16" s="94" t="s">
        <v>114</v>
      </c>
      <c r="F16" s="94" t="s">
        <v>113</v>
      </c>
      <c r="G16" s="94" t="s">
        <v>107</v>
      </c>
      <c r="H16" s="94" t="s">
        <v>108</v>
      </c>
      <c r="I16" s="94" t="s">
        <v>106</v>
      </c>
      <c r="J16" s="94" t="s">
        <v>121</v>
      </c>
      <c r="K16" s="94" t="s">
        <v>120</v>
      </c>
      <c r="L16" s="94" t="s">
        <v>119</v>
      </c>
      <c r="M16" s="94" t="s">
        <v>118</v>
      </c>
      <c r="N16" s="94" t="s">
        <v>117</v>
      </c>
      <c r="O16" s="94" t="s">
        <v>116</v>
      </c>
      <c r="P16" s="94" t="s">
        <v>115</v>
      </c>
      <c r="Q16" s="94" t="s">
        <v>114</v>
      </c>
      <c r="R16" s="94" t="s">
        <v>113</v>
      </c>
      <c r="S16" s="94" t="s">
        <v>107</v>
      </c>
      <c r="T16" s="94" t="s">
        <v>108</v>
      </c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I16" s="94"/>
      <c r="AJ16" s="94"/>
      <c r="AK16" s="94"/>
      <c r="AL16" s="94" t="s">
        <v>0</v>
      </c>
    </row>
    <row r="17" spans="1:38" hidden="1" x14ac:dyDescent="0.2">
      <c r="A17" s="44" t="s">
        <v>104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f>'Forecasted Revenue 2'!J43</f>
        <v>0</v>
      </c>
      <c r="J17" s="79">
        <f>'Forecasted Revenue 2'!K43</f>
        <v>0</v>
      </c>
      <c r="K17" s="79">
        <f>'Forecasted Revenue 2'!L43</f>
        <v>0</v>
      </c>
      <c r="L17" s="79">
        <f>'Forecasted Revenue 2'!M43</f>
        <v>0</v>
      </c>
      <c r="M17" s="79">
        <f>'Forecasted Revenue 2'!N43</f>
        <v>0</v>
      </c>
      <c r="N17" s="79">
        <f>'Forecasted Revenue 2'!O43</f>
        <v>0</v>
      </c>
      <c r="O17" s="79">
        <f>'Forecasted Revenue 2'!P43</f>
        <v>0</v>
      </c>
      <c r="P17" s="79">
        <f>'Forecasted Revenue 2'!Q43</f>
        <v>0</v>
      </c>
      <c r="Q17" s="79">
        <f>'Forecasted Revenue 2'!R43</f>
        <v>0</v>
      </c>
      <c r="R17" s="79">
        <f>'Forecasted Revenue 2'!S43</f>
        <v>0</v>
      </c>
      <c r="S17" s="79">
        <f>'Forecasted Revenue 2'!T43</f>
        <v>0</v>
      </c>
      <c r="T17" s="79">
        <f>'Forecasted Revenue 2'!U43</f>
        <v>0</v>
      </c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43"/>
      <c r="AI17" s="79">
        <f>SUM(R17:T17)</f>
        <v>0</v>
      </c>
      <c r="AJ17" s="79"/>
      <c r="AK17" s="79"/>
      <c r="AL17" s="79">
        <f>SUM(AI17:AK17)</f>
        <v>0</v>
      </c>
    </row>
    <row r="18" spans="1:38" hidden="1" x14ac:dyDescent="0.2">
      <c r="A18" s="44" t="s">
        <v>63</v>
      </c>
      <c r="B18" s="41">
        <v>0</v>
      </c>
      <c r="C18" s="41">
        <f>B22</f>
        <v>0</v>
      </c>
      <c r="D18" s="41">
        <f t="shared" ref="D18" si="27">C22+D17</f>
        <v>0</v>
      </c>
      <c r="E18" s="41">
        <f t="shared" ref="E18" si="28">D22+E17</f>
        <v>0</v>
      </c>
      <c r="F18" s="41">
        <f t="shared" ref="F18" si="29">E22+F17</f>
        <v>0</v>
      </c>
      <c r="G18" s="41">
        <f t="shared" ref="G18" si="30">F22+G17</f>
        <v>0</v>
      </c>
      <c r="H18" s="41">
        <f t="shared" ref="H18" si="31">G22+H17</f>
        <v>0</v>
      </c>
      <c r="I18" s="41">
        <f t="shared" ref="I18" si="32">H22+I17</f>
        <v>0</v>
      </c>
      <c r="J18" s="41">
        <f t="shared" ref="J18" si="33">I22+J17</f>
        <v>0</v>
      </c>
      <c r="K18" s="41">
        <f t="shared" ref="K18" si="34">J22+K17</f>
        <v>0</v>
      </c>
      <c r="L18" s="41">
        <f t="shared" ref="L18" si="35">K22+L17</f>
        <v>0</v>
      </c>
      <c r="M18" s="41">
        <f t="shared" ref="M18" si="36">L22+M17</f>
        <v>0</v>
      </c>
      <c r="N18" s="41">
        <f t="shared" ref="N18" si="37">M22+N17</f>
        <v>0</v>
      </c>
      <c r="O18" s="41">
        <f t="shared" ref="O18" si="38">N22+O17</f>
        <v>0</v>
      </c>
      <c r="P18" s="41">
        <f t="shared" ref="P18" si="39">O22+P17</f>
        <v>0</v>
      </c>
      <c r="Q18" s="41">
        <f t="shared" ref="Q18" si="40">P22+Q17</f>
        <v>0</v>
      </c>
      <c r="R18" s="41">
        <f t="shared" ref="R18" si="41">Q22+R17</f>
        <v>0</v>
      </c>
      <c r="S18" s="41">
        <f t="shared" ref="S18" si="42">R22+S17</f>
        <v>0</v>
      </c>
      <c r="T18" s="41">
        <f t="shared" ref="T18" si="43">S22+T17</f>
        <v>0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I18" s="41"/>
      <c r="AJ18" s="41"/>
      <c r="AK18" s="41"/>
      <c r="AL18" s="41"/>
    </row>
    <row r="19" spans="1:38" hidden="1" x14ac:dyDescent="0.2">
      <c r="A19" s="44" t="s">
        <v>62</v>
      </c>
      <c r="B19" s="78">
        <v>0</v>
      </c>
      <c r="C19" s="78">
        <f>(B22+(0.5*C17))*$D$25</f>
        <v>0</v>
      </c>
      <c r="D19" s="78">
        <f t="shared" ref="D19" si="44">(C22+(0.5*D17))*$D$25</f>
        <v>0</v>
      </c>
      <c r="E19" s="78">
        <f t="shared" ref="E19" si="45">(D22+(0.5*E17))*$D$25</f>
        <v>0</v>
      </c>
      <c r="F19" s="78">
        <f t="shared" ref="F19" si="46">(E22+(0.5*F17))*$D$25</f>
        <v>0</v>
      </c>
      <c r="G19" s="78">
        <f t="shared" ref="G19" si="47">(F22+(0.5*G17))*$D$25</f>
        <v>0</v>
      </c>
      <c r="H19" s="78">
        <f t="shared" ref="H19" si="48">(G22+(0.5*H17))*$D$25</f>
        <v>0</v>
      </c>
      <c r="I19" s="78">
        <f>(H22+(0.5*I17))*$D$25</f>
        <v>0</v>
      </c>
      <c r="J19" s="78">
        <f t="shared" ref="J19" si="49">(I22+(0.5*J17))*$D$25</f>
        <v>0</v>
      </c>
      <c r="K19" s="78">
        <f t="shared" ref="K19" si="50">(J22+(0.5*K17))*$D$25</f>
        <v>0</v>
      </c>
      <c r="L19" s="78">
        <f t="shared" ref="L19" si="51">(K22+(0.5*L17))*$D$25</f>
        <v>0</v>
      </c>
      <c r="M19" s="78">
        <f t="shared" ref="M19" si="52">(L22+(0.5*M17))*$D$25</f>
        <v>0</v>
      </c>
      <c r="N19" s="78">
        <f t="shared" ref="N19" si="53">(M22+(0.5*N17))*$D$25</f>
        <v>0</v>
      </c>
      <c r="O19" s="78">
        <f t="shared" ref="O19" si="54">(N22+(0.5*O17))*$D$25</f>
        <v>0</v>
      </c>
      <c r="P19" s="78">
        <f t="shared" ref="P19" si="55">(O22+(0.5*P17))*$D$25</f>
        <v>0</v>
      </c>
      <c r="Q19" s="78">
        <f t="shared" ref="Q19" si="56">(P22+(0.5*Q17))*$D$25</f>
        <v>0</v>
      </c>
      <c r="R19" s="78">
        <f t="shared" ref="R19" si="57">(Q22+(0.5*R17))*$D$25</f>
        <v>0</v>
      </c>
      <c r="S19" s="78">
        <f t="shared" ref="S19" si="58">(R22+(0.5*S17))*$D$25</f>
        <v>0</v>
      </c>
      <c r="T19" s="78">
        <f>(S18+(0.5*T17))*$D$25</f>
        <v>0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42"/>
      <c r="AI19" s="78">
        <f>SUM(R19:T19)</f>
        <v>0</v>
      </c>
      <c r="AJ19" s="78"/>
      <c r="AK19" s="78"/>
      <c r="AL19" s="78">
        <f>SUM(AI19:AK19)</f>
        <v>0</v>
      </c>
    </row>
    <row r="20" spans="1:38" hidden="1" x14ac:dyDescent="0.2">
      <c r="A20" s="44" t="s">
        <v>139</v>
      </c>
      <c r="B20" s="78"/>
      <c r="C20" s="78"/>
      <c r="D20" s="78"/>
      <c r="E20" s="78"/>
      <c r="F20" s="78"/>
      <c r="G20" s="78"/>
      <c r="H20" s="78"/>
      <c r="J20" s="78"/>
      <c r="K20" s="78"/>
      <c r="L20" s="78"/>
      <c r="M20" s="78"/>
      <c r="N20" s="78"/>
      <c r="O20" s="78"/>
      <c r="P20" s="78"/>
      <c r="Q20" s="78">
        <f>-Q36</f>
        <v>0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42"/>
      <c r="AI20" s="78"/>
      <c r="AJ20" s="78"/>
      <c r="AK20" s="78"/>
      <c r="AL20" s="78"/>
    </row>
    <row r="21" spans="1:38" hidden="1" x14ac:dyDescent="0.2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111"/>
      <c r="AI21" s="79"/>
      <c r="AJ21" s="79"/>
      <c r="AK21" s="78"/>
      <c r="AL21" s="78"/>
    </row>
    <row r="22" spans="1:38" hidden="1" x14ac:dyDescent="0.2">
      <c r="A22" s="44" t="s">
        <v>105</v>
      </c>
      <c r="B22" s="41">
        <v>0</v>
      </c>
      <c r="C22" s="41">
        <f>C18+C19</f>
        <v>0</v>
      </c>
      <c r="D22" s="41">
        <f>C22+D19</f>
        <v>0</v>
      </c>
      <c r="E22" s="41">
        <f t="shared" ref="E22" si="59">D22+E19</f>
        <v>0</v>
      </c>
      <c r="F22" s="41">
        <f t="shared" ref="F22" si="60">E22+F19</f>
        <v>0</v>
      </c>
      <c r="G22" s="41">
        <f t="shared" ref="G22" si="61">F22+G19</f>
        <v>0</v>
      </c>
      <c r="H22" s="78">
        <f>G22+H19</f>
        <v>0</v>
      </c>
      <c r="I22" s="41">
        <f>H22+I19+I17+C20</f>
        <v>0</v>
      </c>
      <c r="J22" s="41">
        <f t="shared" ref="J22:P22" si="62">I22+J19+J17</f>
        <v>0</v>
      </c>
      <c r="K22" s="41">
        <f t="shared" si="62"/>
        <v>0</v>
      </c>
      <c r="L22" s="41">
        <f t="shared" si="62"/>
        <v>0</v>
      </c>
      <c r="M22" s="41">
        <f t="shared" si="62"/>
        <v>0</v>
      </c>
      <c r="N22" s="41">
        <f t="shared" si="62"/>
        <v>0</v>
      </c>
      <c r="O22" s="41">
        <f t="shared" si="62"/>
        <v>0</v>
      </c>
      <c r="P22" s="41">
        <f t="shared" si="62"/>
        <v>0</v>
      </c>
      <c r="Q22" s="41">
        <f>Q18+Q19</f>
        <v>0</v>
      </c>
      <c r="R22" s="41">
        <f>Q22+R19+R17</f>
        <v>0</v>
      </c>
      <c r="S22" s="41">
        <f t="shared" ref="S22" si="63">R22+S19+S17</f>
        <v>0</v>
      </c>
      <c r="T22" s="187">
        <f>S22+T19+T17</f>
        <v>0</v>
      </c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I22" s="43">
        <f>H22+AI17+AI19</f>
        <v>0</v>
      </c>
      <c r="AJ22" s="43">
        <f>AI22+AJ17+AJ19</f>
        <v>0</v>
      </c>
      <c r="AK22" s="43"/>
    </row>
    <row r="23" spans="1:38" x14ac:dyDescent="0.2">
      <c r="A23" s="78"/>
      <c r="B23" s="78"/>
      <c r="C23" s="78"/>
      <c r="D23" s="78"/>
      <c r="E23" s="41"/>
      <c r="F23" s="41"/>
      <c r="G23" s="41"/>
      <c r="H23" s="41"/>
      <c r="L23" s="41"/>
      <c r="M23" s="41"/>
      <c r="N23" s="41"/>
      <c r="O23" s="41"/>
      <c r="P23" s="41"/>
      <c r="Q23" s="183"/>
      <c r="R23" s="184"/>
      <c r="S23" s="41"/>
    </row>
    <row r="24" spans="1:38" ht="25.5" x14ac:dyDescent="0.2">
      <c r="A24" s="82" t="s">
        <v>140</v>
      </c>
      <c r="B24" s="82" t="s">
        <v>101</v>
      </c>
      <c r="C24" s="82" t="s">
        <v>102</v>
      </c>
      <c r="D24" s="82" t="s">
        <v>103</v>
      </c>
      <c r="F24" s="41"/>
      <c r="G24" s="41"/>
      <c r="H24" s="41"/>
      <c r="L24" s="41"/>
      <c r="M24" s="41"/>
      <c r="N24" s="41"/>
      <c r="O24" s="41"/>
      <c r="P24" s="41"/>
      <c r="R24" s="199"/>
      <c r="S24" s="199"/>
      <c r="T24" s="199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</row>
    <row r="25" spans="1:38" x14ac:dyDescent="0.2">
      <c r="A25" s="83">
        <v>4.7899999999999998E-2</v>
      </c>
      <c r="B25" s="84">
        <f>A25/12</f>
        <v>3.9916666666666668E-3</v>
      </c>
      <c r="C25" s="83">
        <v>0.21</v>
      </c>
      <c r="D25" s="84">
        <f>B25*(1-C25)</f>
        <v>3.1534166666666668E-3</v>
      </c>
      <c r="E25" s="85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38" x14ac:dyDescent="0.2">
      <c r="A26" s="86"/>
      <c r="B26" s="41"/>
      <c r="L26" s="43"/>
      <c r="M26" s="43"/>
      <c r="N26" s="43"/>
      <c r="O26" s="43"/>
      <c r="P26" s="43"/>
      <c r="Q26" s="43"/>
    </row>
    <row r="27" spans="1:38" x14ac:dyDescent="0.2">
      <c r="A27" s="86"/>
      <c r="B27" s="41"/>
      <c r="M27" s="43"/>
    </row>
    <row r="28" spans="1:38" x14ac:dyDescent="0.2">
      <c r="A28" s="86"/>
      <c r="B28" s="41"/>
      <c r="C28" s="95" t="s">
        <v>133</v>
      </c>
    </row>
    <row r="29" spans="1:38" x14ac:dyDescent="0.2">
      <c r="A29" s="87" t="s">
        <v>138</v>
      </c>
      <c r="B29" s="41">
        <f>SUM(I7:T7)</f>
        <v>16823081.284401547</v>
      </c>
      <c r="C29" s="43">
        <f>B29/$B$34</f>
        <v>17596103.601414617</v>
      </c>
    </row>
    <row r="30" spans="1:38" x14ac:dyDescent="0.2">
      <c r="A30" s="87" t="s">
        <v>138</v>
      </c>
      <c r="B30" s="41">
        <f>SUM(U7:AF7)</f>
        <v>16874670.910057601</v>
      </c>
      <c r="C30" s="43">
        <f>B30/$B$34</f>
        <v>17650063.775680896</v>
      </c>
    </row>
    <row r="31" spans="1:38" x14ac:dyDescent="0.2">
      <c r="A31" s="87"/>
      <c r="B31" s="79"/>
      <c r="C31" s="111"/>
    </row>
    <row r="32" spans="1:38" x14ac:dyDescent="0.2">
      <c r="A32" s="87"/>
      <c r="B32" s="41">
        <f>SUM(B29:B31)</f>
        <v>33697752.194459148</v>
      </c>
      <c r="C32" s="43">
        <f>SUM(C29:C31)</f>
        <v>35246167.377095513</v>
      </c>
    </row>
    <row r="33" spans="1:7" x14ac:dyDescent="0.2">
      <c r="A33" s="87"/>
      <c r="B33" s="42"/>
    </row>
    <row r="34" spans="1:7" x14ac:dyDescent="0.2">
      <c r="A34" s="86" t="s">
        <v>124</v>
      </c>
      <c r="B34" s="100">
        <f>'CF WA Elec'!E19</f>
        <v>0.9560685516223647</v>
      </c>
      <c r="G34" s="88"/>
    </row>
    <row r="35" spans="1:7" x14ac:dyDescent="0.2">
      <c r="A35" s="86" t="s">
        <v>125</v>
      </c>
      <c r="B35" s="43">
        <f>B32/B34</f>
        <v>35246167.377095513</v>
      </c>
      <c r="C35" s="43"/>
    </row>
    <row r="37" spans="1:7" x14ac:dyDescent="0.2">
      <c r="A37" s="44" t="s">
        <v>173</v>
      </c>
      <c r="B37" s="198"/>
    </row>
    <row r="38" spans="1:7" x14ac:dyDescent="0.2">
      <c r="A38" s="44" t="s">
        <v>174</v>
      </c>
      <c r="B38" s="89"/>
    </row>
    <row r="43" spans="1:7" x14ac:dyDescent="0.2">
      <c r="C43" s="90"/>
    </row>
    <row r="44" spans="1:7" x14ac:dyDescent="0.2">
      <c r="C44" s="92"/>
    </row>
    <row r="45" spans="1:7" x14ac:dyDescent="0.2">
      <c r="C45" s="92"/>
    </row>
    <row r="47" spans="1:7" x14ac:dyDescent="0.2">
      <c r="B47" s="91"/>
    </row>
  </sheetData>
  <mergeCells count="1">
    <mergeCell ref="R24:T24"/>
  </mergeCells>
  <phoneticPr fontId="33" type="noConversion"/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B943-F870-4B31-AB1B-50462D8189E8}">
  <sheetPr>
    <pageSetUpPr fitToPage="1"/>
  </sheetPr>
  <dimension ref="A1:AH47"/>
  <sheetViews>
    <sheetView topLeftCell="D1" zoomScaleNormal="100" workbookViewId="0">
      <selection activeCell="I29" sqref="I29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2" width="13.42578125" style="1" bestFit="1" customWidth="1"/>
    <col min="13" max="13" width="14.28515625" style="1" bestFit="1" customWidth="1"/>
    <col min="14" max="14" width="12.5703125" style="1" bestFit="1" customWidth="1"/>
    <col min="15" max="33" width="14.42578125" style="1" customWidth="1"/>
    <col min="34" max="34" width="15" style="1" customWidth="1"/>
    <col min="35" max="16384" width="9.140625" style="1"/>
  </cols>
  <sheetData>
    <row r="1" spans="1:34" x14ac:dyDescent="0.25">
      <c r="B1" s="44" t="s">
        <v>126</v>
      </c>
    </row>
    <row r="2" spans="1:34" x14ac:dyDescent="0.25">
      <c r="B2" s="44" t="s">
        <v>127</v>
      </c>
    </row>
    <row r="3" spans="1:34" x14ac:dyDescent="0.25">
      <c r="B3" s="102" t="s">
        <v>128</v>
      </c>
    </row>
    <row r="5" spans="1:34" x14ac:dyDescent="0.25">
      <c r="A5" s="27" t="s">
        <v>71</v>
      </c>
      <c r="B5" s="27"/>
    </row>
    <row r="8" spans="1:34" x14ac:dyDescent="0.25">
      <c r="A8" s="1" t="s">
        <v>54</v>
      </c>
      <c r="D8" s="28">
        <v>44927</v>
      </c>
      <c r="E8" s="28">
        <v>44958</v>
      </c>
      <c r="F8" s="28">
        <v>44986</v>
      </c>
      <c r="G8" s="28">
        <v>45017</v>
      </c>
      <c r="H8" s="28">
        <v>45047</v>
      </c>
      <c r="I8" s="28">
        <v>45078</v>
      </c>
      <c r="J8" s="28">
        <v>45108</v>
      </c>
      <c r="K8" s="28">
        <v>45139</v>
      </c>
      <c r="L8" s="28">
        <v>45170</v>
      </c>
      <c r="M8" s="28">
        <v>45200</v>
      </c>
      <c r="N8" s="28">
        <v>45231</v>
      </c>
      <c r="O8" s="28">
        <v>45261</v>
      </c>
      <c r="P8" s="28">
        <v>45292</v>
      </c>
      <c r="Q8" s="28">
        <v>45323</v>
      </c>
      <c r="R8" s="28">
        <v>45352</v>
      </c>
      <c r="S8" s="28">
        <v>45383</v>
      </c>
      <c r="T8" s="28">
        <v>45413</v>
      </c>
      <c r="U8" s="28">
        <v>45444</v>
      </c>
      <c r="V8" s="28">
        <v>45474</v>
      </c>
      <c r="W8" s="28">
        <v>45505</v>
      </c>
      <c r="X8" s="28">
        <v>45536</v>
      </c>
      <c r="Y8" s="28">
        <v>45566</v>
      </c>
      <c r="Z8" s="28">
        <v>45597</v>
      </c>
      <c r="AA8" s="28">
        <v>45627</v>
      </c>
      <c r="AB8" s="28">
        <v>45658</v>
      </c>
      <c r="AC8" s="28">
        <v>45689</v>
      </c>
      <c r="AD8" s="28">
        <v>45717</v>
      </c>
      <c r="AE8" s="28">
        <v>45748</v>
      </c>
      <c r="AF8" s="28">
        <v>45778</v>
      </c>
      <c r="AG8" s="28">
        <v>45809</v>
      </c>
      <c r="AH8" s="1" t="s">
        <v>112</v>
      </c>
    </row>
    <row r="9" spans="1:34" x14ac:dyDescent="0.25">
      <c r="B9" s="1" t="s">
        <v>83</v>
      </c>
      <c r="D9" s="29"/>
      <c r="E9" s="29"/>
      <c r="F9" s="29"/>
      <c r="G9" s="29"/>
      <c r="H9" s="29"/>
      <c r="I9" s="29"/>
      <c r="J9" s="29">
        <f>'kWh Forecast'!O19</f>
        <v>196453732.82550579</v>
      </c>
      <c r="K9" s="29">
        <f>'kWh Forecast'!P19</f>
        <v>209266297.60104942</v>
      </c>
      <c r="L9" s="29">
        <f>'kWh Forecast'!Q19</f>
        <v>155742734.78345945</v>
      </c>
      <c r="M9" s="29">
        <f>'kWh Forecast'!R19</f>
        <v>172836041.1291908</v>
      </c>
      <c r="N9" s="29">
        <f>'kWh Forecast'!S19</f>
        <v>230374929.5155212</v>
      </c>
      <c r="O9" s="29">
        <f>'kWh Forecast'!T19</f>
        <v>296917929.96332842</v>
      </c>
      <c r="P9" s="29">
        <f>'kWh Forecast'!U19</f>
        <v>302120264.33725601</v>
      </c>
      <c r="Q9" s="29">
        <f>'kWh Forecast'!V19</f>
        <v>255240200.66714668</v>
      </c>
      <c r="R9" s="29">
        <f>'kWh Forecast'!W19</f>
        <v>227481319.28180018</v>
      </c>
      <c r="S9" s="29">
        <f>'kWh Forecast'!X19</f>
        <v>185227052.39345241</v>
      </c>
      <c r="T9" s="29">
        <f>'kWh Forecast'!Y19</f>
        <v>166003779.48943084</v>
      </c>
      <c r="U9" s="29">
        <f>'kWh Forecast'!Z19</f>
        <v>163529472.4618564</v>
      </c>
      <c r="V9" s="29">
        <f>'kWh Forecast'!AA19</f>
        <v>192460833.84788927</v>
      </c>
      <c r="W9" s="29">
        <f>'kWh Forecast'!AB19</f>
        <v>207946755.03022233</v>
      </c>
      <c r="X9" s="29">
        <f>'kWh Forecast'!AC19</f>
        <v>158277220.03709269</v>
      </c>
      <c r="Y9" s="29">
        <f>'kWh Forecast'!AD19</f>
        <v>175977983.07888946</v>
      </c>
      <c r="Z9" s="29">
        <f>'kWh Forecast'!AE19</f>
        <v>228852796.80646789</v>
      </c>
      <c r="AA9" s="29">
        <f>'kWh Forecast'!AF19</f>
        <v>297275264.90576875</v>
      </c>
      <c r="AB9" s="29">
        <f>'kWh Forecast'!AG19</f>
        <v>302185943.71906984</v>
      </c>
      <c r="AC9" s="29">
        <f>'kWh Forecast'!AH19</f>
        <v>257367214.76570728</v>
      </c>
      <c r="AD9" s="29">
        <f>'kWh Forecast'!AI19</f>
        <v>232066478.29038659</v>
      </c>
      <c r="AE9" s="29">
        <f>'kWh Forecast'!AJ19</f>
        <v>188394022.04960853</v>
      </c>
      <c r="AF9" s="29">
        <f>'kWh Forecast'!AK19</f>
        <v>169289373.7163378</v>
      </c>
      <c r="AG9" s="29">
        <f>'kWh Forecast'!AL19</f>
        <v>164441184.18856531</v>
      </c>
      <c r="AH9" s="31">
        <f t="shared" ref="AH9:AH14" si="0">SUM(D9:AG9)</f>
        <v>5135728824.8850031</v>
      </c>
    </row>
    <row r="10" spans="1:34" x14ac:dyDescent="0.25">
      <c r="B10" s="1" t="s">
        <v>56</v>
      </c>
      <c r="D10" s="29"/>
      <c r="E10" s="29"/>
      <c r="F10" s="29"/>
      <c r="G10" s="29"/>
      <c r="H10" s="29"/>
      <c r="I10" s="29"/>
      <c r="J10" s="29">
        <f>'kWh Forecast'!O20</f>
        <v>56095221.520522907</v>
      </c>
      <c r="K10" s="29">
        <f>'kWh Forecast'!P20</f>
        <v>55464210.93044614</v>
      </c>
      <c r="L10" s="29">
        <f>'kWh Forecast'!Q20</f>
        <v>50215696.074492998</v>
      </c>
      <c r="M10" s="29">
        <f>'kWh Forecast'!R20</f>
        <v>51339208.212971874</v>
      </c>
      <c r="N10" s="29">
        <f>'kWh Forecast'!S20</f>
        <v>58664176.616294332</v>
      </c>
      <c r="O10" s="29">
        <f>'kWh Forecast'!T20</f>
        <v>64791544.926576048</v>
      </c>
      <c r="P10" s="29">
        <f>'kWh Forecast'!U20</f>
        <v>63770167.133059852</v>
      </c>
      <c r="Q10" s="29">
        <f>'kWh Forecast'!V20</f>
        <v>59995916.889757469</v>
      </c>
      <c r="R10" s="29">
        <f>'kWh Forecast'!W20</f>
        <v>56523371.587601081</v>
      </c>
      <c r="S10" s="29">
        <f>'kWh Forecast'!X20</f>
        <v>49684588.96441891</v>
      </c>
      <c r="T10" s="29">
        <f>'kWh Forecast'!Y20</f>
        <v>47934307.712073348</v>
      </c>
      <c r="U10" s="29">
        <f>'kWh Forecast'!Z20</f>
        <v>49363952.934894577</v>
      </c>
      <c r="V10" s="29">
        <f>'kWh Forecast'!AA20</f>
        <v>57141620.540042736</v>
      </c>
      <c r="W10" s="29">
        <f>'kWh Forecast'!AB20</f>
        <v>56090333.105452381</v>
      </c>
      <c r="X10" s="29">
        <f>'kWh Forecast'!AC20</f>
        <v>50299735.624149792</v>
      </c>
      <c r="Y10" s="29">
        <f>'kWh Forecast'!AD20</f>
        <v>51968526.973251835</v>
      </c>
      <c r="Z10" s="29">
        <f>'kWh Forecast'!AE20</f>
        <v>59513609.097712018</v>
      </c>
      <c r="AA10" s="29">
        <f>'kWh Forecast'!AF20</f>
        <v>65675708.784400016</v>
      </c>
      <c r="AB10" s="29">
        <f>'kWh Forecast'!AG20</f>
        <v>64819506.303091019</v>
      </c>
      <c r="AC10" s="29">
        <f>'kWh Forecast'!AH20</f>
        <v>60494177.001693919</v>
      </c>
      <c r="AD10" s="29">
        <f>'kWh Forecast'!AI20</f>
        <v>57358141.984595299</v>
      </c>
      <c r="AE10" s="29">
        <f>'kWh Forecast'!AJ20</f>
        <v>50159117.174878299</v>
      </c>
      <c r="AF10" s="29">
        <f>'kWh Forecast'!AK20</f>
        <v>48605247.82499478</v>
      </c>
      <c r="AG10" s="29">
        <f>'kWh Forecast'!AL20</f>
        <v>49908841.100667477</v>
      </c>
      <c r="AH10" s="31">
        <f t="shared" si="0"/>
        <v>1335876929.0180392</v>
      </c>
    </row>
    <row r="11" spans="1:34" x14ac:dyDescent="0.25">
      <c r="B11" s="1" t="s">
        <v>57</v>
      </c>
      <c r="D11" s="29"/>
      <c r="E11" s="29"/>
      <c r="F11" s="29"/>
      <c r="G11" s="29"/>
      <c r="H11" s="29"/>
      <c r="I11" s="29"/>
      <c r="J11" s="29">
        <f>'kWh Forecast'!O21</f>
        <v>112977088.66465129</v>
      </c>
      <c r="K11" s="29">
        <f>'kWh Forecast'!P21</f>
        <v>108552418.62717734</v>
      </c>
      <c r="L11" s="29">
        <f>'kWh Forecast'!Q21</f>
        <v>100721399.38571118</v>
      </c>
      <c r="M11" s="29">
        <f>'kWh Forecast'!R21</f>
        <v>112819545.16367477</v>
      </c>
      <c r="N11" s="29">
        <f>'kWh Forecast'!S21</f>
        <v>110564910.48502697</v>
      </c>
      <c r="O11" s="29">
        <f>'kWh Forecast'!T21</f>
        <v>104642063.53924263</v>
      </c>
      <c r="P11" s="29">
        <f>'kWh Forecast'!U21</f>
        <v>102356312.41614927</v>
      </c>
      <c r="Q11" s="29">
        <f>'kWh Forecast'!V21</f>
        <v>104627299.63172153</v>
      </c>
      <c r="R11" s="29">
        <f>'kWh Forecast'!W21</f>
        <v>100434262.27371232</v>
      </c>
      <c r="S11" s="29">
        <f>'kWh Forecast'!X21</f>
        <v>97735561.821382791</v>
      </c>
      <c r="T11" s="29">
        <f>'kWh Forecast'!Y21</f>
        <v>100957379.1395191</v>
      </c>
      <c r="U11" s="29">
        <f>'kWh Forecast'!Z21</f>
        <v>106502920.78477423</v>
      </c>
      <c r="V11" s="29">
        <f>'kWh Forecast'!AA21</f>
        <v>113919366.56799889</v>
      </c>
      <c r="W11" s="29">
        <f>'kWh Forecast'!AB21</f>
        <v>107429742.64370918</v>
      </c>
      <c r="X11" s="29">
        <f>'kWh Forecast'!AC21</f>
        <v>99711075.274444148</v>
      </c>
      <c r="Y11" s="29">
        <f>'kWh Forecast'!AD21</f>
        <v>113298684.60987434</v>
      </c>
      <c r="Z11" s="29">
        <f>'kWh Forecast'!AE21</f>
        <v>111932057.5619739</v>
      </c>
      <c r="AA11" s="29">
        <f>'kWh Forecast'!AF21</f>
        <v>105998049.12506291</v>
      </c>
      <c r="AB11" s="29">
        <f>'kWh Forecast'!AG21</f>
        <v>103034104.25245897</v>
      </c>
      <c r="AC11" s="29">
        <f>'kWh Forecast'!AH21</f>
        <v>103603206.21693957</v>
      </c>
      <c r="AD11" s="29">
        <f>'kWh Forecast'!AI21</f>
        <v>99842058.771631569</v>
      </c>
      <c r="AE11" s="29">
        <f>'kWh Forecast'!AJ21</f>
        <v>96862416.17301853</v>
      </c>
      <c r="AF11" s="29">
        <f>'kWh Forecast'!AK21</f>
        <v>100873087.21483272</v>
      </c>
      <c r="AG11" s="29">
        <f>'kWh Forecast'!AL21</f>
        <v>106492977.71238141</v>
      </c>
      <c r="AH11" s="31">
        <f t="shared" si="0"/>
        <v>2525887988.0570698</v>
      </c>
    </row>
    <row r="12" spans="1:34" x14ac:dyDescent="0.25">
      <c r="B12" s="1" t="s">
        <v>58</v>
      </c>
      <c r="D12" s="29"/>
      <c r="E12" s="29"/>
      <c r="F12" s="29"/>
      <c r="G12" s="29"/>
      <c r="H12" s="29"/>
      <c r="I12" s="29"/>
      <c r="J12" s="29">
        <f>'kWh Forecast'!O22</f>
        <v>90445103</v>
      </c>
      <c r="K12" s="29">
        <f>'kWh Forecast'!P22</f>
        <v>97473252</v>
      </c>
      <c r="L12" s="29">
        <f>'kWh Forecast'!Q22</f>
        <v>86092179</v>
      </c>
      <c r="M12" s="29">
        <f>'kWh Forecast'!R22</f>
        <v>90154627</v>
      </c>
      <c r="N12" s="29">
        <f>'kWh Forecast'!S22</f>
        <v>84693081</v>
      </c>
      <c r="O12" s="29">
        <f>'kWh Forecast'!T22</f>
        <v>88860112</v>
      </c>
      <c r="P12" s="29">
        <f>'kWh Forecast'!U22</f>
        <v>92100698</v>
      </c>
      <c r="Q12" s="29">
        <f>'kWh Forecast'!V22</f>
        <v>82158979</v>
      </c>
      <c r="R12" s="29">
        <f>'kWh Forecast'!W22</f>
        <v>88703052</v>
      </c>
      <c r="S12" s="29">
        <f>'kWh Forecast'!X22</f>
        <v>88285754</v>
      </c>
      <c r="T12" s="29">
        <f>'kWh Forecast'!Y22</f>
        <v>87447967</v>
      </c>
      <c r="U12" s="29">
        <f>'kWh Forecast'!Z22</f>
        <v>88107928</v>
      </c>
      <c r="V12" s="29">
        <f>'kWh Forecast'!AA22</f>
        <v>88906759</v>
      </c>
      <c r="W12" s="29">
        <f>'kWh Forecast'!AB22</f>
        <v>97479036</v>
      </c>
      <c r="X12" s="29">
        <f>'kWh Forecast'!AC22</f>
        <v>86384595</v>
      </c>
      <c r="Y12" s="29">
        <f>'kWh Forecast'!AD22</f>
        <v>89273450</v>
      </c>
      <c r="Z12" s="29">
        <f>'kWh Forecast'!AE22</f>
        <v>85857653</v>
      </c>
      <c r="AA12" s="29">
        <f>'kWh Forecast'!AF22</f>
        <v>88441845</v>
      </c>
      <c r="AB12" s="29">
        <f>'kWh Forecast'!AG22</f>
        <v>91621305</v>
      </c>
      <c r="AC12" s="29">
        <f>'kWh Forecast'!AH22</f>
        <v>82494045</v>
      </c>
      <c r="AD12" s="29">
        <f>'kWh Forecast'!AI22</f>
        <v>87075230</v>
      </c>
      <c r="AE12" s="29">
        <f>'kWh Forecast'!AJ22</f>
        <v>88725445</v>
      </c>
      <c r="AF12" s="29">
        <f>'kWh Forecast'!AK22</f>
        <v>86862150</v>
      </c>
      <c r="AG12" s="29">
        <f>'kWh Forecast'!AL22</f>
        <v>87935038</v>
      </c>
      <c r="AH12" s="31">
        <f t="shared" si="0"/>
        <v>2125579283</v>
      </c>
    </row>
    <row r="13" spans="1:34" x14ac:dyDescent="0.25">
      <c r="B13" s="1" t="s">
        <v>59</v>
      </c>
      <c r="D13" s="29"/>
      <c r="E13" s="29"/>
      <c r="F13" s="29"/>
      <c r="G13" s="29"/>
      <c r="H13" s="29"/>
      <c r="I13" s="29"/>
      <c r="J13" s="29">
        <f>'kWh Forecast'!O23</f>
        <v>25353797.419315163</v>
      </c>
      <c r="K13" s="29">
        <f>'kWh Forecast'!P23</f>
        <v>28267567.740399349</v>
      </c>
      <c r="L13" s="29">
        <f>'kWh Forecast'!Q23</f>
        <v>22941972.701248884</v>
      </c>
      <c r="M13" s="29">
        <f>'kWh Forecast'!R23</f>
        <v>11303533.595424337</v>
      </c>
      <c r="N13" s="29">
        <f>'kWh Forecast'!S23</f>
        <v>2231416.5157431569</v>
      </c>
      <c r="O13" s="29">
        <f>'kWh Forecast'!T23</f>
        <v>2944362.1134637855</v>
      </c>
      <c r="P13" s="29">
        <f>'kWh Forecast'!U23</f>
        <v>4267894.1500995196</v>
      </c>
      <c r="Q13" s="29">
        <f>'kWh Forecast'!V23</f>
        <v>4148599.6709626261</v>
      </c>
      <c r="R13" s="29">
        <f>'kWh Forecast'!W23</f>
        <v>4312272.6219825391</v>
      </c>
      <c r="S13" s="29">
        <f>'kWh Forecast'!X23</f>
        <v>6091765.4881241657</v>
      </c>
      <c r="T13" s="29">
        <f>'kWh Forecast'!Y23</f>
        <v>13591455.061472366</v>
      </c>
      <c r="U13" s="29">
        <f>'kWh Forecast'!Z23</f>
        <v>21693328.266418211</v>
      </c>
      <c r="V13" s="29">
        <f>'kWh Forecast'!AA23</f>
        <v>25662598.321469579</v>
      </c>
      <c r="W13" s="29">
        <f>'kWh Forecast'!AB23</f>
        <v>28274461.4919191</v>
      </c>
      <c r="X13" s="29">
        <f>'kWh Forecast'!AC23</f>
        <v>22725878.463602275</v>
      </c>
      <c r="Y13" s="29">
        <f>'kWh Forecast'!AD23</f>
        <v>11818293.508299258</v>
      </c>
      <c r="Z13" s="29">
        <f>'kWh Forecast'!AE23</f>
        <v>2771719.0727195381</v>
      </c>
      <c r="AA13" s="29">
        <f>'kWh Forecast'!AF23</f>
        <v>3274280.533563477</v>
      </c>
      <c r="AB13" s="29">
        <f>'kWh Forecast'!AG23</f>
        <v>4147127.463784446</v>
      </c>
      <c r="AC13" s="29">
        <f>'kWh Forecast'!AH23</f>
        <v>4254606.3158679157</v>
      </c>
      <c r="AD13" s="29">
        <f>'kWh Forecast'!AI23</f>
        <v>4250488.2237942042</v>
      </c>
      <c r="AE13" s="29">
        <f>'kWh Forecast'!AJ23</f>
        <v>6089044.1679767286</v>
      </c>
      <c r="AF13" s="29">
        <f>'kWh Forecast'!AK23</f>
        <v>12983926.897617493</v>
      </c>
      <c r="AG13" s="29">
        <f>'kWh Forecast'!AL23</f>
        <v>20785296.318044029</v>
      </c>
      <c r="AH13" s="31">
        <f t="shared" si="0"/>
        <v>294185686.12331212</v>
      </c>
    </row>
    <row r="14" spans="1:34" x14ac:dyDescent="0.25">
      <c r="B14" s="1" t="s">
        <v>60</v>
      </c>
      <c r="D14" s="29"/>
      <c r="E14" s="29"/>
      <c r="F14" s="29"/>
      <c r="G14" s="29"/>
      <c r="H14" s="29"/>
      <c r="I14" s="29"/>
      <c r="J14" s="29">
        <f>'kWh Forecast'!O24</f>
        <v>1297254.7296365609</v>
      </c>
      <c r="K14" s="29">
        <f>'kWh Forecast'!P24</f>
        <v>1318572.8385579409</v>
      </c>
      <c r="L14" s="29">
        <f>'kWh Forecast'!Q24</f>
        <v>1317545.3920340193</v>
      </c>
      <c r="M14" s="29">
        <f>'kWh Forecast'!R24</f>
        <v>1291228.0263941458</v>
      </c>
      <c r="N14" s="29">
        <f>'kWh Forecast'!S24</f>
        <v>1295517.2293914184</v>
      </c>
      <c r="O14" s="29">
        <f>'kWh Forecast'!T24</f>
        <v>1323193.4273065061</v>
      </c>
      <c r="P14" s="29">
        <f>'kWh Forecast'!U24</f>
        <v>1294258.5860627098</v>
      </c>
      <c r="Q14" s="29">
        <f>'kWh Forecast'!V24</f>
        <v>1248484.9561865169</v>
      </c>
      <c r="R14" s="29">
        <f>'kWh Forecast'!W24</f>
        <v>1332499.7247278495</v>
      </c>
      <c r="S14" s="29">
        <f>'kWh Forecast'!X24</f>
        <v>1270727.8691569627</v>
      </c>
      <c r="T14" s="29">
        <f>'kWh Forecast'!Y24</f>
        <v>1274294.1390946764</v>
      </c>
      <c r="U14" s="29">
        <f>'kWh Forecast'!Z24</f>
        <v>1289909.0680508316</v>
      </c>
      <c r="V14" s="29">
        <f>'kWh Forecast'!AA24</f>
        <v>1290688.1360754282</v>
      </c>
      <c r="W14" s="29">
        <f>'kWh Forecast'!AB24</f>
        <v>1289443.886587417</v>
      </c>
      <c r="X14" s="29">
        <f>'kWh Forecast'!AC24</f>
        <v>1292365.5728054985</v>
      </c>
      <c r="Y14" s="29">
        <f>'kWh Forecast'!AD24</f>
        <v>1267181.4261797885</v>
      </c>
      <c r="Z14" s="29">
        <f>'kWh Forecast'!AE24</f>
        <v>1271336.6743442169</v>
      </c>
      <c r="AA14" s="29">
        <f>'kWh Forecast'!AF24</f>
        <v>1302626.9079819501</v>
      </c>
      <c r="AB14" s="29">
        <f>'kWh Forecast'!AG24</f>
        <v>1273720.3451935495</v>
      </c>
      <c r="AC14" s="29">
        <f>'kWh Forecast'!AH24</f>
        <v>1224777.8982679946</v>
      </c>
      <c r="AD14" s="29">
        <f>'kWh Forecast'!AI24</f>
        <v>1308069.1455762428</v>
      </c>
      <c r="AE14" s="29">
        <f>'kWh Forecast'!AJ24</f>
        <v>1250016.8477099631</v>
      </c>
      <c r="AF14" s="29">
        <f>'kWh Forecast'!AK24</f>
        <v>1253205.6543161506</v>
      </c>
      <c r="AG14" s="29">
        <f>'kWh Forecast'!AL24</f>
        <v>1266943.1333474196</v>
      </c>
      <c r="AH14" s="31">
        <f t="shared" si="0"/>
        <v>30843861.614985753</v>
      </c>
    </row>
    <row r="15" spans="1:34" x14ac:dyDescent="0.25">
      <c r="A15" s="1" t="s">
        <v>61</v>
      </c>
      <c r="D15" s="30">
        <f t="shared" ref="D15:AG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482622198.15963167</v>
      </c>
      <c r="K15" s="30">
        <f t="shared" si="1"/>
        <v>500342319.73763025</v>
      </c>
      <c r="L15" s="30">
        <f t="shared" si="1"/>
        <v>417031527.33694649</v>
      </c>
      <c r="M15" s="30">
        <f t="shared" si="1"/>
        <v>439744183.12765592</v>
      </c>
      <c r="N15" s="30">
        <f t="shared" si="1"/>
        <v>487824031.36197704</v>
      </c>
      <c r="O15" s="30">
        <f t="shared" si="1"/>
        <v>559479205.96991742</v>
      </c>
      <c r="P15" s="30">
        <f t="shared" si="1"/>
        <v>565909594.62262726</v>
      </c>
      <c r="Q15" s="30">
        <f t="shared" si="1"/>
        <v>507419480.81577486</v>
      </c>
      <c r="R15" s="30">
        <f t="shared" si="1"/>
        <v>478786777.489824</v>
      </c>
      <c r="S15" s="30">
        <f t="shared" si="1"/>
        <v>428295450.53653526</v>
      </c>
      <c r="T15" s="30">
        <f t="shared" si="1"/>
        <v>417209182.54159033</v>
      </c>
      <c r="U15" s="30">
        <f t="shared" si="1"/>
        <v>430487511.51599431</v>
      </c>
      <c r="V15" s="30">
        <f t="shared" si="1"/>
        <v>479381866.41347593</v>
      </c>
      <c r="W15" s="30">
        <f t="shared" si="1"/>
        <v>498509772.15789044</v>
      </c>
      <c r="X15" s="30">
        <f t="shared" si="1"/>
        <v>418690869.97209442</v>
      </c>
      <c r="Y15" s="30">
        <f t="shared" si="1"/>
        <v>443604119.59649467</v>
      </c>
      <c r="Z15" s="30">
        <f t="shared" si="1"/>
        <v>490199172.21321762</v>
      </c>
      <c r="AA15" s="30">
        <f t="shared" si="1"/>
        <v>561967775.25677717</v>
      </c>
      <c r="AB15" s="30">
        <f t="shared" si="1"/>
        <v>567081707.08359778</v>
      </c>
      <c r="AC15" s="30">
        <f t="shared" si="1"/>
        <v>509438027.19847667</v>
      </c>
      <c r="AD15" s="30">
        <f t="shared" si="1"/>
        <v>481900466.41598392</v>
      </c>
      <c r="AE15" s="30">
        <f t="shared" si="1"/>
        <v>431480061.41319203</v>
      </c>
      <c r="AF15" s="30">
        <f t="shared" si="1"/>
        <v>419866991.30809891</v>
      </c>
      <c r="AG15" s="30">
        <f t="shared" si="1"/>
        <v>430830280.45300561</v>
      </c>
      <c r="AH15" s="31">
        <f>SUM(AH9:AH14)</f>
        <v>11448102572.69841</v>
      </c>
    </row>
    <row r="16" spans="1:34" x14ac:dyDescent="0.25">
      <c r="D16" s="31">
        <f>D15-'kWh Forecast'!I25</f>
        <v>0</v>
      </c>
      <c r="E16" s="31">
        <f>E15-'kWh Forecast'!J25</f>
        <v>0</v>
      </c>
      <c r="F16" s="31">
        <f>F15-'kWh Forecast'!K25</f>
        <v>0</v>
      </c>
      <c r="G16" s="31">
        <f>G15-'kWh Forecast'!L25</f>
        <v>0</v>
      </c>
      <c r="H16" s="31">
        <f>H15-'kWh Forecast'!M25</f>
        <v>0</v>
      </c>
      <c r="I16" s="31">
        <f>I15-'kWh Forecast'!N25</f>
        <v>0</v>
      </c>
      <c r="J16" s="31">
        <f>J15-'kWh Forecast'!O25</f>
        <v>0</v>
      </c>
      <c r="K16" s="31">
        <f>K15-'kWh Forecast'!P25</f>
        <v>0</v>
      </c>
      <c r="L16" s="31">
        <f>L15-'kWh Forecast'!Q25</f>
        <v>0</v>
      </c>
    </row>
    <row r="18" spans="1:34" x14ac:dyDescent="0.25">
      <c r="A18" s="1" t="s">
        <v>109</v>
      </c>
    </row>
    <row r="19" spans="1:34" x14ac:dyDescent="0.25">
      <c r="B19" s="1" t="s">
        <v>83</v>
      </c>
      <c r="D19" s="32"/>
      <c r="E19" s="32"/>
      <c r="F19" s="32"/>
      <c r="G19" s="32"/>
      <c r="H19" s="32"/>
      <c r="I19" s="32"/>
      <c r="J19" s="32">
        <f>'Rate Design'!$D$19</f>
        <v>0</v>
      </c>
      <c r="K19" s="32">
        <f>'Rate Design'!$D$19</f>
        <v>0</v>
      </c>
      <c r="L19" s="32">
        <f>'Rate Design'!$D$19</f>
        <v>0</v>
      </c>
      <c r="M19" s="32">
        <f>'Rate Design'!$D$19</f>
        <v>0</v>
      </c>
      <c r="N19" s="32">
        <f>'Rate Design'!$D$19</f>
        <v>0</v>
      </c>
      <c r="O19" s="32">
        <f>'Rate Design'!$D$19</f>
        <v>0</v>
      </c>
      <c r="P19" s="32">
        <f>'Rate Design'!$D$19</f>
        <v>0</v>
      </c>
      <c r="Q19" s="32">
        <f>'Rate Design'!$D$19</f>
        <v>0</v>
      </c>
      <c r="R19" s="32">
        <f>'Rate Design'!$D$19</f>
        <v>0</v>
      </c>
      <c r="S19" s="32">
        <f>'Rate Design'!$D$19</f>
        <v>0</v>
      </c>
      <c r="T19" s="32">
        <f>'Rate Design'!$D$19</f>
        <v>0</v>
      </c>
      <c r="U19" s="32">
        <f>'Rate Design'!$D$19</f>
        <v>0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4" x14ac:dyDescent="0.25">
      <c r="B20" s="1" t="s">
        <v>56</v>
      </c>
      <c r="D20" s="32"/>
      <c r="E20" s="32"/>
      <c r="F20" s="32"/>
      <c r="G20" s="32"/>
      <c r="H20" s="32"/>
      <c r="I20" s="32"/>
      <c r="J20" s="32">
        <f>'Rate Design'!$E$19</f>
        <v>0</v>
      </c>
      <c r="K20" s="32">
        <f>'Rate Design'!$E$19</f>
        <v>0</v>
      </c>
      <c r="L20" s="32">
        <f>'Rate Design'!$E$19</f>
        <v>0</v>
      </c>
      <c r="M20" s="32">
        <f>'Rate Design'!$E$19</f>
        <v>0</v>
      </c>
      <c r="N20" s="32">
        <f>'Rate Design'!$E$19</f>
        <v>0</v>
      </c>
      <c r="O20" s="32">
        <f>'Rate Design'!$E$19</f>
        <v>0</v>
      </c>
      <c r="P20" s="32">
        <f>'Rate Design'!$E$19</f>
        <v>0</v>
      </c>
      <c r="Q20" s="32">
        <f>'Rate Design'!$E$19</f>
        <v>0</v>
      </c>
      <c r="R20" s="32">
        <f>'Rate Design'!$E$19</f>
        <v>0</v>
      </c>
      <c r="S20" s="32">
        <f>'Rate Design'!$E$19</f>
        <v>0</v>
      </c>
      <c r="T20" s="32">
        <f>'Rate Design'!$E$19</f>
        <v>0</v>
      </c>
      <c r="U20" s="32">
        <f>'Rate Design'!$E$19</f>
        <v>0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4" x14ac:dyDescent="0.25">
      <c r="B21" s="1" t="s">
        <v>57</v>
      </c>
      <c r="D21" s="32"/>
      <c r="E21" s="32"/>
      <c r="F21" s="32"/>
      <c r="G21" s="32"/>
      <c r="H21" s="32"/>
      <c r="I21" s="32"/>
      <c r="J21" s="32">
        <f>'Rate Design'!$F$19</f>
        <v>0</v>
      </c>
      <c r="K21" s="32">
        <f>'Rate Design'!$F$19</f>
        <v>0</v>
      </c>
      <c r="L21" s="32">
        <f>'Rate Design'!$F$19</f>
        <v>0</v>
      </c>
      <c r="M21" s="32">
        <f>'Rate Design'!$F$19</f>
        <v>0</v>
      </c>
      <c r="N21" s="32">
        <f>'Rate Design'!$F$19</f>
        <v>0</v>
      </c>
      <c r="O21" s="32">
        <f>'Rate Design'!$F$19</f>
        <v>0</v>
      </c>
      <c r="P21" s="32">
        <f>'Rate Design'!$F$19</f>
        <v>0</v>
      </c>
      <c r="Q21" s="32">
        <f>'Rate Design'!$F$19</f>
        <v>0</v>
      </c>
      <c r="R21" s="32">
        <f>'Rate Design'!$F$19</f>
        <v>0</v>
      </c>
      <c r="S21" s="32">
        <f>'Rate Design'!$F$19</f>
        <v>0</v>
      </c>
      <c r="T21" s="32">
        <f>'Rate Design'!$F$19</f>
        <v>0</v>
      </c>
      <c r="U21" s="32">
        <f>'Rate Design'!$F$19</f>
        <v>0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4" x14ac:dyDescent="0.25">
      <c r="B22" s="1" t="s">
        <v>58</v>
      </c>
      <c r="D22" s="32"/>
      <c r="E22" s="32"/>
      <c r="F22" s="32"/>
      <c r="G22" s="32"/>
      <c r="H22" s="32"/>
      <c r="I22" s="32"/>
      <c r="J22" s="32">
        <f>'Rate Design'!$G$19</f>
        <v>0</v>
      </c>
      <c r="K22" s="32">
        <f>'Rate Design'!$G$19</f>
        <v>0</v>
      </c>
      <c r="L22" s="32">
        <f>'Rate Design'!$G$19</f>
        <v>0</v>
      </c>
      <c r="M22" s="32">
        <f>'Rate Design'!$G$19</f>
        <v>0</v>
      </c>
      <c r="N22" s="32">
        <f>'Rate Design'!$G$19</f>
        <v>0</v>
      </c>
      <c r="O22" s="32">
        <f>'Rate Design'!$G$19</f>
        <v>0</v>
      </c>
      <c r="P22" s="32">
        <f>'Rate Design'!$G$19</f>
        <v>0</v>
      </c>
      <c r="Q22" s="32">
        <f>'Rate Design'!$G$19</f>
        <v>0</v>
      </c>
      <c r="R22" s="32">
        <f>'Rate Design'!$G$19</f>
        <v>0</v>
      </c>
      <c r="S22" s="32">
        <f>'Rate Design'!$G$19</f>
        <v>0</v>
      </c>
      <c r="T22" s="32">
        <f>'Rate Design'!$G$19</f>
        <v>0</v>
      </c>
      <c r="U22" s="32">
        <f>'Rate Design'!$G$19</f>
        <v>0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4" x14ac:dyDescent="0.25">
      <c r="B23" s="1" t="s">
        <v>59</v>
      </c>
      <c r="D23" s="32"/>
      <c r="E23" s="32"/>
      <c r="F23" s="32"/>
      <c r="G23" s="32"/>
      <c r="H23" s="32"/>
      <c r="I23" s="32"/>
      <c r="J23" s="32">
        <f>'Rate Design'!$H$19</f>
        <v>0</v>
      </c>
      <c r="K23" s="32">
        <f>'Rate Design'!$H$19</f>
        <v>0</v>
      </c>
      <c r="L23" s="32">
        <f>'Rate Design'!$H$19</f>
        <v>0</v>
      </c>
      <c r="M23" s="32">
        <f>'Rate Design'!$H$19</f>
        <v>0</v>
      </c>
      <c r="N23" s="32">
        <f>'Rate Design'!$H$19</f>
        <v>0</v>
      </c>
      <c r="O23" s="32">
        <f>'Rate Design'!$H$19</f>
        <v>0</v>
      </c>
      <c r="P23" s="32">
        <f>'Rate Design'!$H$19</f>
        <v>0</v>
      </c>
      <c r="Q23" s="32">
        <f>'Rate Design'!$H$19</f>
        <v>0</v>
      </c>
      <c r="R23" s="32">
        <f>'Rate Design'!$H$19</f>
        <v>0</v>
      </c>
      <c r="S23" s="32">
        <f>'Rate Design'!$H$19</f>
        <v>0</v>
      </c>
      <c r="T23" s="32">
        <f>'Rate Design'!$H$19</f>
        <v>0</v>
      </c>
      <c r="U23" s="32">
        <f>'Rate Design'!$H$19</f>
        <v>0</v>
      </c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4" x14ac:dyDescent="0.25">
      <c r="B24" s="1" t="s">
        <v>60</v>
      </c>
      <c r="D24" s="32"/>
      <c r="E24" s="32"/>
      <c r="F24" s="32"/>
      <c r="G24" s="32"/>
      <c r="H24" s="32"/>
      <c r="I24" s="32"/>
      <c r="J24" s="32">
        <f>'Rate Design'!$I$19</f>
        <v>0</v>
      </c>
      <c r="K24" s="32">
        <f>'Rate Design'!$I$19</f>
        <v>0</v>
      </c>
      <c r="L24" s="32">
        <f>'Rate Design'!$I$19</f>
        <v>0</v>
      </c>
      <c r="M24" s="32">
        <f>'Rate Design'!$I$19</f>
        <v>0</v>
      </c>
      <c r="N24" s="32">
        <f>'Rate Design'!$I$19</f>
        <v>0</v>
      </c>
      <c r="O24" s="32">
        <f>'Rate Design'!$I$19</f>
        <v>0</v>
      </c>
      <c r="P24" s="32">
        <f>'Rate Design'!$I$19</f>
        <v>0</v>
      </c>
      <c r="Q24" s="32">
        <f>'Rate Design'!$I$19</f>
        <v>0</v>
      </c>
      <c r="R24" s="32">
        <f>'Rate Design'!$I$19</f>
        <v>0</v>
      </c>
      <c r="S24" s="32">
        <f>'Rate Design'!$I$19</f>
        <v>0</v>
      </c>
      <c r="T24" s="32">
        <f>'Rate Design'!$I$19</f>
        <v>0</v>
      </c>
      <c r="U24" s="32">
        <f>'Rate Design'!$I$19</f>
        <v>0</v>
      </c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4" x14ac:dyDescent="0.25">
      <c r="D25" s="33"/>
      <c r="E25" s="33"/>
      <c r="F25" s="33"/>
      <c r="G25" s="33"/>
      <c r="H25" s="33"/>
      <c r="I25" s="33"/>
      <c r="J25" s="33"/>
      <c r="K25" s="33"/>
      <c r="L25" s="33"/>
    </row>
    <row r="27" spans="1:34" x14ac:dyDescent="0.25">
      <c r="A27" s="1" t="s">
        <v>110</v>
      </c>
      <c r="D27" s="28">
        <f t="shared" ref="D27:AG27" si="2">D8</f>
        <v>44927</v>
      </c>
      <c r="E27" s="28">
        <f t="shared" si="2"/>
        <v>44958</v>
      </c>
      <c r="F27" s="28">
        <f t="shared" si="2"/>
        <v>44986</v>
      </c>
      <c r="G27" s="28">
        <f t="shared" si="2"/>
        <v>45017</v>
      </c>
      <c r="H27" s="28">
        <f t="shared" si="2"/>
        <v>45047</v>
      </c>
      <c r="I27" s="28">
        <f t="shared" si="2"/>
        <v>45078</v>
      </c>
      <c r="J27" s="28">
        <f t="shared" si="2"/>
        <v>45108</v>
      </c>
      <c r="K27" s="28">
        <f t="shared" si="2"/>
        <v>45139</v>
      </c>
      <c r="L27" s="28">
        <f t="shared" si="2"/>
        <v>45170</v>
      </c>
      <c r="M27" s="28">
        <f t="shared" si="2"/>
        <v>45200</v>
      </c>
      <c r="N27" s="28">
        <f t="shared" si="2"/>
        <v>45231</v>
      </c>
      <c r="O27" s="28">
        <f t="shared" si="2"/>
        <v>45261</v>
      </c>
      <c r="P27" s="28">
        <f t="shared" si="2"/>
        <v>45292</v>
      </c>
      <c r="Q27" s="28">
        <f t="shared" si="2"/>
        <v>45323</v>
      </c>
      <c r="R27" s="28">
        <f t="shared" si="2"/>
        <v>45352</v>
      </c>
      <c r="S27" s="28">
        <f t="shared" si="2"/>
        <v>45383</v>
      </c>
      <c r="T27" s="28">
        <f t="shared" si="2"/>
        <v>45413</v>
      </c>
      <c r="U27" s="28">
        <f t="shared" si="2"/>
        <v>45444</v>
      </c>
      <c r="V27" s="28">
        <f t="shared" si="2"/>
        <v>45474</v>
      </c>
      <c r="W27" s="28">
        <f t="shared" si="2"/>
        <v>45505</v>
      </c>
      <c r="X27" s="28">
        <f t="shared" si="2"/>
        <v>45536</v>
      </c>
      <c r="Y27" s="28">
        <f t="shared" si="2"/>
        <v>45566</v>
      </c>
      <c r="Z27" s="28">
        <f t="shared" si="2"/>
        <v>45597</v>
      </c>
      <c r="AA27" s="28">
        <f t="shared" si="2"/>
        <v>45627</v>
      </c>
      <c r="AB27" s="28">
        <f t="shared" si="2"/>
        <v>45658</v>
      </c>
      <c r="AC27" s="28">
        <f t="shared" si="2"/>
        <v>45689</v>
      </c>
      <c r="AD27" s="28">
        <f t="shared" si="2"/>
        <v>45717</v>
      </c>
      <c r="AE27" s="28">
        <f t="shared" si="2"/>
        <v>45748</v>
      </c>
      <c r="AF27" s="28">
        <f t="shared" si="2"/>
        <v>45778</v>
      </c>
      <c r="AG27" s="28">
        <f t="shared" si="2"/>
        <v>45809</v>
      </c>
      <c r="AH27" s="1" t="s">
        <v>0</v>
      </c>
    </row>
    <row r="28" spans="1:34" x14ac:dyDescent="0.25">
      <c r="B28" s="1" t="s">
        <v>55</v>
      </c>
      <c r="D28" s="34">
        <f t="shared" ref="D28:AG33" si="3">D9*D19</f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34">
        <f t="shared" si="3"/>
        <v>0</v>
      </c>
      <c r="AH28" s="31">
        <f t="shared" ref="AH28:AH34" si="4">SUM(D28:AG28)</f>
        <v>0</v>
      </c>
    </row>
    <row r="29" spans="1:34" x14ac:dyDescent="0.25">
      <c r="B29" s="1" t="s">
        <v>56</v>
      </c>
      <c r="D29" s="34">
        <f t="shared" si="3"/>
        <v>0</v>
      </c>
      <c r="E29" s="34">
        <f t="shared" si="3"/>
        <v>0</v>
      </c>
      <c r="F29" s="34">
        <f t="shared" si="3"/>
        <v>0</v>
      </c>
      <c r="G29" s="34">
        <f t="shared" si="3"/>
        <v>0</v>
      </c>
      <c r="H29" s="34">
        <f t="shared" si="3"/>
        <v>0</v>
      </c>
      <c r="I29" s="34">
        <f t="shared" si="3"/>
        <v>0</v>
      </c>
      <c r="J29" s="34">
        <f t="shared" si="3"/>
        <v>0</v>
      </c>
      <c r="K29" s="34">
        <f t="shared" si="3"/>
        <v>0</v>
      </c>
      <c r="L29" s="34">
        <f t="shared" si="3"/>
        <v>0</v>
      </c>
      <c r="M29" s="34">
        <f t="shared" si="3"/>
        <v>0</v>
      </c>
      <c r="N29" s="34">
        <f t="shared" si="3"/>
        <v>0</v>
      </c>
      <c r="O29" s="34">
        <f t="shared" si="3"/>
        <v>0</v>
      </c>
      <c r="P29" s="34">
        <f t="shared" si="3"/>
        <v>0</v>
      </c>
      <c r="Q29" s="34">
        <f t="shared" si="3"/>
        <v>0</v>
      </c>
      <c r="R29" s="34">
        <f t="shared" si="3"/>
        <v>0</v>
      </c>
      <c r="S29" s="34">
        <f t="shared" si="3"/>
        <v>0</v>
      </c>
      <c r="T29" s="34">
        <f t="shared" si="3"/>
        <v>0</v>
      </c>
      <c r="U29" s="34">
        <f t="shared" si="3"/>
        <v>0</v>
      </c>
      <c r="V29" s="34">
        <f t="shared" si="3"/>
        <v>0</v>
      </c>
      <c r="W29" s="34">
        <f t="shared" si="3"/>
        <v>0</v>
      </c>
      <c r="X29" s="34">
        <f t="shared" si="3"/>
        <v>0</v>
      </c>
      <c r="Y29" s="34">
        <f t="shared" si="3"/>
        <v>0</v>
      </c>
      <c r="Z29" s="34">
        <f t="shared" si="3"/>
        <v>0</v>
      </c>
      <c r="AA29" s="34">
        <f t="shared" si="3"/>
        <v>0</v>
      </c>
      <c r="AB29" s="34">
        <f t="shared" si="3"/>
        <v>0</v>
      </c>
      <c r="AC29" s="34">
        <f t="shared" si="3"/>
        <v>0</v>
      </c>
      <c r="AD29" s="34">
        <f t="shared" si="3"/>
        <v>0</v>
      </c>
      <c r="AE29" s="34">
        <f t="shared" si="3"/>
        <v>0</v>
      </c>
      <c r="AF29" s="34">
        <f t="shared" si="3"/>
        <v>0</v>
      </c>
      <c r="AG29" s="34">
        <f t="shared" si="3"/>
        <v>0</v>
      </c>
      <c r="AH29" s="31">
        <f t="shared" si="4"/>
        <v>0</v>
      </c>
    </row>
    <row r="30" spans="1:34" x14ac:dyDescent="0.25">
      <c r="B30" s="1" t="s">
        <v>57</v>
      </c>
      <c r="D30" s="34">
        <f t="shared" si="3"/>
        <v>0</v>
      </c>
      <c r="E30" s="34">
        <f t="shared" si="3"/>
        <v>0</v>
      </c>
      <c r="F30" s="34">
        <f t="shared" si="3"/>
        <v>0</v>
      </c>
      <c r="G30" s="34">
        <f t="shared" si="3"/>
        <v>0</v>
      </c>
      <c r="H30" s="34">
        <f t="shared" si="3"/>
        <v>0</v>
      </c>
      <c r="I30" s="34">
        <f t="shared" si="3"/>
        <v>0</v>
      </c>
      <c r="J30" s="34">
        <f t="shared" si="3"/>
        <v>0</v>
      </c>
      <c r="K30" s="34">
        <f t="shared" si="3"/>
        <v>0</v>
      </c>
      <c r="L30" s="34">
        <f t="shared" si="3"/>
        <v>0</v>
      </c>
      <c r="M30" s="34">
        <f t="shared" si="3"/>
        <v>0</v>
      </c>
      <c r="N30" s="34">
        <f t="shared" si="3"/>
        <v>0</v>
      </c>
      <c r="O30" s="34">
        <f t="shared" si="3"/>
        <v>0</v>
      </c>
      <c r="P30" s="34">
        <f t="shared" si="3"/>
        <v>0</v>
      </c>
      <c r="Q30" s="34">
        <f t="shared" si="3"/>
        <v>0</v>
      </c>
      <c r="R30" s="34">
        <f t="shared" si="3"/>
        <v>0</v>
      </c>
      <c r="S30" s="34">
        <f t="shared" si="3"/>
        <v>0</v>
      </c>
      <c r="T30" s="34">
        <f t="shared" si="3"/>
        <v>0</v>
      </c>
      <c r="U30" s="34">
        <f t="shared" si="3"/>
        <v>0</v>
      </c>
      <c r="V30" s="34">
        <f t="shared" si="3"/>
        <v>0</v>
      </c>
      <c r="W30" s="34">
        <f t="shared" si="3"/>
        <v>0</v>
      </c>
      <c r="X30" s="34">
        <f t="shared" si="3"/>
        <v>0</v>
      </c>
      <c r="Y30" s="34">
        <f t="shared" si="3"/>
        <v>0</v>
      </c>
      <c r="Z30" s="34">
        <f t="shared" si="3"/>
        <v>0</v>
      </c>
      <c r="AA30" s="34">
        <f t="shared" si="3"/>
        <v>0</v>
      </c>
      <c r="AB30" s="34">
        <f t="shared" si="3"/>
        <v>0</v>
      </c>
      <c r="AC30" s="34">
        <f t="shared" si="3"/>
        <v>0</v>
      </c>
      <c r="AD30" s="34">
        <f t="shared" si="3"/>
        <v>0</v>
      </c>
      <c r="AE30" s="34">
        <f t="shared" si="3"/>
        <v>0</v>
      </c>
      <c r="AF30" s="34">
        <f t="shared" si="3"/>
        <v>0</v>
      </c>
      <c r="AG30" s="34">
        <f t="shared" si="3"/>
        <v>0</v>
      </c>
      <c r="AH30" s="31">
        <f t="shared" si="4"/>
        <v>0</v>
      </c>
    </row>
    <row r="31" spans="1:34" x14ac:dyDescent="0.25">
      <c r="B31" s="1" t="s">
        <v>58</v>
      </c>
      <c r="D31" s="34">
        <f t="shared" si="3"/>
        <v>0</v>
      </c>
      <c r="E31" s="34">
        <f t="shared" si="3"/>
        <v>0</v>
      </c>
      <c r="F31" s="34">
        <f t="shared" si="3"/>
        <v>0</v>
      </c>
      <c r="G31" s="34">
        <f t="shared" si="3"/>
        <v>0</v>
      </c>
      <c r="H31" s="34">
        <f t="shared" si="3"/>
        <v>0</v>
      </c>
      <c r="I31" s="34">
        <f t="shared" si="3"/>
        <v>0</v>
      </c>
      <c r="J31" s="34">
        <f t="shared" si="3"/>
        <v>0</v>
      </c>
      <c r="K31" s="34">
        <f t="shared" si="3"/>
        <v>0</v>
      </c>
      <c r="L31" s="34">
        <f t="shared" si="3"/>
        <v>0</v>
      </c>
      <c r="M31" s="34">
        <f t="shared" si="3"/>
        <v>0</v>
      </c>
      <c r="N31" s="34">
        <f t="shared" si="3"/>
        <v>0</v>
      </c>
      <c r="O31" s="34">
        <f t="shared" si="3"/>
        <v>0</v>
      </c>
      <c r="P31" s="34">
        <f t="shared" si="3"/>
        <v>0</v>
      </c>
      <c r="Q31" s="34">
        <f t="shared" si="3"/>
        <v>0</v>
      </c>
      <c r="R31" s="34">
        <f t="shared" si="3"/>
        <v>0</v>
      </c>
      <c r="S31" s="34">
        <f t="shared" si="3"/>
        <v>0</v>
      </c>
      <c r="T31" s="34">
        <f t="shared" si="3"/>
        <v>0</v>
      </c>
      <c r="U31" s="34">
        <f t="shared" si="3"/>
        <v>0</v>
      </c>
      <c r="V31" s="34">
        <f t="shared" si="3"/>
        <v>0</v>
      </c>
      <c r="W31" s="34">
        <f t="shared" si="3"/>
        <v>0</v>
      </c>
      <c r="X31" s="34">
        <f t="shared" si="3"/>
        <v>0</v>
      </c>
      <c r="Y31" s="34">
        <f t="shared" si="3"/>
        <v>0</v>
      </c>
      <c r="Z31" s="34">
        <f t="shared" si="3"/>
        <v>0</v>
      </c>
      <c r="AA31" s="34">
        <f t="shared" si="3"/>
        <v>0</v>
      </c>
      <c r="AB31" s="34">
        <f t="shared" si="3"/>
        <v>0</v>
      </c>
      <c r="AC31" s="34">
        <f t="shared" si="3"/>
        <v>0</v>
      </c>
      <c r="AD31" s="34">
        <f t="shared" si="3"/>
        <v>0</v>
      </c>
      <c r="AE31" s="34">
        <f t="shared" si="3"/>
        <v>0</v>
      </c>
      <c r="AF31" s="34">
        <f t="shared" si="3"/>
        <v>0</v>
      </c>
      <c r="AG31" s="34">
        <f t="shared" si="3"/>
        <v>0</v>
      </c>
      <c r="AH31" s="31">
        <f t="shared" si="4"/>
        <v>0</v>
      </c>
    </row>
    <row r="32" spans="1:34" x14ac:dyDescent="0.25">
      <c r="B32" s="1" t="s">
        <v>59</v>
      </c>
      <c r="D32" s="34">
        <f t="shared" si="3"/>
        <v>0</v>
      </c>
      <c r="E32" s="34">
        <f t="shared" si="3"/>
        <v>0</v>
      </c>
      <c r="F32" s="34">
        <f t="shared" si="3"/>
        <v>0</v>
      </c>
      <c r="G32" s="34">
        <f t="shared" si="3"/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4">
        <f t="shared" si="3"/>
        <v>0</v>
      </c>
      <c r="L32" s="34">
        <f t="shared" si="3"/>
        <v>0</v>
      </c>
      <c r="M32" s="34">
        <f t="shared" si="3"/>
        <v>0</v>
      </c>
      <c r="N32" s="34">
        <f t="shared" si="3"/>
        <v>0</v>
      </c>
      <c r="O32" s="34">
        <f t="shared" si="3"/>
        <v>0</v>
      </c>
      <c r="P32" s="34">
        <f t="shared" si="3"/>
        <v>0</v>
      </c>
      <c r="Q32" s="34">
        <f t="shared" si="3"/>
        <v>0</v>
      </c>
      <c r="R32" s="34">
        <f t="shared" si="3"/>
        <v>0</v>
      </c>
      <c r="S32" s="34">
        <f t="shared" si="3"/>
        <v>0</v>
      </c>
      <c r="T32" s="34">
        <f t="shared" si="3"/>
        <v>0</v>
      </c>
      <c r="U32" s="34">
        <f t="shared" si="3"/>
        <v>0</v>
      </c>
      <c r="V32" s="34">
        <f t="shared" si="3"/>
        <v>0</v>
      </c>
      <c r="W32" s="34">
        <f t="shared" si="3"/>
        <v>0</v>
      </c>
      <c r="X32" s="34">
        <f t="shared" si="3"/>
        <v>0</v>
      </c>
      <c r="Y32" s="34">
        <f t="shared" si="3"/>
        <v>0</v>
      </c>
      <c r="Z32" s="34">
        <f t="shared" si="3"/>
        <v>0</v>
      </c>
      <c r="AA32" s="34">
        <f t="shared" si="3"/>
        <v>0</v>
      </c>
      <c r="AB32" s="34">
        <f t="shared" si="3"/>
        <v>0</v>
      </c>
      <c r="AC32" s="34">
        <f t="shared" si="3"/>
        <v>0</v>
      </c>
      <c r="AD32" s="34">
        <f t="shared" si="3"/>
        <v>0</v>
      </c>
      <c r="AE32" s="34">
        <f t="shared" si="3"/>
        <v>0</v>
      </c>
      <c r="AF32" s="34">
        <f t="shared" si="3"/>
        <v>0</v>
      </c>
      <c r="AG32" s="34">
        <f t="shared" si="3"/>
        <v>0</v>
      </c>
      <c r="AH32" s="31">
        <f t="shared" si="4"/>
        <v>0</v>
      </c>
    </row>
    <row r="33" spans="1:34" x14ac:dyDescent="0.25">
      <c r="B33" s="1" t="s">
        <v>60</v>
      </c>
      <c r="D33" s="34">
        <f t="shared" si="3"/>
        <v>0</v>
      </c>
      <c r="E33" s="34">
        <f t="shared" si="3"/>
        <v>0</v>
      </c>
      <c r="F33" s="34">
        <f t="shared" si="3"/>
        <v>0</v>
      </c>
      <c r="G33" s="34">
        <f t="shared" si="3"/>
        <v>0</v>
      </c>
      <c r="H33" s="34">
        <f t="shared" si="3"/>
        <v>0</v>
      </c>
      <c r="I33" s="34">
        <f t="shared" si="3"/>
        <v>0</v>
      </c>
      <c r="J33" s="34">
        <f t="shared" si="3"/>
        <v>0</v>
      </c>
      <c r="K33" s="34">
        <f t="shared" si="3"/>
        <v>0</v>
      </c>
      <c r="L33" s="34">
        <f t="shared" si="3"/>
        <v>0</v>
      </c>
      <c r="M33" s="34">
        <f t="shared" si="3"/>
        <v>0</v>
      </c>
      <c r="N33" s="34">
        <f t="shared" si="3"/>
        <v>0</v>
      </c>
      <c r="O33" s="34">
        <f t="shared" si="3"/>
        <v>0</v>
      </c>
      <c r="P33" s="34">
        <f t="shared" si="3"/>
        <v>0</v>
      </c>
      <c r="Q33" s="34">
        <f t="shared" si="3"/>
        <v>0</v>
      </c>
      <c r="R33" s="34">
        <f t="shared" si="3"/>
        <v>0</v>
      </c>
      <c r="S33" s="34">
        <f t="shared" si="3"/>
        <v>0</v>
      </c>
      <c r="T33" s="34">
        <f t="shared" si="3"/>
        <v>0</v>
      </c>
      <c r="U33" s="34">
        <f t="shared" si="3"/>
        <v>0</v>
      </c>
      <c r="V33" s="34">
        <f t="shared" si="3"/>
        <v>0</v>
      </c>
      <c r="W33" s="34">
        <f t="shared" si="3"/>
        <v>0</v>
      </c>
      <c r="X33" s="34">
        <f t="shared" si="3"/>
        <v>0</v>
      </c>
      <c r="Y33" s="34">
        <f t="shared" si="3"/>
        <v>0</v>
      </c>
      <c r="Z33" s="34">
        <f t="shared" si="3"/>
        <v>0</v>
      </c>
      <c r="AA33" s="34">
        <f t="shared" si="3"/>
        <v>0</v>
      </c>
      <c r="AB33" s="34">
        <f t="shared" si="3"/>
        <v>0</v>
      </c>
      <c r="AC33" s="34">
        <f t="shared" si="3"/>
        <v>0</v>
      </c>
      <c r="AD33" s="34">
        <f t="shared" si="3"/>
        <v>0</v>
      </c>
      <c r="AE33" s="34">
        <f t="shared" si="3"/>
        <v>0</v>
      </c>
      <c r="AF33" s="34">
        <f t="shared" si="3"/>
        <v>0</v>
      </c>
      <c r="AG33" s="34">
        <f t="shared" si="3"/>
        <v>0</v>
      </c>
      <c r="AH33" s="31">
        <f t="shared" si="4"/>
        <v>0</v>
      </c>
    </row>
    <row r="34" spans="1:34" x14ac:dyDescent="0.25">
      <c r="B34" s="1" t="s">
        <v>0</v>
      </c>
      <c r="D34" s="34">
        <f t="shared" ref="D34:AG34" si="5">SUM(D28:D33)</f>
        <v>0</v>
      </c>
      <c r="E34" s="34">
        <f t="shared" si="5"/>
        <v>0</v>
      </c>
      <c r="F34" s="34">
        <f t="shared" si="5"/>
        <v>0</v>
      </c>
      <c r="G34" s="34">
        <f t="shared" si="5"/>
        <v>0</v>
      </c>
      <c r="H34" s="34">
        <f t="shared" si="5"/>
        <v>0</v>
      </c>
      <c r="I34" s="34">
        <f t="shared" si="5"/>
        <v>0</v>
      </c>
      <c r="J34" s="34">
        <f t="shared" si="5"/>
        <v>0</v>
      </c>
      <c r="K34" s="34">
        <f t="shared" si="5"/>
        <v>0</v>
      </c>
      <c r="L34" s="34">
        <f t="shared" si="5"/>
        <v>0</v>
      </c>
      <c r="M34" s="34">
        <f t="shared" si="5"/>
        <v>0</v>
      </c>
      <c r="N34" s="34">
        <f t="shared" si="5"/>
        <v>0</v>
      </c>
      <c r="O34" s="34">
        <f t="shared" si="5"/>
        <v>0</v>
      </c>
      <c r="P34" s="34">
        <f t="shared" si="5"/>
        <v>0</v>
      </c>
      <c r="Q34" s="34">
        <f t="shared" si="5"/>
        <v>0</v>
      </c>
      <c r="R34" s="34">
        <f t="shared" si="5"/>
        <v>0</v>
      </c>
      <c r="S34" s="34">
        <f t="shared" si="5"/>
        <v>0</v>
      </c>
      <c r="T34" s="34">
        <f t="shared" si="5"/>
        <v>0</v>
      </c>
      <c r="U34" s="34">
        <f t="shared" si="5"/>
        <v>0</v>
      </c>
      <c r="V34" s="34">
        <f t="shared" si="5"/>
        <v>0</v>
      </c>
      <c r="W34" s="34">
        <f t="shared" si="5"/>
        <v>0</v>
      </c>
      <c r="X34" s="34">
        <f t="shared" si="5"/>
        <v>0</v>
      </c>
      <c r="Y34" s="34">
        <f t="shared" si="5"/>
        <v>0</v>
      </c>
      <c r="Z34" s="34">
        <f t="shared" si="5"/>
        <v>0</v>
      </c>
      <c r="AA34" s="34">
        <f t="shared" si="5"/>
        <v>0</v>
      </c>
      <c r="AB34" s="34">
        <f t="shared" si="5"/>
        <v>0</v>
      </c>
      <c r="AC34" s="34">
        <f t="shared" si="5"/>
        <v>0</v>
      </c>
      <c r="AD34" s="34">
        <f t="shared" si="5"/>
        <v>0</v>
      </c>
      <c r="AE34" s="34">
        <f t="shared" si="5"/>
        <v>0</v>
      </c>
      <c r="AF34" s="34">
        <f t="shared" si="5"/>
        <v>0</v>
      </c>
      <c r="AG34" s="34">
        <f t="shared" si="5"/>
        <v>0</v>
      </c>
      <c r="AH34" s="31">
        <f t="shared" si="4"/>
        <v>0</v>
      </c>
    </row>
    <row r="36" spans="1:34" ht="36" customHeight="1" x14ac:dyDescent="0.25">
      <c r="A36" s="1" t="s">
        <v>111</v>
      </c>
      <c r="B36" s="75"/>
      <c r="C36" s="180">
        <f>'CF WA Elec'!E19</f>
        <v>0.9560685516223647</v>
      </c>
      <c r="D36" s="28">
        <f t="shared" ref="D36:AG36" si="6">D8</f>
        <v>44927</v>
      </c>
      <c r="E36" s="28">
        <f t="shared" si="6"/>
        <v>44958</v>
      </c>
      <c r="F36" s="28">
        <f t="shared" si="6"/>
        <v>44986</v>
      </c>
      <c r="G36" s="28">
        <f t="shared" si="6"/>
        <v>45017</v>
      </c>
      <c r="H36" s="28">
        <f t="shared" si="6"/>
        <v>45047</v>
      </c>
      <c r="I36" s="28">
        <f t="shared" si="6"/>
        <v>45078</v>
      </c>
      <c r="J36" s="28">
        <f t="shared" si="6"/>
        <v>45108</v>
      </c>
      <c r="K36" s="28">
        <f t="shared" si="6"/>
        <v>45139</v>
      </c>
      <c r="L36" s="28">
        <f t="shared" si="6"/>
        <v>45170</v>
      </c>
      <c r="M36" s="28">
        <f t="shared" si="6"/>
        <v>45200</v>
      </c>
      <c r="N36" s="28">
        <f t="shared" si="6"/>
        <v>45231</v>
      </c>
      <c r="O36" s="28">
        <f t="shared" si="6"/>
        <v>45261</v>
      </c>
      <c r="P36" s="28">
        <f t="shared" si="6"/>
        <v>45292</v>
      </c>
      <c r="Q36" s="28">
        <f t="shared" si="6"/>
        <v>45323</v>
      </c>
      <c r="R36" s="28">
        <f t="shared" si="6"/>
        <v>45352</v>
      </c>
      <c r="S36" s="28">
        <f t="shared" si="6"/>
        <v>45383</v>
      </c>
      <c r="T36" s="28">
        <f t="shared" si="6"/>
        <v>45413</v>
      </c>
      <c r="U36" s="28">
        <f t="shared" si="6"/>
        <v>45444</v>
      </c>
      <c r="V36" s="28">
        <f t="shared" si="6"/>
        <v>45474</v>
      </c>
      <c r="W36" s="28">
        <f t="shared" si="6"/>
        <v>45505</v>
      </c>
      <c r="X36" s="28">
        <f t="shared" si="6"/>
        <v>45536</v>
      </c>
      <c r="Y36" s="28">
        <f t="shared" si="6"/>
        <v>45566</v>
      </c>
      <c r="Z36" s="28">
        <f t="shared" si="6"/>
        <v>45597</v>
      </c>
      <c r="AA36" s="28">
        <f t="shared" si="6"/>
        <v>45627</v>
      </c>
      <c r="AB36" s="28">
        <f t="shared" si="6"/>
        <v>45658</v>
      </c>
      <c r="AC36" s="28">
        <f t="shared" si="6"/>
        <v>45689</v>
      </c>
      <c r="AD36" s="28">
        <f t="shared" si="6"/>
        <v>45717</v>
      </c>
      <c r="AE36" s="28">
        <f t="shared" si="6"/>
        <v>45748</v>
      </c>
      <c r="AF36" s="28">
        <f t="shared" si="6"/>
        <v>45778</v>
      </c>
      <c r="AG36" s="28">
        <f t="shared" si="6"/>
        <v>45809</v>
      </c>
    </row>
    <row r="37" spans="1:34" x14ac:dyDescent="0.25">
      <c r="B37" s="1" t="s">
        <v>55</v>
      </c>
      <c r="D37" s="34">
        <f t="shared" ref="D37:AG42" si="7">D28*$C$36</f>
        <v>0</v>
      </c>
      <c r="E37" s="34">
        <f t="shared" si="7"/>
        <v>0</v>
      </c>
      <c r="F37" s="34">
        <f t="shared" si="7"/>
        <v>0</v>
      </c>
      <c r="G37" s="34">
        <f t="shared" si="7"/>
        <v>0</v>
      </c>
      <c r="H37" s="34">
        <f t="shared" si="7"/>
        <v>0</v>
      </c>
      <c r="I37" s="34">
        <f t="shared" si="7"/>
        <v>0</v>
      </c>
      <c r="J37" s="34">
        <f t="shared" si="7"/>
        <v>0</v>
      </c>
      <c r="K37" s="34">
        <f t="shared" si="7"/>
        <v>0</v>
      </c>
      <c r="L37" s="34">
        <f t="shared" si="7"/>
        <v>0</v>
      </c>
      <c r="M37" s="34">
        <f t="shared" si="7"/>
        <v>0</v>
      </c>
      <c r="N37" s="34">
        <f t="shared" si="7"/>
        <v>0</v>
      </c>
      <c r="O37" s="34">
        <f t="shared" si="7"/>
        <v>0</v>
      </c>
      <c r="P37" s="34">
        <f t="shared" si="7"/>
        <v>0</v>
      </c>
      <c r="Q37" s="34">
        <f t="shared" si="7"/>
        <v>0</v>
      </c>
      <c r="R37" s="34">
        <f t="shared" si="7"/>
        <v>0</v>
      </c>
      <c r="S37" s="34">
        <f t="shared" si="7"/>
        <v>0</v>
      </c>
      <c r="T37" s="34">
        <f t="shared" si="7"/>
        <v>0</v>
      </c>
      <c r="U37" s="34">
        <f t="shared" si="7"/>
        <v>0</v>
      </c>
      <c r="V37" s="34">
        <f t="shared" si="7"/>
        <v>0</v>
      </c>
      <c r="W37" s="34">
        <f t="shared" si="7"/>
        <v>0</v>
      </c>
      <c r="X37" s="34">
        <f t="shared" si="7"/>
        <v>0</v>
      </c>
      <c r="Y37" s="34">
        <f t="shared" si="7"/>
        <v>0</v>
      </c>
      <c r="Z37" s="34">
        <f t="shared" si="7"/>
        <v>0</v>
      </c>
      <c r="AA37" s="34">
        <f t="shared" si="7"/>
        <v>0</v>
      </c>
      <c r="AB37" s="34">
        <f t="shared" si="7"/>
        <v>0</v>
      </c>
      <c r="AC37" s="34">
        <f t="shared" si="7"/>
        <v>0</v>
      </c>
      <c r="AD37" s="34">
        <f t="shared" si="7"/>
        <v>0</v>
      </c>
      <c r="AE37" s="34">
        <f t="shared" si="7"/>
        <v>0</v>
      </c>
      <c r="AF37" s="34">
        <f t="shared" si="7"/>
        <v>0</v>
      </c>
      <c r="AG37" s="34">
        <f t="shared" si="7"/>
        <v>0</v>
      </c>
      <c r="AH37" s="31">
        <f t="shared" ref="AH37:AH42" si="8">SUM(D37:AG37)</f>
        <v>0</v>
      </c>
    </row>
    <row r="38" spans="1:34" x14ac:dyDescent="0.25">
      <c r="B38" s="1" t="s">
        <v>56</v>
      </c>
      <c r="D38" s="34">
        <f t="shared" si="7"/>
        <v>0</v>
      </c>
      <c r="E38" s="34">
        <f t="shared" si="7"/>
        <v>0</v>
      </c>
      <c r="F38" s="34">
        <f t="shared" si="7"/>
        <v>0</v>
      </c>
      <c r="G38" s="34">
        <f t="shared" si="7"/>
        <v>0</v>
      </c>
      <c r="H38" s="34">
        <f t="shared" si="7"/>
        <v>0</v>
      </c>
      <c r="I38" s="34">
        <f t="shared" si="7"/>
        <v>0</v>
      </c>
      <c r="J38" s="34">
        <f t="shared" si="7"/>
        <v>0</v>
      </c>
      <c r="K38" s="34">
        <f t="shared" si="7"/>
        <v>0</v>
      </c>
      <c r="L38" s="34">
        <f t="shared" si="7"/>
        <v>0</v>
      </c>
      <c r="M38" s="34">
        <f t="shared" si="7"/>
        <v>0</v>
      </c>
      <c r="N38" s="34">
        <f t="shared" si="7"/>
        <v>0</v>
      </c>
      <c r="O38" s="34">
        <f t="shared" si="7"/>
        <v>0</v>
      </c>
      <c r="P38" s="34">
        <f t="shared" si="7"/>
        <v>0</v>
      </c>
      <c r="Q38" s="34">
        <f t="shared" si="7"/>
        <v>0</v>
      </c>
      <c r="R38" s="34">
        <f t="shared" si="7"/>
        <v>0</v>
      </c>
      <c r="S38" s="34">
        <f t="shared" si="7"/>
        <v>0</v>
      </c>
      <c r="T38" s="34">
        <f t="shared" si="7"/>
        <v>0</v>
      </c>
      <c r="U38" s="34">
        <f t="shared" si="7"/>
        <v>0</v>
      </c>
      <c r="V38" s="34">
        <f t="shared" si="7"/>
        <v>0</v>
      </c>
      <c r="W38" s="34">
        <f t="shared" si="7"/>
        <v>0</v>
      </c>
      <c r="X38" s="34">
        <f t="shared" si="7"/>
        <v>0</v>
      </c>
      <c r="Y38" s="34">
        <f t="shared" si="7"/>
        <v>0</v>
      </c>
      <c r="Z38" s="34">
        <f t="shared" si="7"/>
        <v>0</v>
      </c>
      <c r="AA38" s="34">
        <f t="shared" si="7"/>
        <v>0</v>
      </c>
      <c r="AB38" s="34">
        <f t="shared" si="7"/>
        <v>0</v>
      </c>
      <c r="AC38" s="34">
        <f t="shared" si="7"/>
        <v>0</v>
      </c>
      <c r="AD38" s="34">
        <f t="shared" si="7"/>
        <v>0</v>
      </c>
      <c r="AE38" s="34">
        <f t="shared" si="7"/>
        <v>0</v>
      </c>
      <c r="AF38" s="34">
        <f t="shared" si="7"/>
        <v>0</v>
      </c>
      <c r="AG38" s="34">
        <f t="shared" si="7"/>
        <v>0</v>
      </c>
      <c r="AH38" s="31">
        <f t="shared" si="8"/>
        <v>0</v>
      </c>
    </row>
    <row r="39" spans="1:34" x14ac:dyDescent="0.25">
      <c r="B39" s="1" t="s">
        <v>57</v>
      </c>
      <c r="D39" s="34">
        <f t="shared" si="7"/>
        <v>0</v>
      </c>
      <c r="E39" s="34">
        <f t="shared" si="7"/>
        <v>0</v>
      </c>
      <c r="F39" s="34">
        <f t="shared" si="7"/>
        <v>0</v>
      </c>
      <c r="G39" s="34">
        <f t="shared" si="7"/>
        <v>0</v>
      </c>
      <c r="H39" s="34">
        <f t="shared" si="7"/>
        <v>0</v>
      </c>
      <c r="I39" s="34">
        <f t="shared" si="7"/>
        <v>0</v>
      </c>
      <c r="J39" s="34">
        <f t="shared" si="7"/>
        <v>0</v>
      </c>
      <c r="K39" s="34">
        <f t="shared" si="7"/>
        <v>0</v>
      </c>
      <c r="L39" s="34">
        <f t="shared" si="7"/>
        <v>0</v>
      </c>
      <c r="M39" s="34">
        <f t="shared" si="7"/>
        <v>0</v>
      </c>
      <c r="N39" s="34">
        <f t="shared" si="7"/>
        <v>0</v>
      </c>
      <c r="O39" s="34">
        <f t="shared" si="7"/>
        <v>0</v>
      </c>
      <c r="P39" s="34">
        <f t="shared" si="7"/>
        <v>0</v>
      </c>
      <c r="Q39" s="34">
        <f t="shared" si="7"/>
        <v>0</v>
      </c>
      <c r="R39" s="34">
        <f t="shared" si="7"/>
        <v>0</v>
      </c>
      <c r="S39" s="34">
        <f t="shared" si="7"/>
        <v>0</v>
      </c>
      <c r="T39" s="34">
        <f t="shared" si="7"/>
        <v>0</v>
      </c>
      <c r="U39" s="34">
        <f t="shared" si="7"/>
        <v>0</v>
      </c>
      <c r="V39" s="34">
        <f t="shared" si="7"/>
        <v>0</v>
      </c>
      <c r="W39" s="34">
        <f t="shared" si="7"/>
        <v>0</v>
      </c>
      <c r="X39" s="34">
        <f t="shared" si="7"/>
        <v>0</v>
      </c>
      <c r="Y39" s="34">
        <f t="shared" si="7"/>
        <v>0</v>
      </c>
      <c r="Z39" s="34">
        <f t="shared" si="7"/>
        <v>0</v>
      </c>
      <c r="AA39" s="34">
        <f t="shared" si="7"/>
        <v>0</v>
      </c>
      <c r="AB39" s="34">
        <f t="shared" si="7"/>
        <v>0</v>
      </c>
      <c r="AC39" s="34">
        <f t="shared" si="7"/>
        <v>0</v>
      </c>
      <c r="AD39" s="34">
        <f t="shared" si="7"/>
        <v>0</v>
      </c>
      <c r="AE39" s="34">
        <f t="shared" si="7"/>
        <v>0</v>
      </c>
      <c r="AF39" s="34">
        <f t="shared" si="7"/>
        <v>0</v>
      </c>
      <c r="AG39" s="34">
        <f t="shared" si="7"/>
        <v>0</v>
      </c>
      <c r="AH39" s="31">
        <f t="shared" si="8"/>
        <v>0</v>
      </c>
    </row>
    <row r="40" spans="1:34" x14ac:dyDescent="0.25">
      <c r="B40" s="1" t="s">
        <v>58</v>
      </c>
      <c r="D40" s="34">
        <f t="shared" si="7"/>
        <v>0</v>
      </c>
      <c r="E40" s="34">
        <f t="shared" si="7"/>
        <v>0</v>
      </c>
      <c r="F40" s="34">
        <f t="shared" si="7"/>
        <v>0</v>
      </c>
      <c r="G40" s="34">
        <f t="shared" si="7"/>
        <v>0</v>
      </c>
      <c r="H40" s="34">
        <f t="shared" si="7"/>
        <v>0</v>
      </c>
      <c r="I40" s="34">
        <f t="shared" si="7"/>
        <v>0</v>
      </c>
      <c r="J40" s="34">
        <f t="shared" si="7"/>
        <v>0</v>
      </c>
      <c r="K40" s="34">
        <f t="shared" si="7"/>
        <v>0</v>
      </c>
      <c r="L40" s="34">
        <f t="shared" si="7"/>
        <v>0</v>
      </c>
      <c r="M40" s="34">
        <f t="shared" si="7"/>
        <v>0</v>
      </c>
      <c r="N40" s="34">
        <f t="shared" si="7"/>
        <v>0</v>
      </c>
      <c r="O40" s="34">
        <f t="shared" si="7"/>
        <v>0</v>
      </c>
      <c r="P40" s="34">
        <f t="shared" si="7"/>
        <v>0</v>
      </c>
      <c r="Q40" s="34">
        <f t="shared" si="7"/>
        <v>0</v>
      </c>
      <c r="R40" s="34">
        <f t="shared" si="7"/>
        <v>0</v>
      </c>
      <c r="S40" s="34">
        <f t="shared" si="7"/>
        <v>0</v>
      </c>
      <c r="T40" s="34">
        <f t="shared" si="7"/>
        <v>0</v>
      </c>
      <c r="U40" s="34">
        <f t="shared" si="7"/>
        <v>0</v>
      </c>
      <c r="V40" s="34">
        <f t="shared" si="7"/>
        <v>0</v>
      </c>
      <c r="W40" s="34">
        <f t="shared" si="7"/>
        <v>0</v>
      </c>
      <c r="X40" s="34">
        <f t="shared" si="7"/>
        <v>0</v>
      </c>
      <c r="Y40" s="34">
        <f t="shared" si="7"/>
        <v>0</v>
      </c>
      <c r="Z40" s="34">
        <f t="shared" si="7"/>
        <v>0</v>
      </c>
      <c r="AA40" s="34">
        <f t="shared" si="7"/>
        <v>0</v>
      </c>
      <c r="AB40" s="34">
        <f t="shared" si="7"/>
        <v>0</v>
      </c>
      <c r="AC40" s="34">
        <f t="shared" si="7"/>
        <v>0</v>
      </c>
      <c r="AD40" s="34">
        <f t="shared" si="7"/>
        <v>0</v>
      </c>
      <c r="AE40" s="34">
        <f t="shared" si="7"/>
        <v>0</v>
      </c>
      <c r="AF40" s="34">
        <f t="shared" si="7"/>
        <v>0</v>
      </c>
      <c r="AG40" s="34">
        <f t="shared" si="7"/>
        <v>0</v>
      </c>
      <c r="AH40" s="31">
        <f t="shared" si="8"/>
        <v>0</v>
      </c>
    </row>
    <row r="41" spans="1:34" x14ac:dyDescent="0.25">
      <c r="B41" s="1" t="s">
        <v>59</v>
      </c>
      <c r="D41" s="34">
        <f t="shared" si="7"/>
        <v>0</v>
      </c>
      <c r="E41" s="34">
        <f t="shared" si="7"/>
        <v>0</v>
      </c>
      <c r="F41" s="34">
        <f t="shared" si="7"/>
        <v>0</v>
      </c>
      <c r="G41" s="34">
        <f t="shared" si="7"/>
        <v>0</v>
      </c>
      <c r="H41" s="34">
        <f t="shared" si="7"/>
        <v>0</v>
      </c>
      <c r="I41" s="34">
        <f t="shared" si="7"/>
        <v>0</v>
      </c>
      <c r="J41" s="34">
        <f t="shared" si="7"/>
        <v>0</v>
      </c>
      <c r="K41" s="34">
        <f t="shared" si="7"/>
        <v>0</v>
      </c>
      <c r="L41" s="34">
        <f t="shared" si="7"/>
        <v>0</v>
      </c>
      <c r="M41" s="34">
        <f t="shared" si="7"/>
        <v>0</v>
      </c>
      <c r="N41" s="34">
        <f t="shared" si="7"/>
        <v>0</v>
      </c>
      <c r="O41" s="34">
        <f t="shared" si="7"/>
        <v>0</v>
      </c>
      <c r="P41" s="34">
        <f t="shared" si="7"/>
        <v>0</v>
      </c>
      <c r="Q41" s="34">
        <f t="shared" si="7"/>
        <v>0</v>
      </c>
      <c r="R41" s="34">
        <f t="shared" si="7"/>
        <v>0</v>
      </c>
      <c r="S41" s="34">
        <f t="shared" si="7"/>
        <v>0</v>
      </c>
      <c r="T41" s="34">
        <f t="shared" si="7"/>
        <v>0</v>
      </c>
      <c r="U41" s="34">
        <f t="shared" si="7"/>
        <v>0</v>
      </c>
      <c r="V41" s="34">
        <f t="shared" si="7"/>
        <v>0</v>
      </c>
      <c r="W41" s="34">
        <f t="shared" si="7"/>
        <v>0</v>
      </c>
      <c r="X41" s="34">
        <f t="shared" si="7"/>
        <v>0</v>
      </c>
      <c r="Y41" s="34">
        <f t="shared" si="7"/>
        <v>0</v>
      </c>
      <c r="Z41" s="34">
        <f t="shared" si="7"/>
        <v>0</v>
      </c>
      <c r="AA41" s="34">
        <f t="shared" si="7"/>
        <v>0</v>
      </c>
      <c r="AB41" s="34">
        <f t="shared" si="7"/>
        <v>0</v>
      </c>
      <c r="AC41" s="34">
        <f t="shared" si="7"/>
        <v>0</v>
      </c>
      <c r="AD41" s="34">
        <f t="shared" si="7"/>
        <v>0</v>
      </c>
      <c r="AE41" s="34">
        <f t="shared" si="7"/>
        <v>0</v>
      </c>
      <c r="AF41" s="34">
        <f t="shared" si="7"/>
        <v>0</v>
      </c>
      <c r="AG41" s="34">
        <f t="shared" si="7"/>
        <v>0</v>
      </c>
      <c r="AH41" s="31">
        <f t="shared" si="8"/>
        <v>0</v>
      </c>
    </row>
    <row r="42" spans="1:34" x14ac:dyDescent="0.25">
      <c r="B42" s="66" t="s">
        <v>60</v>
      </c>
      <c r="D42" s="36">
        <f t="shared" si="7"/>
        <v>0</v>
      </c>
      <c r="E42" s="36">
        <f t="shared" si="7"/>
        <v>0</v>
      </c>
      <c r="F42" s="36">
        <f t="shared" si="7"/>
        <v>0</v>
      </c>
      <c r="G42" s="36">
        <f t="shared" si="7"/>
        <v>0</v>
      </c>
      <c r="H42" s="36">
        <f t="shared" si="7"/>
        <v>0</v>
      </c>
      <c r="I42" s="36">
        <f t="shared" si="7"/>
        <v>0</v>
      </c>
      <c r="J42" s="36">
        <f t="shared" si="7"/>
        <v>0</v>
      </c>
      <c r="K42" s="36">
        <f t="shared" si="7"/>
        <v>0</v>
      </c>
      <c r="L42" s="36">
        <f t="shared" si="7"/>
        <v>0</v>
      </c>
      <c r="M42" s="36">
        <f t="shared" si="7"/>
        <v>0</v>
      </c>
      <c r="N42" s="36">
        <f t="shared" si="7"/>
        <v>0</v>
      </c>
      <c r="O42" s="36">
        <f t="shared" si="7"/>
        <v>0</v>
      </c>
      <c r="P42" s="36">
        <f t="shared" si="7"/>
        <v>0</v>
      </c>
      <c r="Q42" s="36">
        <f t="shared" si="7"/>
        <v>0</v>
      </c>
      <c r="R42" s="36">
        <f t="shared" si="7"/>
        <v>0</v>
      </c>
      <c r="S42" s="36">
        <f t="shared" si="7"/>
        <v>0</v>
      </c>
      <c r="T42" s="36">
        <f t="shared" si="7"/>
        <v>0</v>
      </c>
      <c r="U42" s="36">
        <f t="shared" si="7"/>
        <v>0</v>
      </c>
      <c r="V42" s="36">
        <f t="shared" si="7"/>
        <v>0</v>
      </c>
      <c r="W42" s="36">
        <f t="shared" si="7"/>
        <v>0</v>
      </c>
      <c r="X42" s="36">
        <f t="shared" si="7"/>
        <v>0</v>
      </c>
      <c r="Y42" s="36">
        <f t="shared" si="7"/>
        <v>0</v>
      </c>
      <c r="Z42" s="36">
        <f t="shared" si="7"/>
        <v>0</v>
      </c>
      <c r="AA42" s="36">
        <f t="shared" si="7"/>
        <v>0</v>
      </c>
      <c r="AB42" s="36">
        <f t="shared" si="7"/>
        <v>0</v>
      </c>
      <c r="AC42" s="36">
        <f t="shared" si="7"/>
        <v>0</v>
      </c>
      <c r="AD42" s="36">
        <f t="shared" si="7"/>
        <v>0</v>
      </c>
      <c r="AE42" s="36">
        <f t="shared" si="7"/>
        <v>0</v>
      </c>
      <c r="AF42" s="36">
        <f t="shared" si="7"/>
        <v>0</v>
      </c>
      <c r="AG42" s="36">
        <f t="shared" si="7"/>
        <v>0</v>
      </c>
      <c r="AH42" s="31">
        <f t="shared" si="8"/>
        <v>0</v>
      </c>
    </row>
    <row r="43" spans="1:34" x14ac:dyDescent="0.25">
      <c r="B43" s="1" t="s">
        <v>0</v>
      </c>
      <c r="C43" s="24"/>
      <c r="D43" s="35">
        <f t="shared" ref="D43:AG43" si="9">SUM(D37:D42)</f>
        <v>0</v>
      </c>
      <c r="E43" s="35">
        <f t="shared" si="9"/>
        <v>0</v>
      </c>
      <c r="F43" s="35">
        <f t="shared" si="9"/>
        <v>0</v>
      </c>
      <c r="G43" s="35">
        <f t="shared" si="9"/>
        <v>0</v>
      </c>
      <c r="H43" s="35">
        <f t="shared" si="9"/>
        <v>0</v>
      </c>
      <c r="I43" s="35">
        <f t="shared" si="9"/>
        <v>0</v>
      </c>
      <c r="J43" s="35">
        <f t="shared" si="9"/>
        <v>0</v>
      </c>
      <c r="K43" s="35">
        <f t="shared" si="9"/>
        <v>0</v>
      </c>
      <c r="L43" s="35">
        <f t="shared" si="9"/>
        <v>0</v>
      </c>
      <c r="M43" s="35">
        <f t="shared" si="9"/>
        <v>0</v>
      </c>
      <c r="N43" s="35">
        <f t="shared" si="9"/>
        <v>0</v>
      </c>
      <c r="O43" s="35">
        <f t="shared" si="9"/>
        <v>0</v>
      </c>
      <c r="P43" s="35">
        <f t="shared" si="9"/>
        <v>0</v>
      </c>
      <c r="Q43" s="35">
        <f t="shared" si="9"/>
        <v>0</v>
      </c>
      <c r="R43" s="35">
        <f t="shared" si="9"/>
        <v>0</v>
      </c>
      <c r="S43" s="35">
        <f t="shared" si="9"/>
        <v>0</v>
      </c>
      <c r="T43" s="35">
        <f t="shared" si="9"/>
        <v>0</v>
      </c>
      <c r="U43" s="35">
        <f t="shared" si="9"/>
        <v>0</v>
      </c>
      <c r="V43" s="35">
        <f t="shared" si="9"/>
        <v>0</v>
      </c>
      <c r="W43" s="35">
        <f t="shared" si="9"/>
        <v>0</v>
      </c>
      <c r="X43" s="35">
        <f t="shared" si="9"/>
        <v>0</v>
      </c>
      <c r="Y43" s="35">
        <f t="shared" si="9"/>
        <v>0</v>
      </c>
      <c r="Z43" s="35">
        <f t="shared" si="9"/>
        <v>0</v>
      </c>
      <c r="AA43" s="35">
        <f t="shared" si="9"/>
        <v>0</v>
      </c>
      <c r="AB43" s="35">
        <f t="shared" si="9"/>
        <v>0</v>
      </c>
      <c r="AC43" s="35">
        <f t="shared" si="9"/>
        <v>0</v>
      </c>
      <c r="AD43" s="35">
        <f t="shared" si="9"/>
        <v>0</v>
      </c>
      <c r="AE43" s="35">
        <f t="shared" si="9"/>
        <v>0</v>
      </c>
      <c r="AF43" s="35">
        <f t="shared" si="9"/>
        <v>0</v>
      </c>
      <c r="AG43" s="35">
        <f t="shared" si="9"/>
        <v>0</v>
      </c>
      <c r="AH43" s="31">
        <f>SUM(AH37:AH42)</f>
        <v>0</v>
      </c>
    </row>
    <row r="44" spans="1:34" x14ac:dyDescent="0.25">
      <c r="C44" s="64"/>
    </row>
    <row r="45" spans="1:34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</row>
    <row r="47" spans="1:34" x14ac:dyDescent="0.25">
      <c r="D47" s="35"/>
      <c r="E47" s="35"/>
      <c r="F47" s="35"/>
      <c r="G47" s="35"/>
      <c r="H47" s="35"/>
      <c r="I47" s="35"/>
      <c r="J47" s="35"/>
      <c r="K47" s="35"/>
      <c r="L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2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47"/>
  <sheetViews>
    <sheetView zoomScaleNormal="100" workbookViewId="0">
      <selection activeCell="Y32" sqref="Y32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2" width="13.42578125" style="1" bestFit="1" customWidth="1"/>
    <col min="13" max="13" width="14.28515625" style="1" bestFit="1" customWidth="1"/>
    <col min="14" max="14" width="12.5703125" style="1" bestFit="1" customWidth="1"/>
    <col min="15" max="33" width="14.42578125" style="1" customWidth="1"/>
    <col min="34" max="34" width="15" style="1" customWidth="1"/>
    <col min="35" max="16384" width="9.140625" style="1"/>
  </cols>
  <sheetData>
    <row r="1" spans="1:34" x14ac:dyDescent="0.25">
      <c r="B1" s="44" t="s">
        <v>126</v>
      </c>
    </row>
    <row r="2" spans="1:34" x14ac:dyDescent="0.25">
      <c r="B2" s="44" t="s">
        <v>127</v>
      </c>
    </row>
    <row r="3" spans="1:34" x14ac:dyDescent="0.25">
      <c r="B3" s="102" t="s">
        <v>128</v>
      </c>
    </row>
    <row r="5" spans="1:34" x14ac:dyDescent="0.25">
      <c r="A5" s="27" t="s">
        <v>71</v>
      </c>
      <c r="B5" s="27"/>
    </row>
    <row r="8" spans="1:34" x14ac:dyDescent="0.25">
      <c r="A8" s="1" t="s">
        <v>54</v>
      </c>
      <c r="D8" s="28">
        <v>44927</v>
      </c>
      <c r="E8" s="28">
        <v>44958</v>
      </c>
      <c r="F8" s="28">
        <v>44986</v>
      </c>
      <c r="G8" s="28">
        <v>45017</v>
      </c>
      <c r="H8" s="28">
        <v>45047</v>
      </c>
      <c r="I8" s="28">
        <v>45078</v>
      </c>
      <c r="J8" s="28">
        <v>45108</v>
      </c>
      <c r="K8" s="28">
        <v>45139</v>
      </c>
      <c r="L8" s="28">
        <v>45170</v>
      </c>
      <c r="M8" s="28">
        <v>45200</v>
      </c>
      <c r="N8" s="28">
        <v>45231</v>
      </c>
      <c r="O8" s="28">
        <v>45261</v>
      </c>
      <c r="P8" s="28">
        <v>45292</v>
      </c>
      <c r="Q8" s="28">
        <v>45323</v>
      </c>
      <c r="R8" s="28">
        <v>45352</v>
      </c>
      <c r="S8" s="28">
        <v>45383</v>
      </c>
      <c r="T8" s="28">
        <v>45413</v>
      </c>
      <c r="U8" s="28">
        <v>45444</v>
      </c>
      <c r="V8" s="28">
        <v>45474</v>
      </c>
      <c r="W8" s="28">
        <v>45505</v>
      </c>
      <c r="X8" s="28">
        <v>45536</v>
      </c>
      <c r="Y8" s="28">
        <v>45566</v>
      </c>
      <c r="Z8" s="28">
        <v>45597</v>
      </c>
      <c r="AA8" s="28">
        <v>45627</v>
      </c>
      <c r="AB8" s="28">
        <v>45658</v>
      </c>
      <c r="AC8" s="28">
        <v>45689</v>
      </c>
      <c r="AD8" s="28">
        <v>45717</v>
      </c>
      <c r="AE8" s="28">
        <v>45748</v>
      </c>
      <c r="AF8" s="28">
        <v>45778</v>
      </c>
      <c r="AG8" s="28">
        <v>45809</v>
      </c>
      <c r="AH8" s="1" t="s">
        <v>112</v>
      </c>
    </row>
    <row r="9" spans="1:34" x14ac:dyDescent="0.25">
      <c r="B9" s="1" t="s">
        <v>83</v>
      </c>
      <c r="D9" s="29"/>
      <c r="E9" s="29"/>
      <c r="F9" s="29"/>
      <c r="G9" s="29"/>
      <c r="H9" s="29"/>
      <c r="I9" s="29"/>
      <c r="J9" s="29">
        <f>'kWh Forecast'!O19</f>
        <v>196453732.82550579</v>
      </c>
      <c r="K9" s="29">
        <f>'kWh Forecast'!P19</f>
        <v>209266297.60104942</v>
      </c>
      <c r="L9" s="29">
        <f>'kWh Forecast'!Q19</f>
        <v>155742734.78345945</v>
      </c>
      <c r="M9" s="29">
        <f>'kWh Forecast'!R19</f>
        <v>172836041.1291908</v>
      </c>
      <c r="N9" s="29">
        <f>'kWh Forecast'!S19</f>
        <v>230374929.5155212</v>
      </c>
      <c r="O9" s="29">
        <f>'kWh Forecast'!T19</f>
        <v>296917929.96332842</v>
      </c>
      <c r="P9" s="29">
        <f>'kWh Forecast'!U19</f>
        <v>302120264.33725601</v>
      </c>
      <c r="Q9" s="29">
        <f>'kWh Forecast'!V19</f>
        <v>255240200.66714668</v>
      </c>
      <c r="R9" s="29">
        <f>'kWh Forecast'!W19</f>
        <v>227481319.28180018</v>
      </c>
      <c r="S9" s="29">
        <f>'kWh Forecast'!X19</f>
        <v>185227052.39345241</v>
      </c>
      <c r="T9" s="29">
        <f>'kWh Forecast'!Y19</f>
        <v>166003779.48943084</v>
      </c>
      <c r="U9" s="29">
        <f>'kWh Forecast'!Z19</f>
        <v>163529472.4618564</v>
      </c>
      <c r="V9" s="29">
        <f>'kWh Forecast'!AA19</f>
        <v>192460833.84788927</v>
      </c>
      <c r="W9" s="29">
        <f>'kWh Forecast'!AB19</f>
        <v>207946755.03022233</v>
      </c>
      <c r="X9" s="29">
        <f>'kWh Forecast'!AC19</f>
        <v>158277220.03709269</v>
      </c>
      <c r="Y9" s="29">
        <f>'kWh Forecast'!AD19</f>
        <v>175977983.07888946</v>
      </c>
      <c r="Z9" s="29">
        <f>'kWh Forecast'!AE19</f>
        <v>228852796.80646789</v>
      </c>
      <c r="AA9" s="29">
        <f>'kWh Forecast'!AF19</f>
        <v>297275264.90576875</v>
      </c>
      <c r="AB9" s="29">
        <f>'kWh Forecast'!AG19</f>
        <v>302185943.71906984</v>
      </c>
      <c r="AC9" s="29">
        <f>'kWh Forecast'!AH19</f>
        <v>257367214.76570728</v>
      </c>
      <c r="AD9" s="29">
        <f>'kWh Forecast'!AI19</f>
        <v>232066478.29038659</v>
      </c>
      <c r="AE9" s="29">
        <f>'kWh Forecast'!AJ19</f>
        <v>188394022.04960853</v>
      </c>
      <c r="AF9" s="29">
        <f>'kWh Forecast'!AK19</f>
        <v>169289373.7163378</v>
      </c>
      <c r="AG9" s="29">
        <f>'kWh Forecast'!AL19</f>
        <v>164441184.18856531</v>
      </c>
      <c r="AH9" s="31">
        <f t="shared" ref="AH9:AH14" si="0">SUM(D9:AG9)</f>
        <v>5135728824.8850031</v>
      </c>
    </row>
    <row r="10" spans="1:34" x14ac:dyDescent="0.25">
      <c r="B10" s="1" t="s">
        <v>56</v>
      </c>
      <c r="D10" s="29"/>
      <c r="E10" s="29"/>
      <c r="F10" s="29"/>
      <c r="G10" s="29"/>
      <c r="H10" s="29"/>
      <c r="I10" s="29"/>
      <c r="J10" s="29">
        <f>'kWh Forecast'!O20</f>
        <v>56095221.520522907</v>
      </c>
      <c r="K10" s="29">
        <f>'kWh Forecast'!P20</f>
        <v>55464210.93044614</v>
      </c>
      <c r="L10" s="29">
        <f>'kWh Forecast'!Q20</f>
        <v>50215696.074492998</v>
      </c>
      <c r="M10" s="29">
        <f>'kWh Forecast'!R20</f>
        <v>51339208.212971874</v>
      </c>
      <c r="N10" s="29">
        <f>'kWh Forecast'!S20</f>
        <v>58664176.616294332</v>
      </c>
      <c r="O10" s="29">
        <f>'kWh Forecast'!T20</f>
        <v>64791544.926576048</v>
      </c>
      <c r="P10" s="29">
        <f>'kWh Forecast'!U20</f>
        <v>63770167.133059852</v>
      </c>
      <c r="Q10" s="29">
        <f>'kWh Forecast'!V20</f>
        <v>59995916.889757469</v>
      </c>
      <c r="R10" s="29">
        <f>'kWh Forecast'!W20</f>
        <v>56523371.587601081</v>
      </c>
      <c r="S10" s="29">
        <f>'kWh Forecast'!X20</f>
        <v>49684588.96441891</v>
      </c>
      <c r="T10" s="29">
        <f>'kWh Forecast'!Y20</f>
        <v>47934307.712073348</v>
      </c>
      <c r="U10" s="29">
        <f>'kWh Forecast'!Z20</f>
        <v>49363952.934894577</v>
      </c>
      <c r="V10" s="29">
        <f>'kWh Forecast'!AA20</f>
        <v>57141620.540042736</v>
      </c>
      <c r="W10" s="29">
        <f>'kWh Forecast'!AB20</f>
        <v>56090333.105452381</v>
      </c>
      <c r="X10" s="29">
        <f>'kWh Forecast'!AC20</f>
        <v>50299735.624149792</v>
      </c>
      <c r="Y10" s="29">
        <f>'kWh Forecast'!AD20</f>
        <v>51968526.973251835</v>
      </c>
      <c r="Z10" s="29">
        <f>'kWh Forecast'!AE20</f>
        <v>59513609.097712018</v>
      </c>
      <c r="AA10" s="29">
        <f>'kWh Forecast'!AF20</f>
        <v>65675708.784400016</v>
      </c>
      <c r="AB10" s="29">
        <f>'kWh Forecast'!AG20</f>
        <v>64819506.303091019</v>
      </c>
      <c r="AC10" s="29">
        <f>'kWh Forecast'!AH20</f>
        <v>60494177.001693919</v>
      </c>
      <c r="AD10" s="29">
        <f>'kWh Forecast'!AI20</f>
        <v>57358141.984595299</v>
      </c>
      <c r="AE10" s="29">
        <f>'kWh Forecast'!AJ20</f>
        <v>50159117.174878299</v>
      </c>
      <c r="AF10" s="29">
        <f>'kWh Forecast'!AK20</f>
        <v>48605247.82499478</v>
      </c>
      <c r="AG10" s="29">
        <f>'kWh Forecast'!AL20</f>
        <v>49908841.100667477</v>
      </c>
      <c r="AH10" s="31">
        <f t="shared" si="0"/>
        <v>1335876929.0180392</v>
      </c>
    </row>
    <row r="11" spans="1:34" x14ac:dyDescent="0.25">
      <c r="B11" s="1" t="s">
        <v>57</v>
      </c>
      <c r="D11" s="29"/>
      <c r="E11" s="29"/>
      <c r="F11" s="29"/>
      <c r="G11" s="29"/>
      <c r="H11" s="29"/>
      <c r="I11" s="29"/>
      <c r="J11" s="29">
        <f>'kWh Forecast'!O21</f>
        <v>112977088.66465129</v>
      </c>
      <c r="K11" s="29">
        <f>'kWh Forecast'!P21</f>
        <v>108552418.62717734</v>
      </c>
      <c r="L11" s="29">
        <f>'kWh Forecast'!Q21</f>
        <v>100721399.38571118</v>
      </c>
      <c r="M11" s="29">
        <f>'kWh Forecast'!R21</f>
        <v>112819545.16367477</v>
      </c>
      <c r="N11" s="29">
        <f>'kWh Forecast'!S21</f>
        <v>110564910.48502697</v>
      </c>
      <c r="O11" s="29">
        <f>'kWh Forecast'!T21</f>
        <v>104642063.53924263</v>
      </c>
      <c r="P11" s="29">
        <f>'kWh Forecast'!U21</f>
        <v>102356312.41614927</v>
      </c>
      <c r="Q11" s="29">
        <f>'kWh Forecast'!V21</f>
        <v>104627299.63172153</v>
      </c>
      <c r="R11" s="29">
        <f>'kWh Forecast'!W21</f>
        <v>100434262.27371232</v>
      </c>
      <c r="S11" s="29">
        <f>'kWh Forecast'!X21</f>
        <v>97735561.821382791</v>
      </c>
      <c r="T11" s="29">
        <f>'kWh Forecast'!Y21</f>
        <v>100957379.1395191</v>
      </c>
      <c r="U11" s="29">
        <f>'kWh Forecast'!Z21</f>
        <v>106502920.78477423</v>
      </c>
      <c r="V11" s="29">
        <f>'kWh Forecast'!AA21</f>
        <v>113919366.56799889</v>
      </c>
      <c r="W11" s="29">
        <f>'kWh Forecast'!AB21</f>
        <v>107429742.64370918</v>
      </c>
      <c r="X11" s="29">
        <f>'kWh Forecast'!AC21</f>
        <v>99711075.274444148</v>
      </c>
      <c r="Y11" s="29">
        <f>'kWh Forecast'!AD21</f>
        <v>113298684.60987434</v>
      </c>
      <c r="Z11" s="29">
        <f>'kWh Forecast'!AE21</f>
        <v>111932057.5619739</v>
      </c>
      <c r="AA11" s="29">
        <f>'kWh Forecast'!AF21</f>
        <v>105998049.12506291</v>
      </c>
      <c r="AB11" s="29">
        <f>'kWh Forecast'!AG21</f>
        <v>103034104.25245897</v>
      </c>
      <c r="AC11" s="29">
        <f>'kWh Forecast'!AH21</f>
        <v>103603206.21693957</v>
      </c>
      <c r="AD11" s="29">
        <f>'kWh Forecast'!AI21</f>
        <v>99842058.771631569</v>
      </c>
      <c r="AE11" s="29">
        <f>'kWh Forecast'!AJ21</f>
        <v>96862416.17301853</v>
      </c>
      <c r="AF11" s="29">
        <f>'kWh Forecast'!AK21</f>
        <v>100873087.21483272</v>
      </c>
      <c r="AG11" s="29">
        <f>'kWh Forecast'!AL21</f>
        <v>106492977.71238141</v>
      </c>
      <c r="AH11" s="31">
        <f t="shared" si="0"/>
        <v>2525887988.0570698</v>
      </c>
    </row>
    <row r="12" spans="1:34" x14ac:dyDescent="0.25">
      <c r="B12" s="1" t="s">
        <v>58</v>
      </c>
      <c r="D12" s="29"/>
      <c r="E12" s="29"/>
      <c r="F12" s="29"/>
      <c r="G12" s="29"/>
      <c r="H12" s="29"/>
      <c r="I12" s="29"/>
      <c r="J12" s="29">
        <f>'kWh Forecast'!O22</f>
        <v>90445103</v>
      </c>
      <c r="K12" s="29">
        <f>'kWh Forecast'!P22</f>
        <v>97473252</v>
      </c>
      <c r="L12" s="29">
        <f>'kWh Forecast'!Q22</f>
        <v>86092179</v>
      </c>
      <c r="M12" s="29">
        <f>'kWh Forecast'!R22</f>
        <v>90154627</v>
      </c>
      <c r="N12" s="29">
        <f>'kWh Forecast'!S22</f>
        <v>84693081</v>
      </c>
      <c r="O12" s="29">
        <f>'kWh Forecast'!T22</f>
        <v>88860112</v>
      </c>
      <c r="P12" s="29">
        <f>'kWh Forecast'!U22</f>
        <v>92100698</v>
      </c>
      <c r="Q12" s="29">
        <f>'kWh Forecast'!V22</f>
        <v>82158979</v>
      </c>
      <c r="R12" s="29">
        <f>'kWh Forecast'!W22</f>
        <v>88703052</v>
      </c>
      <c r="S12" s="29">
        <f>'kWh Forecast'!X22</f>
        <v>88285754</v>
      </c>
      <c r="T12" s="29">
        <f>'kWh Forecast'!Y22</f>
        <v>87447967</v>
      </c>
      <c r="U12" s="29">
        <f>'kWh Forecast'!Z22</f>
        <v>88107928</v>
      </c>
      <c r="V12" s="29">
        <f>'kWh Forecast'!AA22</f>
        <v>88906759</v>
      </c>
      <c r="W12" s="29">
        <f>'kWh Forecast'!AB22</f>
        <v>97479036</v>
      </c>
      <c r="X12" s="29">
        <f>'kWh Forecast'!AC22</f>
        <v>86384595</v>
      </c>
      <c r="Y12" s="29">
        <f>'kWh Forecast'!AD22</f>
        <v>89273450</v>
      </c>
      <c r="Z12" s="29">
        <f>'kWh Forecast'!AE22</f>
        <v>85857653</v>
      </c>
      <c r="AA12" s="29">
        <f>'kWh Forecast'!AF22</f>
        <v>88441845</v>
      </c>
      <c r="AB12" s="29">
        <f>'kWh Forecast'!AG22</f>
        <v>91621305</v>
      </c>
      <c r="AC12" s="29">
        <f>'kWh Forecast'!AH22</f>
        <v>82494045</v>
      </c>
      <c r="AD12" s="29">
        <f>'kWh Forecast'!AI22</f>
        <v>87075230</v>
      </c>
      <c r="AE12" s="29">
        <f>'kWh Forecast'!AJ22</f>
        <v>88725445</v>
      </c>
      <c r="AF12" s="29">
        <f>'kWh Forecast'!AK22</f>
        <v>86862150</v>
      </c>
      <c r="AG12" s="29">
        <f>'kWh Forecast'!AL22</f>
        <v>87935038</v>
      </c>
      <c r="AH12" s="31">
        <f t="shared" si="0"/>
        <v>2125579283</v>
      </c>
    </row>
    <row r="13" spans="1:34" x14ac:dyDescent="0.25">
      <c r="B13" s="1" t="s">
        <v>59</v>
      </c>
      <c r="D13" s="29"/>
      <c r="E13" s="29"/>
      <c r="F13" s="29"/>
      <c r="G13" s="29"/>
      <c r="H13" s="29"/>
      <c r="I13" s="29"/>
      <c r="J13" s="29">
        <f>'kWh Forecast'!O23</f>
        <v>25353797.419315163</v>
      </c>
      <c r="K13" s="29">
        <f>'kWh Forecast'!P23</f>
        <v>28267567.740399349</v>
      </c>
      <c r="L13" s="29">
        <f>'kWh Forecast'!Q23</f>
        <v>22941972.701248884</v>
      </c>
      <c r="M13" s="29">
        <f>'kWh Forecast'!R23</f>
        <v>11303533.595424337</v>
      </c>
      <c r="N13" s="29">
        <f>'kWh Forecast'!S23</f>
        <v>2231416.5157431569</v>
      </c>
      <c r="O13" s="29">
        <f>'kWh Forecast'!T23</f>
        <v>2944362.1134637855</v>
      </c>
      <c r="P13" s="29">
        <f>'kWh Forecast'!U23</f>
        <v>4267894.1500995196</v>
      </c>
      <c r="Q13" s="29">
        <f>'kWh Forecast'!V23</f>
        <v>4148599.6709626261</v>
      </c>
      <c r="R13" s="29">
        <f>'kWh Forecast'!W23</f>
        <v>4312272.6219825391</v>
      </c>
      <c r="S13" s="29">
        <f>'kWh Forecast'!X23</f>
        <v>6091765.4881241657</v>
      </c>
      <c r="T13" s="29">
        <f>'kWh Forecast'!Y23</f>
        <v>13591455.061472366</v>
      </c>
      <c r="U13" s="29">
        <f>'kWh Forecast'!Z23</f>
        <v>21693328.266418211</v>
      </c>
      <c r="V13" s="29">
        <f>'kWh Forecast'!AA23</f>
        <v>25662598.321469579</v>
      </c>
      <c r="W13" s="29">
        <f>'kWh Forecast'!AB23</f>
        <v>28274461.4919191</v>
      </c>
      <c r="X13" s="29">
        <f>'kWh Forecast'!AC23</f>
        <v>22725878.463602275</v>
      </c>
      <c r="Y13" s="29">
        <f>'kWh Forecast'!AD23</f>
        <v>11818293.508299258</v>
      </c>
      <c r="Z13" s="29">
        <f>'kWh Forecast'!AE23</f>
        <v>2771719.0727195381</v>
      </c>
      <c r="AA13" s="29">
        <f>'kWh Forecast'!AF23</f>
        <v>3274280.533563477</v>
      </c>
      <c r="AB13" s="29">
        <f>'kWh Forecast'!AG23</f>
        <v>4147127.463784446</v>
      </c>
      <c r="AC13" s="29">
        <f>'kWh Forecast'!AH23</f>
        <v>4254606.3158679157</v>
      </c>
      <c r="AD13" s="29">
        <f>'kWh Forecast'!AI23</f>
        <v>4250488.2237942042</v>
      </c>
      <c r="AE13" s="29">
        <f>'kWh Forecast'!AJ23</f>
        <v>6089044.1679767286</v>
      </c>
      <c r="AF13" s="29">
        <f>'kWh Forecast'!AK23</f>
        <v>12983926.897617493</v>
      </c>
      <c r="AG13" s="29">
        <f>'kWh Forecast'!AL23</f>
        <v>20785296.318044029</v>
      </c>
      <c r="AH13" s="31">
        <f t="shared" si="0"/>
        <v>294185686.12331212</v>
      </c>
    </row>
    <row r="14" spans="1:34" x14ac:dyDescent="0.25">
      <c r="B14" s="1" t="s">
        <v>60</v>
      </c>
      <c r="D14" s="29"/>
      <c r="E14" s="29"/>
      <c r="F14" s="29"/>
      <c r="G14" s="29"/>
      <c r="H14" s="29"/>
      <c r="I14" s="29"/>
      <c r="J14" s="29">
        <f>'kWh Forecast'!O24</f>
        <v>1297254.7296365609</v>
      </c>
      <c r="K14" s="29">
        <f>'kWh Forecast'!P24</f>
        <v>1318572.8385579409</v>
      </c>
      <c r="L14" s="29">
        <f>'kWh Forecast'!Q24</f>
        <v>1317545.3920340193</v>
      </c>
      <c r="M14" s="29">
        <f>'kWh Forecast'!R24</f>
        <v>1291228.0263941458</v>
      </c>
      <c r="N14" s="29">
        <f>'kWh Forecast'!S24</f>
        <v>1295517.2293914184</v>
      </c>
      <c r="O14" s="29">
        <f>'kWh Forecast'!T24</f>
        <v>1323193.4273065061</v>
      </c>
      <c r="P14" s="29">
        <f>'kWh Forecast'!U24</f>
        <v>1294258.5860627098</v>
      </c>
      <c r="Q14" s="29">
        <f>'kWh Forecast'!V24</f>
        <v>1248484.9561865169</v>
      </c>
      <c r="R14" s="29">
        <f>'kWh Forecast'!W24</f>
        <v>1332499.7247278495</v>
      </c>
      <c r="S14" s="29">
        <f>'kWh Forecast'!X24</f>
        <v>1270727.8691569627</v>
      </c>
      <c r="T14" s="29">
        <f>'kWh Forecast'!Y24</f>
        <v>1274294.1390946764</v>
      </c>
      <c r="U14" s="29">
        <f>'kWh Forecast'!Z24</f>
        <v>1289909.0680508316</v>
      </c>
      <c r="V14" s="29">
        <f>'kWh Forecast'!AA24</f>
        <v>1290688.1360754282</v>
      </c>
      <c r="W14" s="29">
        <f>'kWh Forecast'!AB24</f>
        <v>1289443.886587417</v>
      </c>
      <c r="X14" s="29">
        <f>'kWh Forecast'!AC24</f>
        <v>1292365.5728054985</v>
      </c>
      <c r="Y14" s="29">
        <f>'kWh Forecast'!AD24</f>
        <v>1267181.4261797885</v>
      </c>
      <c r="Z14" s="29">
        <f>'kWh Forecast'!AE24</f>
        <v>1271336.6743442169</v>
      </c>
      <c r="AA14" s="29">
        <f>'kWh Forecast'!AF24</f>
        <v>1302626.9079819501</v>
      </c>
      <c r="AB14" s="29">
        <f>'kWh Forecast'!AG24</f>
        <v>1273720.3451935495</v>
      </c>
      <c r="AC14" s="29">
        <f>'kWh Forecast'!AH24</f>
        <v>1224777.8982679946</v>
      </c>
      <c r="AD14" s="29">
        <f>'kWh Forecast'!AI24</f>
        <v>1308069.1455762428</v>
      </c>
      <c r="AE14" s="29">
        <f>'kWh Forecast'!AJ24</f>
        <v>1250016.8477099631</v>
      </c>
      <c r="AF14" s="29">
        <f>'kWh Forecast'!AK24</f>
        <v>1253205.6543161506</v>
      </c>
      <c r="AG14" s="29">
        <f>'kWh Forecast'!AL24</f>
        <v>1266943.1333474196</v>
      </c>
      <c r="AH14" s="31">
        <f t="shared" si="0"/>
        <v>30843861.614985753</v>
      </c>
    </row>
    <row r="15" spans="1:34" x14ac:dyDescent="0.25">
      <c r="A15" s="1" t="s">
        <v>61</v>
      </c>
      <c r="D15" s="30">
        <f t="shared" ref="D15:L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482622198.15963167</v>
      </c>
      <c r="K15" s="30">
        <f t="shared" si="1"/>
        <v>500342319.73763025</v>
      </c>
      <c r="L15" s="30">
        <f t="shared" si="1"/>
        <v>417031527.33694649</v>
      </c>
      <c r="M15" s="30">
        <f t="shared" ref="M15:AG15" si="2">SUM(M9:M14)</f>
        <v>439744183.12765592</v>
      </c>
      <c r="N15" s="30">
        <f t="shared" si="2"/>
        <v>487824031.36197704</v>
      </c>
      <c r="O15" s="30">
        <f t="shared" si="2"/>
        <v>559479205.96991742</v>
      </c>
      <c r="P15" s="30">
        <f t="shared" si="2"/>
        <v>565909594.62262726</v>
      </c>
      <c r="Q15" s="30">
        <f t="shared" si="2"/>
        <v>507419480.81577486</v>
      </c>
      <c r="R15" s="30">
        <f t="shared" si="2"/>
        <v>478786777.489824</v>
      </c>
      <c r="S15" s="30">
        <f t="shared" si="2"/>
        <v>428295450.53653526</v>
      </c>
      <c r="T15" s="30">
        <f t="shared" si="2"/>
        <v>417209182.54159033</v>
      </c>
      <c r="U15" s="30">
        <f t="shared" si="2"/>
        <v>430487511.51599431</v>
      </c>
      <c r="V15" s="30">
        <f t="shared" si="2"/>
        <v>479381866.41347593</v>
      </c>
      <c r="W15" s="30">
        <f t="shared" si="2"/>
        <v>498509772.15789044</v>
      </c>
      <c r="X15" s="30">
        <f t="shared" si="2"/>
        <v>418690869.97209442</v>
      </c>
      <c r="Y15" s="30">
        <f t="shared" si="2"/>
        <v>443604119.59649467</v>
      </c>
      <c r="Z15" s="30">
        <f t="shared" si="2"/>
        <v>490199172.21321762</v>
      </c>
      <c r="AA15" s="30">
        <f t="shared" si="2"/>
        <v>561967775.25677717</v>
      </c>
      <c r="AB15" s="30">
        <f t="shared" si="2"/>
        <v>567081707.08359778</v>
      </c>
      <c r="AC15" s="30">
        <f t="shared" si="2"/>
        <v>509438027.19847667</v>
      </c>
      <c r="AD15" s="30">
        <f t="shared" si="2"/>
        <v>481900466.41598392</v>
      </c>
      <c r="AE15" s="30">
        <f t="shared" si="2"/>
        <v>431480061.41319203</v>
      </c>
      <c r="AF15" s="30">
        <f t="shared" si="2"/>
        <v>419866991.30809891</v>
      </c>
      <c r="AG15" s="30">
        <f t="shared" si="2"/>
        <v>430830280.45300561</v>
      </c>
      <c r="AH15" s="31">
        <f>SUM(AH9:AH14)</f>
        <v>11448102572.69841</v>
      </c>
    </row>
    <row r="16" spans="1:34" x14ac:dyDescent="0.25">
      <c r="D16" s="31">
        <f>D15-'kWh Forecast'!I25</f>
        <v>0</v>
      </c>
      <c r="E16" s="31">
        <f>E15-'kWh Forecast'!J25</f>
        <v>0</v>
      </c>
      <c r="F16" s="31">
        <f>F15-'kWh Forecast'!K25</f>
        <v>0</v>
      </c>
      <c r="G16" s="31">
        <f>G15-'kWh Forecast'!L25</f>
        <v>0</v>
      </c>
      <c r="H16" s="31">
        <f>H15-'kWh Forecast'!M25</f>
        <v>0</v>
      </c>
      <c r="I16" s="31">
        <f>I15-'kWh Forecast'!N25</f>
        <v>0</v>
      </c>
      <c r="J16" s="31">
        <f>J15-'kWh Forecast'!O25</f>
        <v>0</v>
      </c>
      <c r="K16" s="31">
        <f>K15-'kWh Forecast'!P25</f>
        <v>0</v>
      </c>
      <c r="L16" s="31">
        <f>L15-'kWh Forecast'!Q25</f>
        <v>0</v>
      </c>
    </row>
    <row r="18" spans="1:34" x14ac:dyDescent="0.25">
      <c r="A18" s="1" t="s">
        <v>109</v>
      </c>
    </row>
    <row r="19" spans="1:34" x14ac:dyDescent="0.25">
      <c r="B19" s="1" t="s">
        <v>83</v>
      </c>
      <c r="D19" s="32"/>
      <c r="E19" s="32"/>
      <c r="F19" s="32"/>
      <c r="G19" s="32"/>
      <c r="H19" s="32"/>
      <c r="I19" s="32"/>
      <c r="J19" s="32">
        <f>'Rate Design'!$D$13</f>
        <v>3.0541483151219255E-3</v>
      </c>
      <c r="K19" s="32">
        <f>'Rate Design'!$D$13</f>
        <v>3.0541483151219255E-3</v>
      </c>
      <c r="L19" s="32">
        <f>'Rate Design'!$D$13</f>
        <v>3.0541483151219255E-3</v>
      </c>
      <c r="M19" s="32">
        <f>'Rate Design'!$D$13</f>
        <v>3.0541483151219255E-3</v>
      </c>
      <c r="N19" s="32">
        <f>'Rate Design'!$D$13</f>
        <v>3.0541483151219255E-3</v>
      </c>
      <c r="O19" s="32">
        <f>'Rate Design'!$D$13</f>
        <v>3.0541483151219255E-3</v>
      </c>
      <c r="P19" s="32">
        <f>'Rate Design'!$D$13</f>
        <v>3.0541483151219255E-3</v>
      </c>
      <c r="Q19" s="32">
        <f>'Rate Design'!$D$13</f>
        <v>3.0541483151219255E-3</v>
      </c>
      <c r="R19" s="32">
        <f>'Rate Design'!$D$13</f>
        <v>3.0541483151219255E-3</v>
      </c>
      <c r="S19" s="32">
        <f>'Rate Design'!$D$13</f>
        <v>3.0541483151219255E-3</v>
      </c>
      <c r="T19" s="32">
        <f>'Rate Design'!$D$13</f>
        <v>3.0541483151219255E-3</v>
      </c>
      <c r="U19" s="32">
        <f>'Rate Design'!$D$13</f>
        <v>3.0541483151219255E-3</v>
      </c>
      <c r="V19" s="32">
        <f>'Rate Design'!$D$13</f>
        <v>3.0541483151219255E-3</v>
      </c>
      <c r="W19" s="32">
        <f>'Rate Design'!$D$13</f>
        <v>3.0541483151219255E-3</v>
      </c>
      <c r="X19" s="32">
        <f>'Rate Design'!$D$13</f>
        <v>3.0541483151219255E-3</v>
      </c>
      <c r="Y19" s="32">
        <f>'Rate Design'!$D$13</f>
        <v>3.0541483151219255E-3</v>
      </c>
      <c r="Z19" s="32">
        <f>'Rate Design'!$D$13</f>
        <v>3.0541483151219255E-3</v>
      </c>
      <c r="AA19" s="32">
        <f>'Rate Design'!$D$13</f>
        <v>3.0541483151219255E-3</v>
      </c>
      <c r="AB19" s="32">
        <f>'Rate Design'!$D$13</f>
        <v>3.0541483151219255E-3</v>
      </c>
      <c r="AC19" s="32">
        <f>'Rate Design'!$D$13</f>
        <v>3.0541483151219255E-3</v>
      </c>
      <c r="AD19" s="32">
        <f>'Rate Design'!$D$13</f>
        <v>3.0541483151219255E-3</v>
      </c>
      <c r="AE19" s="32">
        <f>'Rate Design'!$D$13</f>
        <v>3.0541483151219255E-3</v>
      </c>
      <c r="AF19" s="32">
        <f>'Rate Design'!$D$13</f>
        <v>3.0541483151219255E-3</v>
      </c>
      <c r="AG19" s="32">
        <f>'Rate Design'!$D$13</f>
        <v>3.0541483151219255E-3</v>
      </c>
    </row>
    <row r="20" spans="1:34" x14ac:dyDescent="0.25">
      <c r="B20" s="1" t="s">
        <v>56</v>
      </c>
      <c r="D20" s="32"/>
      <c r="E20" s="32"/>
      <c r="F20" s="32"/>
      <c r="G20" s="32"/>
      <c r="H20" s="32"/>
      <c r="I20" s="32"/>
      <c r="J20" s="32">
        <f>'Rate Design'!$E$13</f>
        <v>2.9821443804026989E-3</v>
      </c>
      <c r="K20" s="32">
        <f>'Rate Design'!$E$13</f>
        <v>2.9821443804026989E-3</v>
      </c>
      <c r="L20" s="32">
        <f>'Rate Design'!$E$13</f>
        <v>2.9821443804026989E-3</v>
      </c>
      <c r="M20" s="32">
        <f>'Rate Design'!$E$13</f>
        <v>2.9821443804026989E-3</v>
      </c>
      <c r="N20" s="32">
        <f>'Rate Design'!$E$13</f>
        <v>2.9821443804026989E-3</v>
      </c>
      <c r="O20" s="32">
        <f>'Rate Design'!$E$13</f>
        <v>2.9821443804026989E-3</v>
      </c>
      <c r="P20" s="32">
        <f>'Rate Design'!$E$13</f>
        <v>2.9821443804026989E-3</v>
      </c>
      <c r="Q20" s="32">
        <f>'Rate Design'!$E$13</f>
        <v>2.9821443804026989E-3</v>
      </c>
      <c r="R20" s="32">
        <f>'Rate Design'!$E$13</f>
        <v>2.9821443804026989E-3</v>
      </c>
      <c r="S20" s="32">
        <f>'Rate Design'!$E$13</f>
        <v>2.9821443804026989E-3</v>
      </c>
      <c r="T20" s="32">
        <f>'Rate Design'!$E$13</f>
        <v>2.9821443804026989E-3</v>
      </c>
      <c r="U20" s="32">
        <f>'Rate Design'!$E$13</f>
        <v>2.9821443804026989E-3</v>
      </c>
      <c r="V20" s="32">
        <f>'Rate Design'!$E$13</f>
        <v>2.9821443804026989E-3</v>
      </c>
      <c r="W20" s="32">
        <f>'Rate Design'!$E$13</f>
        <v>2.9821443804026989E-3</v>
      </c>
      <c r="X20" s="32">
        <f>'Rate Design'!$E$13</f>
        <v>2.9821443804026989E-3</v>
      </c>
      <c r="Y20" s="32">
        <f>'Rate Design'!$E$13</f>
        <v>2.9821443804026989E-3</v>
      </c>
      <c r="Z20" s="32">
        <f>'Rate Design'!$E$13</f>
        <v>2.9821443804026989E-3</v>
      </c>
      <c r="AA20" s="32">
        <f>'Rate Design'!$E$13</f>
        <v>2.9821443804026989E-3</v>
      </c>
      <c r="AB20" s="32">
        <f>'Rate Design'!$E$13</f>
        <v>2.9821443804026989E-3</v>
      </c>
      <c r="AC20" s="32">
        <f>'Rate Design'!$E$13</f>
        <v>2.9821443804026989E-3</v>
      </c>
      <c r="AD20" s="32">
        <f>'Rate Design'!$E$13</f>
        <v>2.9821443804026989E-3</v>
      </c>
      <c r="AE20" s="32">
        <f>'Rate Design'!$E$13</f>
        <v>2.9821443804026989E-3</v>
      </c>
      <c r="AF20" s="32">
        <f>'Rate Design'!$E$13</f>
        <v>2.9821443804026989E-3</v>
      </c>
      <c r="AG20" s="32">
        <f>'Rate Design'!$E$13</f>
        <v>2.9821443804026989E-3</v>
      </c>
    </row>
    <row r="21" spans="1:34" x14ac:dyDescent="0.25">
      <c r="B21" s="1" t="s">
        <v>57</v>
      </c>
      <c r="D21" s="32"/>
      <c r="E21" s="32"/>
      <c r="F21" s="32"/>
      <c r="G21" s="32"/>
      <c r="H21" s="32"/>
      <c r="I21" s="32"/>
      <c r="J21" s="32">
        <f>'Rate Design'!$F$13</f>
        <v>3.2271110073483844E-3</v>
      </c>
      <c r="K21" s="32">
        <f>'Rate Design'!$F$13</f>
        <v>3.2271110073483844E-3</v>
      </c>
      <c r="L21" s="32">
        <f>'Rate Design'!$F$13</f>
        <v>3.2271110073483844E-3</v>
      </c>
      <c r="M21" s="32">
        <f>'Rate Design'!$F$13</f>
        <v>3.2271110073483844E-3</v>
      </c>
      <c r="N21" s="32">
        <f>'Rate Design'!$F$13</f>
        <v>3.2271110073483844E-3</v>
      </c>
      <c r="O21" s="32">
        <f>'Rate Design'!$F$13</f>
        <v>3.2271110073483844E-3</v>
      </c>
      <c r="P21" s="32">
        <f>'Rate Design'!$F$13</f>
        <v>3.2271110073483844E-3</v>
      </c>
      <c r="Q21" s="32">
        <f>'Rate Design'!$F$13</f>
        <v>3.2271110073483844E-3</v>
      </c>
      <c r="R21" s="32">
        <f>'Rate Design'!$F$13</f>
        <v>3.2271110073483844E-3</v>
      </c>
      <c r="S21" s="32">
        <f>'Rate Design'!$F$13</f>
        <v>3.2271110073483844E-3</v>
      </c>
      <c r="T21" s="32">
        <f>'Rate Design'!$F$13</f>
        <v>3.2271110073483844E-3</v>
      </c>
      <c r="U21" s="32">
        <f>'Rate Design'!$F$13</f>
        <v>3.2271110073483844E-3</v>
      </c>
      <c r="V21" s="32">
        <f>'Rate Design'!$F$13</f>
        <v>3.2271110073483844E-3</v>
      </c>
      <c r="W21" s="32">
        <f>'Rate Design'!$F$13</f>
        <v>3.2271110073483844E-3</v>
      </c>
      <c r="X21" s="32">
        <f>'Rate Design'!$F$13</f>
        <v>3.2271110073483844E-3</v>
      </c>
      <c r="Y21" s="32">
        <f>'Rate Design'!$F$13</f>
        <v>3.2271110073483844E-3</v>
      </c>
      <c r="Z21" s="32">
        <f>'Rate Design'!$F$13</f>
        <v>3.2271110073483844E-3</v>
      </c>
      <c r="AA21" s="32">
        <f>'Rate Design'!$F$13</f>
        <v>3.2271110073483844E-3</v>
      </c>
      <c r="AB21" s="32">
        <f>'Rate Design'!$F$13</f>
        <v>3.2271110073483844E-3</v>
      </c>
      <c r="AC21" s="32">
        <f>'Rate Design'!$F$13</f>
        <v>3.2271110073483844E-3</v>
      </c>
      <c r="AD21" s="32">
        <f>'Rate Design'!$F$13</f>
        <v>3.2271110073483844E-3</v>
      </c>
      <c r="AE21" s="32">
        <f>'Rate Design'!$F$13</f>
        <v>3.2271110073483844E-3</v>
      </c>
      <c r="AF21" s="32">
        <f>'Rate Design'!$F$13</f>
        <v>3.2271110073483844E-3</v>
      </c>
      <c r="AG21" s="32">
        <f>'Rate Design'!$F$13</f>
        <v>3.2271110073483844E-3</v>
      </c>
    </row>
    <row r="22" spans="1:34" x14ac:dyDescent="0.25">
      <c r="B22" s="1" t="s">
        <v>58</v>
      </c>
      <c r="D22" s="32"/>
      <c r="E22" s="32"/>
      <c r="F22" s="32"/>
      <c r="G22" s="32"/>
      <c r="H22" s="32"/>
      <c r="I22" s="32"/>
      <c r="J22" s="32">
        <f>'Rate Design'!$G$13</f>
        <v>2.961334759061361E-3</v>
      </c>
      <c r="K22" s="32">
        <f>'Rate Design'!$G$13</f>
        <v>2.961334759061361E-3</v>
      </c>
      <c r="L22" s="32">
        <f>'Rate Design'!$G$13</f>
        <v>2.961334759061361E-3</v>
      </c>
      <c r="M22" s="32">
        <f>'Rate Design'!$G$13</f>
        <v>2.961334759061361E-3</v>
      </c>
      <c r="N22" s="32">
        <f>'Rate Design'!$G$13</f>
        <v>2.961334759061361E-3</v>
      </c>
      <c r="O22" s="32">
        <f>'Rate Design'!$G$13</f>
        <v>2.961334759061361E-3</v>
      </c>
      <c r="P22" s="32">
        <f>'Rate Design'!$G$13</f>
        <v>2.961334759061361E-3</v>
      </c>
      <c r="Q22" s="32">
        <f>'Rate Design'!$G$13</f>
        <v>2.961334759061361E-3</v>
      </c>
      <c r="R22" s="32">
        <f>'Rate Design'!$G$13</f>
        <v>2.961334759061361E-3</v>
      </c>
      <c r="S22" s="32">
        <f>'Rate Design'!$G$13</f>
        <v>2.961334759061361E-3</v>
      </c>
      <c r="T22" s="32">
        <f>'Rate Design'!$G$13</f>
        <v>2.961334759061361E-3</v>
      </c>
      <c r="U22" s="32">
        <f>'Rate Design'!$G$13</f>
        <v>2.961334759061361E-3</v>
      </c>
      <c r="V22" s="32">
        <f>'Rate Design'!$G$13</f>
        <v>2.961334759061361E-3</v>
      </c>
      <c r="W22" s="32">
        <f>'Rate Design'!$G$13</f>
        <v>2.961334759061361E-3</v>
      </c>
      <c r="X22" s="32">
        <f>'Rate Design'!$G$13</f>
        <v>2.961334759061361E-3</v>
      </c>
      <c r="Y22" s="32">
        <f>'Rate Design'!$G$13</f>
        <v>2.961334759061361E-3</v>
      </c>
      <c r="Z22" s="32">
        <f>'Rate Design'!$G$13</f>
        <v>2.961334759061361E-3</v>
      </c>
      <c r="AA22" s="32">
        <f>'Rate Design'!$G$13</f>
        <v>2.961334759061361E-3</v>
      </c>
      <c r="AB22" s="32">
        <f>'Rate Design'!$G$13</f>
        <v>2.961334759061361E-3</v>
      </c>
      <c r="AC22" s="32">
        <f>'Rate Design'!$G$13</f>
        <v>2.961334759061361E-3</v>
      </c>
      <c r="AD22" s="32">
        <f>'Rate Design'!$G$13</f>
        <v>2.961334759061361E-3</v>
      </c>
      <c r="AE22" s="32">
        <f>'Rate Design'!$G$13</f>
        <v>2.961334759061361E-3</v>
      </c>
      <c r="AF22" s="32">
        <f>'Rate Design'!$G$13</f>
        <v>2.961334759061361E-3</v>
      </c>
      <c r="AG22" s="32">
        <f>'Rate Design'!$G$13</f>
        <v>2.961334759061361E-3</v>
      </c>
    </row>
    <row r="23" spans="1:34" x14ac:dyDescent="0.25">
      <c r="B23" s="1" t="s">
        <v>59</v>
      </c>
      <c r="D23" s="32"/>
      <c r="E23" s="32"/>
      <c r="F23" s="32"/>
      <c r="G23" s="32"/>
      <c r="H23" s="32"/>
      <c r="I23" s="32"/>
      <c r="J23" s="32">
        <f>'Rate Design'!$H$13</f>
        <v>3.4831085028731584E-3</v>
      </c>
      <c r="K23" s="32">
        <f>'Rate Design'!$H$13</f>
        <v>3.4831085028731584E-3</v>
      </c>
      <c r="L23" s="32">
        <f>'Rate Design'!$H$13</f>
        <v>3.4831085028731584E-3</v>
      </c>
      <c r="M23" s="32">
        <f>'Rate Design'!$H$13</f>
        <v>3.4831085028731584E-3</v>
      </c>
      <c r="N23" s="32">
        <f>'Rate Design'!$H$13</f>
        <v>3.4831085028731584E-3</v>
      </c>
      <c r="O23" s="32">
        <f>'Rate Design'!$H$13</f>
        <v>3.4831085028731584E-3</v>
      </c>
      <c r="P23" s="32">
        <f>'Rate Design'!$H$13</f>
        <v>3.4831085028731584E-3</v>
      </c>
      <c r="Q23" s="32">
        <f>'Rate Design'!$H$13</f>
        <v>3.4831085028731584E-3</v>
      </c>
      <c r="R23" s="32">
        <f>'Rate Design'!$H$13</f>
        <v>3.4831085028731584E-3</v>
      </c>
      <c r="S23" s="32">
        <f>'Rate Design'!$H$13</f>
        <v>3.4831085028731584E-3</v>
      </c>
      <c r="T23" s="32">
        <f>'Rate Design'!$H$13</f>
        <v>3.4831085028731584E-3</v>
      </c>
      <c r="U23" s="32">
        <f>'Rate Design'!$H$13</f>
        <v>3.4831085028731584E-3</v>
      </c>
      <c r="V23" s="32">
        <f>'Rate Design'!$H$13</f>
        <v>3.4831085028731584E-3</v>
      </c>
      <c r="W23" s="32">
        <f>'Rate Design'!$H$13</f>
        <v>3.4831085028731584E-3</v>
      </c>
      <c r="X23" s="32">
        <f>'Rate Design'!$H$13</f>
        <v>3.4831085028731584E-3</v>
      </c>
      <c r="Y23" s="32">
        <f>'Rate Design'!$H$13</f>
        <v>3.4831085028731584E-3</v>
      </c>
      <c r="Z23" s="32">
        <f>'Rate Design'!$H$13</f>
        <v>3.4831085028731584E-3</v>
      </c>
      <c r="AA23" s="32">
        <f>'Rate Design'!$H$13</f>
        <v>3.4831085028731584E-3</v>
      </c>
      <c r="AB23" s="32">
        <f>'Rate Design'!$H$13</f>
        <v>3.4831085028731584E-3</v>
      </c>
      <c r="AC23" s="32">
        <f>'Rate Design'!$H$13</f>
        <v>3.4831085028731584E-3</v>
      </c>
      <c r="AD23" s="32">
        <f>'Rate Design'!$H$13</f>
        <v>3.4831085028731584E-3</v>
      </c>
      <c r="AE23" s="32">
        <f>'Rate Design'!$H$13</f>
        <v>3.4831085028731584E-3</v>
      </c>
      <c r="AF23" s="32">
        <f>'Rate Design'!$H$13</f>
        <v>3.4831085028731584E-3</v>
      </c>
      <c r="AG23" s="32">
        <f>'Rate Design'!$H$13</f>
        <v>3.4831085028731584E-3</v>
      </c>
    </row>
    <row r="24" spans="1:34" x14ac:dyDescent="0.25">
      <c r="B24" s="1" t="s">
        <v>60</v>
      </c>
      <c r="D24" s="32"/>
      <c r="E24" s="32"/>
      <c r="F24" s="32"/>
      <c r="G24" s="32"/>
      <c r="H24" s="32"/>
      <c r="I24" s="32"/>
      <c r="J24" s="32">
        <f>'Rate Design'!$I$13</f>
        <v>3.4547734639361655E-3</v>
      </c>
      <c r="K24" s="32">
        <f>'Rate Design'!$I$13</f>
        <v>3.4547734639361655E-3</v>
      </c>
      <c r="L24" s="32">
        <f>'Rate Design'!$I$13</f>
        <v>3.4547734639361655E-3</v>
      </c>
      <c r="M24" s="32">
        <f>'Rate Design'!$I$13</f>
        <v>3.4547734639361655E-3</v>
      </c>
      <c r="N24" s="32">
        <f>'Rate Design'!$I$13</f>
        <v>3.4547734639361655E-3</v>
      </c>
      <c r="O24" s="32">
        <f>'Rate Design'!$I$13</f>
        <v>3.4547734639361655E-3</v>
      </c>
      <c r="P24" s="32">
        <f>'Rate Design'!$I$13</f>
        <v>3.4547734639361655E-3</v>
      </c>
      <c r="Q24" s="32">
        <f>'Rate Design'!$I$13</f>
        <v>3.4547734639361655E-3</v>
      </c>
      <c r="R24" s="32">
        <f>'Rate Design'!$I$13</f>
        <v>3.4547734639361655E-3</v>
      </c>
      <c r="S24" s="32">
        <f>'Rate Design'!$I$13</f>
        <v>3.4547734639361655E-3</v>
      </c>
      <c r="T24" s="32">
        <f>'Rate Design'!$I$13</f>
        <v>3.4547734639361655E-3</v>
      </c>
      <c r="U24" s="32">
        <f>'Rate Design'!$I$13</f>
        <v>3.4547734639361655E-3</v>
      </c>
      <c r="V24" s="32">
        <f>'Rate Design'!$I$13</f>
        <v>3.4547734639361655E-3</v>
      </c>
      <c r="W24" s="32">
        <f>'Rate Design'!$I$13</f>
        <v>3.4547734639361655E-3</v>
      </c>
      <c r="X24" s="32">
        <f>'Rate Design'!$I$13</f>
        <v>3.4547734639361655E-3</v>
      </c>
      <c r="Y24" s="32">
        <f>'Rate Design'!$I$13</f>
        <v>3.4547734639361655E-3</v>
      </c>
      <c r="Z24" s="32">
        <f>'Rate Design'!$I$13</f>
        <v>3.4547734639361655E-3</v>
      </c>
      <c r="AA24" s="32">
        <f>'Rate Design'!$I$13</f>
        <v>3.4547734639361655E-3</v>
      </c>
      <c r="AB24" s="32">
        <f>'Rate Design'!$I$13</f>
        <v>3.4547734639361655E-3</v>
      </c>
      <c r="AC24" s="32">
        <f>'Rate Design'!$I$13</f>
        <v>3.4547734639361655E-3</v>
      </c>
      <c r="AD24" s="32">
        <f>'Rate Design'!$I$13</f>
        <v>3.4547734639361655E-3</v>
      </c>
      <c r="AE24" s="32">
        <f>'Rate Design'!$I$13</f>
        <v>3.4547734639361655E-3</v>
      </c>
      <c r="AF24" s="32">
        <f>'Rate Design'!$I$13</f>
        <v>3.4547734639361655E-3</v>
      </c>
      <c r="AG24" s="32">
        <f>'Rate Design'!$I$13</f>
        <v>3.4547734639361655E-3</v>
      </c>
    </row>
    <row r="25" spans="1:34" x14ac:dyDescent="0.25">
      <c r="D25" s="33"/>
      <c r="E25" s="33"/>
      <c r="F25" s="33"/>
      <c r="G25" s="33"/>
      <c r="H25" s="33"/>
      <c r="I25" s="33"/>
      <c r="J25" s="33"/>
      <c r="K25" s="33"/>
      <c r="L25" s="33"/>
    </row>
    <row r="27" spans="1:34" x14ac:dyDescent="0.25">
      <c r="A27" s="1" t="s">
        <v>110</v>
      </c>
      <c r="D27" s="28">
        <f t="shared" ref="D27:AG27" si="3">D8</f>
        <v>44927</v>
      </c>
      <c r="E27" s="28">
        <f t="shared" si="3"/>
        <v>44958</v>
      </c>
      <c r="F27" s="28">
        <f t="shared" si="3"/>
        <v>44986</v>
      </c>
      <c r="G27" s="28">
        <f t="shared" si="3"/>
        <v>45017</v>
      </c>
      <c r="H27" s="28">
        <f t="shared" si="3"/>
        <v>45047</v>
      </c>
      <c r="I27" s="28">
        <f t="shared" si="3"/>
        <v>45078</v>
      </c>
      <c r="J27" s="28">
        <f t="shared" si="3"/>
        <v>45108</v>
      </c>
      <c r="K27" s="28">
        <f t="shared" si="3"/>
        <v>45139</v>
      </c>
      <c r="L27" s="28">
        <f t="shared" si="3"/>
        <v>45170</v>
      </c>
      <c r="M27" s="28">
        <f t="shared" si="3"/>
        <v>45200</v>
      </c>
      <c r="N27" s="28">
        <f t="shared" si="3"/>
        <v>45231</v>
      </c>
      <c r="O27" s="28">
        <f t="shared" si="3"/>
        <v>45261</v>
      </c>
      <c r="P27" s="28">
        <f t="shared" si="3"/>
        <v>45292</v>
      </c>
      <c r="Q27" s="28">
        <f t="shared" si="3"/>
        <v>45323</v>
      </c>
      <c r="R27" s="28">
        <f t="shared" si="3"/>
        <v>45352</v>
      </c>
      <c r="S27" s="28">
        <f t="shared" si="3"/>
        <v>45383</v>
      </c>
      <c r="T27" s="28">
        <f t="shared" si="3"/>
        <v>45413</v>
      </c>
      <c r="U27" s="28">
        <f t="shared" si="3"/>
        <v>45444</v>
      </c>
      <c r="V27" s="28">
        <f t="shared" si="3"/>
        <v>45474</v>
      </c>
      <c r="W27" s="28">
        <f t="shared" si="3"/>
        <v>45505</v>
      </c>
      <c r="X27" s="28">
        <f t="shared" si="3"/>
        <v>45536</v>
      </c>
      <c r="Y27" s="28">
        <f t="shared" si="3"/>
        <v>45566</v>
      </c>
      <c r="Z27" s="28">
        <f t="shared" si="3"/>
        <v>45597</v>
      </c>
      <c r="AA27" s="28">
        <f t="shared" si="3"/>
        <v>45627</v>
      </c>
      <c r="AB27" s="28">
        <f t="shared" si="3"/>
        <v>45658</v>
      </c>
      <c r="AC27" s="28">
        <f t="shared" si="3"/>
        <v>45689</v>
      </c>
      <c r="AD27" s="28">
        <f t="shared" si="3"/>
        <v>45717</v>
      </c>
      <c r="AE27" s="28">
        <f t="shared" si="3"/>
        <v>45748</v>
      </c>
      <c r="AF27" s="28">
        <f t="shared" si="3"/>
        <v>45778</v>
      </c>
      <c r="AG27" s="28">
        <f t="shared" si="3"/>
        <v>45809</v>
      </c>
      <c r="AH27" s="1" t="s">
        <v>0</v>
      </c>
    </row>
    <row r="28" spans="1:34" x14ac:dyDescent="0.25">
      <c r="B28" s="1" t="s">
        <v>55</v>
      </c>
      <c r="D28" s="34">
        <f t="shared" ref="D28:AG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599998.83710843138</v>
      </c>
      <c r="K28" s="34">
        <f t="shared" si="4"/>
        <v>639130.31023004849</v>
      </c>
      <c r="L28" s="34">
        <f t="shared" si="4"/>
        <v>475661.41103138361</v>
      </c>
      <c r="M28" s="34">
        <f t="shared" si="4"/>
        <v>527866.90380706196</v>
      </c>
      <c r="N28" s="34">
        <f t="shared" si="4"/>
        <v>703599.2028261614</v>
      </c>
      <c r="O28" s="34">
        <f t="shared" si="4"/>
        <v>906831.39552698936</v>
      </c>
      <c r="P28" s="34">
        <f t="shared" si="4"/>
        <v>922720.0962898212</v>
      </c>
      <c r="Q28" s="34">
        <f t="shared" si="4"/>
        <v>779541.42881894822</v>
      </c>
      <c r="R28" s="34">
        <f t="shared" si="4"/>
        <v>694761.68800622283</v>
      </c>
      <c r="S28" s="34">
        <f t="shared" si="4"/>
        <v>565710.88998246333</v>
      </c>
      <c r="T28" s="34">
        <f t="shared" si="4"/>
        <v>507000.16343151685</v>
      </c>
      <c r="U28" s="34">
        <f t="shared" si="4"/>
        <v>499443.26279215602</v>
      </c>
      <c r="V28" s="34">
        <f t="shared" si="4"/>
        <v>587803.93142349191</v>
      </c>
      <c r="W28" s="34">
        <f t="shared" si="4"/>
        <v>635100.23151062534</v>
      </c>
      <c r="X28" s="34">
        <f t="shared" si="4"/>
        <v>483402.10489846888</v>
      </c>
      <c r="Y28" s="34">
        <f t="shared" si="4"/>
        <v>537462.86051894492</v>
      </c>
      <c r="Z28" s="34">
        <f t="shared" si="4"/>
        <v>698950.38377741433</v>
      </c>
      <c r="AA28" s="34">
        <f t="shared" si="4"/>
        <v>907922.74943937769</v>
      </c>
      <c r="AB28" s="34">
        <f t="shared" si="4"/>
        <v>922920.69086312619</v>
      </c>
      <c r="AC28" s="34">
        <f t="shared" si="4"/>
        <v>786037.64534430765</v>
      </c>
      <c r="AD28" s="34">
        <f t="shared" si="4"/>
        <v>708765.44366686314</v>
      </c>
      <c r="AE28" s="34">
        <f t="shared" si="4"/>
        <v>575383.2850218548</v>
      </c>
      <c r="AF28" s="34">
        <f t="shared" si="4"/>
        <v>517034.8555037991</v>
      </c>
      <c r="AG28" s="34">
        <f t="shared" si="4"/>
        <v>502227.76562616095</v>
      </c>
      <c r="AH28" s="31">
        <f t="shared" ref="AH28:AH34" si="5">SUM(D28:AG28)</f>
        <v>15685277.537445642</v>
      </c>
    </row>
    <row r="29" spans="1:34" x14ac:dyDescent="0.25">
      <c r="B29" s="1" t="s">
        <v>56</v>
      </c>
      <c r="D29" s="34">
        <f t="shared" ref="D29:AG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167284.04962487193</v>
      </c>
      <c r="K29" s="34">
        <f t="shared" si="6"/>
        <v>165402.28493969989</v>
      </c>
      <c r="L29" s="34">
        <f t="shared" si="6"/>
        <v>149750.45585655916</v>
      </c>
      <c r="M29" s="34">
        <f t="shared" si="6"/>
        <v>153100.93126663816</v>
      </c>
      <c r="N29" s="34">
        <f t="shared" si="6"/>
        <v>174945.04462723355</v>
      </c>
      <c r="O29" s="34">
        <f t="shared" si="6"/>
        <v>193217.74160039777</v>
      </c>
      <c r="P29" s="34">
        <f t="shared" si="6"/>
        <v>190171.84555319534</v>
      </c>
      <c r="Q29" s="34">
        <f t="shared" si="6"/>
        <v>178916.48639989761</v>
      </c>
      <c r="R29" s="34">
        <f t="shared" si="6"/>
        <v>168560.85494137814</v>
      </c>
      <c r="S29" s="34">
        <f t="shared" si="6"/>
        <v>148166.61777285981</v>
      </c>
      <c r="T29" s="34">
        <f t="shared" si="6"/>
        <v>142947.02637205328</v>
      </c>
      <c r="U29" s="34">
        <f t="shared" si="6"/>
        <v>147210.43483925916</v>
      </c>
      <c r="V29" s="34">
        <f t="shared" si="6"/>
        <v>170404.56258059188</v>
      </c>
      <c r="W29" s="34">
        <f t="shared" si="6"/>
        <v>167269.47166534027</v>
      </c>
      <c r="X29" s="34">
        <f t="shared" si="6"/>
        <v>150001.07392729973</v>
      </c>
      <c r="Y29" s="34">
        <f t="shared" si="6"/>
        <v>154977.65067108904</v>
      </c>
      <c r="Z29" s="34">
        <f t="shared" si="6"/>
        <v>177478.17492822482</v>
      </c>
      <c r="AA29" s="34">
        <f t="shared" si="6"/>
        <v>195854.44588036268</v>
      </c>
      <c r="AB29" s="34">
        <f t="shared" si="6"/>
        <v>193301.12646224021</v>
      </c>
      <c r="AC29" s="34">
        <f t="shared" si="6"/>
        <v>180402.36999268772</v>
      </c>
      <c r="AD29" s="34">
        <f t="shared" si="6"/>
        <v>171050.26078970099</v>
      </c>
      <c r="AE29" s="34">
        <f t="shared" si="6"/>
        <v>149581.72940902383</v>
      </c>
      <c r="AF29" s="34">
        <f t="shared" si="6"/>
        <v>144947.86665938867</v>
      </c>
      <c r="AG29" s="34">
        <f t="shared" si="6"/>
        <v>148835.37002076677</v>
      </c>
      <c r="AH29" s="31">
        <f t="shared" si="5"/>
        <v>3983777.87678076</v>
      </c>
    </row>
    <row r="30" spans="1:34" x14ac:dyDescent="0.25">
      <c r="B30" s="1" t="s">
        <v>57</v>
      </c>
      <c r="D30" s="34">
        <f t="shared" ref="D30:AG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364589.6064078706</v>
      </c>
      <c r="K30" s="34">
        <f t="shared" si="7"/>
        <v>350310.70502605382</v>
      </c>
      <c r="L30" s="34">
        <f t="shared" si="7"/>
        <v>325039.13663316134</v>
      </c>
      <c r="M30" s="34">
        <f t="shared" si="7"/>
        <v>364081.19604173303</v>
      </c>
      <c r="N30" s="34">
        <f t="shared" si="7"/>
        <v>356805.23965271935</v>
      </c>
      <c r="O30" s="34">
        <f t="shared" si="7"/>
        <v>337691.5550791389</v>
      </c>
      <c r="P30" s="34">
        <f t="shared" si="7"/>
        <v>330315.18246974546</v>
      </c>
      <c r="Q30" s="34">
        <f t="shared" si="7"/>
        <v>337643.91031066614</v>
      </c>
      <c r="R30" s="34">
        <f t="shared" si="7"/>
        <v>324112.51329841162</v>
      </c>
      <c r="S30" s="34">
        <f t="shared" si="7"/>
        <v>315403.50736316293</v>
      </c>
      <c r="T30" s="34">
        <f t="shared" si="7"/>
        <v>325800.66949418624</v>
      </c>
      <c r="U30" s="34">
        <f t="shared" si="7"/>
        <v>343696.74797929794</v>
      </c>
      <c r="V30" s="34">
        <f t="shared" si="7"/>
        <v>367630.44180174475</v>
      </c>
      <c r="W30" s="34">
        <f t="shared" si="7"/>
        <v>346687.70500211802</v>
      </c>
      <c r="X30" s="34">
        <f t="shared" si="7"/>
        <v>321778.70857270202</v>
      </c>
      <c r="Y30" s="34">
        <f t="shared" si="7"/>
        <v>365627.43222261849</v>
      </c>
      <c r="Z30" s="34">
        <f t="shared" si="7"/>
        <v>361217.17503339896</v>
      </c>
      <c r="AA30" s="34">
        <f t="shared" si="7"/>
        <v>342067.47108894534</v>
      </c>
      <c r="AB30" s="34">
        <f t="shared" si="7"/>
        <v>332502.49196539132</v>
      </c>
      <c r="AC30" s="34">
        <f t="shared" si="7"/>
        <v>334339.04717927024</v>
      </c>
      <c r="AD30" s="34">
        <f t="shared" si="7"/>
        <v>322201.40685825655</v>
      </c>
      <c r="AE30" s="34">
        <f t="shared" si="7"/>
        <v>312585.76943030825</v>
      </c>
      <c r="AF30" s="34">
        <f t="shared" si="7"/>
        <v>325528.65009620029</v>
      </c>
      <c r="AG30" s="34">
        <f t="shared" si="7"/>
        <v>343664.66058093222</v>
      </c>
      <c r="AH30" s="31">
        <f t="shared" si="5"/>
        <v>8151320.9295880329</v>
      </c>
    </row>
    <row r="31" spans="1:34" x14ac:dyDescent="0.25">
      <c r="B31" s="1" t="s">
        <v>58</v>
      </c>
      <c r="D31" s="34">
        <f t="shared" ref="D31:AG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267838.22730078496</v>
      </c>
      <c r="K31" s="34">
        <f t="shared" si="8"/>
        <v>288650.9292263473</v>
      </c>
      <c r="L31" s="34">
        <f t="shared" si="8"/>
        <v>254947.76215603255</v>
      </c>
      <c r="M31" s="34">
        <f t="shared" si="8"/>
        <v>266978.03062531189</v>
      </c>
      <c r="N31" s="34">
        <f t="shared" si="8"/>
        <v>250804.56461729933</v>
      </c>
      <c r="O31" s="34">
        <f t="shared" si="8"/>
        <v>263144.53835968557</v>
      </c>
      <c r="P31" s="34">
        <f t="shared" si="8"/>
        <v>272740.99832121318</v>
      </c>
      <c r="Q31" s="34">
        <f t="shared" si="8"/>
        <v>243300.24028169242</v>
      </c>
      <c r="R31" s="34">
        <f t="shared" si="8"/>
        <v>262679.4311224274</v>
      </c>
      <c r="S31" s="34">
        <f t="shared" si="8"/>
        <v>261443.67205014059</v>
      </c>
      <c r="T31" s="34">
        <f t="shared" si="8"/>
        <v>258962.70428635084</v>
      </c>
      <c r="U31" s="34">
        <f t="shared" si="8"/>
        <v>260917.06973527576</v>
      </c>
      <c r="V31" s="34">
        <f t="shared" si="8"/>
        <v>263282.6757421915</v>
      </c>
      <c r="W31" s="34">
        <f t="shared" si="8"/>
        <v>288668.05758659373</v>
      </c>
      <c r="X31" s="34">
        <f t="shared" si="8"/>
        <v>255813.70382093824</v>
      </c>
      <c r="Y31" s="34">
        <f t="shared" si="8"/>
        <v>264368.57054632646</v>
      </c>
      <c r="Z31" s="34">
        <f t="shared" si="8"/>
        <v>254253.25216032894</v>
      </c>
      <c r="AA31" s="34">
        <f t="shared" si="8"/>
        <v>261905.90975401722</v>
      </c>
      <c r="AB31" s="34">
        <f t="shared" si="8"/>
        <v>271321.35516706249</v>
      </c>
      <c r="AC31" s="34">
        <f t="shared" si="8"/>
        <v>244292.48287407207</v>
      </c>
      <c r="AD31" s="34">
        <f t="shared" si="8"/>
        <v>257858.9052522626</v>
      </c>
      <c r="AE31" s="34">
        <f t="shared" si="8"/>
        <v>262745.74429168704</v>
      </c>
      <c r="AF31" s="34">
        <f t="shared" si="8"/>
        <v>257227.90404180181</v>
      </c>
      <c r="AG31" s="34">
        <f t="shared" si="8"/>
        <v>260405.08456878163</v>
      </c>
      <c r="AH31" s="31">
        <f t="shared" si="5"/>
        <v>6294551.8138886262</v>
      </c>
    </row>
    <row r="32" spans="1:34" x14ac:dyDescent="0.25">
      <c r="B32" s="1" t="s">
        <v>59</v>
      </c>
      <c r="D32" s="34">
        <f t="shared" ref="D32:AG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88310.027371340184</v>
      </c>
      <c r="K32" s="34">
        <f t="shared" si="9"/>
        <v>98459.005552127972</v>
      </c>
      <c r="L32" s="34">
        <f t="shared" si="9"/>
        <v>79909.380188403869</v>
      </c>
      <c r="M32" s="34">
        <f t="shared" si="9"/>
        <v>39371.433978734916</v>
      </c>
      <c r="N32" s="34">
        <f t="shared" si="9"/>
        <v>7772.2658394365872</v>
      </c>
      <c r="O32" s="34">
        <f t="shared" si="9"/>
        <v>10255.532712943295</v>
      </c>
      <c r="P32" s="34">
        <f t="shared" si="9"/>
        <v>14865.538403574248</v>
      </c>
      <c r="Q32" s="34">
        <f t="shared" si="9"/>
        <v>14450.02278894671</v>
      </c>
      <c r="R32" s="34">
        <f t="shared" si="9"/>
        <v>15020.113436334512</v>
      </c>
      <c r="S32" s="34">
        <f t="shared" si="9"/>
        <v>21218.280169194539</v>
      </c>
      <c r="T32" s="34">
        <f t="shared" si="9"/>
        <v>47340.512691032825</v>
      </c>
      <c r="U32" s="34">
        <f t="shared" si="9"/>
        <v>75560.216140379911</v>
      </c>
      <c r="V32" s="34">
        <f t="shared" si="9"/>
        <v>89385.61441932914</v>
      </c>
      <c r="W32" s="34">
        <f t="shared" si="9"/>
        <v>98483.017236663101</v>
      </c>
      <c r="X32" s="34">
        <f t="shared" si="9"/>
        <v>79156.700511835079</v>
      </c>
      <c r="Y32" s="34">
        <f t="shared" si="9"/>
        <v>41164.398608207797</v>
      </c>
      <c r="Z32" s="34">
        <f t="shared" si="9"/>
        <v>9654.1982697651292</v>
      </c>
      <c r="AA32" s="34">
        <f t="shared" si="9"/>
        <v>11404.674367247009</v>
      </c>
      <c r="AB32" s="34">
        <f t="shared" si="9"/>
        <v>14444.894931606401</v>
      </c>
      <c r="AC32" s="34">
        <f t="shared" si="9"/>
        <v>14819.25543517738</v>
      </c>
      <c r="AD32" s="34">
        <f t="shared" si="9"/>
        <v>14804.911673659821</v>
      </c>
      <c r="AE32" s="34">
        <f t="shared" si="9"/>
        <v>21208.801515849958</v>
      </c>
      <c r="AF32" s="34">
        <f t="shared" si="9"/>
        <v>45224.426177775</v>
      </c>
      <c r="AG32" s="34">
        <f t="shared" si="9"/>
        <v>72397.442340117312</v>
      </c>
      <c r="AH32" s="31">
        <f t="shared" si="5"/>
        <v>1024680.6647596827</v>
      </c>
    </row>
    <row r="33" spans="1:34" x14ac:dyDescent="0.25">
      <c r="B33" s="1" t="s">
        <v>60</v>
      </c>
      <c r="D33" s="34">
        <f t="shared" ref="D33:AG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4481.7212159140754</v>
      </c>
      <c r="K33" s="34">
        <f t="shared" si="10"/>
        <v>4555.3704529169599</v>
      </c>
      <c r="L33" s="34">
        <f t="shared" si="10"/>
        <v>4551.8208579305019</v>
      </c>
      <c r="M33" s="34">
        <f t="shared" si="10"/>
        <v>4460.9003214771619</v>
      </c>
      <c r="N33" s="34">
        <f t="shared" si="10"/>
        <v>4475.7185461735744</v>
      </c>
      <c r="O33" s="34">
        <f t="shared" si="10"/>
        <v>4571.3335403132651</v>
      </c>
      <c r="P33" s="34">
        <f t="shared" si="10"/>
        <v>4471.3702186009914</v>
      </c>
      <c r="Q33" s="34">
        <f t="shared" si="10"/>
        <v>4313.2326967566851</v>
      </c>
      <c r="R33" s="34">
        <f t="shared" si="10"/>
        <v>4603.4846896920199</v>
      </c>
      <c r="S33" s="34">
        <f t="shared" si="10"/>
        <v>4390.0769222476229</v>
      </c>
      <c r="T33" s="34">
        <f t="shared" si="10"/>
        <v>4402.3975769936687</v>
      </c>
      <c r="U33" s="34">
        <f t="shared" si="10"/>
        <v>4456.3436191926421</v>
      </c>
      <c r="V33" s="34">
        <f t="shared" si="10"/>
        <v>4459.0351227306201</v>
      </c>
      <c r="W33" s="34">
        <f t="shared" si="10"/>
        <v>4454.7365226169231</v>
      </c>
      <c r="X33" s="34">
        <f t="shared" si="10"/>
        <v>4464.8302866330987</v>
      </c>
      <c r="Y33" s="34">
        <f t="shared" si="10"/>
        <v>4377.824765158718</v>
      </c>
      <c r="Z33" s="34">
        <f t="shared" si="10"/>
        <v>4392.1802062532552</v>
      </c>
      <c r="AA33" s="34">
        <f t="shared" si="10"/>
        <v>4500.280875105258</v>
      </c>
      <c r="AB33" s="34">
        <f t="shared" si="10"/>
        <v>4400.4152490502875</v>
      </c>
      <c r="AC33" s="34">
        <f t="shared" si="10"/>
        <v>4231.3301821517762</v>
      </c>
      <c r="AD33" s="34">
        <f t="shared" si="10"/>
        <v>4519.0825731304567</v>
      </c>
      <c r="AE33" s="34">
        <f t="shared" si="10"/>
        <v>4318.5250349415155</v>
      </c>
      <c r="AF33" s="34">
        <f t="shared" si="10"/>
        <v>4329.541639386196</v>
      </c>
      <c r="AG33" s="34">
        <f t="shared" si="10"/>
        <v>4377.001517404804</v>
      </c>
      <c r="AH33" s="31">
        <f t="shared" si="5"/>
        <v>106558.55463277205</v>
      </c>
    </row>
    <row r="34" spans="1:34" x14ac:dyDescent="0.25">
      <c r="B34" s="1" t="s">
        <v>0</v>
      </c>
      <c r="D34" s="34">
        <f t="shared" ref="D34:L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1492502.4690292131</v>
      </c>
      <c r="K34" s="34">
        <f t="shared" si="11"/>
        <v>1546508.6054271944</v>
      </c>
      <c r="L34" s="34">
        <f t="shared" si="11"/>
        <v>1289859.9667234709</v>
      </c>
      <c r="M34" s="34">
        <f t="shared" ref="M34:AG34" si="12">SUM(M28:M33)</f>
        <v>1355859.3960409572</v>
      </c>
      <c r="N34" s="34">
        <f t="shared" si="12"/>
        <v>1498402.0361090235</v>
      </c>
      <c r="O34" s="34">
        <f t="shared" si="12"/>
        <v>1715712.0968194681</v>
      </c>
      <c r="P34" s="34">
        <f t="shared" si="12"/>
        <v>1735285.0312561502</v>
      </c>
      <c r="Q34" s="34">
        <f t="shared" si="12"/>
        <v>1558165.321296908</v>
      </c>
      <c r="R34" s="34">
        <f t="shared" si="12"/>
        <v>1469738.0854944664</v>
      </c>
      <c r="S34" s="34">
        <f t="shared" si="12"/>
        <v>1316333.0442600688</v>
      </c>
      <c r="T34" s="34">
        <f t="shared" si="12"/>
        <v>1286453.4738521336</v>
      </c>
      <c r="U34" s="34">
        <f t="shared" si="12"/>
        <v>1331284.0751055616</v>
      </c>
      <c r="V34" s="34">
        <f t="shared" si="12"/>
        <v>1482966.2610900798</v>
      </c>
      <c r="W34" s="34">
        <f t="shared" si="12"/>
        <v>1540663.2195239572</v>
      </c>
      <c r="X34" s="34">
        <f t="shared" si="12"/>
        <v>1294617.1220178769</v>
      </c>
      <c r="Y34" s="34">
        <f t="shared" si="12"/>
        <v>1367978.7373323455</v>
      </c>
      <c r="Z34" s="34">
        <f t="shared" si="12"/>
        <v>1505945.3643753852</v>
      </c>
      <c r="AA34" s="34">
        <f t="shared" si="12"/>
        <v>1723655.531405055</v>
      </c>
      <c r="AB34" s="34">
        <f t="shared" si="12"/>
        <v>1738890.9746384772</v>
      </c>
      <c r="AC34" s="34">
        <f t="shared" si="12"/>
        <v>1564122.1310076669</v>
      </c>
      <c r="AD34" s="34">
        <f t="shared" si="12"/>
        <v>1479200.0108138735</v>
      </c>
      <c r="AE34" s="34">
        <f t="shared" si="12"/>
        <v>1325823.8547036655</v>
      </c>
      <c r="AF34" s="34">
        <f t="shared" si="12"/>
        <v>1294293.244118351</v>
      </c>
      <c r="AG34" s="34">
        <f t="shared" si="12"/>
        <v>1331907.3246541638</v>
      </c>
      <c r="AH34" s="31">
        <f t="shared" si="5"/>
        <v>35246167.377095513</v>
      </c>
    </row>
    <row r="36" spans="1:34" ht="36" customHeight="1" x14ac:dyDescent="0.25">
      <c r="A36" s="1" t="s">
        <v>111</v>
      </c>
      <c r="B36" s="75"/>
      <c r="C36" s="180">
        <f>'CF WA Elec'!E19</f>
        <v>0.9560685516223647</v>
      </c>
      <c r="D36" s="28">
        <f t="shared" ref="D36:L36" si="13">D8</f>
        <v>44927</v>
      </c>
      <c r="E36" s="28">
        <f t="shared" si="13"/>
        <v>44958</v>
      </c>
      <c r="F36" s="28">
        <f t="shared" si="13"/>
        <v>44986</v>
      </c>
      <c r="G36" s="28">
        <f t="shared" si="13"/>
        <v>45017</v>
      </c>
      <c r="H36" s="28">
        <f t="shared" si="13"/>
        <v>45047</v>
      </c>
      <c r="I36" s="28">
        <f t="shared" si="13"/>
        <v>45078</v>
      </c>
      <c r="J36" s="28">
        <f t="shared" si="13"/>
        <v>45108</v>
      </c>
      <c r="K36" s="28">
        <f t="shared" si="13"/>
        <v>45139</v>
      </c>
      <c r="L36" s="28">
        <f t="shared" si="13"/>
        <v>45170</v>
      </c>
      <c r="M36" s="28">
        <f t="shared" ref="M36:AG36" si="14">M8</f>
        <v>45200</v>
      </c>
      <c r="N36" s="28">
        <f t="shared" si="14"/>
        <v>45231</v>
      </c>
      <c r="O36" s="28">
        <f t="shared" si="14"/>
        <v>45261</v>
      </c>
      <c r="P36" s="28">
        <f t="shared" si="14"/>
        <v>45292</v>
      </c>
      <c r="Q36" s="28">
        <f t="shared" si="14"/>
        <v>45323</v>
      </c>
      <c r="R36" s="28">
        <f t="shared" si="14"/>
        <v>45352</v>
      </c>
      <c r="S36" s="28">
        <f t="shared" si="14"/>
        <v>45383</v>
      </c>
      <c r="T36" s="28">
        <f t="shared" si="14"/>
        <v>45413</v>
      </c>
      <c r="U36" s="28">
        <f t="shared" si="14"/>
        <v>45444</v>
      </c>
      <c r="V36" s="28">
        <f t="shared" si="14"/>
        <v>45474</v>
      </c>
      <c r="W36" s="28">
        <f t="shared" si="14"/>
        <v>45505</v>
      </c>
      <c r="X36" s="28">
        <f t="shared" si="14"/>
        <v>45536</v>
      </c>
      <c r="Y36" s="28">
        <f t="shared" si="14"/>
        <v>45566</v>
      </c>
      <c r="Z36" s="28">
        <f t="shared" si="14"/>
        <v>45597</v>
      </c>
      <c r="AA36" s="28">
        <f t="shared" si="14"/>
        <v>45627</v>
      </c>
      <c r="AB36" s="28">
        <f t="shared" si="14"/>
        <v>45658</v>
      </c>
      <c r="AC36" s="28">
        <f t="shared" si="14"/>
        <v>45689</v>
      </c>
      <c r="AD36" s="28">
        <f t="shared" si="14"/>
        <v>45717</v>
      </c>
      <c r="AE36" s="28">
        <f t="shared" si="14"/>
        <v>45748</v>
      </c>
      <c r="AF36" s="28">
        <f t="shared" si="14"/>
        <v>45778</v>
      </c>
      <c r="AG36" s="28">
        <f t="shared" si="14"/>
        <v>45809</v>
      </c>
    </row>
    <row r="37" spans="1:34" x14ac:dyDescent="0.25">
      <c r="B37" s="1" t="s">
        <v>55</v>
      </c>
      <c r="D37" s="34">
        <f t="shared" ref="D37:AG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573640.0191693611</v>
      </c>
      <c r="K37" s="34">
        <f t="shared" si="15"/>
        <v>611052.38999959512</v>
      </c>
      <c r="L37" s="34">
        <f t="shared" si="15"/>
        <v>454764.91630742524</v>
      </c>
      <c r="M37" s="34">
        <f t="shared" si="15"/>
        <v>504676.94617219985</v>
      </c>
      <c r="N37" s="34">
        <f t="shared" si="15"/>
        <v>672689.07076865854</v>
      </c>
      <c r="O37" s="34">
        <f t="shared" si="15"/>
        <v>866992.97888717649</v>
      </c>
      <c r="P37" s="34">
        <f t="shared" si="15"/>
        <v>882183.66601265827</v>
      </c>
      <c r="Q37" s="34">
        <f t="shared" si="15"/>
        <v>745295.04478056054</v>
      </c>
      <c r="R37" s="34">
        <f t="shared" si="15"/>
        <v>664239.80077481864</v>
      </c>
      <c r="S37" s="34">
        <f t="shared" si="15"/>
        <v>540858.39122253261</v>
      </c>
      <c r="T37" s="34">
        <f t="shared" si="15"/>
        <v>484726.91192427248</v>
      </c>
      <c r="U37" s="34">
        <f t="shared" si="15"/>
        <v>477501.99687524466</v>
      </c>
      <c r="V37" s="34">
        <f t="shared" si="15"/>
        <v>561980.85335398966</v>
      </c>
      <c r="W37" s="34">
        <f t="shared" si="15"/>
        <v>607199.3584753921</v>
      </c>
      <c r="X37" s="34">
        <f t="shared" si="15"/>
        <v>462165.55028148153</v>
      </c>
      <c r="Y37" s="34">
        <f t="shared" si="15"/>
        <v>513851.33860716067</v>
      </c>
      <c r="Z37" s="34">
        <f t="shared" si="15"/>
        <v>668244.48107396846</v>
      </c>
      <c r="AA37" s="34">
        <f t="shared" si="15"/>
        <v>868036.38804150093</v>
      </c>
      <c r="AB37" s="34">
        <f t="shared" si="15"/>
        <v>882375.44817582122</v>
      </c>
      <c r="AC37" s="34">
        <f t="shared" si="15"/>
        <v>751505.87310498615</v>
      </c>
      <c r="AD37" s="34">
        <f t="shared" si="15"/>
        <v>677628.35116656055</v>
      </c>
      <c r="AE37" s="34">
        <f t="shared" si="15"/>
        <v>550105.86393856292</v>
      </c>
      <c r="AF37" s="34">
        <f t="shared" si="15"/>
        <v>494320.76543979585</v>
      </c>
      <c r="AG37" s="34">
        <f t="shared" si="15"/>
        <v>480164.17246674013</v>
      </c>
      <c r="AH37" s="31">
        <f t="shared" ref="AH37:AH42" si="16">SUM(D37:AG37)</f>
        <v>14996200.577020461</v>
      </c>
    </row>
    <row r="38" spans="1:34" x14ac:dyDescent="0.25">
      <c r="B38" s="1" t="s">
        <v>56</v>
      </c>
      <c r="D38" s="34">
        <f t="shared" ref="D38:AG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159935.01903437509</v>
      </c>
      <c r="K38" s="34">
        <f t="shared" si="17"/>
        <v>158135.92299732854</v>
      </c>
      <c r="L38" s="34">
        <f t="shared" si="17"/>
        <v>143171.70143556938</v>
      </c>
      <c r="M38" s="34">
        <f t="shared" si="17"/>
        <v>146374.98560812997</v>
      </c>
      <c r="N38" s="34">
        <f t="shared" si="17"/>
        <v>167259.45543026915</v>
      </c>
      <c r="O38" s="34">
        <f t="shared" si="17"/>
        <v>184729.40635963663</v>
      </c>
      <c r="P38" s="34">
        <f t="shared" si="17"/>
        <v>181817.3209373955</v>
      </c>
      <c r="Q38" s="34">
        <f t="shared" si="17"/>
        <v>171056.42601371263</v>
      </c>
      <c r="R38" s="34">
        <f t="shared" si="17"/>
        <v>161155.73244403093</v>
      </c>
      <c r="S38" s="34">
        <f t="shared" si="17"/>
        <v>141657.44365288259</v>
      </c>
      <c r="T38" s="34">
        <f t="shared" si="17"/>
        <v>136667.15646225295</v>
      </c>
      <c r="U38" s="34">
        <f t="shared" si="17"/>
        <v>140743.26722046902</v>
      </c>
      <c r="V38" s="34">
        <f t="shared" si="17"/>
        <v>162918.44333626909</v>
      </c>
      <c r="W38" s="34">
        <f t="shared" si="17"/>
        <v>159921.08150572004</v>
      </c>
      <c r="X38" s="34">
        <f t="shared" si="17"/>
        <v>143411.3094914727</v>
      </c>
      <c r="Y38" s="34">
        <f t="shared" si="17"/>
        <v>148169.2580109449</v>
      </c>
      <c r="Z38" s="34">
        <f t="shared" si="17"/>
        <v>169681.30164820858</v>
      </c>
      <c r="AA38" s="34">
        <f t="shared" si="17"/>
        <v>187250.27640163916</v>
      </c>
      <c r="AB38" s="34">
        <f t="shared" si="17"/>
        <v>184809.12800372555</v>
      </c>
      <c r="AC38" s="34">
        <f t="shared" si="17"/>
        <v>172477.03258815091</v>
      </c>
      <c r="AD38" s="34">
        <f t="shared" si="17"/>
        <v>163535.77508783719</v>
      </c>
      <c r="AE38" s="34">
        <f t="shared" si="17"/>
        <v>143010.38738525388</v>
      </c>
      <c r="AF38" s="34">
        <f t="shared" si="17"/>
        <v>138580.09693779337</v>
      </c>
      <c r="AG38" s="34">
        <f t="shared" si="17"/>
        <v>142296.8166459332</v>
      </c>
      <c r="AH38" s="31">
        <f t="shared" si="16"/>
        <v>3808764.7446390004</v>
      </c>
    </row>
    <row r="39" spans="1:34" x14ac:dyDescent="0.25">
      <c r="B39" s="1" t="s">
        <v>57</v>
      </c>
      <c r="D39" s="34">
        <f t="shared" ref="D39:AG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348572.65693494084</v>
      </c>
      <c r="K39" s="34">
        <f t="shared" si="18"/>
        <v>334921.04837206873</v>
      </c>
      <c r="L39" s="34">
        <f t="shared" si="18"/>
        <v>310759.69658145047</v>
      </c>
      <c r="M39" s="34">
        <f t="shared" si="18"/>
        <v>348086.58177255793</v>
      </c>
      <c r="N39" s="34">
        <f t="shared" si="18"/>
        <v>341130.26868604613</v>
      </c>
      <c r="O39" s="34">
        <f t="shared" si="18"/>
        <v>322856.27595961629</v>
      </c>
      <c r="P39" s="34">
        <f t="shared" si="18"/>
        <v>315803.95808272663</v>
      </c>
      <c r="Q39" s="34">
        <f t="shared" si="18"/>
        <v>322810.72429483017</v>
      </c>
      <c r="R39" s="34">
        <f t="shared" si="18"/>
        <v>309873.78115189681</v>
      </c>
      <c r="S39" s="34">
        <f t="shared" si="18"/>
        <v>301547.37446131301</v>
      </c>
      <c r="T39" s="34">
        <f t="shared" si="18"/>
        <v>311487.77420090337</v>
      </c>
      <c r="U39" s="34">
        <f t="shared" si="18"/>
        <v>328597.65203788428</v>
      </c>
      <c r="V39" s="34">
        <f t="shared" si="18"/>
        <v>351479.90402568411</v>
      </c>
      <c r="W39" s="34">
        <f t="shared" si="18"/>
        <v>331457.21198665659</v>
      </c>
      <c r="X39" s="34">
        <f t="shared" si="18"/>
        <v>307642.50384801818</v>
      </c>
      <c r="Y39" s="34">
        <f t="shared" si="18"/>
        <v>349564.88955848315</v>
      </c>
      <c r="Z39" s="34">
        <f t="shared" si="18"/>
        <v>345348.38135530392</v>
      </c>
      <c r="AA39" s="34">
        <f t="shared" si="18"/>
        <v>327039.95164113311</v>
      </c>
      <c r="AB39" s="34">
        <f t="shared" si="18"/>
        <v>317895.17590417864</v>
      </c>
      <c r="AC39" s="34">
        <f t="shared" si="18"/>
        <v>319651.04858748638</v>
      </c>
      <c r="AD39" s="34">
        <f t="shared" si="18"/>
        <v>308046.63238566159</v>
      </c>
      <c r="AE39" s="34">
        <f t="shared" si="18"/>
        <v>298853.42383699724</v>
      </c>
      <c r="AF39" s="34">
        <f t="shared" si="18"/>
        <v>311227.70500905777</v>
      </c>
      <c r="AG39" s="34">
        <f t="shared" si="18"/>
        <v>328566.97428540344</v>
      </c>
      <c r="AH39" s="31">
        <f t="shared" si="16"/>
        <v>7793221.5949602984</v>
      </c>
    </row>
    <row r="40" spans="1:34" x14ac:dyDescent="0.25">
      <c r="B40" s="1" t="s">
        <v>58</v>
      </c>
      <c r="D40" s="34">
        <f t="shared" ref="D40:AG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256071.70604456318</v>
      </c>
      <c r="K40" s="34">
        <f t="shared" si="19"/>
        <v>275970.07582988357</v>
      </c>
      <c r="L40" s="34">
        <f t="shared" si="19"/>
        <v>243747.53770388116</v>
      </c>
      <c r="M40" s="34">
        <f t="shared" si="19"/>
        <v>255249.29905493328</v>
      </c>
      <c r="N40" s="34">
        <f t="shared" si="19"/>
        <v>239786.35683393915</v>
      </c>
      <c r="O40" s="34">
        <f t="shared" si="19"/>
        <v>251584.21765688038</v>
      </c>
      <c r="P40" s="34">
        <f t="shared" si="19"/>
        <v>260759.09123300007</v>
      </c>
      <c r="Q40" s="34">
        <f t="shared" si="19"/>
        <v>232611.70833549098</v>
      </c>
      <c r="R40" s="34">
        <f t="shared" si="19"/>
        <v>251139.54325420587</v>
      </c>
      <c r="S40" s="34">
        <f t="shared" si="19"/>
        <v>249958.07286781044</v>
      </c>
      <c r="T40" s="34">
        <f t="shared" si="19"/>
        <v>247586.09761126217</v>
      </c>
      <c r="U40" s="34">
        <f t="shared" si="19"/>
        <v>249454.60495535663</v>
      </c>
      <c r="V40" s="34">
        <f t="shared" si="19"/>
        <v>251716.28646409771</v>
      </c>
      <c r="W40" s="34">
        <f t="shared" si="19"/>
        <v>275986.45171645604</v>
      </c>
      <c r="X40" s="34">
        <f t="shared" si="19"/>
        <v>244575.43729723702</v>
      </c>
      <c r="Y40" s="34">
        <f t="shared" si="19"/>
        <v>252754.47633670128</v>
      </c>
      <c r="Z40" s="34">
        <f t="shared" si="19"/>
        <v>243083.53853820157</v>
      </c>
      <c r="AA40" s="34">
        <f t="shared" si="19"/>
        <v>250400.00379986101</v>
      </c>
      <c r="AB40" s="34">
        <f t="shared" si="19"/>
        <v>259401.81505879064</v>
      </c>
      <c r="AC40" s="34">
        <f t="shared" si="19"/>
        <v>233560.3602736454</v>
      </c>
      <c r="AD40" s="34">
        <f t="shared" si="19"/>
        <v>246530.79006745928</v>
      </c>
      <c r="AE40" s="34">
        <f t="shared" si="19"/>
        <v>251202.94318989341</v>
      </c>
      <c r="AF40" s="34">
        <f t="shared" si="19"/>
        <v>245927.50965410206</v>
      </c>
      <c r="AG40" s="34">
        <f t="shared" si="19"/>
        <v>248965.11203877444</v>
      </c>
      <c r="AH40" s="31">
        <f t="shared" si="16"/>
        <v>6018023.0358164273</v>
      </c>
    </row>
    <row r="41" spans="1:34" x14ac:dyDescent="0.25">
      <c r="B41" s="1" t="s">
        <v>59</v>
      </c>
      <c r="D41" s="34">
        <f t="shared" ref="D41:AG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84430.439962648597</v>
      </c>
      <c r="K41" s="34">
        <f t="shared" si="20"/>
        <v>94133.558832401352</v>
      </c>
      <c r="L41" s="34">
        <f t="shared" si="20"/>
        <v>76398.845377768172</v>
      </c>
      <c r="M41" s="34">
        <f t="shared" si="20"/>
        <v>37641.789859344644</v>
      </c>
      <c r="N41" s="34">
        <f t="shared" si="20"/>
        <v>7430.8189439341204</v>
      </c>
      <c r="O41" s="34">
        <f t="shared" si="20"/>
        <v>9804.9923069794768</v>
      </c>
      <c r="P41" s="34">
        <f t="shared" si="20"/>
        <v>14212.473770591871</v>
      </c>
      <c r="Q41" s="34">
        <f t="shared" si="20"/>
        <v>13815.212358738443</v>
      </c>
      <c r="R41" s="34">
        <f t="shared" si="20"/>
        <v>14360.258098279955</v>
      </c>
      <c r="S41" s="34">
        <f t="shared" si="20"/>
        <v>20286.130389279366</v>
      </c>
      <c r="T41" s="34">
        <f t="shared" si="20"/>
        <v>45260.775401575927</v>
      </c>
      <c r="U41" s="34">
        <f t="shared" si="20"/>
        <v>72240.746405605852</v>
      </c>
      <c r="V41" s="34">
        <f t="shared" si="20"/>
        <v>85458.774913763162</v>
      </c>
      <c r="W41" s="34">
        <f t="shared" si="20"/>
        <v>94156.515648856875</v>
      </c>
      <c r="X41" s="34">
        <f t="shared" si="20"/>
        <v>75679.232009555461</v>
      </c>
      <c r="Y41" s="34">
        <f t="shared" si="20"/>
        <v>39355.986955754917</v>
      </c>
      <c r="Z41" s="34">
        <f t="shared" si="20"/>
        <v>9230.0753568494856</v>
      </c>
      <c r="AA41" s="34">
        <f t="shared" si="20"/>
        <v>10903.650504018557</v>
      </c>
      <c r="AB41" s="34">
        <f t="shared" si="20"/>
        <v>13810.309775598169</v>
      </c>
      <c r="AC41" s="34">
        <f t="shared" si="20"/>
        <v>14168.224080031894</v>
      </c>
      <c r="AD41" s="34">
        <f t="shared" si="20"/>
        <v>14154.510460732985</v>
      </c>
      <c r="AE41" s="34">
        <f t="shared" si="20"/>
        <v>20277.068146904883</v>
      </c>
      <c r="AF41" s="34">
        <f t="shared" si="20"/>
        <v>43237.6516337379</v>
      </c>
      <c r="AG41" s="34">
        <f t="shared" si="20"/>
        <v>69216.917839279617</v>
      </c>
      <c r="AH41" s="31">
        <f t="shared" si="16"/>
        <v>979664.95903223171</v>
      </c>
    </row>
    <row r="42" spans="1:34" x14ac:dyDescent="0.25">
      <c r="B42" s="66" t="s">
        <v>60</v>
      </c>
      <c r="D42" s="36">
        <f t="shared" ref="D42:AG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4284.832711674193</v>
      </c>
      <c r="K42" s="36">
        <f t="shared" si="21"/>
        <v>4355.2464310236337</v>
      </c>
      <c r="L42" s="36">
        <f t="shared" si="21"/>
        <v>4351.8527748860843</v>
      </c>
      <c r="M42" s="36">
        <f t="shared" si="21"/>
        <v>4264.9265092864116</v>
      </c>
      <c r="N42" s="36">
        <f t="shared" si="21"/>
        <v>4279.0937479095255</v>
      </c>
      <c r="O42" s="36">
        <f t="shared" si="21"/>
        <v>4370.5082368700405</v>
      </c>
      <c r="P42" s="36">
        <f t="shared" si="21"/>
        <v>4274.9364486652257</v>
      </c>
      <c r="Q42" s="36">
        <f t="shared" si="21"/>
        <v>4123.74613719839</v>
      </c>
      <c r="R42" s="36">
        <f t="shared" si="21"/>
        <v>4401.2469396895804</v>
      </c>
      <c r="S42" s="36">
        <f t="shared" si="21"/>
        <v>4197.2144845640532</v>
      </c>
      <c r="T42" s="36">
        <f t="shared" si="21"/>
        <v>4208.9938751021446</v>
      </c>
      <c r="U42" s="36">
        <f t="shared" si="21"/>
        <v>4260.5699895330763</v>
      </c>
      <c r="V42" s="36">
        <f t="shared" si="21"/>
        <v>4263.143251422317</v>
      </c>
      <c r="W42" s="36">
        <f t="shared" si="21"/>
        <v>4259.0334950376109</v>
      </c>
      <c r="X42" s="36">
        <f t="shared" si="21"/>
        <v>4268.6838253809738</v>
      </c>
      <c r="Y42" s="36">
        <f t="shared" si="21"/>
        <v>4185.5005824818145</v>
      </c>
      <c r="Z42" s="36">
        <f t="shared" si="21"/>
        <v>4199.225368256969</v>
      </c>
      <c r="AA42" s="36">
        <f t="shared" si="21"/>
        <v>4302.5770181557118</v>
      </c>
      <c r="AB42" s="36">
        <f t="shared" si="21"/>
        <v>4207.0986336964752</v>
      </c>
      <c r="AC42" s="36">
        <f t="shared" si="21"/>
        <v>4045.4417186858454</v>
      </c>
      <c r="AD42" s="36">
        <f t="shared" si="21"/>
        <v>4320.5527303547051</v>
      </c>
      <c r="AE42" s="36">
        <f t="shared" si="21"/>
        <v>4128.8059753014568</v>
      </c>
      <c r="AF42" s="36">
        <f t="shared" si="21"/>
        <v>4139.3386043566788</v>
      </c>
      <c r="AG42" s="36">
        <f t="shared" si="21"/>
        <v>4184.7135011941036</v>
      </c>
      <c r="AH42" s="31">
        <f t="shared" si="16"/>
        <v>101877.28299072701</v>
      </c>
    </row>
    <row r="43" spans="1:34" x14ac:dyDescent="0.25">
      <c r="B43" s="1" t="s">
        <v>0</v>
      </c>
      <c r="C43" s="24"/>
      <c r="D43" s="35">
        <f t="shared" ref="D43:L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1426934.6738575629</v>
      </c>
      <c r="K43" s="35">
        <f t="shared" si="22"/>
        <v>1478568.2424623009</v>
      </c>
      <c r="L43" s="35">
        <f t="shared" si="22"/>
        <v>1233194.5501809805</v>
      </c>
      <c r="M43" s="35">
        <f t="shared" ref="M43:AG43" si="23">SUM(M37:M42)</f>
        <v>1296294.5289764523</v>
      </c>
      <c r="N43" s="35">
        <f t="shared" si="23"/>
        <v>1432575.0644107563</v>
      </c>
      <c r="O43" s="35">
        <f t="shared" si="23"/>
        <v>1640338.3794071591</v>
      </c>
      <c r="P43" s="35">
        <f t="shared" si="23"/>
        <v>1659051.4464850379</v>
      </c>
      <c r="Q43" s="35">
        <f t="shared" si="23"/>
        <v>1489712.8619205311</v>
      </c>
      <c r="R43" s="35">
        <f t="shared" si="23"/>
        <v>1405170.3626629219</v>
      </c>
      <c r="S43" s="35">
        <f t="shared" si="23"/>
        <v>1258504.6270783821</v>
      </c>
      <c r="T43" s="35">
        <f t="shared" si="23"/>
        <v>1229937.709475369</v>
      </c>
      <c r="U43" s="35">
        <f t="shared" si="23"/>
        <v>1272798.8374840936</v>
      </c>
      <c r="V43" s="35">
        <f t="shared" si="23"/>
        <v>1417817.4053452259</v>
      </c>
      <c r="W43" s="35">
        <f t="shared" si="23"/>
        <v>1472979.6528281195</v>
      </c>
      <c r="X43" s="35">
        <f t="shared" si="23"/>
        <v>1237742.7167531459</v>
      </c>
      <c r="Y43" s="35">
        <f t="shared" si="23"/>
        <v>1307881.4500515265</v>
      </c>
      <c r="Z43" s="35">
        <f t="shared" si="23"/>
        <v>1439787.0033407887</v>
      </c>
      <c r="AA43" s="35">
        <f t="shared" si="23"/>
        <v>1647932.8474063086</v>
      </c>
      <c r="AB43" s="35">
        <f t="shared" si="23"/>
        <v>1662498.9755518106</v>
      </c>
      <c r="AC43" s="35">
        <f t="shared" si="23"/>
        <v>1495407.9803529868</v>
      </c>
      <c r="AD43" s="35">
        <f t="shared" si="23"/>
        <v>1414216.6118986062</v>
      </c>
      <c r="AE43" s="35">
        <f t="shared" si="23"/>
        <v>1267578.4924729138</v>
      </c>
      <c r="AF43" s="35">
        <f t="shared" si="23"/>
        <v>1237433.0672788436</v>
      </c>
      <c r="AG43" s="35">
        <f t="shared" si="23"/>
        <v>1273394.7067773249</v>
      </c>
      <c r="AH43" s="31">
        <f>SUM(AH37:AH42)</f>
        <v>33697752.19445914</v>
      </c>
    </row>
    <row r="44" spans="1:34" x14ac:dyDescent="0.25">
      <c r="C44" s="64"/>
    </row>
    <row r="45" spans="1:34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</row>
    <row r="47" spans="1:34" x14ac:dyDescent="0.25">
      <c r="D47" s="35"/>
      <c r="E47" s="35"/>
      <c r="F47" s="35"/>
      <c r="G47" s="35"/>
      <c r="H47" s="35"/>
      <c r="I47" s="35"/>
      <c r="J47" s="35"/>
      <c r="K47" s="35"/>
      <c r="L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2" max="1048575" man="1"/>
    <brk id="24" max="1048575" man="1"/>
  </colBreaks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P70"/>
  <sheetViews>
    <sheetView topLeftCell="W1" zoomScaleNormal="100" workbookViewId="0">
      <selection activeCell="AB26" sqref="AB26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3" width="17.85546875" style="45" hidden="1" customWidth="1"/>
    <col min="14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69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45123</v>
      </c>
      <c r="P6" s="46">
        <v>45154</v>
      </c>
      <c r="Q6" s="46">
        <v>45185</v>
      </c>
      <c r="R6" s="46">
        <v>45215</v>
      </c>
      <c r="S6" s="46">
        <v>45246</v>
      </c>
      <c r="T6" s="46">
        <v>45276</v>
      </c>
      <c r="U6" s="46">
        <v>45307</v>
      </c>
      <c r="V6" s="46">
        <v>45338</v>
      </c>
      <c r="W6" s="46">
        <v>45367</v>
      </c>
      <c r="X6" s="46">
        <v>45398</v>
      </c>
      <c r="Y6" s="46">
        <v>45428</v>
      </c>
      <c r="Z6" s="46">
        <v>45459</v>
      </c>
      <c r="AA6" s="46">
        <v>45489</v>
      </c>
      <c r="AB6" s="46">
        <v>45520</v>
      </c>
      <c r="AC6" s="46">
        <v>45551</v>
      </c>
      <c r="AD6" s="46">
        <v>45581</v>
      </c>
      <c r="AE6" s="46">
        <v>45612</v>
      </c>
      <c r="AF6" s="46">
        <v>45642</v>
      </c>
      <c r="AG6" s="46">
        <v>45673</v>
      </c>
      <c r="AH6" s="46">
        <v>45704</v>
      </c>
      <c r="AI6" s="46">
        <v>45732</v>
      </c>
      <c r="AJ6" s="46">
        <v>45763</v>
      </c>
      <c r="AK6" s="46">
        <v>45793</v>
      </c>
      <c r="AL6" s="46">
        <v>45824</v>
      </c>
      <c r="AM6" s="46">
        <v>45854</v>
      </c>
      <c r="AN6" s="46">
        <v>45885</v>
      </c>
      <c r="AO6" s="46">
        <v>45916</v>
      </c>
      <c r="AP6" s="45" t="s">
        <v>0</v>
      </c>
    </row>
    <row r="7" spans="1:42" x14ac:dyDescent="0.25">
      <c r="A7" s="47" t="s">
        <v>82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93">
        <f>O58+O59</f>
        <v>196453732.82550579</v>
      </c>
      <c r="P7" s="93">
        <f t="shared" ref="P7:Y7" si="0">P58+P59</f>
        <v>209266297.60104942</v>
      </c>
      <c r="Q7" s="93">
        <f t="shared" si="0"/>
        <v>155742734.78345945</v>
      </c>
      <c r="R7" s="93">
        <f t="shared" si="0"/>
        <v>172836041.1291908</v>
      </c>
      <c r="S7" s="93">
        <f t="shared" si="0"/>
        <v>230374929.5155212</v>
      </c>
      <c r="T7" s="93">
        <f t="shared" si="0"/>
        <v>296917929.96332842</v>
      </c>
      <c r="U7" s="93">
        <f t="shared" si="0"/>
        <v>302120264.33725601</v>
      </c>
      <c r="V7" s="93">
        <f t="shared" si="0"/>
        <v>255240200.66714668</v>
      </c>
      <c r="W7" s="93">
        <f t="shared" si="0"/>
        <v>227481319.28180018</v>
      </c>
      <c r="X7" s="93">
        <f t="shared" si="0"/>
        <v>185227052.39345241</v>
      </c>
      <c r="Y7" s="93">
        <f t="shared" si="0"/>
        <v>166003779.48943084</v>
      </c>
      <c r="Z7" s="93">
        <f>Z58+Z59</f>
        <v>163529472.4618564</v>
      </c>
      <c r="AA7" s="93">
        <f t="shared" ref="AA7:AL7" si="1">AA58+AA59</f>
        <v>192460833.84788927</v>
      </c>
      <c r="AB7" s="93">
        <f t="shared" si="1"/>
        <v>207946755.03022233</v>
      </c>
      <c r="AC7" s="93">
        <f t="shared" si="1"/>
        <v>158277220.03709269</v>
      </c>
      <c r="AD7" s="93">
        <f t="shared" si="1"/>
        <v>175977983.07888946</v>
      </c>
      <c r="AE7" s="93">
        <f t="shared" si="1"/>
        <v>228852796.80646789</v>
      </c>
      <c r="AF7" s="93">
        <f t="shared" si="1"/>
        <v>297275264.90576875</v>
      </c>
      <c r="AG7" s="93">
        <f t="shared" si="1"/>
        <v>302185943.71906984</v>
      </c>
      <c r="AH7" s="93">
        <f t="shared" si="1"/>
        <v>257367214.76570728</v>
      </c>
      <c r="AI7" s="93">
        <f t="shared" si="1"/>
        <v>232066478.29038659</v>
      </c>
      <c r="AJ7" s="93">
        <f t="shared" si="1"/>
        <v>188394022.04960853</v>
      </c>
      <c r="AK7" s="93">
        <f t="shared" si="1"/>
        <v>169289373.7163378</v>
      </c>
      <c r="AL7" s="93">
        <f t="shared" si="1"/>
        <v>164441184.18856531</v>
      </c>
      <c r="AM7" s="93"/>
      <c r="AN7" s="93"/>
      <c r="AO7" s="93"/>
      <c r="AP7" s="93">
        <f>SUM(F7:AO7)</f>
        <v>5135728824.8850031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93">
        <f>O60+O61+O62</f>
        <v>56095221.520522907</v>
      </c>
      <c r="P8" s="93">
        <f t="shared" ref="P8:Z8" si="2">P60+P61+P62</f>
        <v>55464210.93044614</v>
      </c>
      <c r="Q8" s="93">
        <f t="shared" si="2"/>
        <v>50215696.074492998</v>
      </c>
      <c r="R8" s="93">
        <f t="shared" si="2"/>
        <v>51339208.212971874</v>
      </c>
      <c r="S8" s="93">
        <f t="shared" si="2"/>
        <v>58664176.616294332</v>
      </c>
      <c r="T8" s="93">
        <f t="shared" si="2"/>
        <v>64791544.926576048</v>
      </c>
      <c r="U8" s="93">
        <f t="shared" si="2"/>
        <v>63770167.133059852</v>
      </c>
      <c r="V8" s="93">
        <f t="shared" si="2"/>
        <v>59995916.889757469</v>
      </c>
      <c r="W8" s="93">
        <f t="shared" si="2"/>
        <v>56523371.587601081</v>
      </c>
      <c r="X8" s="93">
        <f t="shared" si="2"/>
        <v>49684588.96441891</v>
      </c>
      <c r="Y8" s="93">
        <f t="shared" si="2"/>
        <v>47934307.712073348</v>
      </c>
      <c r="Z8" s="93">
        <f t="shared" si="2"/>
        <v>49363952.934894577</v>
      </c>
      <c r="AA8" s="93">
        <f t="shared" ref="AA8:AL8" si="3">AA60+AA61+AA62</f>
        <v>57141620.540042736</v>
      </c>
      <c r="AB8" s="93">
        <f t="shared" si="3"/>
        <v>56090333.105452381</v>
      </c>
      <c r="AC8" s="93">
        <f t="shared" si="3"/>
        <v>50299735.624149792</v>
      </c>
      <c r="AD8" s="93">
        <f t="shared" si="3"/>
        <v>51968526.973251835</v>
      </c>
      <c r="AE8" s="93">
        <f t="shared" si="3"/>
        <v>59513609.097712018</v>
      </c>
      <c r="AF8" s="93">
        <f t="shared" si="3"/>
        <v>65675708.784400016</v>
      </c>
      <c r="AG8" s="93">
        <f t="shared" si="3"/>
        <v>64819506.303091019</v>
      </c>
      <c r="AH8" s="93">
        <f t="shared" si="3"/>
        <v>60494177.001693919</v>
      </c>
      <c r="AI8" s="93">
        <f t="shared" si="3"/>
        <v>57358141.984595299</v>
      </c>
      <c r="AJ8" s="93">
        <f t="shared" si="3"/>
        <v>50159117.174878299</v>
      </c>
      <c r="AK8" s="93">
        <f t="shared" si="3"/>
        <v>48605247.82499478</v>
      </c>
      <c r="AL8" s="93">
        <f t="shared" si="3"/>
        <v>49908841.100667477</v>
      </c>
      <c r="AM8" s="93"/>
      <c r="AN8" s="93"/>
      <c r="AO8" s="93"/>
      <c r="AP8" s="93">
        <f t="shared" ref="AP8:AP15" si="4">SUM(F8:AO8)</f>
        <v>1335876929.0180392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>
        <f t="shared" si="4"/>
        <v>0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93">
        <f>O63+O64+O65</f>
        <v>112977088.66465129</v>
      </c>
      <c r="P10" s="93">
        <f t="shared" ref="P10:Z10" si="5">P63+P64+P65</f>
        <v>108552418.62717734</v>
      </c>
      <c r="Q10" s="93">
        <f t="shared" si="5"/>
        <v>100721399.38571118</v>
      </c>
      <c r="R10" s="93">
        <f t="shared" si="5"/>
        <v>112819545.16367477</v>
      </c>
      <c r="S10" s="93">
        <f t="shared" si="5"/>
        <v>110564910.48502697</v>
      </c>
      <c r="T10" s="93">
        <f t="shared" si="5"/>
        <v>104642063.53924263</v>
      </c>
      <c r="U10" s="93">
        <f t="shared" si="5"/>
        <v>102356312.41614927</v>
      </c>
      <c r="V10" s="93">
        <f t="shared" si="5"/>
        <v>104627299.63172153</v>
      </c>
      <c r="W10" s="93">
        <f t="shared" si="5"/>
        <v>100434262.27371232</v>
      </c>
      <c r="X10" s="93">
        <f t="shared" si="5"/>
        <v>97735561.821382791</v>
      </c>
      <c r="Y10" s="93">
        <f t="shared" si="5"/>
        <v>100957379.1395191</v>
      </c>
      <c r="Z10" s="93">
        <f t="shared" si="5"/>
        <v>106502920.78477423</v>
      </c>
      <c r="AA10" s="93">
        <f t="shared" ref="AA10:AL10" si="6">AA63+AA64+AA65</f>
        <v>113919366.56799889</v>
      </c>
      <c r="AB10" s="93">
        <f t="shared" si="6"/>
        <v>107429742.64370918</v>
      </c>
      <c r="AC10" s="93">
        <f t="shared" si="6"/>
        <v>99711075.274444148</v>
      </c>
      <c r="AD10" s="93">
        <f t="shared" si="6"/>
        <v>113298684.60987434</v>
      </c>
      <c r="AE10" s="93">
        <f t="shared" si="6"/>
        <v>111932057.5619739</v>
      </c>
      <c r="AF10" s="93">
        <f t="shared" si="6"/>
        <v>105998049.12506291</v>
      </c>
      <c r="AG10" s="93">
        <f t="shared" si="6"/>
        <v>103034104.25245897</v>
      </c>
      <c r="AH10" s="93">
        <f t="shared" si="6"/>
        <v>103603206.21693957</v>
      </c>
      <c r="AI10" s="93">
        <f t="shared" si="6"/>
        <v>99842058.771631569</v>
      </c>
      <c r="AJ10" s="93">
        <f t="shared" si="6"/>
        <v>96862416.17301853</v>
      </c>
      <c r="AK10" s="93">
        <f t="shared" si="6"/>
        <v>100873087.21483272</v>
      </c>
      <c r="AL10" s="93">
        <f t="shared" si="6"/>
        <v>106492977.71238141</v>
      </c>
      <c r="AM10" s="93"/>
      <c r="AN10" s="93"/>
      <c r="AO10" s="93"/>
      <c r="AP10" s="93">
        <f t="shared" si="4"/>
        <v>2525887988.0570698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>
        <f t="shared" si="4"/>
        <v>0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93">
        <f>O66+O70</f>
        <v>90445103</v>
      </c>
      <c r="P12" s="93">
        <f t="shared" ref="P12:Z12" si="7">P66+P70</f>
        <v>97473252</v>
      </c>
      <c r="Q12" s="93">
        <f t="shared" si="7"/>
        <v>86092179</v>
      </c>
      <c r="R12" s="93">
        <f t="shared" si="7"/>
        <v>90154627</v>
      </c>
      <c r="S12" s="93">
        <f t="shared" si="7"/>
        <v>84693081</v>
      </c>
      <c r="T12" s="93">
        <f t="shared" si="7"/>
        <v>88860112</v>
      </c>
      <c r="U12" s="93">
        <f t="shared" si="7"/>
        <v>92100698</v>
      </c>
      <c r="V12" s="93">
        <f t="shared" si="7"/>
        <v>82158979</v>
      </c>
      <c r="W12" s="93">
        <f t="shared" si="7"/>
        <v>88703052</v>
      </c>
      <c r="X12" s="93">
        <f t="shared" si="7"/>
        <v>88285754</v>
      </c>
      <c r="Y12" s="93">
        <f t="shared" si="7"/>
        <v>87447967</v>
      </c>
      <c r="Z12" s="93">
        <f t="shared" si="7"/>
        <v>88107928</v>
      </c>
      <c r="AA12" s="93">
        <f t="shared" ref="AA12:AL12" si="8">AA66+AA70</f>
        <v>88906759</v>
      </c>
      <c r="AB12" s="93">
        <f t="shared" si="8"/>
        <v>97479036</v>
      </c>
      <c r="AC12" s="93">
        <f t="shared" si="8"/>
        <v>86384595</v>
      </c>
      <c r="AD12" s="93">
        <f t="shared" si="8"/>
        <v>89273450</v>
      </c>
      <c r="AE12" s="93">
        <f t="shared" si="8"/>
        <v>85857653</v>
      </c>
      <c r="AF12" s="93">
        <f t="shared" si="8"/>
        <v>88441845</v>
      </c>
      <c r="AG12" s="93">
        <f t="shared" si="8"/>
        <v>91621305</v>
      </c>
      <c r="AH12" s="93">
        <f t="shared" si="8"/>
        <v>82494045</v>
      </c>
      <c r="AI12" s="93">
        <f t="shared" si="8"/>
        <v>87075230</v>
      </c>
      <c r="AJ12" s="93">
        <f t="shared" si="8"/>
        <v>88725445</v>
      </c>
      <c r="AK12" s="93">
        <f t="shared" si="8"/>
        <v>86862150</v>
      </c>
      <c r="AL12" s="93">
        <f t="shared" si="8"/>
        <v>87935038</v>
      </c>
      <c r="AM12" s="93"/>
      <c r="AN12" s="93"/>
      <c r="AO12" s="93"/>
      <c r="AP12" s="93">
        <f t="shared" si="4"/>
        <v>2125579283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93">
        <f>O67+O68</f>
        <v>25353797.419315163</v>
      </c>
      <c r="P13" s="93">
        <f t="shared" ref="P13:Z13" si="9">P67+P68</f>
        <v>28267567.740399349</v>
      </c>
      <c r="Q13" s="93">
        <f t="shared" si="9"/>
        <v>22941972.701248884</v>
      </c>
      <c r="R13" s="93">
        <f t="shared" si="9"/>
        <v>11303533.595424337</v>
      </c>
      <c r="S13" s="93">
        <f t="shared" si="9"/>
        <v>2231416.5157431569</v>
      </c>
      <c r="T13" s="93">
        <f t="shared" si="9"/>
        <v>2944362.1134637855</v>
      </c>
      <c r="U13" s="93">
        <f t="shared" si="9"/>
        <v>4267894.1500995196</v>
      </c>
      <c r="V13" s="93">
        <f t="shared" si="9"/>
        <v>4148599.6709626261</v>
      </c>
      <c r="W13" s="93">
        <f t="shared" si="9"/>
        <v>4312272.6219825391</v>
      </c>
      <c r="X13" s="93">
        <f t="shared" si="9"/>
        <v>6091765.4881241657</v>
      </c>
      <c r="Y13" s="93">
        <f t="shared" si="9"/>
        <v>13591455.061472366</v>
      </c>
      <c r="Z13" s="93">
        <f t="shared" si="9"/>
        <v>21693328.266418211</v>
      </c>
      <c r="AA13" s="93">
        <f t="shared" ref="AA13:AL13" si="10">AA67+AA68</f>
        <v>25662598.321469579</v>
      </c>
      <c r="AB13" s="93">
        <f t="shared" si="10"/>
        <v>28274461.4919191</v>
      </c>
      <c r="AC13" s="93">
        <f t="shared" si="10"/>
        <v>22725878.463602275</v>
      </c>
      <c r="AD13" s="93">
        <f t="shared" si="10"/>
        <v>11818293.508299258</v>
      </c>
      <c r="AE13" s="93">
        <f t="shared" si="10"/>
        <v>2771719.0727195381</v>
      </c>
      <c r="AF13" s="93">
        <f t="shared" si="10"/>
        <v>3274280.533563477</v>
      </c>
      <c r="AG13" s="93">
        <f t="shared" si="10"/>
        <v>4147127.463784446</v>
      </c>
      <c r="AH13" s="93">
        <f t="shared" si="10"/>
        <v>4254606.3158679157</v>
      </c>
      <c r="AI13" s="93">
        <f t="shared" si="10"/>
        <v>4250488.2237942042</v>
      </c>
      <c r="AJ13" s="93">
        <f t="shared" si="10"/>
        <v>6089044.1679767286</v>
      </c>
      <c r="AK13" s="93">
        <f t="shared" si="10"/>
        <v>12983926.897617493</v>
      </c>
      <c r="AL13" s="93">
        <f t="shared" si="10"/>
        <v>20785296.318044029</v>
      </c>
      <c r="AM13" s="93"/>
      <c r="AN13" s="93"/>
      <c r="AO13" s="93"/>
      <c r="AP13" s="93">
        <f t="shared" si="4"/>
        <v>294185686.12331212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>
        <f t="shared" si="4"/>
        <v>0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93">
        <f>O69</f>
        <v>1297254.7296365609</v>
      </c>
      <c r="P15" s="93">
        <f t="shared" ref="P15:Z15" si="11">P69</f>
        <v>1318572.8385579409</v>
      </c>
      <c r="Q15" s="93">
        <f t="shared" si="11"/>
        <v>1317545.3920340193</v>
      </c>
      <c r="R15" s="93">
        <f t="shared" si="11"/>
        <v>1291228.0263941458</v>
      </c>
      <c r="S15" s="93">
        <f t="shared" si="11"/>
        <v>1295517.2293914184</v>
      </c>
      <c r="T15" s="93">
        <f t="shared" si="11"/>
        <v>1323193.4273065061</v>
      </c>
      <c r="U15" s="93">
        <f t="shared" si="11"/>
        <v>1294258.5860627098</v>
      </c>
      <c r="V15" s="93">
        <f t="shared" si="11"/>
        <v>1248484.9561865169</v>
      </c>
      <c r="W15" s="93">
        <f t="shared" si="11"/>
        <v>1332499.7247278495</v>
      </c>
      <c r="X15" s="93">
        <f t="shared" si="11"/>
        <v>1270727.8691569627</v>
      </c>
      <c r="Y15" s="93">
        <f t="shared" si="11"/>
        <v>1274294.1390946764</v>
      </c>
      <c r="Z15" s="93">
        <f t="shared" si="11"/>
        <v>1289909.0680508316</v>
      </c>
      <c r="AA15" s="93">
        <f t="shared" ref="AA15:AL15" si="12">AA69</f>
        <v>1290688.1360754282</v>
      </c>
      <c r="AB15" s="93">
        <f t="shared" si="12"/>
        <v>1289443.886587417</v>
      </c>
      <c r="AC15" s="93">
        <f t="shared" si="12"/>
        <v>1292365.5728054985</v>
      </c>
      <c r="AD15" s="93">
        <f t="shared" si="12"/>
        <v>1267181.4261797885</v>
      </c>
      <c r="AE15" s="93">
        <f t="shared" si="12"/>
        <v>1271336.6743442169</v>
      </c>
      <c r="AF15" s="93">
        <f t="shared" si="12"/>
        <v>1302626.9079819501</v>
      </c>
      <c r="AG15" s="93">
        <f t="shared" si="12"/>
        <v>1273720.3451935495</v>
      </c>
      <c r="AH15" s="93">
        <f t="shared" si="12"/>
        <v>1224777.8982679946</v>
      </c>
      <c r="AI15" s="93">
        <f t="shared" si="12"/>
        <v>1308069.1455762428</v>
      </c>
      <c r="AJ15" s="93">
        <f t="shared" si="12"/>
        <v>1250016.8477099631</v>
      </c>
      <c r="AK15" s="93">
        <f t="shared" si="12"/>
        <v>1253205.6543161506</v>
      </c>
      <c r="AL15" s="93">
        <f t="shared" si="12"/>
        <v>1266943.1333474196</v>
      </c>
      <c r="AM15" s="93"/>
      <c r="AN15" s="93"/>
      <c r="AO15" s="93"/>
      <c r="AP15" s="93">
        <f t="shared" si="4"/>
        <v>30843861.614985753</v>
      </c>
    </row>
    <row r="16" spans="1:42" x14ac:dyDescent="0.25">
      <c r="A16" s="49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</row>
    <row r="17" spans="1:42" x14ac:dyDescent="0.25">
      <c r="A17" s="50" t="s">
        <v>0</v>
      </c>
      <c r="B17" s="53">
        <f t="shared" ref="B17:AP17" si="13">SUM(B7:B15)</f>
        <v>481134195.48525196</v>
      </c>
      <c r="C17" s="53">
        <f t="shared" si="13"/>
        <v>430534801.98985189</v>
      </c>
      <c r="D17" s="53">
        <f t="shared" si="13"/>
        <v>426436704.8662436</v>
      </c>
      <c r="E17" s="53">
        <f t="shared" si="13"/>
        <v>0</v>
      </c>
      <c r="F17" s="53">
        <f t="shared" si="13"/>
        <v>0</v>
      </c>
      <c r="G17" s="53">
        <f t="shared" si="13"/>
        <v>0</v>
      </c>
      <c r="H17" s="53">
        <f t="shared" si="13"/>
        <v>0</v>
      </c>
      <c r="I17" s="53">
        <f t="shared" si="13"/>
        <v>0</v>
      </c>
      <c r="J17" s="53">
        <f t="shared" si="13"/>
        <v>0</v>
      </c>
      <c r="K17" s="53">
        <f t="shared" si="13"/>
        <v>0</v>
      </c>
      <c r="L17" s="53">
        <f t="shared" si="13"/>
        <v>0</v>
      </c>
      <c r="M17" s="53">
        <f t="shared" si="13"/>
        <v>0</v>
      </c>
      <c r="N17" s="53">
        <f t="shared" si="13"/>
        <v>0</v>
      </c>
      <c r="O17" s="53">
        <f t="shared" si="13"/>
        <v>482622198.15963167</v>
      </c>
      <c r="P17" s="53">
        <f t="shared" si="13"/>
        <v>500342319.73763025</v>
      </c>
      <c r="Q17" s="53">
        <f t="shared" si="13"/>
        <v>417031527.33694649</v>
      </c>
      <c r="R17" s="53">
        <f t="shared" si="13"/>
        <v>439744183.12765592</v>
      </c>
      <c r="S17" s="53">
        <f t="shared" si="13"/>
        <v>487824031.36197704</v>
      </c>
      <c r="T17" s="53">
        <f t="shared" si="13"/>
        <v>559479205.96991742</v>
      </c>
      <c r="U17" s="53">
        <f t="shared" si="13"/>
        <v>565909594.62262726</v>
      </c>
      <c r="V17" s="53">
        <f t="shared" si="13"/>
        <v>507419480.81577486</v>
      </c>
      <c r="W17" s="53">
        <f t="shared" si="13"/>
        <v>478786777.489824</v>
      </c>
      <c r="X17" s="53">
        <f t="shared" si="13"/>
        <v>428295450.53653526</v>
      </c>
      <c r="Y17" s="53">
        <f t="shared" si="13"/>
        <v>417209182.54159033</v>
      </c>
      <c r="Z17" s="53">
        <f t="shared" si="13"/>
        <v>430487511.51599431</v>
      </c>
      <c r="AA17" s="53">
        <f t="shared" si="13"/>
        <v>479381866.41347593</v>
      </c>
      <c r="AB17" s="53">
        <f t="shared" si="13"/>
        <v>498509772.15789044</v>
      </c>
      <c r="AC17" s="53">
        <f t="shared" si="13"/>
        <v>418690869.97209442</v>
      </c>
      <c r="AD17" s="53">
        <f t="shared" si="13"/>
        <v>443604119.59649467</v>
      </c>
      <c r="AE17" s="53">
        <f t="shared" si="13"/>
        <v>490199172.21321762</v>
      </c>
      <c r="AF17" s="53">
        <f t="shared" si="13"/>
        <v>561967775.25677717</v>
      </c>
      <c r="AG17" s="53">
        <f t="shared" si="13"/>
        <v>567081707.08359778</v>
      </c>
      <c r="AH17" s="53">
        <f t="shared" si="13"/>
        <v>509438027.19847667</v>
      </c>
      <c r="AI17" s="53">
        <f t="shared" si="13"/>
        <v>481900466.41598392</v>
      </c>
      <c r="AJ17" s="53">
        <f t="shared" si="13"/>
        <v>431480061.41319203</v>
      </c>
      <c r="AK17" s="53">
        <f t="shared" si="13"/>
        <v>419866991.30809891</v>
      </c>
      <c r="AL17" s="53">
        <f t="shared" si="13"/>
        <v>430830280.45300561</v>
      </c>
      <c r="AM17" s="53">
        <f t="shared" si="13"/>
        <v>0</v>
      </c>
      <c r="AN17" s="53">
        <f t="shared" si="13"/>
        <v>0</v>
      </c>
      <c r="AO17" s="53">
        <f t="shared" si="13"/>
        <v>0</v>
      </c>
      <c r="AP17" s="52">
        <f t="shared" si="13"/>
        <v>11448102572.69841</v>
      </c>
    </row>
    <row r="18" spans="1:42" x14ac:dyDescent="0.25">
      <c r="A18" s="51"/>
      <c r="B18" s="51"/>
      <c r="F18" s="51"/>
      <c r="R18" s="52"/>
    </row>
    <row r="19" spans="1:42" x14ac:dyDescent="0.25">
      <c r="A19" s="50" t="s">
        <v>82</v>
      </c>
      <c r="B19" s="53">
        <f t="shared" ref="B19:AO19" si="14">B7</f>
        <v>213189988.19073486</v>
      </c>
      <c r="C19" s="52">
        <f t="shared" si="14"/>
        <v>171239526.06262755</v>
      </c>
      <c r="D19" s="52">
        <f t="shared" si="14"/>
        <v>156633831.35472667</v>
      </c>
      <c r="E19" s="52">
        <f t="shared" si="14"/>
        <v>0</v>
      </c>
      <c r="F19" s="53">
        <f t="shared" si="14"/>
        <v>0</v>
      </c>
      <c r="G19" s="52">
        <f t="shared" si="14"/>
        <v>0</v>
      </c>
      <c r="H19" s="52">
        <f t="shared" si="14"/>
        <v>0</v>
      </c>
      <c r="I19" s="52">
        <f t="shared" si="14"/>
        <v>0</v>
      </c>
      <c r="J19" s="52">
        <f t="shared" si="14"/>
        <v>0</v>
      </c>
      <c r="K19" s="52">
        <f t="shared" si="14"/>
        <v>0</v>
      </c>
      <c r="L19" s="52">
        <f t="shared" si="14"/>
        <v>0</v>
      </c>
      <c r="M19" s="52">
        <f t="shared" si="14"/>
        <v>0</v>
      </c>
      <c r="N19" s="52">
        <f t="shared" si="14"/>
        <v>0</v>
      </c>
      <c r="O19" s="52">
        <f t="shared" si="14"/>
        <v>196453732.82550579</v>
      </c>
      <c r="P19" s="52">
        <f t="shared" si="14"/>
        <v>209266297.60104942</v>
      </c>
      <c r="Q19" s="52">
        <f t="shared" si="14"/>
        <v>155742734.78345945</v>
      </c>
      <c r="R19" s="52">
        <f t="shared" si="14"/>
        <v>172836041.1291908</v>
      </c>
      <c r="S19" s="52">
        <f t="shared" si="14"/>
        <v>230374929.5155212</v>
      </c>
      <c r="T19" s="52">
        <f t="shared" si="14"/>
        <v>296917929.96332842</v>
      </c>
      <c r="U19" s="52">
        <f t="shared" si="14"/>
        <v>302120264.33725601</v>
      </c>
      <c r="V19" s="52">
        <f t="shared" si="14"/>
        <v>255240200.66714668</v>
      </c>
      <c r="W19" s="52">
        <f t="shared" si="14"/>
        <v>227481319.28180018</v>
      </c>
      <c r="X19" s="52">
        <f t="shared" si="14"/>
        <v>185227052.39345241</v>
      </c>
      <c r="Y19" s="52">
        <f t="shared" si="14"/>
        <v>166003779.48943084</v>
      </c>
      <c r="Z19" s="52">
        <f t="shared" si="14"/>
        <v>163529472.4618564</v>
      </c>
      <c r="AA19" s="52">
        <f t="shared" si="14"/>
        <v>192460833.84788927</v>
      </c>
      <c r="AB19" s="52">
        <f t="shared" si="14"/>
        <v>207946755.03022233</v>
      </c>
      <c r="AC19" s="52">
        <f t="shared" si="14"/>
        <v>158277220.03709269</v>
      </c>
      <c r="AD19" s="52">
        <f t="shared" si="14"/>
        <v>175977983.07888946</v>
      </c>
      <c r="AE19" s="52">
        <f t="shared" si="14"/>
        <v>228852796.80646789</v>
      </c>
      <c r="AF19" s="52">
        <f t="shared" si="14"/>
        <v>297275264.90576875</v>
      </c>
      <c r="AG19" s="52">
        <f t="shared" si="14"/>
        <v>302185943.71906984</v>
      </c>
      <c r="AH19" s="52">
        <f t="shared" si="14"/>
        <v>257367214.76570728</v>
      </c>
      <c r="AI19" s="52">
        <f t="shared" si="14"/>
        <v>232066478.29038659</v>
      </c>
      <c r="AJ19" s="52">
        <f t="shared" si="14"/>
        <v>188394022.04960853</v>
      </c>
      <c r="AK19" s="52">
        <f t="shared" si="14"/>
        <v>169289373.7163378</v>
      </c>
      <c r="AL19" s="52">
        <f t="shared" si="14"/>
        <v>164441184.18856531</v>
      </c>
      <c r="AM19" s="52">
        <f t="shared" si="14"/>
        <v>0</v>
      </c>
      <c r="AN19" s="52">
        <f t="shared" si="14"/>
        <v>0</v>
      </c>
      <c r="AO19" s="52">
        <f t="shared" si="14"/>
        <v>0</v>
      </c>
      <c r="AP19" s="52">
        <f>SUM(F19:AO19)</f>
        <v>5135728824.8850031</v>
      </c>
    </row>
    <row r="20" spans="1:42" x14ac:dyDescent="0.25">
      <c r="A20" s="50" t="s">
        <v>42</v>
      </c>
      <c r="B20" s="53">
        <f t="shared" ref="B20:AO20" si="15">B8+B9</f>
        <v>53996794.239434168</v>
      </c>
      <c r="C20" s="52">
        <f t="shared" si="15"/>
        <v>47147306.491081983</v>
      </c>
      <c r="D20" s="52">
        <f t="shared" si="15"/>
        <v>46784327.459946327</v>
      </c>
      <c r="E20" s="52">
        <f t="shared" si="15"/>
        <v>0</v>
      </c>
      <c r="F20" s="53">
        <f t="shared" si="15"/>
        <v>0</v>
      </c>
      <c r="G20" s="52">
        <f t="shared" si="15"/>
        <v>0</v>
      </c>
      <c r="H20" s="52">
        <f t="shared" si="15"/>
        <v>0</v>
      </c>
      <c r="I20" s="52">
        <f t="shared" si="15"/>
        <v>0</v>
      </c>
      <c r="J20" s="52">
        <f t="shared" si="15"/>
        <v>0</v>
      </c>
      <c r="K20" s="52">
        <f t="shared" si="15"/>
        <v>0</v>
      </c>
      <c r="L20" s="52">
        <f t="shared" si="15"/>
        <v>0</v>
      </c>
      <c r="M20" s="52">
        <f t="shared" si="15"/>
        <v>0</v>
      </c>
      <c r="N20" s="52">
        <f t="shared" si="15"/>
        <v>0</v>
      </c>
      <c r="O20" s="52">
        <f t="shared" si="15"/>
        <v>56095221.520522907</v>
      </c>
      <c r="P20" s="52">
        <f t="shared" si="15"/>
        <v>55464210.93044614</v>
      </c>
      <c r="Q20" s="52">
        <f t="shared" si="15"/>
        <v>50215696.074492998</v>
      </c>
      <c r="R20" s="52">
        <f t="shared" si="15"/>
        <v>51339208.212971874</v>
      </c>
      <c r="S20" s="52">
        <f t="shared" si="15"/>
        <v>58664176.616294332</v>
      </c>
      <c r="T20" s="52">
        <f t="shared" si="15"/>
        <v>64791544.926576048</v>
      </c>
      <c r="U20" s="52">
        <f t="shared" si="15"/>
        <v>63770167.133059852</v>
      </c>
      <c r="V20" s="52">
        <f t="shared" si="15"/>
        <v>59995916.889757469</v>
      </c>
      <c r="W20" s="52">
        <f t="shared" si="15"/>
        <v>56523371.587601081</v>
      </c>
      <c r="X20" s="52">
        <f t="shared" si="15"/>
        <v>49684588.96441891</v>
      </c>
      <c r="Y20" s="52">
        <f t="shared" si="15"/>
        <v>47934307.712073348</v>
      </c>
      <c r="Z20" s="52">
        <f t="shared" si="15"/>
        <v>49363952.934894577</v>
      </c>
      <c r="AA20" s="52">
        <f t="shared" si="15"/>
        <v>57141620.540042736</v>
      </c>
      <c r="AB20" s="52">
        <f t="shared" si="15"/>
        <v>56090333.105452381</v>
      </c>
      <c r="AC20" s="52">
        <f t="shared" si="15"/>
        <v>50299735.624149792</v>
      </c>
      <c r="AD20" s="52">
        <f t="shared" si="15"/>
        <v>51968526.973251835</v>
      </c>
      <c r="AE20" s="52">
        <f t="shared" si="15"/>
        <v>59513609.097712018</v>
      </c>
      <c r="AF20" s="52">
        <f t="shared" si="15"/>
        <v>65675708.784400016</v>
      </c>
      <c r="AG20" s="52">
        <f t="shared" si="15"/>
        <v>64819506.303091019</v>
      </c>
      <c r="AH20" s="52">
        <f t="shared" si="15"/>
        <v>60494177.001693919</v>
      </c>
      <c r="AI20" s="52">
        <f t="shared" si="15"/>
        <v>57358141.984595299</v>
      </c>
      <c r="AJ20" s="52">
        <f t="shared" si="15"/>
        <v>50159117.174878299</v>
      </c>
      <c r="AK20" s="52">
        <f t="shared" si="15"/>
        <v>48605247.82499478</v>
      </c>
      <c r="AL20" s="52">
        <f t="shared" si="15"/>
        <v>49908841.100667477</v>
      </c>
      <c r="AM20" s="52">
        <f t="shared" si="15"/>
        <v>0</v>
      </c>
      <c r="AN20" s="52">
        <f t="shared" si="15"/>
        <v>0</v>
      </c>
      <c r="AO20" s="52">
        <f t="shared" si="15"/>
        <v>0</v>
      </c>
      <c r="AP20" s="52">
        <f t="shared" ref="AP20:AP24" si="16">SUM(F20:AO20)</f>
        <v>1335876929.0180392</v>
      </c>
    </row>
    <row r="21" spans="1:42" x14ac:dyDescent="0.25">
      <c r="A21" s="50" t="s">
        <v>43</v>
      </c>
      <c r="B21" s="53">
        <f t="shared" ref="B21:AO21" si="17">B10+B11</f>
        <v>115724794.46222611</v>
      </c>
      <c r="C21" s="52">
        <f t="shared" si="17"/>
        <v>107885928.09704651</v>
      </c>
      <c r="D21" s="52">
        <f t="shared" si="17"/>
        <v>112569079.08713758</v>
      </c>
      <c r="E21" s="52">
        <f t="shared" si="17"/>
        <v>0</v>
      </c>
      <c r="F21" s="53">
        <f t="shared" si="17"/>
        <v>0</v>
      </c>
      <c r="G21" s="52">
        <f t="shared" si="17"/>
        <v>0</v>
      </c>
      <c r="H21" s="52">
        <f t="shared" si="17"/>
        <v>0</v>
      </c>
      <c r="I21" s="52">
        <f t="shared" si="17"/>
        <v>0</v>
      </c>
      <c r="J21" s="52">
        <f t="shared" si="17"/>
        <v>0</v>
      </c>
      <c r="K21" s="52">
        <f t="shared" si="17"/>
        <v>0</v>
      </c>
      <c r="L21" s="52">
        <f t="shared" si="17"/>
        <v>0</v>
      </c>
      <c r="M21" s="52">
        <f t="shared" si="17"/>
        <v>0</v>
      </c>
      <c r="N21" s="52">
        <f t="shared" si="17"/>
        <v>0</v>
      </c>
      <c r="O21" s="52">
        <f t="shared" si="17"/>
        <v>112977088.66465129</v>
      </c>
      <c r="P21" s="52">
        <f t="shared" si="17"/>
        <v>108552418.62717734</v>
      </c>
      <c r="Q21" s="52">
        <f t="shared" si="17"/>
        <v>100721399.38571118</v>
      </c>
      <c r="R21" s="52">
        <f t="shared" si="17"/>
        <v>112819545.16367477</v>
      </c>
      <c r="S21" s="52">
        <f t="shared" si="17"/>
        <v>110564910.48502697</v>
      </c>
      <c r="T21" s="52">
        <f t="shared" si="17"/>
        <v>104642063.53924263</v>
      </c>
      <c r="U21" s="52">
        <f t="shared" si="17"/>
        <v>102356312.41614927</v>
      </c>
      <c r="V21" s="52">
        <f t="shared" si="17"/>
        <v>104627299.63172153</v>
      </c>
      <c r="W21" s="52">
        <f t="shared" si="17"/>
        <v>100434262.27371232</v>
      </c>
      <c r="X21" s="52">
        <f t="shared" si="17"/>
        <v>97735561.821382791</v>
      </c>
      <c r="Y21" s="52">
        <f t="shared" si="17"/>
        <v>100957379.1395191</v>
      </c>
      <c r="Z21" s="52">
        <f t="shared" si="17"/>
        <v>106502920.78477423</v>
      </c>
      <c r="AA21" s="52">
        <f t="shared" si="17"/>
        <v>113919366.56799889</v>
      </c>
      <c r="AB21" s="52">
        <f t="shared" si="17"/>
        <v>107429742.64370918</v>
      </c>
      <c r="AC21" s="52">
        <f t="shared" si="17"/>
        <v>99711075.274444148</v>
      </c>
      <c r="AD21" s="52">
        <f t="shared" si="17"/>
        <v>113298684.60987434</v>
      </c>
      <c r="AE21" s="52">
        <f t="shared" si="17"/>
        <v>111932057.5619739</v>
      </c>
      <c r="AF21" s="52">
        <f t="shared" si="17"/>
        <v>105998049.12506291</v>
      </c>
      <c r="AG21" s="52">
        <f t="shared" si="17"/>
        <v>103034104.25245897</v>
      </c>
      <c r="AH21" s="52">
        <f t="shared" si="17"/>
        <v>103603206.21693957</v>
      </c>
      <c r="AI21" s="52">
        <f t="shared" si="17"/>
        <v>99842058.771631569</v>
      </c>
      <c r="AJ21" s="52">
        <f t="shared" si="17"/>
        <v>96862416.17301853</v>
      </c>
      <c r="AK21" s="52">
        <f t="shared" si="17"/>
        <v>100873087.21483272</v>
      </c>
      <c r="AL21" s="52">
        <f t="shared" si="17"/>
        <v>106492977.71238141</v>
      </c>
      <c r="AM21" s="52">
        <f t="shared" si="17"/>
        <v>0</v>
      </c>
      <c r="AN21" s="52">
        <f t="shared" si="17"/>
        <v>0</v>
      </c>
      <c r="AO21" s="52">
        <f t="shared" si="17"/>
        <v>0</v>
      </c>
      <c r="AP21" s="52">
        <f t="shared" si="16"/>
        <v>2525887988.0570698</v>
      </c>
    </row>
    <row r="22" spans="1:42" x14ac:dyDescent="0.25">
      <c r="A22" s="50" t="s">
        <v>38</v>
      </c>
      <c r="B22" s="53">
        <f t="shared" ref="B22:AO22" si="18">B12</f>
        <v>92097651.340277776</v>
      </c>
      <c r="C22" s="52">
        <f t="shared" si="18"/>
        <v>95221310.400462955</v>
      </c>
      <c r="D22" s="52">
        <f t="shared" si="18"/>
        <v>95100347.010513127</v>
      </c>
      <c r="E22" s="52">
        <f t="shared" si="18"/>
        <v>0</v>
      </c>
      <c r="F22" s="53">
        <f t="shared" si="18"/>
        <v>0</v>
      </c>
      <c r="G22" s="52">
        <f t="shared" si="18"/>
        <v>0</v>
      </c>
      <c r="H22" s="52">
        <f t="shared" si="18"/>
        <v>0</v>
      </c>
      <c r="I22" s="52">
        <f t="shared" si="18"/>
        <v>0</v>
      </c>
      <c r="J22" s="52">
        <f t="shared" si="18"/>
        <v>0</v>
      </c>
      <c r="K22" s="52">
        <f t="shared" si="18"/>
        <v>0</v>
      </c>
      <c r="L22" s="52">
        <f t="shared" si="18"/>
        <v>0</v>
      </c>
      <c r="M22" s="52">
        <f t="shared" si="18"/>
        <v>0</v>
      </c>
      <c r="N22" s="52">
        <f t="shared" si="18"/>
        <v>0</v>
      </c>
      <c r="O22" s="52">
        <f t="shared" si="18"/>
        <v>90445103</v>
      </c>
      <c r="P22" s="52">
        <f t="shared" si="18"/>
        <v>97473252</v>
      </c>
      <c r="Q22" s="52">
        <f t="shared" si="18"/>
        <v>86092179</v>
      </c>
      <c r="R22" s="52">
        <f t="shared" si="18"/>
        <v>90154627</v>
      </c>
      <c r="S22" s="52">
        <f t="shared" si="18"/>
        <v>84693081</v>
      </c>
      <c r="T22" s="52">
        <f t="shared" si="18"/>
        <v>88860112</v>
      </c>
      <c r="U22" s="52">
        <f t="shared" si="18"/>
        <v>92100698</v>
      </c>
      <c r="V22" s="52">
        <f t="shared" si="18"/>
        <v>82158979</v>
      </c>
      <c r="W22" s="52">
        <f t="shared" si="18"/>
        <v>88703052</v>
      </c>
      <c r="X22" s="52">
        <f t="shared" si="18"/>
        <v>88285754</v>
      </c>
      <c r="Y22" s="52">
        <f t="shared" si="18"/>
        <v>87447967</v>
      </c>
      <c r="Z22" s="52">
        <f t="shared" si="18"/>
        <v>88107928</v>
      </c>
      <c r="AA22" s="52">
        <f t="shared" si="18"/>
        <v>88906759</v>
      </c>
      <c r="AB22" s="52">
        <f t="shared" si="18"/>
        <v>97479036</v>
      </c>
      <c r="AC22" s="52">
        <f t="shared" si="18"/>
        <v>86384595</v>
      </c>
      <c r="AD22" s="52">
        <f t="shared" si="18"/>
        <v>89273450</v>
      </c>
      <c r="AE22" s="52">
        <f t="shared" si="18"/>
        <v>85857653</v>
      </c>
      <c r="AF22" s="52">
        <f t="shared" si="18"/>
        <v>88441845</v>
      </c>
      <c r="AG22" s="52">
        <f t="shared" si="18"/>
        <v>91621305</v>
      </c>
      <c r="AH22" s="52">
        <f t="shared" si="18"/>
        <v>82494045</v>
      </c>
      <c r="AI22" s="52">
        <f t="shared" si="18"/>
        <v>87075230</v>
      </c>
      <c r="AJ22" s="52">
        <f t="shared" si="18"/>
        <v>88725445</v>
      </c>
      <c r="AK22" s="52">
        <f t="shared" si="18"/>
        <v>86862150</v>
      </c>
      <c r="AL22" s="52">
        <f t="shared" si="18"/>
        <v>87935038</v>
      </c>
      <c r="AM22" s="52">
        <f t="shared" si="18"/>
        <v>0</v>
      </c>
      <c r="AN22" s="52">
        <f t="shared" si="18"/>
        <v>0</v>
      </c>
      <c r="AO22" s="52">
        <f t="shared" si="18"/>
        <v>0</v>
      </c>
      <c r="AP22" s="52">
        <f t="shared" si="16"/>
        <v>2125579283</v>
      </c>
    </row>
    <row r="23" spans="1:42" x14ac:dyDescent="0.25">
      <c r="A23" s="50" t="s">
        <v>44</v>
      </c>
      <c r="B23" s="53">
        <f>B13+B14</f>
        <v>4880222.5614654934</v>
      </c>
      <c r="C23" s="52">
        <f>C13+C14</f>
        <v>7812409.5350077404</v>
      </c>
      <c r="D23" s="52">
        <f>D13+D14</f>
        <v>14167601.775414184</v>
      </c>
      <c r="E23" s="52">
        <f>E13+E14</f>
        <v>0</v>
      </c>
      <c r="F23" s="53">
        <f>F13+F14</f>
        <v>0</v>
      </c>
      <c r="G23" s="52">
        <f t="shared" ref="G23:Q23" si="19">G13+G14</f>
        <v>0</v>
      </c>
      <c r="H23" s="52">
        <f t="shared" si="19"/>
        <v>0</v>
      </c>
      <c r="I23" s="52">
        <f t="shared" si="19"/>
        <v>0</v>
      </c>
      <c r="J23" s="52">
        <f t="shared" si="19"/>
        <v>0</v>
      </c>
      <c r="K23" s="52">
        <f t="shared" si="19"/>
        <v>0</v>
      </c>
      <c r="L23" s="52">
        <f t="shared" si="19"/>
        <v>0</v>
      </c>
      <c r="M23" s="52">
        <f t="shared" si="19"/>
        <v>0</v>
      </c>
      <c r="N23" s="52">
        <f t="shared" si="19"/>
        <v>0</v>
      </c>
      <c r="O23" s="52">
        <f t="shared" si="19"/>
        <v>25353797.419315163</v>
      </c>
      <c r="P23" s="52">
        <f t="shared" si="19"/>
        <v>28267567.740399349</v>
      </c>
      <c r="Q23" s="52">
        <f t="shared" si="19"/>
        <v>22941972.701248884</v>
      </c>
      <c r="R23" s="52">
        <f t="shared" ref="R23:AO23" si="20">R13+R14</f>
        <v>11303533.595424337</v>
      </c>
      <c r="S23" s="52">
        <f t="shared" si="20"/>
        <v>2231416.5157431569</v>
      </c>
      <c r="T23" s="52">
        <f t="shared" si="20"/>
        <v>2944362.1134637855</v>
      </c>
      <c r="U23" s="52">
        <f t="shared" si="20"/>
        <v>4267894.1500995196</v>
      </c>
      <c r="V23" s="52">
        <f t="shared" si="20"/>
        <v>4148599.6709626261</v>
      </c>
      <c r="W23" s="52">
        <f t="shared" si="20"/>
        <v>4312272.6219825391</v>
      </c>
      <c r="X23" s="52">
        <f t="shared" si="20"/>
        <v>6091765.4881241657</v>
      </c>
      <c r="Y23" s="52">
        <f t="shared" si="20"/>
        <v>13591455.061472366</v>
      </c>
      <c r="Z23" s="52">
        <f t="shared" si="20"/>
        <v>21693328.266418211</v>
      </c>
      <c r="AA23" s="52">
        <f t="shared" si="20"/>
        <v>25662598.321469579</v>
      </c>
      <c r="AB23" s="52">
        <f t="shared" si="20"/>
        <v>28274461.4919191</v>
      </c>
      <c r="AC23" s="52">
        <f t="shared" si="20"/>
        <v>22725878.463602275</v>
      </c>
      <c r="AD23" s="52">
        <f t="shared" si="20"/>
        <v>11818293.508299258</v>
      </c>
      <c r="AE23" s="52">
        <f t="shared" si="20"/>
        <v>2771719.0727195381</v>
      </c>
      <c r="AF23" s="52">
        <f t="shared" si="20"/>
        <v>3274280.533563477</v>
      </c>
      <c r="AG23" s="52">
        <f t="shared" si="20"/>
        <v>4147127.463784446</v>
      </c>
      <c r="AH23" s="52">
        <f t="shared" si="20"/>
        <v>4254606.3158679157</v>
      </c>
      <c r="AI23" s="52">
        <f t="shared" si="20"/>
        <v>4250488.2237942042</v>
      </c>
      <c r="AJ23" s="52">
        <f t="shared" si="20"/>
        <v>6089044.1679767286</v>
      </c>
      <c r="AK23" s="52">
        <f t="shared" si="20"/>
        <v>12983926.897617493</v>
      </c>
      <c r="AL23" s="52">
        <f t="shared" si="20"/>
        <v>20785296.318044029</v>
      </c>
      <c r="AM23" s="52">
        <f t="shared" si="20"/>
        <v>0</v>
      </c>
      <c r="AN23" s="52">
        <f t="shared" si="20"/>
        <v>0</v>
      </c>
      <c r="AO23" s="52">
        <f t="shared" si="20"/>
        <v>0</v>
      </c>
      <c r="AP23" s="52">
        <f t="shared" si="16"/>
        <v>294185686.12331212</v>
      </c>
    </row>
    <row r="24" spans="1:42" x14ac:dyDescent="0.25">
      <c r="A24" s="50" t="s">
        <v>41</v>
      </c>
      <c r="B24" s="53">
        <f>B15</f>
        <v>1244744.6911135332</v>
      </c>
      <c r="C24" s="52">
        <f>C15</f>
        <v>1228321.4036251963</v>
      </c>
      <c r="D24" s="52">
        <f>D15</f>
        <v>1181518.1785057436</v>
      </c>
      <c r="E24" s="52">
        <f>E15</f>
        <v>0</v>
      </c>
      <c r="F24" s="53">
        <f>F15</f>
        <v>0</v>
      </c>
      <c r="G24" s="52">
        <f t="shared" ref="G24:Q24" si="21">G15</f>
        <v>0</v>
      </c>
      <c r="H24" s="52">
        <f t="shared" si="21"/>
        <v>0</v>
      </c>
      <c r="I24" s="52">
        <f t="shared" si="21"/>
        <v>0</v>
      </c>
      <c r="J24" s="52">
        <f t="shared" si="21"/>
        <v>0</v>
      </c>
      <c r="K24" s="52">
        <f t="shared" si="21"/>
        <v>0</v>
      </c>
      <c r="L24" s="52">
        <f t="shared" si="21"/>
        <v>0</v>
      </c>
      <c r="M24" s="52">
        <f t="shared" si="21"/>
        <v>0</v>
      </c>
      <c r="N24" s="52">
        <f t="shared" si="21"/>
        <v>0</v>
      </c>
      <c r="O24" s="52">
        <f t="shared" si="21"/>
        <v>1297254.7296365609</v>
      </c>
      <c r="P24" s="52">
        <f t="shared" si="21"/>
        <v>1318572.8385579409</v>
      </c>
      <c r="Q24" s="52">
        <f t="shared" si="21"/>
        <v>1317545.3920340193</v>
      </c>
      <c r="R24" s="52">
        <f t="shared" ref="R24:AO24" si="22">R15</f>
        <v>1291228.0263941458</v>
      </c>
      <c r="S24" s="52">
        <f t="shared" si="22"/>
        <v>1295517.2293914184</v>
      </c>
      <c r="T24" s="52">
        <f t="shared" si="22"/>
        <v>1323193.4273065061</v>
      </c>
      <c r="U24" s="52">
        <f t="shared" si="22"/>
        <v>1294258.5860627098</v>
      </c>
      <c r="V24" s="52">
        <f t="shared" si="22"/>
        <v>1248484.9561865169</v>
      </c>
      <c r="W24" s="52">
        <f t="shared" si="22"/>
        <v>1332499.7247278495</v>
      </c>
      <c r="X24" s="52">
        <f t="shared" si="22"/>
        <v>1270727.8691569627</v>
      </c>
      <c r="Y24" s="52">
        <f t="shared" si="22"/>
        <v>1274294.1390946764</v>
      </c>
      <c r="Z24" s="52">
        <f t="shared" si="22"/>
        <v>1289909.0680508316</v>
      </c>
      <c r="AA24" s="52">
        <f t="shared" si="22"/>
        <v>1290688.1360754282</v>
      </c>
      <c r="AB24" s="52">
        <f t="shared" si="22"/>
        <v>1289443.886587417</v>
      </c>
      <c r="AC24" s="52">
        <f t="shared" si="22"/>
        <v>1292365.5728054985</v>
      </c>
      <c r="AD24" s="52">
        <f t="shared" si="22"/>
        <v>1267181.4261797885</v>
      </c>
      <c r="AE24" s="52">
        <f t="shared" si="22"/>
        <v>1271336.6743442169</v>
      </c>
      <c r="AF24" s="52">
        <f t="shared" si="22"/>
        <v>1302626.9079819501</v>
      </c>
      <c r="AG24" s="52">
        <f t="shared" si="22"/>
        <v>1273720.3451935495</v>
      </c>
      <c r="AH24" s="52">
        <f t="shared" si="22"/>
        <v>1224777.8982679946</v>
      </c>
      <c r="AI24" s="52">
        <f t="shared" si="22"/>
        <v>1308069.1455762428</v>
      </c>
      <c r="AJ24" s="52">
        <f t="shared" si="22"/>
        <v>1250016.8477099631</v>
      </c>
      <c r="AK24" s="52">
        <f t="shared" si="22"/>
        <v>1253205.6543161506</v>
      </c>
      <c r="AL24" s="52">
        <f t="shared" si="22"/>
        <v>1266943.1333474196</v>
      </c>
      <c r="AM24" s="52">
        <f t="shared" si="22"/>
        <v>0</v>
      </c>
      <c r="AN24" s="52">
        <f t="shared" si="22"/>
        <v>0</v>
      </c>
      <c r="AO24" s="52">
        <f t="shared" si="22"/>
        <v>0</v>
      </c>
      <c r="AP24" s="52">
        <f t="shared" si="16"/>
        <v>30843861.614985753</v>
      </c>
    </row>
    <row r="25" spans="1:42" x14ac:dyDescent="0.25">
      <c r="A25" s="50" t="s">
        <v>0</v>
      </c>
      <c r="B25" s="53">
        <f>SUM(B19:B24)</f>
        <v>481134195.48525196</v>
      </c>
      <c r="C25" s="52">
        <f>SUM(C19:C24)</f>
        <v>430534801.98985189</v>
      </c>
      <c r="D25" s="52">
        <f>SUM(D19:D24)</f>
        <v>426436704.8662436</v>
      </c>
      <c r="E25" s="52">
        <f>SUM(E19:E24)</f>
        <v>0</v>
      </c>
      <c r="F25" s="53">
        <f>SUM(F19:F24)</f>
        <v>0</v>
      </c>
      <c r="G25" s="52">
        <f t="shared" ref="G25:Q25" si="23">SUM(G19:G24)</f>
        <v>0</v>
      </c>
      <c r="H25" s="52">
        <f t="shared" si="23"/>
        <v>0</v>
      </c>
      <c r="I25" s="52">
        <f t="shared" si="23"/>
        <v>0</v>
      </c>
      <c r="J25" s="52">
        <f t="shared" si="23"/>
        <v>0</v>
      </c>
      <c r="K25" s="52">
        <f t="shared" si="23"/>
        <v>0</v>
      </c>
      <c r="L25" s="52">
        <f t="shared" si="23"/>
        <v>0</v>
      </c>
      <c r="M25" s="52">
        <f t="shared" si="23"/>
        <v>0</v>
      </c>
      <c r="N25" s="52">
        <f t="shared" si="23"/>
        <v>0</v>
      </c>
      <c r="O25" s="52">
        <f t="shared" si="23"/>
        <v>482622198.15963167</v>
      </c>
      <c r="P25" s="52">
        <f t="shared" si="23"/>
        <v>500342319.73763025</v>
      </c>
      <c r="Q25" s="52">
        <f t="shared" si="23"/>
        <v>417031527.33694649</v>
      </c>
      <c r="R25" s="52">
        <f t="shared" ref="R25:AP25" si="24">SUM(R19:R24)</f>
        <v>439744183.12765592</v>
      </c>
      <c r="S25" s="52">
        <f t="shared" si="24"/>
        <v>487824031.36197704</v>
      </c>
      <c r="T25" s="52">
        <f t="shared" si="24"/>
        <v>559479205.96991742</v>
      </c>
      <c r="U25" s="52">
        <f t="shared" si="24"/>
        <v>565909594.62262726</v>
      </c>
      <c r="V25" s="52">
        <f t="shared" si="24"/>
        <v>507419480.81577486</v>
      </c>
      <c r="W25" s="52">
        <f t="shared" si="24"/>
        <v>478786777.489824</v>
      </c>
      <c r="X25" s="52">
        <f t="shared" si="24"/>
        <v>428295450.53653526</v>
      </c>
      <c r="Y25" s="52">
        <f t="shared" si="24"/>
        <v>417209182.54159033</v>
      </c>
      <c r="Z25" s="52">
        <f t="shared" si="24"/>
        <v>430487511.51599431</v>
      </c>
      <c r="AA25" s="52">
        <f t="shared" si="24"/>
        <v>479381866.41347593</v>
      </c>
      <c r="AB25" s="52">
        <f t="shared" si="24"/>
        <v>498509772.15789044</v>
      </c>
      <c r="AC25" s="52">
        <f t="shared" si="24"/>
        <v>418690869.97209442</v>
      </c>
      <c r="AD25" s="52">
        <f t="shared" si="24"/>
        <v>443604119.59649467</v>
      </c>
      <c r="AE25" s="52">
        <f t="shared" si="24"/>
        <v>490199172.21321762</v>
      </c>
      <c r="AF25" s="52">
        <f t="shared" si="24"/>
        <v>561967775.25677717</v>
      </c>
      <c r="AG25" s="52">
        <f t="shared" si="24"/>
        <v>567081707.08359778</v>
      </c>
      <c r="AH25" s="52">
        <f t="shared" si="24"/>
        <v>509438027.19847667</v>
      </c>
      <c r="AI25" s="52">
        <f t="shared" si="24"/>
        <v>481900466.41598392</v>
      </c>
      <c r="AJ25" s="52">
        <f t="shared" si="24"/>
        <v>431480061.41319203</v>
      </c>
      <c r="AK25" s="52">
        <f t="shared" si="24"/>
        <v>419866991.30809891</v>
      </c>
      <c r="AL25" s="52">
        <f t="shared" si="24"/>
        <v>430830280.45300561</v>
      </c>
      <c r="AM25" s="52">
        <f t="shared" si="24"/>
        <v>0</v>
      </c>
      <c r="AN25" s="52">
        <f t="shared" si="24"/>
        <v>0</v>
      </c>
      <c r="AO25" s="52">
        <f t="shared" si="24"/>
        <v>0</v>
      </c>
      <c r="AP25" s="52">
        <f t="shared" si="24"/>
        <v>11448102572.69841</v>
      </c>
    </row>
    <row r="26" spans="1:42" x14ac:dyDescent="0.25">
      <c r="A26" s="51"/>
      <c r="B26" s="51"/>
      <c r="F26" s="51"/>
    </row>
    <row r="27" spans="1:42" x14ac:dyDescent="0.25">
      <c r="A27" s="50" t="s">
        <v>78</v>
      </c>
      <c r="B27" s="52">
        <f t="shared" ref="B27:AP27" si="25">SUM(B7:B15)-SUM(B19:B24)</f>
        <v>0</v>
      </c>
      <c r="C27" s="52">
        <f t="shared" si="25"/>
        <v>0</v>
      </c>
      <c r="D27" s="52">
        <f t="shared" si="25"/>
        <v>0</v>
      </c>
      <c r="E27" s="52">
        <f t="shared" si="25"/>
        <v>0</v>
      </c>
      <c r="F27" s="52">
        <f t="shared" si="25"/>
        <v>0</v>
      </c>
      <c r="G27" s="52">
        <f t="shared" si="25"/>
        <v>0</v>
      </c>
      <c r="H27" s="52">
        <f t="shared" si="25"/>
        <v>0</v>
      </c>
      <c r="I27" s="52">
        <f t="shared" si="25"/>
        <v>0</v>
      </c>
      <c r="J27" s="52">
        <f t="shared" si="25"/>
        <v>0</v>
      </c>
      <c r="K27" s="52">
        <f t="shared" si="25"/>
        <v>0</v>
      </c>
      <c r="L27" s="52">
        <f t="shared" si="25"/>
        <v>0</v>
      </c>
      <c r="M27" s="52">
        <f t="shared" si="25"/>
        <v>0</v>
      </c>
      <c r="N27" s="52">
        <f t="shared" si="25"/>
        <v>0</v>
      </c>
      <c r="O27" s="52">
        <f t="shared" si="25"/>
        <v>0</v>
      </c>
      <c r="P27" s="52">
        <f t="shared" si="25"/>
        <v>0</v>
      </c>
      <c r="Q27" s="52">
        <f t="shared" si="25"/>
        <v>0</v>
      </c>
      <c r="R27" s="52">
        <f t="shared" si="25"/>
        <v>0</v>
      </c>
      <c r="S27" s="52">
        <f t="shared" si="25"/>
        <v>0</v>
      </c>
      <c r="T27" s="52">
        <f t="shared" si="25"/>
        <v>0</v>
      </c>
      <c r="U27" s="52">
        <f t="shared" si="25"/>
        <v>0</v>
      </c>
      <c r="V27" s="52">
        <f t="shared" si="25"/>
        <v>0</v>
      </c>
      <c r="W27" s="52">
        <f t="shared" si="25"/>
        <v>0</v>
      </c>
      <c r="X27" s="52">
        <f t="shared" si="25"/>
        <v>0</v>
      </c>
      <c r="Y27" s="52">
        <f t="shared" si="25"/>
        <v>0</v>
      </c>
      <c r="Z27" s="52">
        <f t="shared" si="25"/>
        <v>0</v>
      </c>
      <c r="AA27" s="52">
        <f t="shared" si="25"/>
        <v>0</v>
      </c>
      <c r="AB27" s="52">
        <f t="shared" si="25"/>
        <v>0</v>
      </c>
      <c r="AC27" s="52">
        <f t="shared" si="25"/>
        <v>0</v>
      </c>
      <c r="AD27" s="52">
        <f t="shared" si="25"/>
        <v>0</v>
      </c>
      <c r="AE27" s="52">
        <f t="shared" si="25"/>
        <v>0</v>
      </c>
      <c r="AF27" s="52">
        <f t="shared" si="25"/>
        <v>0</v>
      </c>
      <c r="AG27" s="52">
        <f t="shared" si="25"/>
        <v>0</v>
      </c>
      <c r="AH27" s="52">
        <f t="shared" si="25"/>
        <v>0</v>
      </c>
      <c r="AI27" s="52">
        <f t="shared" si="25"/>
        <v>0</v>
      </c>
      <c r="AJ27" s="52">
        <f t="shared" si="25"/>
        <v>0</v>
      </c>
      <c r="AK27" s="52">
        <f t="shared" si="25"/>
        <v>0</v>
      </c>
      <c r="AL27" s="52">
        <f t="shared" si="25"/>
        <v>0</v>
      </c>
      <c r="AM27" s="52">
        <f t="shared" si="25"/>
        <v>0</v>
      </c>
      <c r="AN27" s="52">
        <f t="shared" si="25"/>
        <v>0</v>
      </c>
      <c r="AO27" s="52">
        <f t="shared" si="25"/>
        <v>0</v>
      </c>
      <c r="AP27" s="52">
        <f t="shared" si="25"/>
        <v>0</v>
      </c>
    </row>
    <row r="30" spans="1:42" hidden="1" x14ac:dyDescent="0.25">
      <c r="A30" s="2" t="s">
        <v>46</v>
      </c>
    </row>
    <row r="31" spans="1:42" hidden="1" x14ac:dyDescent="0.25">
      <c r="A31" s="45" t="s">
        <v>70</v>
      </c>
      <c r="F31" s="68"/>
    </row>
    <row r="32" spans="1:42" hidden="1" x14ac:dyDescent="0.25"/>
    <row r="33" spans="1:42" hidden="1" x14ac:dyDescent="0.25">
      <c r="B33" s="46">
        <f t="shared" ref="B33:AO33" si="26">B6</f>
        <v>43539</v>
      </c>
      <c r="C33" s="46">
        <f t="shared" si="26"/>
        <v>43570</v>
      </c>
      <c r="D33" s="46">
        <f t="shared" si="26"/>
        <v>43600</v>
      </c>
      <c r="E33" s="46">
        <f t="shared" si="26"/>
        <v>43631</v>
      </c>
      <c r="F33" s="46">
        <f t="shared" si="26"/>
        <v>43662</v>
      </c>
      <c r="G33" s="46">
        <f t="shared" si="26"/>
        <v>43693</v>
      </c>
      <c r="H33" s="46">
        <f t="shared" si="26"/>
        <v>43724</v>
      </c>
      <c r="I33" s="46">
        <f t="shared" si="26"/>
        <v>43754</v>
      </c>
      <c r="J33" s="46">
        <f t="shared" si="26"/>
        <v>43785</v>
      </c>
      <c r="K33" s="46">
        <f t="shared" si="26"/>
        <v>43815</v>
      </c>
      <c r="L33" s="46">
        <f t="shared" si="26"/>
        <v>43846</v>
      </c>
      <c r="M33" s="46">
        <f t="shared" si="26"/>
        <v>43877</v>
      </c>
      <c r="N33" s="46">
        <f t="shared" si="26"/>
        <v>43906</v>
      </c>
      <c r="O33" s="46">
        <f t="shared" si="26"/>
        <v>45123</v>
      </c>
      <c r="P33" s="46">
        <f t="shared" si="26"/>
        <v>45154</v>
      </c>
      <c r="Q33" s="46">
        <f t="shared" si="26"/>
        <v>45185</v>
      </c>
      <c r="R33" s="46">
        <f t="shared" si="26"/>
        <v>45215</v>
      </c>
      <c r="S33" s="46">
        <f t="shared" si="26"/>
        <v>45246</v>
      </c>
      <c r="T33" s="46">
        <f t="shared" si="26"/>
        <v>45276</v>
      </c>
      <c r="U33" s="46">
        <f t="shared" si="26"/>
        <v>45307</v>
      </c>
      <c r="V33" s="46">
        <f t="shared" si="26"/>
        <v>45338</v>
      </c>
      <c r="W33" s="46">
        <f t="shared" si="26"/>
        <v>45367</v>
      </c>
      <c r="X33" s="46">
        <f t="shared" si="26"/>
        <v>45398</v>
      </c>
      <c r="Y33" s="46">
        <f t="shared" si="26"/>
        <v>45428</v>
      </c>
      <c r="Z33" s="46">
        <f t="shared" si="26"/>
        <v>45459</v>
      </c>
      <c r="AA33" s="46">
        <f t="shared" si="26"/>
        <v>45489</v>
      </c>
      <c r="AB33" s="46">
        <f t="shared" si="26"/>
        <v>45520</v>
      </c>
      <c r="AC33" s="46">
        <f t="shared" si="26"/>
        <v>45551</v>
      </c>
      <c r="AD33" s="46">
        <f t="shared" si="26"/>
        <v>45581</v>
      </c>
      <c r="AE33" s="46">
        <f t="shared" si="26"/>
        <v>45612</v>
      </c>
      <c r="AF33" s="46">
        <f t="shared" si="26"/>
        <v>45642</v>
      </c>
      <c r="AG33" s="46">
        <f t="shared" si="26"/>
        <v>45673</v>
      </c>
      <c r="AH33" s="46">
        <f t="shared" si="26"/>
        <v>45704</v>
      </c>
      <c r="AI33" s="46">
        <f t="shared" si="26"/>
        <v>45732</v>
      </c>
      <c r="AJ33" s="46">
        <f t="shared" si="26"/>
        <v>45763</v>
      </c>
      <c r="AK33" s="46">
        <f t="shared" si="26"/>
        <v>45793</v>
      </c>
      <c r="AL33" s="46">
        <f t="shared" si="26"/>
        <v>45824</v>
      </c>
      <c r="AM33" s="46">
        <f t="shared" si="26"/>
        <v>45854</v>
      </c>
      <c r="AN33" s="46">
        <f t="shared" si="26"/>
        <v>45885</v>
      </c>
      <c r="AO33" s="46">
        <f t="shared" si="26"/>
        <v>45916</v>
      </c>
    </row>
    <row r="34" spans="1:42" hidden="1" x14ac:dyDescent="0.25">
      <c r="A34" s="47" t="s">
        <v>33</v>
      </c>
      <c r="B34" s="72">
        <v>217768</v>
      </c>
      <c r="C34" s="72">
        <v>216936</v>
      </c>
      <c r="D34" s="72">
        <v>217365</v>
      </c>
      <c r="E34" s="72">
        <v>216228</v>
      </c>
      <c r="F34" s="72">
        <v>217064</v>
      </c>
      <c r="G34" s="72">
        <v>216842</v>
      </c>
      <c r="H34" s="72">
        <v>217510</v>
      </c>
      <c r="I34" s="72">
        <v>218588</v>
      </c>
      <c r="J34" s="72">
        <v>218524</v>
      </c>
      <c r="K34" s="72">
        <v>219540</v>
      </c>
      <c r="L34" s="72">
        <v>218232</v>
      </c>
      <c r="M34" s="72">
        <v>218666</v>
      </c>
      <c r="N34" s="72">
        <v>218348</v>
      </c>
      <c r="O34" s="72">
        <v>218086</v>
      </c>
      <c r="P34" s="72">
        <v>218090</v>
      </c>
      <c r="Q34" s="72">
        <v>217185</v>
      </c>
      <c r="R34" s="71">
        <v>218045</v>
      </c>
      <c r="S34" s="93">
        <v>217588</v>
      </c>
      <c r="T34" s="93">
        <v>218667</v>
      </c>
      <c r="U34" s="93">
        <v>219268</v>
      </c>
      <c r="V34" s="93">
        <v>219678</v>
      </c>
      <c r="W34" s="93">
        <v>220333</v>
      </c>
      <c r="X34" s="93">
        <v>220232</v>
      </c>
      <c r="Y34" s="93">
        <v>220667</v>
      </c>
      <c r="Z34" s="93">
        <v>220173</v>
      </c>
      <c r="AA34" s="93">
        <v>220240</v>
      </c>
      <c r="AB34" s="93">
        <v>219854</v>
      </c>
      <c r="AC34" s="93">
        <v>219346</v>
      </c>
      <c r="AD34" s="93">
        <v>219883</v>
      </c>
      <c r="AE34" s="93">
        <v>219595</v>
      </c>
      <c r="AF34" s="93">
        <v>220645</v>
      </c>
      <c r="AG34" s="93">
        <v>221099</v>
      </c>
      <c r="AH34" s="93">
        <v>221756</v>
      </c>
      <c r="AI34" s="93">
        <v>222077</v>
      </c>
      <c r="AJ34" s="93">
        <v>222291</v>
      </c>
      <c r="AK34" s="93">
        <v>222450</v>
      </c>
      <c r="AL34" s="93">
        <v>222104</v>
      </c>
      <c r="AM34" s="93">
        <v>222134</v>
      </c>
      <c r="AN34" s="93">
        <v>221636</v>
      </c>
      <c r="AO34" s="93">
        <v>221322</v>
      </c>
      <c r="AP34" s="52">
        <f>SUM(F34:AO34)</f>
        <v>7907758</v>
      </c>
    </row>
    <row r="35" spans="1:42" hidden="1" x14ac:dyDescent="0.25">
      <c r="A35" s="47" t="s">
        <v>34</v>
      </c>
      <c r="B35" s="72">
        <v>22969.358042038632</v>
      </c>
      <c r="C35" s="72">
        <v>22928.471212208518</v>
      </c>
      <c r="D35" s="72">
        <v>22975.468813225893</v>
      </c>
      <c r="E35" s="72">
        <v>22962.469686550274</v>
      </c>
      <c r="F35" s="72">
        <v>22966.467449781314</v>
      </c>
      <c r="G35" s="72">
        <v>23005.461578505376</v>
      </c>
      <c r="H35" s="72">
        <v>23002.465371393297</v>
      </c>
      <c r="I35" s="72">
        <v>23083.46659102292</v>
      </c>
      <c r="J35" s="72">
        <v>23073.464782178358</v>
      </c>
      <c r="K35" s="72">
        <v>23167.466376088712</v>
      </c>
      <c r="L35" s="72">
        <v>23152.465007996772</v>
      </c>
      <c r="M35" s="72">
        <v>23234.446284277787</v>
      </c>
      <c r="N35" s="72">
        <v>23203.455932938989</v>
      </c>
      <c r="O35" s="72">
        <v>23204.464090514019</v>
      </c>
      <c r="P35" s="72">
        <v>23227.463497039476</v>
      </c>
      <c r="Q35" s="72">
        <v>23225.463054023941</v>
      </c>
      <c r="R35" s="71">
        <v>23228.462501313414</v>
      </c>
      <c r="S35" s="93">
        <v>23251.462088941087</v>
      </c>
      <c r="T35" s="93">
        <v>23272.462131477398</v>
      </c>
      <c r="U35" s="93">
        <v>23326.461861484408</v>
      </c>
      <c r="V35" s="93">
        <v>23346.461467356195</v>
      </c>
      <c r="W35" s="93">
        <v>23421.461191121016</v>
      </c>
      <c r="X35" s="93">
        <v>23417.460759040376</v>
      </c>
      <c r="Y35" s="93">
        <v>23496.460404960675</v>
      </c>
      <c r="Z35" s="93">
        <v>23457.461581684249</v>
      </c>
      <c r="AA35" s="93">
        <v>23476.462052413022</v>
      </c>
      <c r="AB35" s="93">
        <v>23476.461882571271</v>
      </c>
      <c r="AC35" s="93">
        <v>23498.461748032256</v>
      </c>
      <c r="AD35" s="93">
        <v>23483.461639199613</v>
      </c>
      <c r="AE35" s="93">
        <v>23515.461567356797</v>
      </c>
      <c r="AF35" s="93">
        <v>23535.461523891441</v>
      </c>
      <c r="AG35" s="93">
        <v>23580.461473259274</v>
      </c>
      <c r="AH35" s="93">
        <v>23614.461440907184</v>
      </c>
      <c r="AI35" s="93">
        <v>23670.461438703096</v>
      </c>
      <c r="AJ35" s="93">
        <v>23684.461459334936</v>
      </c>
      <c r="AK35" s="93">
        <v>23747.461517692816</v>
      </c>
      <c r="AL35" s="93">
        <v>23717.461610420498</v>
      </c>
      <c r="AM35" s="93">
        <v>23734.461612815183</v>
      </c>
      <c r="AN35" s="93">
        <v>23727.461576182031</v>
      </c>
      <c r="AO35" s="93">
        <v>23760.461550649594</v>
      </c>
      <c r="AP35" s="52">
        <f t="shared" ref="AP35:AP42" si="27">SUM(F35:AO35)</f>
        <v>841987.62809656886</v>
      </c>
    </row>
    <row r="36" spans="1:42" hidden="1" x14ac:dyDescent="0.25">
      <c r="A36" s="47" t="s">
        <v>35</v>
      </c>
      <c r="B36" s="72">
        <v>9678</v>
      </c>
      <c r="C36" s="72">
        <v>9685</v>
      </c>
      <c r="D36" s="72">
        <v>9697</v>
      </c>
      <c r="E36" s="72">
        <v>9712</v>
      </c>
      <c r="F36" s="72">
        <v>9726</v>
      </c>
      <c r="G36" s="72">
        <v>9757</v>
      </c>
      <c r="H36" s="72">
        <v>9773</v>
      </c>
      <c r="I36" s="72">
        <v>9807</v>
      </c>
      <c r="J36" s="72">
        <v>9816</v>
      </c>
      <c r="K36" s="72">
        <v>9850</v>
      </c>
      <c r="L36" s="72">
        <v>9860</v>
      </c>
      <c r="M36" s="72">
        <v>9877</v>
      </c>
      <c r="N36" s="72">
        <v>9883</v>
      </c>
      <c r="O36" s="72">
        <v>9892</v>
      </c>
      <c r="P36" s="72">
        <v>9902</v>
      </c>
      <c r="Q36" s="72">
        <v>9914</v>
      </c>
      <c r="R36" s="71">
        <v>9929</v>
      </c>
      <c r="S36" s="93">
        <v>9960</v>
      </c>
      <c r="T36" s="93">
        <v>9976</v>
      </c>
      <c r="U36" s="93">
        <v>10008</v>
      </c>
      <c r="V36" s="93">
        <v>10018</v>
      </c>
      <c r="W36" s="93">
        <v>10052</v>
      </c>
      <c r="X36" s="93">
        <v>10062</v>
      </c>
      <c r="Y36" s="93">
        <v>10079</v>
      </c>
      <c r="Z36" s="93">
        <v>10085</v>
      </c>
      <c r="AA36" s="93">
        <v>10094</v>
      </c>
      <c r="AB36" s="93">
        <v>10104</v>
      </c>
      <c r="AC36" s="93">
        <v>10116</v>
      </c>
      <c r="AD36" s="93">
        <v>10131</v>
      </c>
      <c r="AE36" s="93">
        <v>10161</v>
      </c>
      <c r="AF36" s="93">
        <v>10177</v>
      </c>
      <c r="AG36" s="93">
        <v>10209</v>
      </c>
      <c r="AH36" s="93">
        <v>10218</v>
      </c>
      <c r="AI36" s="93">
        <v>10251</v>
      </c>
      <c r="AJ36" s="93">
        <v>10261</v>
      </c>
      <c r="AK36" s="93">
        <v>10278</v>
      </c>
      <c r="AL36" s="93">
        <v>10283</v>
      </c>
      <c r="AM36" s="93">
        <v>10292</v>
      </c>
      <c r="AN36" s="93">
        <v>10301</v>
      </c>
      <c r="AO36" s="93">
        <v>10313</v>
      </c>
      <c r="AP36" s="52">
        <f t="shared" si="27"/>
        <v>361415</v>
      </c>
    </row>
    <row r="37" spans="1:42" hidden="1" x14ac:dyDescent="0.25">
      <c r="A37" s="47" t="s">
        <v>36</v>
      </c>
      <c r="B37" s="72">
        <v>1859.6319464693654</v>
      </c>
      <c r="C37" s="72">
        <v>1858.6846086751459</v>
      </c>
      <c r="D37" s="72">
        <v>1858.8736038425193</v>
      </c>
      <c r="E37" s="72">
        <v>1859.0615661997665</v>
      </c>
      <c r="F37" s="72">
        <v>1859.1636778120926</v>
      </c>
      <c r="G37" s="72">
        <v>1859.2823804834193</v>
      </c>
      <c r="H37" s="72">
        <v>1859.3433413929386</v>
      </c>
      <c r="I37" s="72">
        <v>1859.4125014784652</v>
      </c>
      <c r="J37" s="72">
        <v>1858.4560817074616</v>
      </c>
      <c r="K37" s="72">
        <v>1860.4346162699128</v>
      </c>
      <c r="L37" s="72">
        <v>1859.371683803138</v>
      </c>
      <c r="M37" s="72">
        <v>1859.2813555344703</v>
      </c>
      <c r="N37" s="72">
        <v>1859.2497803057247</v>
      </c>
      <c r="O37" s="72">
        <v>1859.2179331254213</v>
      </c>
      <c r="P37" s="72">
        <v>1859.262376829611</v>
      </c>
      <c r="Q37" s="72">
        <v>1859.294774578535</v>
      </c>
      <c r="R37" s="71">
        <v>1859.3142086100993</v>
      </c>
      <c r="S37" s="93">
        <v>1859.3267528432661</v>
      </c>
      <c r="T37" s="93">
        <v>1859.3304505399199</v>
      </c>
      <c r="U37" s="93">
        <v>1859.3293763021686</v>
      </c>
      <c r="V37" s="93">
        <v>1858.3224492041443</v>
      </c>
      <c r="W37" s="93">
        <v>1860.3113131622008</v>
      </c>
      <c r="X37" s="93">
        <v>1859.3010379032248</v>
      </c>
      <c r="Y37" s="93">
        <v>1859.2951507448988</v>
      </c>
      <c r="Z37" s="93">
        <v>1859.2963003457678</v>
      </c>
      <c r="AA37" s="93">
        <v>1859.3001770157716</v>
      </c>
      <c r="AB37" s="93">
        <v>1859.3070306733007</v>
      </c>
      <c r="AC37" s="93">
        <v>1859.3107518269412</v>
      </c>
      <c r="AD37" s="93">
        <v>1859.3120832643087</v>
      </c>
      <c r="AE37" s="93">
        <v>1859.3119061521597</v>
      </c>
      <c r="AF37" s="93">
        <v>1859.3106689279009</v>
      </c>
      <c r="AG37" s="93">
        <v>1859.3090204602324</v>
      </c>
      <c r="AH37" s="93">
        <v>1858.3073241400712</v>
      </c>
      <c r="AI37" s="93">
        <v>1860.3060637180645</v>
      </c>
      <c r="AJ37" s="93">
        <v>1859.3056262643868</v>
      </c>
      <c r="AK37" s="93">
        <v>1859.3060086278169</v>
      </c>
      <c r="AL37" s="93">
        <v>1859.3069134513937</v>
      </c>
      <c r="AM37" s="93">
        <v>1859.3077978768627</v>
      </c>
      <c r="AN37" s="93">
        <v>1859.3084329486201</v>
      </c>
      <c r="AO37" s="93">
        <v>1859.3085498048965</v>
      </c>
      <c r="AP37" s="52">
        <f t="shared" si="27"/>
        <v>66935.215898129623</v>
      </c>
    </row>
    <row r="38" spans="1:42" hidden="1" x14ac:dyDescent="0.25">
      <c r="A38" s="47" t="s">
        <v>37</v>
      </c>
      <c r="B38" s="72">
        <v>46.618000000000002</v>
      </c>
      <c r="C38" s="72">
        <v>46.5989</v>
      </c>
      <c r="D38" s="72">
        <v>46.579799999999999</v>
      </c>
      <c r="E38" s="72">
        <v>46.560699999999997</v>
      </c>
      <c r="F38" s="72">
        <v>46.541499999999999</v>
      </c>
      <c r="G38" s="72">
        <v>46.522399999999998</v>
      </c>
      <c r="H38" s="72">
        <v>46.503300000000003</v>
      </c>
      <c r="I38" s="72">
        <v>46.484200000000001</v>
      </c>
      <c r="J38" s="72">
        <v>46.4651</v>
      </c>
      <c r="K38" s="72">
        <v>46.445999999999998</v>
      </c>
      <c r="L38" s="72">
        <v>46.4268</v>
      </c>
      <c r="M38" s="72">
        <v>46.407699999999998</v>
      </c>
      <c r="N38" s="72">
        <v>46.388599999999997</v>
      </c>
      <c r="O38" s="72">
        <v>46.369500000000002</v>
      </c>
      <c r="P38" s="72">
        <v>46.3504</v>
      </c>
      <c r="Q38" s="72">
        <v>46.331200000000003</v>
      </c>
      <c r="R38" s="71">
        <v>46.312100000000001</v>
      </c>
      <c r="S38" s="93">
        <v>46.292999999999999</v>
      </c>
      <c r="T38" s="93">
        <v>46.273899999999998</v>
      </c>
      <c r="U38" s="93">
        <v>46.254800000000003</v>
      </c>
      <c r="V38" s="93">
        <v>46.235599999999998</v>
      </c>
      <c r="W38" s="93">
        <v>46.216500000000003</v>
      </c>
      <c r="X38" s="93">
        <v>46.197400000000002</v>
      </c>
      <c r="Y38" s="93">
        <v>46.1783</v>
      </c>
      <c r="Z38" s="93">
        <v>46.159199999999998</v>
      </c>
      <c r="AA38" s="93">
        <v>46.140099999999997</v>
      </c>
      <c r="AB38" s="93">
        <v>46.120899999999999</v>
      </c>
      <c r="AC38" s="93">
        <v>46.101799999999997</v>
      </c>
      <c r="AD38" s="93">
        <v>46.082700000000003</v>
      </c>
      <c r="AE38" s="93">
        <v>46.063600000000001</v>
      </c>
      <c r="AF38" s="93">
        <v>46.044499999999999</v>
      </c>
      <c r="AG38" s="93">
        <v>46.025300000000001</v>
      </c>
      <c r="AH38" s="93">
        <v>46.0062</v>
      </c>
      <c r="AI38" s="93">
        <v>45.987099999999998</v>
      </c>
      <c r="AJ38" s="93">
        <v>45.968000000000004</v>
      </c>
      <c r="AK38" s="93">
        <v>45.948900000000002</v>
      </c>
      <c r="AL38" s="93">
        <v>45.929699999999997</v>
      </c>
      <c r="AM38" s="93">
        <v>45.910600000000002</v>
      </c>
      <c r="AN38" s="93">
        <v>45.891500000000001</v>
      </c>
      <c r="AO38" s="93">
        <v>45.872399999999999</v>
      </c>
      <c r="AP38" s="52">
        <f t="shared" si="27"/>
        <v>1663.4507999999998</v>
      </c>
    </row>
    <row r="39" spans="1:42" hidden="1" x14ac:dyDescent="0.25">
      <c r="A39" s="48" t="s">
        <v>38</v>
      </c>
      <c r="B39" s="72">
        <v>22.993055555555557</v>
      </c>
      <c r="C39" s="72">
        <v>22.992476851851848</v>
      </c>
      <c r="D39" s="72">
        <v>22.991849922839506</v>
      </c>
      <c r="E39" s="72">
        <v>22.9911707497428</v>
      </c>
      <c r="F39" s="72">
        <v>22.990434978888032</v>
      </c>
      <c r="G39" s="72">
        <v>22.989637893795368</v>
      </c>
      <c r="H39" s="72">
        <v>22.988774384944982</v>
      </c>
      <c r="I39" s="72">
        <v>22.98783891702373</v>
      </c>
      <c r="J39" s="72">
        <v>22.986825493442375</v>
      </c>
      <c r="K39" s="72">
        <v>22.985727617895904</v>
      </c>
      <c r="L39" s="72">
        <v>22.984538252720562</v>
      </c>
      <c r="M39" s="72">
        <v>22.983249773780614</v>
      </c>
      <c r="N39" s="72">
        <v>22.988798366040108</v>
      </c>
      <c r="O39" s="72">
        <v>22.988443600247152</v>
      </c>
      <c r="P39" s="72">
        <v>22.988107495946764</v>
      </c>
      <c r="Q39" s="72">
        <v>22.987795627039034</v>
      </c>
      <c r="R39" s="71">
        <v>22.98751436681372</v>
      </c>
      <c r="S39" s="93">
        <v>22.987270982474193</v>
      </c>
      <c r="T39" s="93">
        <v>22.987073739864094</v>
      </c>
      <c r="U39" s="93">
        <v>22.986932019440687</v>
      </c>
      <c r="V39" s="93">
        <v>22.9868564446421</v>
      </c>
      <c r="W39" s="93">
        <v>22.986859023908742</v>
      </c>
      <c r="X39" s="93">
        <v>22.98695330774315</v>
      </c>
      <c r="Y39" s="93">
        <v>22.987154562328364</v>
      </c>
      <c r="Z39" s="93">
        <v>22.987479961374007</v>
      </c>
      <c r="AA39" s="93">
        <v>22.9873700943185</v>
      </c>
      <c r="AB39" s="93">
        <v>22.987280635491111</v>
      </c>
      <c r="AC39" s="93">
        <v>22.98721173045314</v>
      </c>
      <c r="AD39" s="93">
        <v>22.987163072404314</v>
      </c>
      <c r="AE39" s="93">
        <v>22.9871337978702</v>
      </c>
      <c r="AF39" s="93">
        <v>22.987122365819864</v>
      </c>
      <c r="AG39" s="93">
        <v>22.98712641798285</v>
      </c>
      <c r="AH39" s="93">
        <v>22.987142617861359</v>
      </c>
      <c r="AI39" s="93">
        <v>22.987166465629635</v>
      </c>
      <c r="AJ39" s="93">
        <v>22.987192085773039</v>
      </c>
      <c r="AK39" s="93">
        <v>22.987211983942203</v>
      </c>
      <c r="AL39" s="93">
        <v>22.987216769076689</v>
      </c>
      <c r="AM39" s="93">
        <v>22.987194836385243</v>
      </c>
      <c r="AN39" s="93">
        <v>22.987180231557474</v>
      </c>
      <c r="AO39" s="93">
        <v>22.987171864563003</v>
      </c>
      <c r="AP39" s="52">
        <f t="shared" si="27"/>
        <v>827.54215177948231</v>
      </c>
    </row>
    <row r="40" spans="1:42" hidden="1" x14ac:dyDescent="0.25">
      <c r="A40" s="47" t="s">
        <v>39</v>
      </c>
      <c r="B40" s="71">
        <v>1248.8870194422775</v>
      </c>
      <c r="C40" s="71">
        <v>1245.9801377291342</v>
      </c>
      <c r="D40" s="71">
        <v>1256.4279436510064</v>
      </c>
      <c r="E40" s="71">
        <v>1274.835484325627</v>
      </c>
      <c r="F40" s="71">
        <v>1260.6512377262195</v>
      </c>
      <c r="G40" s="71">
        <v>1263.0359216635384</v>
      </c>
      <c r="H40" s="71">
        <v>1261.4409519673113</v>
      </c>
      <c r="I40" s="71">
        <v>1270.4021309212721</v>
      </c>
      <c r="J40" s="71">
        <v>1271.050778923342</v>
      </c>
      <c r="K40" s="71">
        <v>1253.6527888776927</v>
      </c>
      <c r="L40" s="71">
        <v>1259.9299867485786</v>
      </c>
      <c r="M40" s="71">
        <v>1260.7407544807393</v>
      </c>
      <c r="N40" s="71">
        <v>1267.0468363713949</v>
      </c>
      <c r="O40" s="71">
        <v>1261.9348461154882</v>
      </c>
      <c r="P40" s="71">
        <v>1259.8528301476842</v>
      </c>
      <c r="Q40" s="71">
        <v>1277.5896290224073</v>
      </c>
      <c r="R40" s="71">
        <v>1276.332582747139</v>
      </c>
      <c r="S40" s="93">
        <v>1279.2347948322158</v>
      </c>
      <c r="T40" s="93">
        <v>1269.105542596272</v>
      </c>
      <c r="U40" s="93">
        <v>1271.3363168153523</v>
      </c>
      <c r="V40" s="93">
        <v>1281.015015639859</v>
      </c>
      <c r="W40" s="93">
        <v>1272.7463103662353</v>
      </c>
      <c r="X40" s="93">
        <v>1270.9602788236139</v>
      </c>
      <c r="Y40" s="93">
        <v>1263.8899531632001</v>
      </c>
      <c r="Z40" s="93">
        <v>1272.6318113867383</v>
      </c>
      <c r="AA40" s="93">
        <v>1278.203167638017</v>
      </c>
      <c r="AB40" s="93">
        <v>1275.1409610982278</v>
      </c>
      <c r="AC40" s="93">
        <v>1281.9101220107732</v>
      </c>
      <c r="AD40" s="93">
        <v>1280.6219714264703</v>
      </c>
      <c r="AE40" s="93">
        <v>1291.2633038164145</v>
      </c>
      <c r="AF40" s="93">
        <v>1286.4557795650978</v>
      </c>
      <c r="AG40" s="93">
        <v>1280.3631576458333</v>
      </c>
      <c r="AH40" s="93">
        <v>1283.3729443817069</v>
      </c>
      <c r="AI40" s="93">
        <v>1282.2404217768608</v>
      </c>
      <c r="AJ40" s="93">
        <v>1286.7145393944129</v>
      </c>
      <c r="AK40" s="93">
        <v>1276.9072527753128</v>
      </c>
      <c r="AL40" s="93">
        <v>1276.4725277429889</v>
      </c>
      <c r="AM40" s="93">
        <v>1283.8800457726763</v>
      </c>
      <c r="AN40" s="93">
        <v>1289.8905106172313</v>
      </c>
      <c r="AO40" s="93">
        <v>1296.3137564104816</v>
      </c>
      <c r="AP40" s="52">
        <f t="shared" si="27"/>
        <v>45874.331761408816</v>
      </c>
    </row>
    <row r="41" spans="1:42" hidden="1" x14ac:dyDescent="0.25">
      <c r="A41" s="47" t="s">
        <v>40</v>
      </c>
      <c r="B41" s="71">
        <v>1215.0198</v>
      </c>
      <c r="C41" s="71">
        <v>1208.0163</v>
      </c>
      <c r="D41" s="71">
        <v>1214.0134</v>
      </c>
      <c r="E41" s="71">
        <v>1216.0110999999999</v>
      </c>
      <c r="F41" s="71">
        <v>1201.0092</v>
      </c>
      <c r="G41" s="71">
        <v>1217.0077000000001</v>
      </c>
      <c r="H41" s="71">
        <v>1225.0065</v>
      </c>
      <c r="I41" s="71">
        <v>1212.0055</v>
      </c>
      <c r="J41" s="71">
        <v>1222.0047</v>
      </c>
      <c r="K41" s="71">
        <v>1215.0041000000001</v>
      </c>
      <c r="L41" s="71">
        <v>1211.0036</v>
      </c>
      <c r="M41" s="71">
        <v>1218.0030999999999</v>
      </c>
      <c r="N41" s="71">
        <v>1207.0028</v>
      </c>
      <c r="O41" s="71">
        <v>1211.0025000000001</v>
      </c>
      <c r="P41" s="71">
        <v>1212.0023000000001</v>
      </c>
      <c r="Q41" s="71">
        <v>1207.0021999999999</v>
      </c>
      <c r="R41" s="71">
        <v>1223.002</v>
      </c>
      <c r="S41" s="93">
        <v>1216.0019</v>
      </c>
      <c r="T41" s="93">
        <v>1215.0018</v>
      </c>
      <c r="U41" s="93">
        <v>1226.0017</v>
      </c>
      <c r="V41" s="93">
        <v>1213.0017</v>
      </c>
      <c r="W41" s="93">
        <v>1214.0016000000001</v>
      </c>
      <c r="X41" s="93">
        <v>1218.0016000000001</v>
      </c>
      <c r="Y41" s="93">
        <v>1208.0016000000001</v>
      </c>
      <c r="Z41" s="93">
        <v>1214.0015000000001</v>
      </c>
      <c r="AA41" s="93">
        <v>1211.0015000000001</v>
      </c>
      <c r="AB41" s="93">
        <v>1211.0015000000001</v>
      </c>
      <c r="AC41" s="93">
        <v>1220.0015000000001</v>
      </c>
      <c r="AD41" s="93">
        <v>1212.0015000000001</v>
      </c>
      <c r="AE41" s="93">
        <v>1215.0015000000001</v>
      </c>
      <c r="AF41" s="93">
        <v>1227.0015000000001</v>
      </c>
      <c r="AG41" s="93">
        <v>1215.0015000000001</v>
      </c>
      <c r="AH41" s="93">
        <v>1217.0015000000001</v>
      </c>
      <c r="AI41" s="93">
        <v>1217.0015000000001</v>
      </c>
      <c r="AJ41" s="93">
        <v>1211.0014000000001</v>
      </c>
      <c r="AK41" s="93">
        <v>1218.0014000000001</v>
      </c>
      <c r="AL41" s="93">
        <v>1211.0014000000001</v>
      </c>
      <c r="AM41" s="93">
        <v>1211.0014000000001</v>
      </c>
      <c r="AN41" s="93">
        <v>1218.0014000000001</v>
      </c>
      <c r="AO41" s="93">
        <v>1210.0014000000001</v>
      </c>
      <c r="AP41" s="52">
        <f t="shared" si="27"/>
        <v>43729.091499999995</v>
      </c>
    </row>
    <row r="42" spans="1:42" hidden="1" x14ac:dyDescent="0.25">
      <c r="A42" s="49" t="s">
        <v>41</v>
      </c>
      <c r="B42" s="71">
        <v>433.19310000000002</v>
      </c>
      <c r="C42" s="71">
        <v>434.83139999999997</v>
      </c>
      <c r="D42" s="71">
        <v>435.1918</v>
      </c>
      <c r="E42" s="71">
        <v>435.30489999999998</v>
      </c>
      <c r="F42" s="71">
        <v>434.69720000000001</v>
      </c>
      <c r="G42" s="71">
        <v>435.41129999999998</v>
      </c>
      <c r="H42" s="71">
        <v>436.93970000000002</v>
      </c>
      <c r="I42" s="71">
        <v>435.97230000000002</v>
      </c>
      <c r="J42" s="71">
        <v>435.4674</v>
      </c>
      <c r="K42" s="71">
        <v>436.74290000000002</v>
      </c>
      <c r="L42" s="71">
        <v>437.09710000000001</v>
      </c>
      <c r="M42" s="71">
        <v>436.96460000000002</v>
      </c>
      <c r="N42" s="71">
        <v>436.69200000000001</v>
      </c>
      <c r="O42" s="71">
        <v>436.85879999999997</v>
      </c>
      <c r="P42" s="71">
        <v>438.00020000000001</v>
      </c>
      <c r="Q42" s="71">
        <v>437.75119999999998</v>
      </c>
      <c r="R42" s="71">
        <v>436.95929999999998</v>
      </c>
      <c r="S42" s="93">
        <v>437.7432</v>
      </c>
      <c r="T42" s="93">
        <v>438.26830000000001</v>
      </c>
      <c r="U42" s="93">
        <v>438.01940000000002</v>
      </c>
      <c r="V42" s="93">
        <v>437.8492</v>
      </c>
      <c r="W42" s="93">
        <v>437.85919999999999</v>
      </c>
      <c r="X42" s="93">
        <v>438.53469999999999</v>
      </c>
      <c r="Y42" s="93">
        <v>438.67809999999997</v>
      </c>
      <c r="Z42" s="93">
        <v>437.97640000000001</v>
      </c>
      <c r="AA42" s="93">
        <v>438.27800000000002</v>
      </c>
      <c r="AB42" s="93">
        <v>438.88470000000001</v>
      </c>
      <c r="AC42" s="93">
        <v>438.69729999999998</v>
      </c>
      <c r="AD42" s="93">
        <v>438.49900000000002</v>
      </c>
      <c r="AE42" s="93">
        <v>438.50990000000002</v>
      </c>
      <c r="AF42" s="93">
        <v>438.86349999999999</v>
      </c>
      <c r="AG42" s="93">
        <v>439.1207</v>
      </c>
      <c r="AH42" s="93">
        <v>438.6583</v>
      </c>
      <c r="AI42" s="93">
        <v>438.62740000000002</v>
      </c>
      <c r="AJ42" s="93">
        <v>439.16079999999999</v>
      </c>
      <c r="AK42" s="93">
        <v>439.12299999999999</v>
      </c>
      <c r="AL42" s="93">
        <v>438.88060000000002</v>
      </c>
      <c r="AM42" s="93">
        <v>438.89510000000001</v>
      </c>
      <c r="AN42" s="93">
        <v>439.09089999999998</v>
      </c>
      <c r="AO42" s="93">
        <v>439.31470000000002</v>
      </c>
      <c r="AP42" s="52">
        <f t="shared" si="27"/>
        <v>15763.086399999997</v>
      </c>
    </row>
    <row r="43" spans="1:42" hidden="1" x14ac:dyDescent="0.25">
      <c r="A43" s="50" t="s">
        <v>0</v>
      </c>
      <c r="B43" s="53">
        <f>SUM(B34:B42)</f>
        <v>255241.70096350583</v>
      </c>
      <c r="C43" s="53">
        <f t="shared" ref="C43:P43" si="28">SUM(C34:C42)</f>
        <v>254366.57503546463</v>
      </c>
      <c r="D43" s="53">
        <f t="shared" si="28"/>
        <v>254871.54721064225</v>
      </c>
      <c r="E43" s="53">
        <f t="shared" si="28"/>
        <v>253757.23460782538</v>
      </c>
      <c r="F43" s="53">
        <f t="shared" si="28"/>
        <v>254581.52070029848</v>
      </c>
      <c r="G43" s="53">
        <f t="shared" si="28"/>
        <v>254448.71091854613</v>
      </c>
      <c r="H43" s="53">
        <f t="shared" si="28"/>
        <v>255137.6879391385</v>
      </c>
      <c r="I43" s="53">
        <f t="shared" si="28"/>
        <v>256325.73106233968</v>
      </c>
      <c r="J43" s="53">
        <f t="shared" si="28"/>
        <v>256269.8956683026</v>
      </c>
      <c r="K43" s="53">
        <f t="shared" si="28"/>
        <v>257392.73250885421</v>
      </c>
      <c r="L43" s="53">
        <f t="shared" si="28"/>
        <v>256081.2787168012</v>
      </c>
      <c r="M43" s="53">
        <f t="shared" si="28"/>
        <v>256621.82704406677</v>
      </c>
      <c r="N43" s="53">
        <f t="shared" si="28"/>
        <v>256273.82474798214</v>
      </c>
      <c r="O43" s="53">
        <f t="shared" si="28"/>
        <v>256020.83611335518</v>
      </c>
      <c r="P43" s="53">
        <f t="shared" si="28"/>
        <v>256057.91971151272</v>
      </c>
      <c r="Q43" s="53">
        <f>SUM(Q34:Q42)</f>
        <v>255175.41985325189</v>
      </c>
      <c r="R43" s="53">
        <f t="shared" ref="R43:AO43" si="29">SUM(R34:R42)</f>
        <v>256067.37020703746</v>
      </c>
      <c r="S43" s="53">
        <f t="shared" si="29"/>
        <v>255661.04900759904</v>
      </c>
      <c r="T43" s="53">
        <f t="shared" si="29"/>
        <v>256766.42919835346</v>
      </c>
      <c r="U43" s="53">
        <f t="shared" si="29"/>
        <v>257466.39038662132</v>
      </c>
      <c r="V43" s="53">
        <f t="shared" si="29"/>
        <v>257901.87228864484</v>
      </c>
      <c r="W43" s="53">
        <f t="shared" si="29"/>
        <v>258660.58297367339</v>
      </c>
      <c r="X43" s="53">
        <f t="shared" si="29"/>
        <v>258567.44272907494</v>
      </c>
      <c r="Y43" s="53">
        <f t="shared" si="29"/>
        <v>259081.49066343106</v>
      </c>
      <c r="Z43" s="53">
        <f t="shared" si="29"/>
        <v>258568.51427337812</v>
      </c>
      <c r="AA43" s="53">
        <f t="shared" si="29"/>
        <v>258666.37236716112</v>
      </c>
      <c r="AB43" s="53">
        <f t="shared" si="29"/>
        <v>258287.90425497832</v>
      </c>
      <c r="AC43" s="53">
        <f t="shared" si="29"/>
        <v>257829.47043360042</v>
      </c>
      <c r="AD43" s="53">
        <f t="shared" si="29"/>
        <v>258356.96605696282</v>
      </c>
      <c r="AE43" s="53">
        <f t="shared" si="29"/>
        <v>258144.59891112326</v>
      </c>
      <c r="AF43" s="53">
        <f t="shared" si="29"/>
        <v>259238.12459475026</v>
      </c>
      <c r="AG43" s="53">
        <f t="shared" si="29"/>
        <v>259751.26827778333</v>
      </c>
      <c r="AH43" s="53">
        <f t="shared" si="29"/>
        <v>260454.79485204685</v>
      </c>
      <c r="AI43" s="53">
        <f t="shared" si="29"/>
        <v>260865.61109066367</v>
      </c>
      <c r="AJ43" s="53">
        <f t="shared" si="29"/>
        <v>261101.59901707954</v>
      </c>
      <c r="AK43" s="53">
        <f t="shared" si="29"/>
        <v>261337.73529107985</v>
      </c>
      <c r="AL43" s="53">
        <f t="shared" si="29"/>
        <v>260959.03996838399</v>
      </c>
      <c r="AM43" s="53">
        <f t="shared" si="29"/>
        <v>261022.44375130109</v>
      </c>
      <c r="AN43" s="53">
        <f t="shared" si="29"/>
        <v>260539.63149997947</v>
      </c>
      <c r="AO43" s="53">
        <f t="shared" si="29"/>
        <v>260269.25952872954</v>
      </c>
      <c r="AP43" s="52">
        <f>SUM(AP34:AP42)</f>
        <v>9285953.3466078863</v>
      </c>
    </row>
    <row r="44" spans="1:42" hidden="1" x14ac:dyDescent="0.25">
      <c r="A44" s="51"/>
      <c r="R44" s="52"/>
    </row>
    <row r="45" spans="1:42" hidden="1" x14ac:dyDescent="0.25">
      <c r="A45" s="50" t="s">
        <v>33</v>
      </c>
      <c r="B45" s="52">
        <f>B34</f>
        <v>217768</v>
      </c>
      <c r="C45" s="52">
        <f>C34</f>
        <v>216936</v>
      </c>
      <c r="D45" s="52">
        <f>D34</f>
        <v>217365</v>
      </c>
      <c r="E45" s="52">
        <f>E34</f>
        <v>216228</v>
      </c>
      <c r="F45" s="52">
        <f t="shared" ref="F45:Q45" si="30">F34</f>
        <v>217064</v>
      </c>
      <c r="G45" s="52">
        <f t="shared" si="30"/>
        <v>216842</v>
      </c>
      <c r="H45" s="52">
        <f t="shared" si="30"/>
        <v>217510</v>
      </c>
      <c r="I45" s="52">
        <f t="shared" si="30"/>
        <v>218588</v>
      </c>
      <c r="J45" s="52">
        <f t="shared" si="30"/>
        <v>218524</v>
      </c>
      <c r="K45" s="52">
        <f t="shared" si="30"/>
        <v>219540</v>
      </c>
      <c r="L45" s="52">
        <f t="shared" si="30"/>
        <v>218232</v>
      </c>
      <c r="M45" s="52">
        <f t="shared" si="30"/>
        <v>218666</v>
      </c>
      <c r="N45" s="52">
        <f t="shared" si="30"/>
        <v>218348</v>
      </c>
      <c r="O45" s="52">
        <f t="shared" si="30"/>
        <v>218086</v>
      </c>
      <c r="P45" s="52">
        <f t="shared" si="30"/>
        <v>218090</v>
      </c>
      <c r="Q45" s="52">
        <f t="shared" si="30"/>
        <v>217185</v>
      </c>
      <c r="R45" s="52">
        <f t="shared" ref="R45:AO45" si="31">R34</f>
        <v>218045</v>
      </c>
      <c r="S45" s="52">
        <f t="shared" si="31"/>
        <v>217588</v>
      </c>
      <c r="T45" s="52">
        <f t="shared" si="31"/>
        <v>218667</v>
      </c>
      <c r="U45" s="52">
        <f t="shared" si="31"/>
        <v>219268</v>
      </c>
      <c r="V45" s="52">
        <f t="shared" si="31"/>
        <v>219678</v>
      </c>
      <c r="W45" s="52">
        <f t="shared" si="31"/>
        <v>220333</v>
      </c>
      <c r="X45" s="52">
        <f t="shared" si="31"/>
        <v>220232</v>
      </c>
      <c r="Y45" s="52">
        <f t="shared" si="31"/>
        <v>220667</v>
      </c>
      <c r="Z45" s="52">
        <f t="shared" si="31"/>
        <v>220173</v>
      </c>
      <c r="AA45" s="52">
        <f t="shared" si="31"/>
        <v>220240</v>
      </c>
      <c r="AB45" s="52">
        <f t="shared" si="31"/>
        <v>219854</v>
      </c>
      <c r="AC45" s="52">
        <f t="shared" si="31"/>
        <v>219346</v>
      </c>
      <c r="AD45" s="52">
        <f t="shared" si="31"/>
        <v>219883</v>
      </c>
      <c r="AE45" s="52">
        <f t="shared" si="31"/>
        <v>219595</v>
      </c>
      <c r="AF45" s="52">
        <f t="shared" si="31"/>
        <v>220645</v>
      </c>
      <c r="AG45" s="52">
        <f t="shared" si="31"/>
        <v>221099</v>
      </c>
      <c r="AH45" s="52">
        <f t="shared" si="31"/>
        <v>221756</v>
      </c>
      <c r="AI45" s="52">
        <f t="shared" si="31"/>
        <v>222077</v>
      </c>
      <c r="AJ45" s="52">
        <f t="shared" si="31"/>
        <v>222291</v>
      </c>
      <c r="AK45" s="52">
        <f t="shared" si="31"/>
        <v>222450</v>
      </c>
      <c r="AL45" s="52">
        <f t="shared" si="31"/>
        <v>222104</v>
      </c>
      <c r="AM45" s="52">
        <f t="shared" si="31"/>
        <v>222134</v>
      </c>
      <c r="AN45" s="52">
        <f t="shared" si="31"/>
        <v>221636</v>
      </c>
      <c r="AO45" s="52">
        <f t="shared" si="31"/>
        <v>221322</v>
      </c>
      <c r="AP45" s="52">
        <f>AP34</f>
        <v>7907758</v>
      </c>
    </row>
    <row r="46" spans="1:42" hidden="1" x14ac:dyDescent="0.25">
      <c r="A46" s="50" t="s">
        <v>42</v>
      </c>
      <c r="B46" s="52">
        <f>B35+B36</f>
        <v>32647.358042038632</v>
      </c>
      <c r="C46" s="52">
        <f>C35+C36</f>
        <v>32613.471212208518</v>
      </c>
      <c r="D46" s="52">
        <f>D35+D36</f>
        <v>32672.468813225893</v>
      </c>
      <c r="E46" s="52">
        <f>E35+E36</f>
        <v>32674.469686550274</v>
      </c>
      <c r="F46" s="52">
        <f t="shared" ref="F46:Q46" si="32">F35+F36</f>
        <v>32692.467449781314</v>
      </c>
      <c r="G46" s="52">
        <f t="shared" si="32"/>
        <v>32762.461578505376</v>
      </c>
      <c r="H46" s="52">
        <f t="shared" si="32"/>
        <v>32775.465371393293</v>
      </c>
      <c r="I46" s="52">
        <f t="shared" si="32"/>
        <v>32890.466591022923</v>
      </c>
      <c r="J46" s="52">
        <f t="shared" si="32"/>
        <v>32889.464782178358</v>
      </c>
      <c r="K46" s="52">
        <f t="shared" si="32"/>
        <v>33017.466376088712</v>
      </c>
      <c r="L46" s="52">
        <f t="shared" si="32"/>
        <v>33012.465007996769</v>
      </c>
      <c r="M46" s="52">
        <f t="shared" si="32"/>
        <v>33111.446284277787</v>
      </c>
      <c r="N46" s="52">
        <f t="shared" si="32"/>
        <v>33086.455932938989</v>
      </c>
      <c r="O46" s="52">
        <f t="shared" si="32"/>
        <v>33096.464090514019</v>
      </c>
      <c r="P46" s="52">
        <f t="shared" si="32"/>
        <v>33129.463497039476</v>
      </c>
      <c r="Q46" s="52">
        <f t="shared" si="32"/>
        <v>33139.463054023945</v>
      </c>
      <c r="R46" s="52">
        <f t="shared" ref="R46:AO46" si="33">R35+R36</f>
        <v>33157.462501313414</v>
      </c>
      <c r="S46" s="52">
        <f t="shared" si="33"/>
        <v>33211.462088941087</v>
      </c>
      <c r="T46" s="52">
        <f t="shared" si="33"/>
        <v>33248.462131477398</v>
      </c>
      <c r="U46" s="52">
        <f t="shared" si="33"/>
        <v>33334.461861484408</v>
      </c>
      <c r="V46" s="52">
        <f t="shared" si="33"/>
        <v>33364.461467356195</v>
      </c>
      <c r="W46" s="52">
        <f t="shared" si="33"/>
        <v>33473.461191121016</v>
      </c>
      <c r="X46" s="52">
        <f t="shared" si="33"/>
        <v>33479.460759040376</v>
      </c>
      <c r="Y46" s="52">
        <f t="shared" si="33"/>
        <v>33575.460404960671</v>
      </c>
      <c r="Z46" s="52">
        <f t="shared" si="33"/>
        <v>33542.461581684249</v>
      </c>
      <c r="AA46" s="52">
        <f t="shared" si="33"/>
        <v>33570.462052413022</v>
      </c>
      <c r="AB46" s="52">
        <f t="shared" si="33"/>
        <v>33580.461882571268</v>
      </c>
      <c r="AC46" s="52">
        <f t="shared" si="33"/>
        <v>33614.461748032256</v>
      </c>
      <c r="AD46" s="52">
        <f t="shared" si="33"/>
        <v>33614.46163919961</v>
      </c>
      <c r="AE46" s="52">
        <f t="shared" si="33"/>
        <v>33676.461567356797</v>
      </c>
      <c r="AF46" s="52">
        <f t="shared" si="33"/>
        <v>33712.461523891441</v>
      </c>
      <c r="AG46" s="52">
        <f t="shared" si="33"/>
        <v>33789.461473259274</v>
      </c>
      <c r="AH46" s="52">
        <f t="shared" si="33"/>
        <v>33832.46144090718</v>
      </c>
      <c r="AI46" s="52">
        <f t="shared" si="33"/>
        <v>33921.461438703096</v>
      </c>
      <c r="AJ46" s="52">
        <f t="shared" si="33"/>
        <v>33945.46145933494</v>
      </c>
      <c r="AK46" s="52">
        <f t="shared" si="33"/>
        <v>34025.46151769282</v>
      </c>
      <c r="AL46" s="52">
        <f t="shared" si="33"/>
        <v>34000.461610420498</v>
      </c>
      <c r="AM46" s="52">
        <f t="shared" si="33"/>
        <v>34026.461612815183</v>
      </c>
      <c r="AN46" s="52">
        <f t="shared" si="33"/>
        <v>34028.461576182031</v>
      </c>
      <c r="AO46" s="52">
        <f t="shared" si="33"/>
        <v>34073.46155064959</v>
      </c>
      <c r="AP46" s="52">
        <f t="shared" ref="AP46" si="34">AP35+AP36</f>
        <v>1203402.6280965689</v>
      </c>
    </row>
    <row r="47" spans="1:42" hidden="1" x14ac:dyDescent="0.25">
      <c r="A47" s="50" t="s">
        <v>43</v>
      </c>
      <c r="B47" s="52">
        <f>B37+B38</f>
        <v>1906.2499464693653</v>
      </c>
      <c r="C47" s="52">
        <f>C37+C38</f>
        <v>1905.2835086751459</v>
      </c>
      <c r="D47" s="52">
        <f>D37+D38</f>
        <v>1905.4534038425193</v>
      </c>
      <c r="E47" s="52">
        <f>E37+E38</f>
        <v>1905.6222661997665</v>
      </c>
      <c r="F47" s="52">
        <f t="shared" ref="F47:Q47" si="35">F37+F38</f>
        <v>1905.7051778120926</v>
      </c>
      <c r="G47" s="52">
        <f t="shared" si="35"/>
        <v>1905.8047804834193</v>
      </c>
      <c r="H47" s="52">
        <f t="shared" si="35"/>
        <v>1905.8466413929386</v>
      </c>
      <c r="I47" s="52">
        <f t="shared" si="35"/>
        <v>1905.8967014784653</v>
      </c>
      <c r="J47" s="52">
        <f t="shared" si="35"/>
        <v>1904.9211817074615</v>
      </c>
      <c r="K47" s="52">
        <f t="shared" si="35"/>
        <v>1906.8806162699127</v>
      </c>
      <c r="L47" s="52">
        <f t="shared" si="35"/>
        <v>1905.798483803138</v>
      </c>
      <c r="M47" s="52">
        <f t="shared" si="35"/>
        <v>1905.6890555344703</v>
      </c>
      <c r="N47" s="52">
        <f t="shared" si="35"/>
        <v>1905.6383803057247</v>
      </c>
      <c r="O47" s="52">
        <f t="shared" si="35"/>
        <v>1905.5874331254213</v>
      </c>
      <c r="P47" s="52">
        <f t="shared" si="35"/>
        <v>1905.612776829611</v>
      </c>
      <c r="Q47" s="52">
        <f t="shared" si="35"/>
        <v>1905.6259745785351</v>
      </c>
      <c r="R47" s="52">
        <f t="shared" ref="R47:AO47" si="36">R37+R38</f>
        <v>1905.6263086100994</v>
      </c>
      <c r="S47" s="52">
        <f t="shared" si="36"/>
        <v>1905.619752843266</v>
      </c>
      <c r="T47" s="52">
        <f t="shared" si="36"/>
        <v>1905.6043505399198</v>
      </c>
      <c r="U47" s="52">
        <f t="shared" si="36"/>
        <v>1905.5841763021685</v>
      </c>
      <c r="V47" s="52">
        <f t="shared" si="36"/>
        <v>1904.5580492041443</v>
      </c>
      <c r="W47" s="52">
        <f t="shared" si="36"/>
        <v>1906.5278131622008</v>
      </c>
      <c r="X47" s="52">
        <f t="shared" si="36"/>
        <v>1905.4984379032248</v>
      </c>
      <c r="Y47" s="52">
        <f t="shared" si="36"/>
        <v>1905.4734507448989</v>
      </c>
      <c r="Z47" s="52">
        <f t="shared" si="36"/>
        <v>1905.4555003457679</v>
      </c>
      <c r="AA47" s="52">
        <f t="shared" si="36"/>
        <v>1905.4402770157717</v>
      </c>
      <c r="AB47" s="52">
        <f t="shared" si="36"/>
        <v>1905.4279306733006</v>
      </c>
      <c r="AC47" s="52">
        <f t="shared" si="36"/>
        <v>1905.4125518269411</v>
      </c>
      <c r="AD47" s="52">
        <f t="shared" si="36"/>
        <v>1905.3947832643087</v>
      </c>
      <c r="AE47" s="52">
        <f t="shared" si="36"/>
        <v>1905.3755061521597</v>
      </c>
      <c r="AF47" s="52">
        <f t="shared" si="36"/>
        <v>1905.3551689279009</v>
      </c>
      <c r="AG47" s="52">
        <f t="shared" si="36"/>
        <v>1905.3343204602324</v>
      </c>
      <c r="AH47" s="52">
        <f t="shared" si="36"/>
        <v>1904.3135241400712</v>
      </c>
      <c r="AI47" s="52">
        <f t="shared" si="36"/>
        <v>1906.2931637180645</v>
      </c>
      <c r="AJ47" s="52">
        <f t="shared" si="36"/>
        <v>1905.2736262643868</v>
      </c>
      <c r="AK47" s="52">
        <f t="shared" si="36"/>
        <v>1905.254908627817</v>
      </c>
      <c r="AL47" s="52">
        <f t="shared" si="36"/>
        <v>1905.2366134513936</v>
      </c>
      <c r="AM47" s="52">
        <f t="shared" si="36"/>
        <v>1905.2183978768626</v>
      </c>
      <c r="AN47" s="52">
        <f t="shared" si="36"/>
        <v>1905.19993294862</v>
      </c>
      <c r="AO47" s="52">
        <f t="shared" si="36"/>
        <v>1905.1809498048965</v>
      </c>
      <c r="AP47" s="52">
        <f t="shared" ref="AP47" si="37">AP37+AP38</f>
        <v>68598.666698129629</v>
      </c>
    </row>
    <row r="48" spans="1:42" hidden="1" x14ac:dyDescent="0.25">
      <c r="A48" s="50" t="s">
        <v>38</v>
      </c>
      <c r="B48" s="52">
        <f>B39</f>
        <v>22.993055555555557</v>
      </c>
      <c r="C48" s="52">
        <f>C39</f>
        <v>22.992476851851848</v>
      </c>
      <c r="D48" s="52">
        <f>D39</f>
        <v>22.991849922839506</v>
      </c>
      <c r="E48" s="52">
        <f>E39</f>
        <v>22.9911707497428</v>
      </c>
      <c r="F48" s="52">
        <f t="shared" ref="F48:Q48" si="38">F39</f>
        <v>22.990434978888032</v>
      </c>
      <c r="G48" s="52">
        <f t="shared" si="38"/>
        <v>22.989637893795368</v>
      </c>
      <c r="H48" s="52">
        <f t="shared" si="38"/>
        <v>22.988774384944982</v>
      </c>
      <c r="I48" s="52">
        <f t="shared" si="38"/>
        <v>22.98783891702373</v>
      </c>
      <c r="J48" s="52">
        <f t="shared" si="38"/>
        <v>22.986825493442375</v>
      </c>
      <c r="K48" s="52">
        <f t="shared" si="38"/>
        <v>22.985727617895904</v>
      </c>
      <c r="L48" s="52">
        <f t="shared" si="38"/>
        <v>22.984538252720562</v>
      </c>
      <c r="M48" s="52">
        <f t="shared" si="38"/>
        <v>22.983249773780614</v>
      </c>
      <c r="N48" s="52">
        <f t="shared" si="38"/>
        <v>22.988798366040108</v>
      </c>
      <c r="O48" s="52">
        <f t="shared" si="38"/>
        <v>22.988443600247152</v>
      </c>
      <c r="P48" s="52">
        <f t="shared" si="38"/>
        <v>22.988107495946764</v>
      </c>
      <c r="Q48" s="52">
        <f t="shared" si="38"/>
        <v>22.987795627039034</v>
      </c>
      <c r="R48" s="52">
        <f t="shared" ref="R48:AO48" si="39">R39</f>
        <v>22.98751436681372</v>
      </c>
      <c r="S48" s="52">
        <f t="shared" si="39"/>
        <v>22.987270982474193</v>
      </c>
      <c r="T48" s="52">
        <f t="shared" si="39"/>
        <v>22.987073739864094</v>
      </c>
      <c r="U48" s="52">
        <f t="shared" si="39"/>
        <v>22.986932019440687</v>
      </c>
      <c r="V48" s="52">
        <f t="shared" si="39"/>
        <v>22.9868564446421</v>
      </c>
      <c r="W48" s="52">
        <f t="shared" si="39"/>
        <v>22.986859023908742</v>
      </c>
      <c r="X48" s="52">
        <f t="shared" si="39"/>
        <v>22.98695330774315</v>
      </c>
      <c r="Y48" s="52">
        <f t="shared" si="39"/>
        <v>22.987154562328364</v>
      </c>
      <c r="Z48" s="52">
        <f t="shared" si="39"/>
        <v>22.987479961374007</v>
      </c>
      <c r="AA48" s="52">
        <f t="shared" si="39"/>
        <v>22.9873700943185</v>
      </c>
      <c r="AB48" s="52">
        <f t="shared" si="39"/>
        <v>22.987280635491111</v>
      </c>
      <c r="AC48" s="52">
        <f t="shared" si="39"/>
        <v>22.98721173045314</v>
      </c>
      <c r="AD48" s="52">
        <f t="shared" si="39"/>
        <v>22.987163072404314</v>
      </c>
      <c r="AE48" s="52">
        <f t="shared" si="39"/>
        <v>22.9871337978702</v>
      </c>
      <c r="AF48" s="52">
        <f t="shared" si="39"/>
        <v>22.987122365819864</v>
      </c>
      <c r="AG48" s="52">
        <f t="shared" si="39"/>
        <v>22.98712641798285</v>
      </c>
      <c r="AH48" s="52">
        <f t="shared" si="39"/>
        <v>22.987142617861359</v>
      </c>
      <c r="AI48" s="52">
        <f t="shared" si="39"/>
        <v>22.987166465629635</v>
      </c>
      <c r="AJ48" s="52">
        <f t="shared" si="39"/>
        <v>22.987192085773039</v>
      </c>
      <c r="AK48" s="52">
        <f t="shared" si="39"/>
        <v>22.987211983942203</v>
      </c>
      <c r="AL48" s="52">
        <f t="shared" si="39"/>
        <v>22.987216769076689</v>
      </c>
      <c r="AM48" s="52">
        <f t="shared" si="39"/>
        <v>22.987194836385243</v>
      </c>
      <c r="AN48" s="52">
        <f t="shared" si="39"/>
        <v>22.987180231557474</v>
      </c>
      <c r="AO48" s="52">
        <f t="shared" si="39"/>
        <v>22.987171864563003</v>
      </c>
      <c r="AP48" s="52">
        <f t="shared" ref="AP48" si="40">AP39</f>
        <v>827.54215177948231</v>
      </c>
    </row>
    <row r="49" spans="1:42" hidden="1" x14ac:dyDescent="0.25">
      <c r="A49" s="50" t="s">
        <v>44</v>
      </c>
      <c r="B49" s="52">
        <f>B40+B41</f>
        <v>2463.9068194422775</v>
      </c>
      <c r="C49" s="52">
        <f>C40+C41</f>
        <v>2453.9964377291344</v>
      </c>
      <c r="D49" s="52">
        <f>D40+D41</f>
        <v>2470.4413436510067</v>
      </c>
      <c r="E49" s="52">
        <f>E40+E41</f>
        <v>2490.8465843256272</v>
      </c>
      <c r="F49" s="52">
        <f>F40+F41</f>
        <v>2461.6604377262192</v>
      </c>
      <c r="G49" s="52">
        <f t="shared" ref="G49:Q49" si="41">G40+G41</f>
        <v>2480.0436216635385</v>
      </c>
      <c r="H49" s="52">
        <f t="shared" si="41"/>
        <v>2486.4474519673113</v>
      </c>
      <c r="I49" s="52">
        <f t="shared" si="41"/>
        <v>2482.4076309212724</v>
      </c>
      <c r="J49" s="52">
        <f t="shared" si="41"/>
        <v>2493.055478923342</v>
      </c>
      <c r="K49" s="52">
        <f t="shared" si="41"/>
        <v>2468.6568888776928</v>
      </c>
      <c r="L49" s="52">
        <f t="shared" si="41"/>
        <v>2470.9335867485788</v>
      </c>
      <c r="M49" s="52">
        <f t="shared" si="41"/>
        <v>2478.7438544807392</v>
      </c>
      <c r="N49" s="52">
        <f t="shared" si="41"/>
        <v>2474.0496363713946</v>
      </c>
      <c r="O49" s="52">
        <f t="shared" si="41"/>
        <v>2472.9373461154883</v>
      </c>
      <c r="P49" s="52">
        <f t="shared" si="41"/>
        <v>2471.8551301476846</v>
      </c>
      <c r="Q49" s="52">
        <f t="shared" si="41"/>
        <v>2484.5918290224072</v>
      </c>
      <c r="R49" s="52">
        <f t="shared" ref="R49:AO49" si="42">R40+R41</f>
        <v>2499.3345827471389</v>
      </c>
      <c r="S49" s="52">
        <f t="shared" si="42"/>
        <v>2495.236694832216</v>
      </c>
      <c r="T49" s="52">
        <f t="shared" si="42"/>
        <v>2484.1073425962722</v>
      </c>
      <c r="U49" s="52">
        <f t="shared" si="42"/>
        <v>2497.3380168153526</v>
      </c>
      <c r="V49" s="52">
        <f t="shared" si="42"/>
        <v>2494.0167156398593</v>
      </c>
      <c r="W49" s="52">
        <f t="shared" si="42"/>
        <v>2486.7479103662354</v>
      </c>
      <c r="X49" s="52">
        <f t="shared" si="42"/>
        <v>2488.9618788236139</v>
      </c>
      <c r="Y49" s="52">
        <f t="shared" si="42"/>
        <v>2471.8915531632001</v>
      </c>
      <c r="Z49" s="52">
        <f t="shared" si="42"/>
        <v>2486.6333113867386</v>
      </c>
      <c r="AA49" s="52">
        <f t="shared" si="42"/>
        <v>2489.2046676380169</v>
      </c>
      <c r="AB49" s="52">
        <f t="shared" si="42"/>
        <v>2486.1424610982276</v>
      </c>
      <c r="AC49" s="52">
        <f t="shared" si="42"/>
        <v>2501.9116220107735</v>
      </c>
      <c r="AD49" s="52">
        <f t="shared" si="42"/>
        <v>2492.6234714264701</v>
      </c>
      <c r="AE49" s="52">
        <f t="shared" si="42"/>
        <v>2506.2648038164143</v>
      </c>
      <c r="AF49" s="52">
        <f t="shared" si="42"/>
        <v>2513.4572795650979</v>
      </c>
      <c r="AG49" s="52">
        <f t="shared" si="42"/>
        <v>2495.3646576458332</v>
      </c>
      <c r="AH49" s="52">
        <f t="shared" si="42"/>
        <v>2500.3744443817068</v>
      </c>
      <c r="AI49" s="52">
        <f t="shared" si="42"/>
        <v>2499.2419217768611</v>
      </c>
      <c r="AJ49" s="52">
        <f t="shared" si="42"/>
        <v>2497.715939394413</v>
      </c>
      <c r="AK49" s="52">
        <f t="shared" si="42"/>
        <v>2494.9086527753129</v>
      </c>
      <c r="AL49" s="52">
        <f t="shared" si="42"/>
        <v>2487.473927742989</v>
      </c>
      <c r="AM49" s="52">
        <f t="shared" si="42"/>
        <v>2494.8814457726767</v>
      </c>
      <c r="AN49" s="52">
        <f t="shared" si="42"/>
        <v>2507.8919106172316</v>
      </c>
      <c r="AO49" s="52">
        <f t="shared" si="42"/>
        <v>2506.3151564104819</v>
      </c>
      <c r="AP49" s="52">
        <f t="shared" ref="AP49" si="43">AP40+AP41</f>
        <v>89603.423261408811</v>
      </c>
    </row>
    <row r="50" spans="1:42" hidden="1" x14ac:dyDescent="0.25">
      <c r="A50" s="50" t="s">
        <v>41</v>
      </c>
      <c r="B50" s="52">
        <f>B42</f>
        <v>433.19310000000002</v>
      </c>
      <c r="C50" s="52">
        <f>C42</f>
        <v>434.83139999999997</v>
      </c>
      <c r="D50" s="52">
        <f>D42</f>
        <v>435.1918</v>
      </c>
      <c r="E50" s="52">
        <f>E42</f>
        <v>435.30489999999998</v>
      </c>
      <c r="F50" s="52">
        <f>F42</f>
        <v>434.69720000000001</v>
      </c>
      <c r="G50" s="52">
        <f t="shared" ref="G50:Q50" si="44">G42</f>
        <v>435.41129999999998</v>
      </c>
      <c r="H50" s="52">
        <f t="shared" si="44"/>
        <v>436.93970000000002</v>
      </c>
      <c r="I50" s="52">
        <f t="shared" si="44"/>
        <v>435.97230000000002</v>
      </c>
      <c r="J50" s="52">
        <f t="shared" si="44"/>
        <v>435.4674</v>
      </c>
      <c r="K50" s="52">
        <f t="shared" si="44"/>
        <v>436.74290000000002</v>
      </c>
      <c r="L50" s="52">
        <f t="shared" si="44"/>
        <v>437.09710000000001</v>
      </c>
      <c r="M50" s="52">
        <f t="shared" si="44"/>
        <v>436.96460000000002</v>
      </c>
      <c r="N50" s="52">
        <f t="shared" si="44"/>
        <v>436.69200000000001</v>
      </c>
      <c r="O50" s="52">
        <f t="shared" si="44"/>
        <v>436.85879999999997</v>
      </c>
      <c r="P50" s="52">
        <f t="shared" si="44"/>
        <v>438.00020000000001</v>
      </c>
      <c r="Q50" s="52">
        <f t="shared" si="44"/>
        <v>437.75119999999998</v>
      </c>
      <c r="R50" s="52">
        <f t="shared" ref="R50:AO50" si="45">R42</f>
        <v>436.95929999999998</v>
      </c>
      <c r="S50" s="52">
        <f t="shared" si="45"/>
        <v>437.7432</v>
      </c>
      <c r="T50" s="52">
        <f t="shared" si="45"/>
        <v>438.26830000000001</v>
      </c>
      <c r="U50" s="52">
        <f t="shared" si="45"/>
        <v>438.01940000000002</v>
      </c>
      <c r="V50" s="52">
        <f t="shared" si="45"/>
        <v>437.8492</v>
      </c>
      <c r="W50" s="52">
        <f t="shared" si="45"/>
        <v>437.85919999999999</v>
      </c>
      <c r="X50" s="52">
        <f t="shared" si="45"/>
        <v>438.53469999999999</v>
      </c>
      <c r="Y50" s="52">
        <f t="shared" si="45"/>
        <v>438.67809999999997</v>
      </c>
      <c r="Z50" s="52">
        <f t="shared" si="45"/>
        <v>437.97640000000001</v>
      </c>
      <c r="AA50" s="52">
        <f t="shared" si="45"/>
        <v>438.27800000000002</v>
      </c>
      <c r="AB50" s="52">
        <f t="shared" si="45"/>
        <v>438.88470000000001</v>
      </c>
      <c r="AC50" s="52">
        <f t="shared" si="45"/>
        <v>438.69729999999998</v>
      </c>
      <c r="AD50" s="52">
        <f t="shared" si="45"/>
        <v>438.49900000000002</v>
      </c>
      <c r="AE50" s="52">
        <f t="shared" si="45"/>
        <v>438.50990000000002</v>
      </c>
      <c r="AF50" s="52">
        <f t="shared" si="45"/>
        <v>438.86349999999999</v>
      </c>
      <c r="AG50" s="52">
        <f t="shared" si="45"/>
        <v>439.1207</v>
      </c>
      <c r="AH50" s="52">
        <f t="shared" si="45"/>
        <v>438.6583</v>
      </c>
      <c r="AI50" s="52">
        <f t="shared" si="45"/>
        <v>438.62740000000002</v>
      </c>
      <c r="AJ50" s="52">
        <f t="shared" si="45"/>
        <v>439.16079999999999</v>
      </c>
      <c r="AK50" s="52">
        <f t="shared" si="45"/>
        <v>439.12299999999999</v>
      </c>
      <c r="AL50" s="52">
        <f t="shared" si="45"/>
        <v>438.88060000000002</v>
      </c>
      <c r="AM50" s="52">
        <f t="shared" si="45"/>
        <v>438.89510000000001</v>
      </c>
      <c r="AN50" s="52">
        <f t="shared" si="45"/>
        <v>439.09089999999998</v>
      </c>
      <c r="AO50" s="52">
        <f t="shared" si="45"/>
        <v>439.31470000000002</v>
      </c>
      <c r="AP50" s="52">
        <f t="shared" ref="AP50" si="46">AP42</f>
        <v>15763.086399999997</v>
      </c>
    </row>
    <row r="51" spans="1:42" hidden="1" x14ac:dyDescent="0.25">
      <c r="A51" s="50" t="s">
        <v>0</v>
      </c>
      <c r="B51" s="52">
        <f>SUM(B45:B50)</f>
        <v>255241.70096350583</v>
      </c>
      <c r="C51" s="52">
        <f>SUM(C45:C50)</f>
        <v>254366.57503546463</v>
      </c>
      <c r="D51" s="52">
        <f>SUM(D45:D50)</f>
        <v>254871.54721064225</v>
      </c>
      <c r="E51" s="52">
        <f>SUM(E45:E50)</f>
        <v>253757.23460782538</v>
      </c>
      <c r="F51" s="52">
        <f t="shared" ref="F51:Q51" si="47">SUM(F45:F50)</f>
        <v>254581.52070029848</v>
      </c>
      <c r="G51" s="52">
        <f t="shared" si="47"/>
        <v>254448.71091854613</v>
      </c>
      <c r="H51" s="52">
        <f t="shared" si="47"/>
        <v>255137.6879391385</v>
      </c>
      <c r="I51" s="52">
        <f t="shared" si="47"/>
        <v>256325.73106233968</v>
      </c>
      <c r="J51" s="52">
        <f t="shared" si="47"/>
        <v>256269.8956683026</v>
      </c>
      <c r="K51" s="52">
        <f t="shared" si="47"/>
        <v>257392.73250885421</v>
      </c>
      <c r="L51" s="52">
        <f t="shared" si="47"/>
        <v>256081.27871680123</v>
      </c>
      <c r="M51" s="52">
        <f t="shared" si="47"/>
        <v>256621.82704406674</v>
      </c>
      <c r="N51" s="52">
        <f t="shared" si="47"/>
        <v>256273.82474798217</v>
      </c>
      <c r="O51" s="52">
        <f t="shared" si="47"/>
        <v>256020.83611335515</v>
      </c>
      <c r="P51" s="52">
        <f t="shared" si="47"/>
        <v>256057.91971151272</v>
      </c>
      <c r="Q51" s="52">
        <f t="shared" si="47"/>
        <v>255175.41985325189</v>
      </c>
      <c r="R51" s="52">
        <f t="shared" ref="R51:AO51" si="48">SUM(R45:R50)</f>
        <v>256067.37020703746</v>
      </c>
      <c r="S51" s="52">
        <f t="shared" si="48"/>
        <v>255661.04900759901</v>
      </c>
      <c r="T51" s="52">
        <f t="shared" si="48"/>
        <v>256766.42919835346</v>
      </c>
      <c r="U51" s="52">
        <f t="shared" si="48"/>
        <v>257466.39038662135</v>
      </c>
      <c r="V51" s="52">
        <f t="shared" si="48"/>
        <v>257901.87228864484</v>
      </c>
      <c r="W51" s="52">
        <f t="shared" si="48"/>
        <v>258660.58297367339</v>
      </c>
      <c r="X51" s="52">
        <f t="shared" si="48"/>
        <v>258567.44272907494</v>
      </c>
      <c r="Y51" s="52">
        <f t="shared" si="48"/>
        <v>259081.49066343109</v>
      </c>
      <c r="Z51" s="52">
        <f t="shared" si="48"/>
        <v>258568.51427337812</v>
      </c>
      <c r="AA51" s="52">
        <f t="shared" si="48"/>
        <v>258666.37236716112</v>
      </c>
      <c r="AB51" s="52">
        <f t="shared" si="48"/>
        <v>258287.90425497829</v>
      </c>
      <c r="AC51" s="52">
        <f t="shared" si="48"/>
        <v>257829.47043360042</v>
      </c>
      <c r="AD51" s="52">
        <f t="shared" si="48"/>
        <v>258356.96605696279</v>
      </c>
      <c r="AE51" s="52">
        <f t="shared" si="48"/>
        <v>258144.59891112326</v>
      </c>
      <c r="AF51" s="52">
        <f t="shared" si="48"/>
        <v>259238.12459475026</v>
      </c>
      <c r="AG51" s="52">
        <f t="shared" si="48"/>
        <v>259751.26827778333</v>
      </c>
      <c r="AH51" s="52">
        <f t="shared" si="48"/>
        <v>260454.79485204685</v>
      </c>
      <c r="AI51" s="52">
        <f t="shared" si="48"/>
        <v>260865.61109066365</v>
      </c>
      <c r="AJ51" s="52">
        <f t="shared" si="48"/>
        <v>261101.59901707951</v>
      </c>
      <c r="AK51" s="52">
        <f t="shared" si="48"/>
        <v>261337.73529107991</v>
      </c>
      <c r="AL51" s="52">
        <f t="shared" si="48"/>
        <v>260959.03996838394</v>
      </c>
      <c r="AM51" s="52">
        <f t="shared" si="48"/>
        <v>261022.44375130109</v>
      </c>
      <c r="AN51" s="52">
        <f t="shared" si="48"/>
        <v>260539.63149997947</v>
      </c>
      <c r="AO51" s="52">
        <f t="shared" si="48"/>
        <v>260269.25952872954</v>
      </c>
      <c r="AP51" s="52">
        <f t="shared" ref="AP51" si="49">SUM(AP45:AP50)</f>
        <v>9285953.3466078881</v>
      </c>
    </row>
    <row r="52" spans="1:42" hidden="1" x14ac:dyDescent="0.25"/>
    <row r="53" spans="1:42" hidden="1" x14ac:dyDescent="0.25">
      <c r="A53" s="50" t="s">
        <v>78</v>
      </c>
      <c r="B53" s="52">
        <f>SUM(B34:B42)-SUM(B45:B50)</f>
        <v>0</v>
      </c>
      <c r="C53" s="52">
        <f>SUM(C34:C42)-SUM(C45:C50)</f>
        <v>0</v>
      </c>
      <c r="D53" s="52">
        <f>SUM(D34:D42)-SUM(D45:D50)</f>
        <v>0</v>
      </c>
      <c r="E53" s="52">
        <f>SUM(E34:E42)-SUM(E45:E50)</f>
        <v>0</v>
      </c>
      <c r="F53" s="52">
        <f t="shared" ref="F53:Q53" si="50">SUM(F34:F42)-SUM(F45:F50)</f>
        <v>0</v>
      </c>
      <c r="G53" s="52">
        <f t="shared" si="50"/>
        <v>0</v>
      </c>
      <c r="H53" s="52">
        <f t="shared" si="50"/>
        <v>0</v>
      </c>
      <c r="I53" s="52">
        <f t="shared" si="50"/>
        <v>0</v>
      </c>
      <c r="J53" s="52">
        <f t="shared" si="50"/>
        <v>0</v>
      </c>
      <c r="K53" s="52">
        <f t="shared" si="50"/>
        <v>0</v>
      </c>
      <c r="L53" s="52">
        <f t="shared" si="50"/>
        <v>0</v>
      </c>
      <c r="M53" s="52">
        <f t="shared" si="50"/>
        <v>0</v>
      </c>
      <c r="N53" s="52">
        <f t="shared" si="50"/>
        <v>0</v>
      </c>
      <c r="O53" s="52">
        <f t="shared" si="50"/>
        <v>0</v>
      </c>
      <c r="P53" s="52">
        <f t="shared" si="50"/>
        <v>0</v>
      </c>
      <c r="Q53" s="52">
        <f t="shared" si="50"/>
        <v>0</v>
      </c>
      <c r="R53" s="52">
        <f t="shared" ref="R53:AP53" si="51">SUM(R34:R42)-SUM(R45:R50)</f>
        <v>0</v>
      </c>
      <c r="S53" s="52">
        <f t="shared" si="51"/>
        <v>0</v>
      </c>
      <c r="T53" s="52">
        <f t="shared" si="51"/>
        <v>0</v>
      </c>
      <c r="U53" s="52">
        <f t="shared" si="51"/>
        <v>0</v>
      </c>
      <c r="V53" s="52">
        <f t="shared" si="51"/>
        <v>0</v>
      </c>
      <c r="W53" s="52">
        <f t="shared" si="51"/>
        <v>0</v>
      </c>
      <c r="X53" s="52">
        <f t="shared" si="51"/>
        <v>0</v>
      </c>
      <c r="Y53" s="52">
        <f t="shared" si="51"/>
        <v>0</v>
      </c>
      <c r="Z53" s="52">
        <f t="shared" si="51"/>
        <v>0</v>
      </c>
      <c r="AA53" s="52">
        <f t="shared" si="51"/>
        <v>0</v>
      </c>
      <c r="AB53" s="52">
        <f t="shared" si="51"/>
        <v>0</v>
      </c>
      <c r="AC53" s="52">
        <f t="shared" si="51"/>
        <v>0</v>
      </c>
      <c r="AD53" s="52">
        <f t="shared" si="51"/>
        <v>0</v>
      </c>
      <c r="AE53" s="52">
        <f t="shared" si="51"/>
        <v>0</v>
      </c>
      <c r="AF53" s="52">
        <f t="shared" si="51"/>
        <v>0</v>
      </c>
      <c r="AG53" s="52">
        <f t="shared" si="51"/>
        <v>0</v>
      </c>
      <c r="AH53" s="52">
        <f t="shared" si="51"/>
        <v>0</v>
      </c>
      <c r="AI53" s="52">
        <f t="shared" si="51"/>
        <v>0</v>
      </c>
      <c r="AJ53" s="52">
        <f t="shared" si="51"/>
        <v>0</v>
      </c>
      <c r="AK53" s="52">
        <f t="shared" si="51"/>
        <v>0</v>
      </c>
      <c r="AL53" s="52">
        <f t="shared" si="51"/>
        <v>0</v>
      </c>
      <c r="AM53" s="52">
        <f t="shared" si="51"/>
        <v>0</v>
      </c>
      <c r="AN53" s="52">
        <f t="shared" si="51"/>
        <v>0</v>
      </c>
      <c r="AO53" s="52">
        <f t="shared" si="51"/>
        <v>0</v>
      </c>
      <c r="AP53" s="52">
        <f t="shared" si="51"/>
        <v>0</v>
      </c>
    </row>
    <row r="54" spans="1:42" hidden="1" x14ac:dyDescent="0.25"/>
    <row r="55" spans="1:42" hidden="1" x14ac:dyDescent="0.25"/>
    <row r="56" spans="1:42" hidden="1" x14ac:dyDescent="0.25"/>
    <row r="57" spans="1:42" hidden="1" x14ac:dyDescent="0.25"/>
    <row r="58" spans="1:42" x14ac:dyDescent="0.25">
      <c r="N58" s="189" t="s">
        <v>141</v>
      </c>
      <c r="O58" s="188">
        <v>195757919.72294998</v>
      </c>
      <c r="P58" s="188">
        <v>208540712.40769556</v>
      </c>
      <c r="Q58" s="188">
        <v>155165544.14927229</v>
      </c>
      <c r="R58" s="188">
        <v>172057247.35680461</v>
      </c>
      <c r="S58" s="188">
        <v>229197404.06787434</v>
      </c>
      <c r="T58" s="188">
        <v>295378315.86354291</v>
      </c>
      <c r="U58" s="188">
        <v>300523474.79559064</v>
      </c>
      <c r="V58" s="188">
        <v>253892940.29570198</v>
      </c>
      <c r="W58" s="188">
        <v>226278840.95117667</v>
      </c>
      <c r="X58" s="188">
        <v>184290821.66075876</v>
      </c>
      <c r="Y58" s="188">
        <v>165251966.50444371</v>
      </c>
      <c r="Z58" s="188">
        <v>162871415.94361082</v>
      </c>
      <c r="AA58" s="197">
        <v>191711772.04806393</v>
      </c>
      <c r="AB58" s="197">
        <v>207155987.72774422</v>
      </c>
      <c r="AC58" s="197">
        <v>157636661.60176134</v>
      </c>
      <c r="AD58" s="197">
        <v>175118834.0957303</v>
      </c>
      <c r="AE58" s="197">
        <v>227581065.00540218</v>
      </c>
      <c r="AF58" s="197">
        <v>295593908.56083709</v>
      </c>
      <c r="AG58" s="197">
        <v>300444473.62142777</v>
      </c>
      <c r="AH58" s="197">
        <v>255886113.62935272</v>
      </c>
      <c r="AI58" s="197">
        <v>230729660.73283482</v>
      </c>
      <c r="AJ58" s="197">
        <v>187353916.37362355</v>
      </c>
      <c r="AK58" s="197">
        <v>168449155.15716037</v>
      </c>
      <c r="AL58" s="197">
        <v>163715225.47247764</v>
      </c>
    </row>
    <row r="59" spans="1:42" x14ac:dyDescent="0.25">
      <c r="N59" s="189" t="s">
        <v>142</v>
      </c>
      <c r="O59" s="188">
        <v>695813.1025558121</v>
      </c>
      <c r="P59" s="188">
        <v>725585.19335385133</v>
      </c>
      <c r="Q59" s="188">
        <v>577190.63418714947</v>
      </c>
      <c r="R59" s="188">
        <v>778793.77238620375</v>
      </c>
      <c r="S59" s="188">
        <v>1177525.4476468679</v>
      </c>
      <c r="T59" s="188">
        <v>1539614.0997854983</v>
      </c>
      <c r="U59" s="188">
        <v>1596789.5416654022</v>
      </c>
      <c r="V59" s="188">
        <v>1347260.371444714</v>
      </c>
      <c r="W59" s="188">
        <v>1202478.3306235219</v>
      </c>
      <c r="X59" s="188">
        <v>936230.73269364925</v>
      </c>
      <c r="Y59" s="188">
        <v>751812.98498715181</v>
      </c>
      <c r="Z59" s="188">
        <v>658056.51824558969</v>
      </c>
      <c r="AA59" s="197">
        <v>749061.79982535518</v>
      </c>
      <c r="AB59" s="197">
        <v>790767.30247811135</v>
      </c>
      <c r="AC59" s="197">
        <v>640558.43533135927</v>
      </c>
      <c r="AD59" s="197">
        <v>859148.98315914557</v>
      </c>
      <c r="AE59" s="197">
        <v>1271731.8010657048</v>
      </c>
      <c r="AF59" s="197">
        <v>1681356.3449316819</v>
      </c>
      <c r="AG59" s="197">
        <v>1741470.0976420473</v>
      </c>
      <c r="AH59" s="197">
        <v>1481101.1363545738</v>
      </c>
      <c r="AI59" s="197">
        <v>1336817.5575517691</v>
      </c>
      <c r="AJ59" s="197">
        <v>1040105.6759849922</v>
      </c>
      <c r="AK59" s="197">
        <v>840218.55917743128</v>
      </c>
      <c r="AL59" s="197">
        <v>725958.71608765633</v>
      </c>
    </row>
    <row r="60" spans="1:42" x14ac:dyDescent="0.25">
      <c r="N60" s="189" t="s">
        <v>143</v>
      </c>
      <c r="O60" s="188">
        <v>51523076.154867977</v>
      </c>
      <c r="P60" s="188">
        <v>50945584.481681392</v>
      </c>
      <c r="Q60" s="188">
        <v>46124166.451869726</v>
      </c>
      <c r="R60" s="188">
        <v>46474874.464942411</v>
      </c>
      <c r="S60" s="188">
        <v>52343471.116701931</v>
      </c>
      <c r="T60" s="188">
        <v>56744410.739697143</v>
      </c>
      <c r="U60" s="188">
        <v>55654659.68011678</v>
      </c>
      <c r="V60" s="188">
        <v>52645750.197213948</v>
      </c>
      <c r="W60" s="188">
        <v>49916430.608736791</v>
      </c>
      <c r="X60" s="188">
        <v>44682223.960313983</v>
      </c>
      <c r="Y60" s="188">
        <v>43564318.361766152</v>
      </c>
      <c r="Z60" s="188">
        <v>45088284.543427683</v>
      </c>
      <c r="AA60" s="197">
        <v>52478584.186791822</v>
      </c>
      <c r="AB60" s="197">
        <v>51500270.181902535</v>
      </c>
      <c r="AC60" s="197">
        <v>46174077.135998875</v>
      </c>
      <c r="AD60" s="197">
        <v>47103793.012397192</v>
      </c>
      <c r="AE60" s="197">
        <v>52966374.509127118</v>
      </c>
      <c r="AF60" s="197">
        <v>57510127.00831832</v>
      </c>
      <c r="AG60" s="197">
        <v>56508336.437495276</v>
      </c>
      <c r="AH60" s="197">
        <v>53054292.853051394</v>
      </c>
      <c r="AI60" s="197">
        <v>50511798.967018768</v>
      </c>
      <c r="AJ60" s="197">
        <v>44994328.375918746</v>
      </c>
      <c r="AK60" s="197">
        <v>44135039.412958808</v>
      </c>
      <c r="AL60" s="197">
        <v>45539097.924921669</v>
      </c>
    </row>
    <row r="61" spans="1:42" x14ac:dyDescent="0.25">
      <c r="N61" s="189" t="s">
        <v>144</v>
      </c>
      <c r="O61" s="188">
        <v>4554083.5210977104</v>
      </c>
      <c r="P61" s="188">
        <v>4500458.6027711201</v>
      </c>
      <c r="Q61" s="188">
        <v>4073302.7997827763</v>
      </c>
      <c r="R61" s="188">
        <v>4846108.9163227715</v>
      </c>
      <c r="S61" s="188">
        <v>6302521.3205331955</v>
      </c>
      <c r="T61" s="188">
        <v>8028981.099253051</v>
      </c>
      <c r="U61" s="188">
        <v>8097375.0728896242</v>
      </c>
      <c r="V61" s="188">
        <v>7332043.5809252262</v>
      </c>
      <c r="W61" s="188">
        <v>6588811.2103799358</v>
      </c>
      <c r="X61" s="188">
        <v>4984209.5799362641</v>
      </c>
      <c r="Y61" s="188">
        <v>4351822.8391172234</v>
      </c>
      <c r="Z61" s="188">
        <v>4257502.0520108454</v>
      </c>
      <c r="AA61" s="197">
        <v>4644876.9506880669</v>
      </c>
      <c r="AB61" s="197">
        <v>4571910.6387262661</v>
      </c>
      <c r="AC61" s="197">
        <v>4107509.7763486467</v>
      </c>
      <c r="AD61" s="197">
        <v>4846585.7663267413</v>
      </c>
      <c r="AE61" s="197">
        <v>6529084.6064990964</v>
      </c>
      <c r="AF61" s="197">
        <v>8147428.818300318</v>
      </c>
      <c r="AG61" s="197">
        <v>8293014.3347449293</v>
      </c>
      <c r="AH61" s="197">
        <v>7421728.6002782285</v>
      </c>
      <c r="AI61" s="197">
        <v>6828188.6899044625</v>
      </c>
      <c r="AJ61" s="197">
        <v>5146635.8060843777</v>
      </c>
      <c r="AK61" s="197">
        <v>4452056.130379064</v>
      </c>
      <c r="AL61" s="197">
        <v>4351590.8950352659</v>
      </c>
    </row>
    <row r="62" spans="1:42" x14ac:dyDescent="0.25">
      <c r="N62" s="189" t="s">
        <v>145</v>
      </c>
      <c r="O62" s="188">
        <v>18061.844557215773</v>
      </c>
      <c r="P62" s="188">
        <v>18167.845993632473</v>
      </c>
      <c r="Q62" s="188">
        <v>18226.822840499877</v>
      </c>
      <c r="R62" s="188">
        <v>18224.831706698031</v>
      </c>
      <c r="S62" s="188">
        <v>18184.17905920629</v>
      </c>
      <c r="T62" s="188">
        <v>18153.087625856799</v>
      </c>
      <c r="U62" s="188">
        <v>18132.380053444522</v>
      </c>
      <c r="V62" s="188">
        <v>18123.111618292183</v>
      </c>
      <c r="W62" s="188">
        <v>18129.768484353655</v>
      </c>
      <c r="X62" s="188">
        <v>18155.424168662335</v>
      </c>
      <c r="Y62" s="188">
        <v>18166.511189973407</v>
      </c>
      <c r="Z62" s="188">
        <v>18166.339456051966</v>
      </c>
      <c r="AA62" s="197">
        <v>18159.402562846437</v>
      </c>
      <c r="AB62" s="197">
        <v>18152.284823578604</v>
      </c>
      <c r="AC62" s="197">
        <v>18148.711802269281</v>
      </c>
      <c r="AD62" s="197">
        <v>18148.194527901054</v>
      </c>
      <c r="AE62" s="197">
        <v>18149.982085803491</v>
      </c>
      <c r="AF62" s="197">
        <v>18152.957781371275</v>
      </c>
      <c r="AG62" s="197">
        <v>18155.530850810766</v>
      </c>
      <c r="AH62" s="197">
        <v>18155.548364296512</v>
      </c>
      <c r="AI62" s="197">
        <v>18154.32767206175</v>
      </c>
      <c r="AJ62" s="197">
        <v>18152.992875174747</v>
      </c>
      <c r="AK62" s="197">
        <v>18152.281656909396</v>
      </c>
      <c r="AL62" s="197">
        <v>18152.280710543062</v>
      </c>
    </row>
    <row r="63" spans="1:42" x14ac:dyDescent="0.25">
      <c r="N63" s="189" t="s">
        <v>146</v>
      </c>
      <c r="O63" s="188">
        <v>110515728.60450557</v>
      </c>
      <c r="P63" s="188">
        <v>106099911.10638998</v>
      </c>
      <c r="Q63" s="188">
        <v>98613268.981188729</v>
      </c>
      <c r="R63" s="188">
        <v>110486406.39598288</v>
      </c>
      <c r="S63" s="188">
        <v>107781362.30981205</v>
      </c>
      <c r="T63" s="188">
        <v>101260112.79460676</v>
      </c>
      <c r="U63" s="188">
        <v>99030583.181646332</v>
      </c>
      <c r="V63" s="188">
        <v>101692772.27381162</v>
      </c>
      <c r="W63" s="188">
        <v>97669297.59634535</v>
      </c>
      <c r="X63" s="188">
        <v>95491200.847762197</v>
      </c>
      <c r="Y63" s="188">
        <v>98883917.567456082</v>
      </c>
      <c r="Z63" s="188">
        <v>104443797.07586089</v>
      </c>
      <c r="AA63" s="197">
        <v>111437291.67800096</v>
      </c>
      <c r="AB63" s="197">
        <v>104978716.10461913</v>
      </c>
      <c r="AC63" s="197">
        <v>97615663.518280134</v>
      </c>
      <c r="AD63" s="197">
        <v>110940704.06208748</v>
      </c>
      <c r="AE63" s="197">
        <v>109128847.52762508</v>
      </c>
      <c r="AF63" s="197">
        <v>102648747.47873011</v>
      </c>
      <c r="AG63" s="197">
        <v>99674019.363276467</v>
      </c>
      <c r="AH63" s="197">
        <v>100666674.36327493</v>
      </c>
      <c r="AI63" s="197">
        <v>97079974.837692574</v>
      </c>
      <c r="AJ63" s="197">
        <v>94601937.195464045</v>
      </c>
      <c r="AK63" s="197">
        <v>98787027.232238218</v>
      </c>
      <c r="AL63" s="197">
        <v>104395099.21358883</v>
      </c>
    </row>
    <row r="64" spans="1:42" x14ac:dyDescent="0.25">
      <c r="N64" s="189" t="s">
        <v>147</v>
      </c>
      <c r="O64" s="188">
        <v>2440550.5188799608</v>
      </c>
      <c r="P64" s="188">
        <v>2431709.653055829</v>
      </c>
      <c r="Q64" s="188">
        <v>2087524.1182084209</v>
      </c>
      <c r="R64" s="188">
        <v>2312438.5001234617</v>
      </c>
      <c r="S64" s="188">
        <v>2762732.9771268894</v>
      </c>
      <c r="T64" s="188">
        <v>3361208.2812189786</v>
      </c>
      <c r="U64" s="188">
        <v>3304964.2311254782</v>
      </c>
      <c r="V64" s="188">
        <v>2913758.0482948618</v>
      </c>
      <c r="W64" s="188">
        <v>2744142.1141440468</v>
      </c>
      <c r="X64" s="188">
        <v>2223556.6383845997</v>
      </c>
      <c r="Y64" s="188">
        <v>2052697.9087574531</v>
      </c>
      <c r="Z64" s="188">
        <v>2038364.9212863543</v>
      </c>
      <c r="AA64" s="197">
        <v>2461320.7592801712</v>
      </c>
      <c r="AB64" s="197">
        <v>2430256.603443129</v>
      </c>
      <c r="AC64" s="197">
        <v>2074635.1787549576</v>
      </c>
      <c r="AD64" s="197">
        <v>2337207.9156553736</v>
      </c>
      <c r="AE64" s="197">
        <v>2782434.4171236539</v>
      </c>
      <c r="AF64" s="197">
        <v>3328524.8207928929</v>
      </c>
      <c r="AG64" s="197">
        <v>3339307.3855732447</v>
      </c>
      <c r="AH64" s="197">
        <v>2915758.8664134182</v>
      </c>
      <c r="AI64" s="197">
        <v>2741314.0736792036</v>
      </c>
      <c r="AJ64" s="197">
        <v>2239708.479886157</v>
      </c>
      <c r="AK64" s="197">
        <v>2065288.3285100947</v>
      </c>
      <c r="AL64" s="197">
        <v>2077105.0922354425</v>
      </c>
    </row>
    <row r="65" spans="14:38" x14ac:dyDescent="0.25">
      <c r="N65" s="189" t="s">
        <v>148</v>
      </c>
      <c r="O65" s="188">
        <v>20809.5412657587</v>
      </c>
      <c r="P65" s="188">
        <v>20797.867731528262</v>
      </c>
      <c r="Q65" s="188">
        <v>20606.286314028941</v>
      </c>
      <c r="R65" s="188">
        <v>20700.267568435607</v>
      </c>
      <c r="S65" s="188">
        <v>20815.198088015175</v>
      </c>
      <c r="T65" s="188">
        <v>20742.463416888528</v>
      </c>
      <c r="U65" s="188">
        <v>20765.003377471865</v>
      </c>
      <c r="V65" s="188">
        <v>20769.309615044323</v>
      </c>
      <c r="W65" s="188">
        <v>20822.563222937057</v>
      </c>
      <c r="X65" s="188">
        <v>20804.33523599925</v>
      </c>
      <c r="Y65" s="188">
        <v>20763.66330556852</v>
      </c>
      <c r="Z65" s="188">
        <v>20758.787626981182</v>
      </c>
      <c r="AA65" s="197">
        <v>20754.130717755768</v>
      </c>
      <c r="AB65" s="197">
        <v>20769.935646916823</v>
      </c>
      <c r="AC65" s="197">
        <v>20776.577409052985</v>
      </c>
      <c r="AD65" s="197">
        <v>20772.632131488052</v>
      </c>
      <c r="AE65" s="197">
        <v>20775.617225150407</v>
      </c>
      <c r="AF65" s="197">
        <v>20776.825539897141</v>
      </c>
      <c r="AG65" s="197">
        <v>20777.503609273113</v>
      </c>
      <c r="AH65" s="197">
        <v>20772.987251226194</v>
      </c>
      <c r="AI65" s="197">
        <v>20769.860259786372</v>
      </c>
      <c r="AJ65" s="197">
        <v>20770.497668321776</v>
      </c>
      <c r="AK65" s="197">
        <v>20771.654084410977</v>
      </c>
      <c r="AL65" s="197">
        <v>20773.406557123322</v>
      </c>
    </row>
    <row r="66" spans="14:38" x14ac:dyDescent="0.25">
      <c r="N66" s="189" t="s">
        <v>149</v>
      </c>
      <c r="O66" s="188">
        <v>53305239</v>
      </c>
      <c r="P66" s="188">
        <v>57614910</v>
      </c>
      <c r="Q66" s="188">
        <v>50898218</v>
      </c>
      <c r="R66" s="188">
        <v>51490600</v>
      </c>
      <c r="S66" s="188">
        <v>47467791</v>
      </c>
      <c r="T66" s="188">
        <v>52006609</v>
      </c>
      <c r="U66" s="188">
        <v>53831692</v>
      </c>
      <c r="V66" s="188">
        <v>49681691</v>
      </c>
      <c r="W66" s="188">
        <v>52864781</v>
      </c>
      <c r="X66" s="188">
        <v>49185245</v>
      </c>
      <c r="Y66" s="188">
        <v>50842156</v>
      </c>
      <c r="Z66" s="188">
        <v>51167052</v>
      </c>
      <c r="AA66" s="197">
        <v>52207863</v>
      </c>
      <c r="AB66" s="197">
        <v>57944242</v>
      </c>
      <c r="AC66" s="197">
        <v>50988852</v>
      </c>
      <c r="AD66" s="197">
        <v>51201769</v>
      </c>
      <c r="AE66" s="197">
        <v>48509738</v>
      </c>
      <c r="AF66" s="197">
        <v>51730848</v>
      </c>
      <c r="AG66" s="197">
        <v>53456764</v>
      </c>
      <c r="AH66" s="197">
        <v>50100524</v>
      </c>
      <c r="AI66" s="197">
        <v>51486407</v>
      </c>
      <c r="AJ66" s="197">
        <v>49567612</v>
      </c>
      <c r="AK66" s="197">
        <v>50505850</v>
      </c>
      <c r="AL66" s="197">
        <v>51076368</v>
      </c>
    </row>
    <row r="67" spans="14:38" x14ac:dyDescent="0.25">
      <c r="N67" s="189" t="s">
        <v>150</v>
      </c>
      <c r="O67" s="188">
        <v>23370625.974723801</v>
      </c>
      <c r="P67" s="188">
        <v>26503200.572662111</v>
      </c>
      <c r="Q67" s="188">
        <v>21822355.277161285</v>
      </c>
      <c r="R67" s="188">
        <v>10853507.056412015</v>
      </c>
      <c r="S67" s="188">
        <v>1999773.100815773</v>
      </c>
      <c r="T67" s="188">
        <v>2655296.4851610297</v>
      </c>
      <c r="U67" s="188">
        <v>3920231.5860841395</v>
      </c>
      <c r="V67" s="188">
        <v>3838211.020730922</v>
      </c>
      <c r="W67" s="188">
        <v>4016466.7751297159</v>
      </c>
      <c r="X67" s="188">
        <v>5714842.521951966</v>
      </c>
      <c r="Y67" s="188">
        <v>12862816.790414482</v>
      </c>
      <c r="Z67" s="188">
        <v>20630370.796317715</v>
      </c>
      <c r="AA67" s="197">
        <v>23699875.107877862</v>
      </c>
      <c r="AB67" s="197">
        <v>26513708.086676057</v>
      </c>
      <c r="AC67" s="197">
        <v>21599161.241812609</v>
      </c>
      <c r="AD67" s="197">
        <v>11335928.848765545</v>
      </c>
      <c r="AE67" s="197">
        <v>2525635.4672637302</v>
      </c>
      <c r="AF67" s="197">
        <v>2983429.9898621766</v>
      </c>
      <c r="AG67" s="197">
        <v>3800055.020341536</v>
      </c>
      <c r="AH67" s="197">
        <v>3945323.5256657153</v>
      </c>
      <c r="AI67" s="197">
        <v>3954462.748642765</v>
      </c>
      <c r="AJ67" s="197">
        <v>5713896.0550917611</v>
      </c>
      <c r="AK67" s="197">
        <v>12267234.893817998</v>
      </c>
      <c r="AL67" s="197">
        <v>19736015.757726565</v>
      </c>
    </row>
    <row r="68" spans="14:38" x14ac:dyDescent="0.25">
      <c r="N68" s="189" t="s">
        <v>151</v>
      </c>
      <c r="O68" s="188">
        <v>1983171.4445913634</v>
      </c>
      <c r="P68" s="188">
        <v>1764367.1677372372</v>
      </c>
      <c r="Q68" s="188">
        <v>1119617.4240875971</v>
      </c>
      <c r="R68" s="188">
        <v>450026.53901232162</v>
      </c>
      <c r="S68" s="188">
        <v>231643.41492738386</v>
      </c>
      <c r="T68" s="188">
        <v>289065.62830275594</v>
      </c>
      <c r="U68" s="188">
        <v>347662.56401537964</v>
      </c>
      <c r="V68" s="188">
        <v>310388.650231704</v>
      </c>
      <c r="W68" s="188">
        <v>295805.84685282299</v>
      </c>
      <c r="X68" s="188">
        <v>376922.96617219929</v>
      </c>
      <c r="Y68" s="188">
        <v>728638.27105788409</v>
      </c>
      <c r="Z68" s="188">
        <v>1062957.4701004967</v>
      </c>
      <c r="AA68" s="197">
        <v>1962723.2135917156</v>
      </c>
      <c r="AB68" s="197">
        <v>1760753.4052430424</v>
      </c>
      <c r="AC68" s="197">
        <v>1126717.2217896674</v>
      </c>
      <c r="AD68" s="197">
        <v>482364.65953371348</v>
      </c>
      <c r="AE68" s="197">
        <v>246083.60545580782</v>
      </c>
      <c r="AF68" s="197">
        <v>290850.54370130022</v>
      </c>
      <c r="AG68" s="197">
        <v>347072.44344290998</v>
      </c>
      <c r="AH68" s="197">
        <v>309282.79020220047</v>
      </c>
      <c r="AI68" s="197">
        <v>296025.47515143896</v>
      </c>
      <c r="AJ68" s="197">
        <v>375148.11288496724</v>
      </c>
      <c r="AK68" s="197">
        <v>716692.00379949517</v>
      </c>
      <c r="AL68" s="197">
        <v>1049280.5603174651</v>
      </c>
    </row>
    <row r="69" spans="14:38" x14ac:dyDescent="0.25">
      <c r="N69" s="189" t="s">
        <v>152</v>
      </c>
      <c r="O69" s="188">
        <v>1297254.7296365609</v>
      </c>
      <c r="P69" s="188">
        <v>1318572.8385579409</v>
      </c>
      <c r="Q69" s="188">
        <v>1317545.3920340193</v>
      </c>
      <c r="R69" s="188">
        <v>1291228.0263941458</v>
      </c>
      <c r="S69" s="188">
        <v>1295517.2293914184</v>
      </c>
      <c r="T69" s="188">
        <v>1323193.4273065061</v>
      </c>
      <c r="U69" s="188">
        <v>1294258.5860627098</v>
      </c>
      <c r="V69" s="188">
        <v>1248484.9561865169</v>
      </c>
      <c r="W69" s="188">
        <v>1332499.7247278495</v>
      </c>
      <c r="X69" s="188">
        <v>1270727.8691569627</v>
      </c>
      <c r="Y69" s="188">
        <v>1274294.1390946764</v>
      </c>
      <c r="Z69" s="188">
        <v>1289909.0680508316</v>
      </c>
      <c r="AA69" s="197">
        <v>1290688.1360754282</v>
      </c>
      <c r="AB69" s="197">
        <v>1289443.886587417</v>
      </c>
      <c r="AC69" s="197">
        <v>1292365.5728054985</v>
      </c>
      <c r="AD69" s="197">
        <v>1267181.4261797885</v>
      </c>
      <c r="AE69" s="197">
        <v>1271336.6743442169</v>
      </c>
      <c r="AF69" s="197">
        <v>1302626.9079819501</v>
      </c>
      <c r="AG69" s="197">
        <v>1273720.3451935495</v>
      </c>
      <c r="AH69" s="197">
        <v>1224777.8982679946</v>
      </c>
      <c r="AI69" s="197">
        <v>1308069.1455762428</v>
      </c>
      <c r="AJ69" s="197">
        <v>1250016.8477099631</v>
      </c>
      <c r="AK69" s="197">
        <v>1253205.6543161506</v>
      </c>
      <c r="AL69" s="197">
        <v>1266943.1333474196</v>
      </c>
    </row>
    <row r="70" spans="14:38" x14ac:dyDescent="0.25">
      <c r="N70" s="189" t="s">
        <v>153</v>
      </c>
      <c r="O70" s="188">
        <v>37139864</v>
      </c>
      <c r="P70" s="188">
        <v>39858342</v>
      </c>
      <c r="Q70" s="188">
        <v>35193961</v>
      </c>
      <c r="R70" s="188">
        <v>38664027</v>
      </c>
      <c r="S70" s="188">
        <v>37225290</v>
      </c>
      <c r="T70" s="188">
        <v>36853503</v>
      </c>
      <c r="U70" s="188">
        <v>38269006</v>
      </c>
      <c r="V70" s="188">
        <v>32477288</v>
      </c>
      <c r="W70" s="188">
        <v>35838271</v>
      </c>
      <c r="X70" s="188">
        <v>39100509</v>
      </c>
      <c r="Y70" s="188">
        <v>36605811</v>
      </c>
      <c r="Z70" s="188">
        <v>36940876</v>
      </c>
      <c r="AA70" s="197">
        <v>36698896</v>
      </c>
      <c r="AB70" s="197">
        <v>39534794</v>
      </c>
      <c r="AC70" s="197">
        <v>35395743</v>
      </c>
      <c r="AD70" s="197">
        <v>38071681</v>
      </c>
      <c r="AE70" s="197">
        <v>37347915</v>
      </c>
      <c r="AF70" s="197">
        <v>36710997</v>
      </c>
      <c r="AG70" s="197">
        <v>38164541</v>
      </c>
      <c r="AH70" s="197">
        <v>32393521</v>
      </c>
      <c r="AI70" s="197">
        <v>35588823</v>
      </c>
      <c r="AJ70" s="197">
        <v>39157833</v>
      </c>
      <c r="AK70" s="197">
        <v>36356300</v>
      </c>
      <c r="AL70" s="197">
        <v>36858670</v>
      </c>
    </row>
  </sheetData>
  <phoneticPr fontId="33" type="noConversion"/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7"/>
  <sheetViews>
    <sheetView zoomScaleNormal="100" workbookViewId="0">
      <selection activeCell="G27" sqref="G27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72</v>
      </c>
      <c r="B2" s="54"/>
      <c r="C2" s="54"/>
      <c r="D2" s="54"/>
      <c r="E2" s="57"/>
      <c r="F2" s="54"/>
    </row>
    <row r="3" spans="1:6" s="56" customFormat="1" x14ac:dyDescent="0.25">
      <c r="A3" s="54" t="s">
        <v>135</v>
      </c>
      <c r="B3" s="54"/>
      <c r="C3" s="54"/>
      <c r="D3" s="54"/>
      <c r="E3" s="54"/>
      <c r="F3" s="54"/>
    </row>
    <row r="4" spans="1:6" x14ac:dyDescent="0.25">
      <c r="A4" s="181" t="s">
        <v>136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73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74</v>
      </c>
      <c r="B10" s="58"/>
      <c r="C10" s="58"/>
      <c r="E10" s="58">
        <v>3.3262888499492435E-3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75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76</v>
      </c>
      <c r="B14" s="58"/>
      <c r="C14" s="58"/>
      <c r="E14" s="58">
        <v>3.8605159527686062E-2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4.3931448377635303E-2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2">
        <f>E6-E17</f>
        <v>0.9560685516223647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77</v>
      </c>
      <c r="B21" s="76">
        <v>0.21</v>
      </c>
      <c r="C21" s="62"/>
      <c r="E21" s="58">
        <f>E19*$B$21</f>
        <v>0.20077439584069659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0.75529415578166814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79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37"/>
  <sheetViews>
    <sheetView showGridLines="0" workbookViewId="0">
      <selection activeCell="G25" sqref="G25"/>
    </sheetView>
  </sheetViews>
  <sheetFormatPr defaultColWidth="9.140625" defaultRowHeight="12.75" x14ac:dyDescent="0.2"/>
  <cols>
    <col min="1" max="1" width="9.140625" style="119"/>
    <col min="2" max="2" width="35.5703125" style="119" customWidth="1"/>
    <col min="3" max="3" width="10.85546875" style="119" customWidth="1"/>
    <col min="4" max="4" width="10.42578125" style="119" customWidth="1"/>
    <col min="5" max="5" width="13.85546875" style="119" customWidth="1"/>
    <col min="6" max="6" width="9.140625" style="119"/>
    <col min="7" max="7" width="12.28515625" style="119" customWidth="1"/>
    <col min="8" max="8" width="32" style="119" customWidth="1"/>
    <col min="9" max="9" width="15.42578125" style="119" customWidth="1"/>
    <col min="10" max="10" width="18.5703125" style="119" customWidth="1"/>
    <col min="11" max="11" width="16.42578125" style="119" customWidth="1"/>
    <col min="12" max="12" width="9.140625" style="119"/>
    <col min="13" max="13" width="20.140625" style="119" customWidth="1"/>
    <col min="14" max="16" width="10.42578125" style="119" customWidth="1"/>
    <col min="17" max="16384" width="9.140625" style="119"/>
  </cols>
  <sheetData>
    <row r="2" spans="2:10" ht="30" x14ac:dyDescent="0.25">
      <c r="B2" s="151" t="s">
        <v>171</v>
      </c>
      <c r="C2" s="140" t="s">
        <v>169</v>
      </c>
      <c r="D2" s="140" t="s">
        <v>161</v>
      </c>
      <c r="E2" s="150" t="s">
        <v>170</v>
      </c>
      <c r="F2" s="117"/>
      <c r="G2" s="115" t="s">
        <v>87</v>
      </c>
      <c r="H2" s="118" t="s">
        <v>92</v>
      </c>
      <c r="I2" s="116" t="s">
        <v>162</v>
      </c>
    </row>
    <row r="3" spans="2:10" ht="15" x14ac:dyDescent="0.25">
      <c r="B3" s="152" t="s">
        <v>66</v>
      </c>
      <c r="C3" s="156">
        <v>9</v>
      </c>
      <c r="D3" s="159">
        <v>0</v>
      </c>
      <c r="E3" s="153">
        <f>C3</f>
        <v>9</v>
      </c>
      <c r="F3" s="117"/>
      <c r="G3" s="120" t="s">
        <v>88</v>
      </c>
      <c r="H3" s="121" t="s">
        <v>93</v>
      </c>
      <c r="I3" s="122">
        <f>'Rate Design'!D32</f>
        <v>3.0411520764352135E-2</v>
      </c>
    </row>
    <row r="4" spans="2:10" ht="15" x14ac:dyDescent="0.25">
      <c r="B4" s="152" t="s">
        <v>84</v>
      </c>
      <c r="C4" s="162">
        <v>8.3549999999999999E-2</v>
      </c>
      <c r="D4" s="157">
        <f>ROUND('Rate Design'!D23,5)</f>
        <v>3.0500000000000002E-3</v>
      </c>
      <c r="E4" s="154">
        <f>C4+D4</f>
        <v>8.6599999999999996E-2</v>
      </c>
      <c r="F4" s="117"/>
      <c r="G4" s="123" t="s">
        <v>89</v>
      </c>
      <c r="H4" s="121" t="s">
        <v>94</v>
      </c>
      <c r="I4" s="122">
        <f>'Rate Design'!E32</f>
        <v>2.1664209810956306E-2</v>
      </c>
    </row>
    <row r="5" spans="2:10" ht="15" x14ac:dyDescent="0.25">
      <c r="B5" s="152" t="s">
        <v>85</v>
      </c>
      <c r="C5" s="162">
        <v>9.8360000000000003E-2</v>
      </c>
      <c r="D5" s="157">
        <f>D4</f>
        <v>3.0500000000000002E-3</v>
      </c>
      <c r="E5" s="154">
        <f>C5+D5</f>
        <v>0.10141</v>
      </c>
      <c r="F5" s="117"/>
      <c r="G5" s="123" t="s">
        <v>90</v>
      </c>
      <c r="H5" s="121" t="s">
        <v>95</v>
      </c>
      <c r="I5" s="122">
        <f>'Rate Design'!F32</f>
        <v>2.9475527678265136E-2</v>
      </c>
    </row>
    <row r="6" spans="2:10" ht="15" x14ac:dyDescent="0.25">
      <c r="B6" s="114" t="s">
        <v>86</v>
      </c>
      <c r="C6" s="163">
        <v>0.11656999999999999</v>
      </c>
      <c r="D6" s="158">
        <f>D5</f>
        <v>3.0500000000000002E-3</v>
      </c>
      <c r="E6" s="155">
        <f>D6+C6</f>
        <v>0.11961999999999999</v>
      </c>
      <c r="F6" s="117"/>
      <c r="G6" s="123" t="s">
        <v>168</v>
      </c>
      <c r="H6" s="121" t="s">
        <v>97</v>
      </c>
      <c r="I6" s="122">
        <f>'Rate Design'!G32</f>
        <v>4.617458534967471E-2</v>
      </c>
    </row>
    <row r="7" spans="2:10" ht="15" x14ac:dyDescent="0.25">
      <c r="B7" s="117"/>
      <c r="C7" s="117"/>
      <c r="D7" s="117"/>
      <c r="E7" s="117"/>
      <c r="F7" s="117"/>
      <c r="G7" s="123" t="s">
        <v>91</v>
      </c>
      <c r="H7" s="121" t="s">
        <v>96</v>
      </c>
      <c r="I7" s="122">
        <f>'Rate Design'!H32</f>
        <v>3.5835794342693662E-2</v>
      </c>
    </row>
    <row r="8" spans="2:10" ht="15" x14ac:dyDescent="0.25">
      <c r="F8" s="117"/>
      <c r="G8" s="123" t="s">
        <v>98</v>
      </c>
      <c r="H8" s="121" t="s">
        <v>99</v>
      </c>
      <c r="I8" s="122">
        <f>'Rate Design'!I32</f>
        <v>7.1301044542764792E-3</v>
      </c>
    </row>
    <row r="9" spans="2:10" ht="15" x14ac:dyDescent="0.25">
      <c r="F9" s="117"/>
      <c r="G9" s="124"/>
      <c r="H9" s="125" t="s">
        <v>100</v>
      </c>
      <c r="I9" s="126">
        <f>'Rate Design'!C32</f>
        <v>3.048818512057562E-2</v>
      </c>
    </row>
    <row r="10" spans="2:10" ht="15" x14ac:dyDescent="0.25">
      <c r="F10" s="117"/>
      <c r="G10" s="117"/>
      <c r="H10" s="117"/>
      <c r="I10" s="117"/>
    </row>
    <row r="11" spans="2:10" ht="15" x14ac:dyDescent="0.25">
      <c r="F11" s="117"/>
      <c r="G11" s="160" t="s">
        <v>131</v>
      </c>
    </row>
    <row r="12" spans="2:10" ht="45" x14ac:dyDescent="0.25">
      <c r="F12" s="117"/>
      <c r="G12" s="140" t="s">
        <v>87</v>
      </c>
      <c r="H12" s="141" t="s">
        <v>92</v>
      </c>
      <c r="I12" s="140" t="s">
        <v>163</v>
      </c>
      <c r="J12" s="150" t="s">
        <v>164</v>
      </c>
    </row>
    <row r="13" spans="2:10" ht="15" x14ac:dyDescent="0.25">
      <c r="E13" s="117"/>
      <c r="F13" s="117"/>
      <c r="G13" s="145" t="s">
        <v>88</v>
      </c>
      <c r="H13" s="147" t="s">
        <v>93</v>
      </c>
      <c r="I13" s="148">
        <f>'Rate Design'!D32</f>
        <v>3.0411520764352135E-2</v>
      </c>
      <c r="J13" s="139">
        <f>'Rate Design'!D31</f>
        <v>7830632.0700922664</v>
      </c>
    </row>
    <row r="14" spans="2:10" ht="15" x14ac:dyDescent="0.25">
      <c r="E14" s="117"/>
      <c r="F14" s="117"/>
      <c r="G14" s="146" t="s">
        <v>89</v>
      </c>
      <c r="H14" s="147" t="s">
        <v>94</v>
      </c>
      <c r="I14" s="148">
        <f>'Rate Design'!E32</f>
        <v>2.1664209810956306E-2</v>
      </c>
      <c r="J14" s="139">
        <f>'Rate Design'!E31</f>
        <v>1988839.4532752219</v>
      </c>
    </row>
    <row r="15" spans="2:10" ht="15" x14ac:dyDescent="0.25">
      <c r="B15" s="127" t="s">
        <v>130</v>
      </c>
      <c r="C15" s="128"/>
      <c r="E15" s="117"/>
      <c r="F15" s="117"/>
      <c r="G15" s="146" t="s">
        <v>90</v>
      </c>
      <c r="H15" s="147" t="s">
        <v>95</v>
      </c>
      <c r="I15" s="148">
        <f>'Rate Design'!F32</f>
        <v>2.9475527678265136E-2</v>
      </c>
      <c r="J15" s="139">
        <f>'Rate Design'!F31</f>
        <v>4069420.8267889628</v>
      </c>
    </row>
    <row r="16" spans="2:10" ht="15" x14ac:dyDescent="0.25">
      <c r="B16" s="129" t="s">
        <v>165</v>
      </c>
      <c r="C16" s="134">
        <f>ROUND((ROUND('Rate Design'!D21,5)-ROUND('Rate Design'!D22,5))*932,2)</f>
        <v>2.84</v>
      </c>
      <c r="D16" s="194">
        <f>D4*932</f>
        <v>2.8426</v>
      </c>
      <c r="E16" s="117"/>
      <c r="F16" s="117"/>
      <c r="G16" s="146" t="s">
        <v>129</v>
      </c>
      <c r="H16" s="147" t="s">
        <v>97</v>
      </c>
      <c r="I16" s="148">
        <f>'Rate Design'!G32</f>
        <v>4.617458534967471E-2</v>
      </c>
      <c r="J16" s="139">
        <f>'Rate Design'!G31</f>
        <v>3142457.5805574618</v>
      </c>
    </row>
    <row r="17" spans="2:16" ht="15" x14ac:dyDescent="0.25">
      <c r="B17" s="129" t="s">
        <v>51</v>
      </c>
      <c r="C17" s="131">
        <f>C16/C23</f>
        <v>3.1973513321696775E-2</v>
      </c>
      <c r="E17" s="117"/>
      <c r="F17" s="117"/>
      <c r="G17" s="146" t="s">
        <v>91</v>
      </c>
      <c r="H17" s="147" t="s">
        <v>96</v>
      </c>
      <c r="I17" s="148">
        <f>'Rate Design'!H32</f>
        <v>3.5835794342693662E-2</v>
      </c>
      <c r="J17" s="139">
        <f>'Rate Design'!H31</f>
        <v>511555.964241952</v>
      </c>
    </row>
    <row r="18" spans="2:16" ht="15" x14ac:dyDescent="0.25">
      <c r="B18" s="129"/>
      <c r="C18" s="132"/>
      <c r="E18" s="117"/>
      <c r="G18" s="146" t="s">
        <v>98</v>
      </c>
      <c r="H18" s="147" t="s">
        <v>99</v>
      </c>
      <c r="I18" s="148">
        <f>'Rate Design'!I32</f>
        <v>7.1301044542764792E-3</v>
      </c>
      <c r="J18" s="139">
        <f>'Rate Design'!I31</f>
        <v>53197.709333356812</v>
      </c>
    </row>
    <row r="19" spans="2:16" ht="15" x14ac:dyDescent="0.25">
      <c r="B19" s="133" t="s">
        <v>65</v>
      </c>
      <c r="C19" s="132"/>
      <c r="E19" s="117"/>
      <c r="G19" s="142"/>
      <c r="H19" s="143" t="s">
        <v>100</v>
      </c>
      <c r="I19" s="144">
        <f>'Rate Design'!C32</f>
        <v>3.048818512057562E-2</v>
      </c>
      <c r="J19" s="149">
        <f>SUM(J13:J18)</f>
        <v>17596103.604289223</v>
      </c>
    </row>
    <row r="20" spans="2:16" ht="15" x14ac:dyDescent="0.25">
      <c r="B20" s="129" t="s">
        <v>66</v>
      </c>
      <c r="C20" s="134">
        <v>9</v>
      </c>
      <c r="D20" s="119">
        <f>932*0.00601</f>
        <v>5.6013199999999994</v>
      </c>
      <c r="E20" s="117"/>
    </row>
    <row r="21" spans="2:16" ht="15" x14ac:dyDescent="0.25">
      <c r="B21" s="129" t="s">
        <v>67</v>
      </c>
      <c r="C21" s="130">
        <f>C4</f>
        <v>8.3549999999999999E-2</v>
      </c>
      <c r="G21" s="165"/>
      <c r="H21" s="166"/>
      <c r="I21" s="166"/>
      <c r="J21" s="166"/>
      <c r="K21" s="166"/>
      <c r="L21" s="166"/>
      <c r="M21" s="166"/>
      <c r="N21" s="166"/>
      <c r="O21" s="166"/>
      <c r="P21" s="166"/>
    </row>
    <row r="22" spans="2:16" ht="27.75" customHeight="1" x14ac:dyDescent="0.25">
      <c r="B22" s="129" t="s">
        <v>68</v>
      </c>
      <c r="C22" s="130">
        <f>C5</f>
        <v>9.8360000000000003E-2</v>
      </c>
      <c r="G22" s="167"/>
      <c r="H22" s="167"/>
      <c r="I22" s="167"/>
      <c r="J22" s="168"/>
      <c r="K22" s="168"/>
      <c r="L22" s="166"/>
      <c r="M22" s="169"/>
      <c r="N22" s="169"/>
      <c r="O22" s="169"/>
      <c r="P22" s="169"/>
    </row>
    <row r="23" spans="2:16" ht="15" x14ac:dyDescent="0.25">
      <c r="B23" s="129" t="s">
        <v>166</v>
      </c>
      <c r="C23" s="134">
        <f>C20+(800*C21)+((932-800)*C22)</f>
        <v>88.823520000000002</v>
      </c>
      <c r="G23" s="170"/>
      <c r="H23" s="164"/>
      <c r="I23" s="171"/>
      <c r="J23" s="171"/>
      <c r="K23" s="171"/>
      <c r="L23" s="166"/>
      <c r="M23" s="172"/>
      <c r="N23" s="173"/>
      <c r="O23" s="174"/>
      <c r="P23" s="173"/>
    </row>
    <row r="24" spans="2:16" ht="15" x14ac:dyDescent="0.25">
      <c r="B24" s="129"/>
      <c r="C24" s="132"/>
      <c r="G24" s="170"/>
      <c r="H24" s="164"/>
      <c r="I24" s="171"/>
      <c r="J24" s="171"/>
      <c r="K24" s="171"/>
      <c r="L24" s="166"/>
      <c r="M24" s="172"/>
      <c r="N24" s="175"/>
      <c r="O24" s="175"/>
      <c r="P24" s="175"/>
    </row>
    <row r="25" spans="2:16" ht="15" x14ac:dyDescent="0.25">
      <c r="B25" s="129" t="s">
        <v>167</v>
      </c>
      <c r="C25" s="135">
        <f>C16</f>
        <v>2.84</v>
      </c>
      <c r="E25" s="194"/>
      <c r="G25" s="170"/>
      <c r="H25" s="164"/>
      <c r="I25" s="171"/>
      <c r="J25" s="171"/>
      <c r="K25" s="171"/>
      <c r="L25" s="166"/>
      <c r="M25" s="172"/>
      <c r="N25" s="175"/>
      <c r="O25" s="175"/>
      <c r="P25" s="175"/>
    </row>
    <row r="26" spans="2:16" ht="15" x14ac:dyDescent="0.25">
      <c r="B26" s="129"/>
      <c r="C26" s="132"/>
      <c r="E26" s="194"/>
      <c r="G26" s="170"/>
      <c r="H26" s="164"/>
      <c r="I26" s="171"/>
      <c r="J26" s="171"/>
      <c r="K26" s="171"/>
      <c r="L26" s="166"/>
      <c r="M26" s="172"/>
      <c r="N26" s="175"/>
      <c r="O26" s="175"/>
      <c r="P26" s="175"/>
    </row>
    <row r="27" spans="2:16" ht="15" x14ac:dyDescent="0.25">
      <c r="B27" s="136" t="s">
        <v>79</v>
      </c>
      <c r="C27" s="137">
        <f>SUM(C23:C26)</f>
        <v>91.663520000000005</v>
      </c>
      <c r="G27" s="170"/>
      <c r="H27" s="164"/>
      <c r="I27" s="171"/>
      <c r="J27" s="171"/>
      <c r="K27" s="171"/>
      <c r="L27" s="166"/>
      <c r="M27" s="166"/>
      <c r="N27" s="166"/>
      <c r="O27" s="166"/>
      <c r="P27" s="166"/>
    </row>
    <row r="28" spans="2:16" ht="15" x14ac:dyDescent="0.25">
      <c r="B28" s="138"/>
      <c r="C28" s="138"/>
      <c r="G28" s="176"/>
      <c r="H28" s="164"/>
      <c r="I28" s="171"/>
      <c r="J28" s="171"/>
      <c r="K28" s="171"/>
      <c r="L28" s="166"/>
      <c r="M28" s="166"/>
      <c r="N28" s="166"/>
      <c r="O28" s="166"/>
      <c r="P28" s="166"/>
    </row>
    <row r="29" spans="2:16" ht="15" x14ac:dyDescent="0.25">
      <c r="G29" s="177"/>
      <c r="H29" s="178"/>
      <c r="I29" s="179"/>
      <c r="J29" s="171"/>
      <c r="K29" s="171"/>
      <c r="L29" s="166"/>
      <c r="M29" s="177"/>
      <c r="N29" s="166"/>
      <c r="O29" s="166"/>
      <c r="P29" s="166"/>
    </row>
    <row r="30" spans="2:16" x14ac:dyDescent="0.2"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2:16" x14ac:dyDescent="0.2">
      <c r="C31" s="119">
        <v>9</v>
      </c>
      <c r="G31" s="166"/>
      <c r="H31" s="166"/>
      <c r="I31" s="166"/>
      <c r="J31" s="166"/>
      <c r="K31" s="166"/>
      <c r="L31" s="166"/>
      <c r="M31" s="166"/>
      <c r="N31" s="166"/>
      <c r="O31" s="166"/>
      <c r="P31" s="166"/>
    </row>
    <row r="32" spans="2:16" x14ac:dyDescent="0.2">
      <c r="C32" s="194">
        <f>800*C4</f>
        <v>66.84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6"/>
    </row>
    <row r="33" spans="3:3" x14ac:dyDescent="0.2">
      <c r="C33" s="194">
        <f>132*C5</f>
        <v>12.98352</v>
      </c>
    </row>
    <row r="34" spans="3:3" x14ac:dyDescent="0.2">
      <c r="C34" s="119">
        <f>SUM(C31:C33)</f>
        <v>88.823520000000002</v>
      </c>
    </row>
    <row r="36" spans="3:3" x14ac:dyDescent="0.2">
      <c r="C36" s="194">
        <f>932*D4</f>
        <v>2.8426</v>
      </c>
    </row>
    <row r="37" spans="3:3" x14ac:dyDescent="0.2">
      <c r="C37" s="195">
        <f>C36/C34</f>
        <v>3.2002784847977202E-2</v>
      </c>
    </row>
  </sheetData>
  <pageMargins left="0.7" right="0.7" top="0.75" bottom="0.75" header="0.3" footer="0.3"/>
  <pageSetup orientation="portrait" r:id="rId1"/>
  <ignoredErrors>
    <ignoredError sqref="G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9ECD5E98DC3045B200CCEA3995A6A6" ma:contentTypeVersion="24" ma:contentTypeDescription="" ma:contentTypeScope="" ma:versionID="3b05f687a1183e43ca754686b983ec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2023-03-31T07:00:00+00:00</OpenedDate>
    <SignificantOrder xmlns="dc463f71-b30c-4ab2-9473-d307f9d35888">false</SignificantOrder>
    <Date1 xmlns="dc463f71-b30c-4ab2-9473-d307f9d35888">2023-06-22T07:00:00+00:00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230214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79242F31-9079-4829-A7C7-EDC4E2BA17AE}"/>
</file>

<file path=customXml/itemProps3.xml><?xml version="1.0" encoding="utf-8"?>
<ds:datastoreItem xmlns:ds="http://schemas.openxmlformats.org/officeDocument/2006/customXml" ds:itemID="{98AEB563-066F-4AE4-8EEB-5A341BEFBBE9}"/>
</file>

<file path=customXml/itemProps4.xml><?xml version="1.0" encoding="utf-8"?>
<ds:datastoreItem xmlns:ds="http://schemas.openxmlformats.org/officeDocument/2006/customXml" ds:itemID="{9F8DBAD5-D88A-41BF-8F62-955999DDAB4B}"/>
</file>

<file path=customXml/itemProps5.xml><?xml version="1.0" encoding="utf-8"?>
<ds:datastoreItem xmlns:ds="http://schemas.openxmlformats.org/officeDocument/2006/customXml" ds:itemID="{D1DDA09C-6189-437D-AA92-468994447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Rate Design</vt:lpstr>
      <vt:lpstr>Forecast Balance</vt:lpstr>
      <vt:lpstr>Forecasted Revenue 2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'Forecasted Revenue 2'!Print_Area</vt:lpstr>
      <vt:lpstr>'kWh Forecast'!Print_Area</vt:lpstr>
      <vt:lpstr>'Rate Design'!Print_Area</vt:lpstr>
      <vt:lpstr>'Forecasted Revenue'!Print_Titles</vt:lpstr>
      <vt:lpstr>'Forecasted Revenue 2'!Print_Titles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2023-06-22T13:06:07Z</cp:lastPrinted>
  <dcterms:created xsi:type="dcterms:W3CDTF">2016-02-09T19:01:57Z</dcterms:created>
  <dcterms:modified xsi:type="dcterms:W3CDTF">2023-06-22T17:20:15Z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0x0101006E56B4D1795A2E4DB2F0B01679ED314A008A9ECD5E98DC3045B200CCEA3995A6A6</vt:lpwstr>
  </property>
  <property fmtid="{D5CDD505-2E9C-101B-9397-08002B2CF9AE}" pid="3" name="_docset_NoMedatataSyncRequired">
    <vt:lpwstr>False</vt:lpwstr>
  </property>
</Properties>
</file>