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917" firstSheet="11" activeTab="15"/>
  </bookViews>
  <sheets>
    <sheet name="10 Proxy Sum" sheetId="3" r:id="rId1"/>
    <sheet name="14 Stock Price" sheetId="4" r:id="rId2"/>
    <sheet name="16 Div Yields" sheetId="29" r:id="rId3"/>
    <sheet name="17 Growth Determinants" sheetId="52" r:id="rId4"/>
    <sheet name="18 DCF Result" sheetId="53" r:id="rId5"/>
    <sheet name="21 Risk Free Rate" sheetId="10" r:id="rId6"/>
    <sheet name="22 Beta" sheetId="15" r:id="rId7"/>
    <sheet name="27 Implied ERP" sheetId="21" r:id="rId8"/>
    <sheet name="28 ERP Result" sheetId="61" r:id="rId9"/>
    <sheet name="29 CAPM Result" sheetId="7" r:id="rId10"/>
    <sheet name="33 COE Summary" sheetId="17" r:id="rId11"/>
    <sheet name="34 Market COE" sheetId="59" r:id="rId12"/>
    <sheet name="6 Historic Trends" sheetId="72" r:id="rId13"/>
    <sheet name="35 Optimal Cap Structure" sheetId="73" r:id="rId14"/>
    <sheet name="36 Competitive Debt Ratios" sheetId="74" r:id="rId15"/>
    <sheet name="37 Proxy Debt Ratios" sheetId="75" r:id="rId16"/>
    <sheet name="Fig Industry Betas" sheetId="76" r:id="rId17"/>
    <sheet name="Fig CAPM Graph" sheetId="67" r:id="rId18"/>
    <sheet name="Fig Bus Cycle" sheetId="68" r:id="rId19"/>
    <sheet name="Fig Diversify" sheetId="70" r:id="rId20"/>
  </sheets>
  <definedNames>
    <definedName name="_xlnm.Print_Area" localSheetId="8">'28 ERP Result'!$A$1:$W$24</definedName>
    <definedName name="_xlnm.Print_Area" localSheetId="13">'35 Optimal Cap Structure'!$A$1:$AW$48</definedName>
    <definedName name="_xlnm.Print_Area" localSheetId="14">'36 Competitive Debt Ratios'!$A$3:$M$58</definedName>
    <definedName name="_xlnm.Print_Area" localSheetId="12">'6 Historic Trends'!$A$1:$AH$63</definedName>
    <definedName name="_xlnm.Print_Area" localSheetId="18">'Fig Bus Cycle'!$A$3:$M$6</definedName>
    <definedName name="solver_adj" localSheetId="7" hidden="1">'27 Implied ERP'!$C$32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'27 Implied ERP'!$C$28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2956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52" l="1"/>
  <c r="C33" i="73"/>
  <c r="K33" i="73"/>
  <c r="M33" i="73" s="1"/>
  <c r="O33" i="73" s="1"/>
  <c r="S33" i="73"/>
  <c r="C34" i="73"/>
  <c r="K34" i="73"/>
  <c r="M34" i="73" s="1"/>
  <c r="O34" i="73" s="1"/>
  <c r="S34" i="73"/>
  <c r="W34" i="73" s="1"/>
  <c r="W33" i="73" l="1"/>
  <c r="C10" i="61"/>
  <c r="C6" i="75" l="1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A6" i="75"/>
  <c r="A7" i="75"/>
  <c r="A8" i="75"/>
  <c r="A9" i="75"/>
  <c r="A10" i="75"/>
  <c r="A11" i="75"/>
  <c r="A12" i="75"/>
  <c r="A13" i="75"/>
  <c r="A14" i="75"/>
  <c r="A15" i="75"/>
  <c r="A16" i="75"/>
  <c r="A17" i="75"/>
  <c r="A18" i="75"/>
  <c r="A19" i="75"/>
  <c r="A20" i="75"/>
  <c r="A21" i="75"/>
  <c r="A22" i="75"/>
  <c r="A23" i="75"/>
  <c r="A24" i="75"/>
  <c r="A25" i="75"/>
  <c r="A26" i="75"/>
  <c r="C5" i="75"/>
  <c r="A5" i="75"/>
  <c r="E28" i="75"/>
  <c r="E16" i="73"/>
  <c r="E54" i="74" l="1"/>
  <c r="C54" i="74"/>
  <c r="M39" i="74"/>
  <c r="K39" i="74"/>
  <c r="S36" i="73"/>
  <c r="W36" i="73" s="1"/>
  <c r="K36" i="73"/>
  <c r="M36" i="73" s="1"/>
  <c r="O36" i="73" s="1"/>
  <c r="C36" i="73"/>
  <c r="S35" i="73"/>
  <c r="W35" i="73" s="1"/>
  <c r="K35" i="73"/>
  <c r="M35" i="73" s="1"/>
  <c r="O35" i="73" s="1"/>
  <c r="C35" i="73"/>
  <c r="S32" i="73"/>
  <c r="W32" i="73" s="1"/>
  <c r="K32" i="73"/>
  <c r="M32" i="73" s="1"/>
  <c r="O32" i="73" s="1"/>
  <c r="C32" i="73"/>
  <c r="S31" i="73"/>
  <c r="W31" i="73" s="1"/>
  <c r="K31" i="73"/>
  <c r="M31" i="73" s="1"/>
  <c r="O31" i="73" s="1"/>
  <c r="C31" i="73"/>
  <c r="S30" i="73"/>
  <c r="W30" i="73" s="1"/>
  <c r="K30" i="73"/>
  <c r="M30" i="73" s="1"/>
  <c r="O30" i="73" s="1"/>
  <c r="C30" i="73"/>
  <c r="S29" i="73"/>
  <c r="W29" i="73" s="1"/>
  <c r="K29" i="73"/>
  <c r="M29" i="73" s="1"/>
  <c r="O29" i="73" s="1"/>
  <c r="C29" i="73"/>
  <c r="S28" i="73"/>
  <c r="W28" i="73" s="1"/>
  <c r="K28" i="73"/>
  <c r="M28" i="73" s="1"/>
  <c r="C28" i="73"/>
  <c r="E18" i="73"/>
  <c r="W17" i="73"/>
  <c r="W15" i="73"/>
  <c r="W12" i="73"/>
  <c r="E12" i="73"/>
  <c r="E11" i="73"/>
  <c r="W10" i="73"/>
  <c r="W8" i="73" l="1"/>
  <c r="W11" i="73"/>
  <c r="W14" i="73"/>
  <c r="W16" i="73"/>
  <c r="W18" i="73"/>
  <c r="W13" i="73"/>
  <c r="W9" i="73"/>
  <c r="W19" i="73"/>
  <c r="G27" i="3" l="1"/>
  <c r="A28" i="7"/>
  <c r="C28" i="7"/>
  <c r="G28" i="7"/>
  <c r="A25" i="15"/>
  <c r="C25" i="15"/>
  <c r="A28" i="29"/>
  <c r="C28" i="29"/>
  <c r="W3" i="4"/>
  <c r="W5" i="4"/>
  <c r="W6" i="4"/>
  <c r="A17" i="29" l="1"/>
  <c r="U36" i="72" l="1"/>
  <c r="M36" i="72"/>
  <c r="K36" i="72"/>
  <c r="U35" i="72"/>
  <c r="M35" i="72"/>
  <c r="K35" i="72"/>
  <c r="U34" i="72"/>
  <c r="M34" i="72"/>
  <c r="K34" i="72" s="1"/>
  <c r="U33" i="72"/>
  <c r="M33" i="72"/>
  <c r="K33" i="72"/>
  <c r="U32" i="72"/>
  <c r="M32" i="72"/>
  <c r="K32" i="72"/>
  <c r="U31" i="72"/>
  <c r="M31" i="72"/>
  <c r="K31" i="72" s="1"/>
  <c r="U30" i="72"/>
  <c r="M30" i="72"/>
  <c r="K30" i="72" s="1"/>
  <c r="U29" i="72"/>
  <c r="M29" i="72"/>
  <c r="K29" i="72"/>
  <c r="U28" i="72"/>
  <c r="M28" i="72"/>
  <c r="K28" i="72"/>
  <c r="U27" i="72"/>
  <c r="M27" i="72"/>
  <c r="K27" i="72"/>
  <c r="U26" i="72"/>
  <c r="M26" i="72"/>
  <c r="K26" i="72" s="1"/>
  <c r="U25" i="72"/>
  <c r="M25" i="72"/>
  <c r="K25" i="72"/>
  <c r="U24" i="72"/>
  <c r="M24" i="72"/>
  <c r="K24" i="72"/>
  <c r="U23" i="72"/>
  <c r="M23" i="72"/>
  <c r="K23" i="72"/>
  <c r="U22" i="72"/>
  <c r="M22" i="72"/>
  <c r="K22" i="72" s="1"/>
  <c r="U21" i="72"/>
  <c r="M21" i="72"/>
  <c r="K21" i="72"/>
  <c r="U20" i="72"/>
  <c r="M20" i="72"/>
  <c r="K20" i="72"/>
  <c r="U19" i="72"/>
  <c r="M19" i="72"/>
  <c r="K19" i="72"/>
  <c r="U18" i="72"/>
  <c r="M18" i="72"/>
  <c r="K18" i="72" s="1"/>
  <c r="U17" i="72"/>
  <c r="M17" i="72"/>
  <c r="K17" i="72"/>
  <c r="U16" i="72"/>
  <c r="M16" i="72"/>
  <c r="K16" i="72"/>
  <c r="U15" i="72"/>
  <c r="M15" i="72"/>
  <c r="K15" i="72"/>
  <c r="U14" i="72"/>
  <c r="M14" i="72"/>
  <c r="K14" i="72" s="1"/>
  <c r="U13" i="72"/>
  <c r="M13" i="72"/>
  <c r="K13" i="72"/>
  <c r="U12" i="72"/>
  <c r="M12" i="72"/>
  <c r="K12" i="72"/>
  <c r="U11" i="72"/>
  <c r="M11" i="72"/>
  <c r="K11" i="72"/>
  <c r="U10" i="72"/>
  <c r="M10" i="72"/>
  <c r="K10" i="72" s="1"/>
  <c r="U9" i="72"/>
  <c r="M9" i="72"/>
  <c r="K9" i="72"/>
  <c r="U8" i="72"/>
  <c r="M8" i="72"/>
  <c r="K8" i="72"/>
  <c r="G12" i="7" l="1"/>
  <c r="C15" i="21"/>
  <c r="O10" i="21"/>
  <c r="M10" i="21"/>
  <c r="Q10" i="21" s="1"/>
  <c r="K10" i="2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8" i="3"/>
  <c r="A23" i="7"/>
  <c r="C23" i="7"/>
  <c r="G23" i="7"/>
  <c r="A24" i="7"/>
  <c r="C24" i="7"/>
  <c r="G24" i="7"/>
  <c r="A25" i="7"/>
  <c r="C25" i="7"/>
  <c r="G25" i="7"/>
  <c r="A26" i="7"/>
  <c r="C26" i="7"/>
  <c r="G26" i="7"/>
  <c r="A27" i="7"/>
  <c r="C27" i="7"/>
  <c r="G27" i="7"/>
  <c r="A29" i="7"/>
  <c r="C29" i="7"/>
  <c r="G29" i="7"/>
  <c r="A20" i="15"/>
  <c r="C20" i="15"/>
  <c r="A21" i="15"/>
  <c r="C21" i="15"/>
  <c r="A22" i="15"/>
  <c r="C22" i="15"/>
  <c r="A23" i="15"/>
  <c r="C23" i="15"/>
  <c r="A24" i="15"/>
  <c r="C24" i="15"/>
  <c r="A26" i="15"/>
  <c r="C26" i="15"/>
  <c r="A23" i="29"/>
  <c r="C23" i="29"/>
  <c r="A24" i="29"/>
  <c r="C24" i="29"/>
  <c r="A25" i="29"/>
  <c r="C25" i="29"/>
  <c r="A26" i="29"/>
  <c r="C26" i="29"/>
  <c r="A27" i="29"/>
  <c r="C27" i="29"/>
  <c r="A29" i="29"/>
  <c r="C29" i="29"/>
  <c r="R6" i="4"/>
  <c r="S6" i="4"/>
  <c r="T6" i="4"/>
  <c r="U6" i="4"/>
  <c r="V6" i="4"/>
  <c r="G28" i="29" s="1"/>
  <c r="I28" i="29" s="1"/>
  <c r="X6" i="4"/>
  <c r="R5" i="4"/>
  <c r="G23" i="29" s="1"/>
  <c r="S5" i="4"/>
  <c r="G24" i="29" s="1"/>
  <c r="I24" i="29" s="1"/>
  <c r="T5" i="4"/>
  <c r="G25" i="29" s="1"/>
  <c r="I25" i="29" s="1"/>
  <c r="U5" i="4"/>
  <c r="G26" i="29" s="1"/>
  <c r="I26" i="29" s="1"/>
  <c r="V5" i="4"/>
  <c r="G27" i="29" s="1"/>
  <c r="I27" i="29" s="1"/>
  <c r="X5" i="4"/>
  <c r="G29" i="29" s="1"/>
  <c r="I29" i="29" s="1"/>
  <c r="V3" i="4"/>
  <c r="U3" i="4"/>
  <c r="T3" i="4"/>
  <c r="S3" i="4"/>
  <c r="R3" i="4"/>
  <c r="X3" i="4"/>
  <c r="K11" i="21" l="1"/>
  <c r="M11" i="21"/>
  <c r="O11" i="21"/>
  <c r="Q11" i="21" l="1"/>
  <c r="D119" i="68" l="1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J5" i="68"/>
  <c r="D5" i="68"/>
  <c r="D4" i="68"/>
  <c r="K9" i="21" l="1"/>
  <c r="M9" i="21"/>
  <c r="O9" i="21"/>
  <c r="Q9" i="21" l="1"/>
  <c r="C9" i="7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A9" i="29"/>
  <c r="A10" i="29"/>
  <c r="A11" i="29"/>
  <c r="A12" i="29"/>
  <c r="A13" i="29"/>
  <c r="A14" i="29"/>
  <c r="A15" i="29"/>
  <c r="A16" i="29"/>
  <c r="A18" i="29"/>
  <c r="A19" i="29"/>
  <c r="A20" i="29"/>
  <c r="A21" i="29"/>
  <c r="A22" i="29"/>
  <c r="K3" i="4"/>
  <c r="J3" i="4"/>
  <c r="I3" i="4"/>
  <c r="G3" i="4"/>
  <c r="F3" i="4"/>
  <c r="E3" i="4"/>
  <c r="D3" i="4"/>
  <c r="C9" i="52" l="1"/>
  <c r="C11" i="52" s="1"/>
  <c r="E8" i="53" s="1"/>
  <c r="E35" i="10" l="1"/>
  <c r="E28" i="7" s="1"/>
  <c r="E25" i="7" l="1"/>
  <c r="E23" i="7"/>
  <c r="E27" i="7"/>
  <c r="E24" i="7"/>
  <c r="E29" i="7"/>
  <c r="E26" i="7"/>
  <c r="C4" i="67"/>
  <c r="C12" i="61" l="1"/>
  <c r="C16" i="61" l="1"/>
  <c r="C14" i="61"/>
  <c r="I28" i="7" l="1"/>
  <c r="L28" i="7" s="1"/>
  <c r="E17" i="73"/>
  <c r="C5" i="67"/>
  <c r="B10" i="67" s="1"/>
  <c r="I23" i="7"/>
  <c r="L23" i="7" s="1"/>
  <c r="I25" i="7"/>
  <c r="L25" i="7" s="1"/>
  <c r="I26" i="7"/>
  <c r="L26" i="7" s="1"/>
  <c r="I27" i="7"/>
  <c r="L27" i="7" s="1"/>
  <c r="I29" i="7"/>
  <c r="L29" i="7" s="1"/>
  <c r="I24" i="7"/>
  <c r="L24" i="7" s="1"/>
  <c r="I8" i="7"/>
  <c r="I11" i="7"/>
  <c r="I15" i="7"/>
  <c r="I19" i="7"/>
  <c r="I9" i="7"/>
  <c r="I12" i="7"/>
  <c r="I16" i="7"/>
  <c r="I20" i="7"/>
  <c r="I13" i="7"/>
  <c r="I21" i="7"/>
  <c r="I18" i="7"/>
  <c r="I10" i="7"/>
  <c r="I17" i="7"/>
  <c r="I14" i="7"/>
  <c r="I22" i="7"/>
  <c r="B11" i="67" l="1"/>
  <c r="B13" i="67"/>
  <c r="O8" i="21"/>
  <c r="M8" i="21"/>
  <c r="K8" i="21"/>
  <c r="Q8" i="21" l="1"/>
  <c r="G9" i="7"/>
  <c r="G10" i="7"/>
  <c r="G11" i="7"/>
  <c r="G13" i="7"/>
  <c r="G14" i="7"/>
  <c r="G15" i="7"/>
  <c r="G16" i="7"/>
  <c r="G17" i="7"/>
  <c r="G18" i="7"/>
  <c r="G19" i="7"/>
  <c r="G20" i="7"/>
  <c r="G21" i="7"/>
  <c r="G22" i="7"/>
  <c r="G8" i="7"/>
  <c r="E31" i="29" l="1"/>
  <c r="A8" i="53" s="1"/>
  <c r="G31" i="7" l="1"/>
  <c r="E15" i="73" s="1"/>
  <c r="E28" i="73" s="1"/>
  <c r="E34" i="73" l="1"/>
  <c r="G34" i="73" s="1"/>
  <c r="U34" i="73" s="1"/>
  <c r="E33" i="73"/>
  <c r="G33" i="73" s="1"/>
  <c r="U33" i="73" s="1"/>
  <c r="E36" i="73"/>
  <c r="G36" i="73" s="1"/>
  <c r="U36" i="73" s="1"/>
  <c r="E31" i="73"/>
  <c r="G31" i="73" s="1"/>
  <c r="U31" i="73" s="1"/>
  <c r="E30" i="73"/>
  <c r="G30" i="73" s="1"/>
  <c r="U30" i="73" s="1"/>
  <c r="E32" i="73"/>
  <c r="G32" i="73" s="1"/>
  <c r="U32" i="73" s="1"/>
  <c r="G28" i="73"/>
  <c r="U28" i="73" s="1"/>
  <c r="E35" i="73"/>
  <c r="G35" i="73" s="1"/>
  <c r="U35" i="73" s="1"/>
  <c r="E29" i="73"/>
  <c r="G29" i="73" s="1"/>
  <c r="U29" i="73" s="1"/>
  <c r="G7" i="3"/>
  <c r="D6" i="4" l="1"/>
  <c r="E6" i="4"/>
  <c r="F6" i="4"/>
  <c r="G6" i="4"/>
  <c r="H6" i="4"/>
  <c r="I6" i="4"/>
  <c r="J6" i="4"/>
  <c r="K6" i="4"/>
  <c r="L6" i="4"/>
  <c r="M6" i="4"/>
  <c r="N6" i="4"/>
  <c r="O6" i="4"/>
  <c r="P6" i="4"/>
  <c r="Q6" i="4"/>
  <c r="I23" i="29" s="1"/>
  <c r="D5" i="4"/>
  <c r="E5" i="4"/>
  <c r="F5" i="4"/>
  <c r="G5" i="4"/>
  <c r="H5" i="4"/>
  <c r="I5" i="4"/>
  <c r="J5" i="4"/>
  <c r="G15" i="29" s="1"/>
  <c r="I15" i="29" s="1"/>
  <c r="K5" i="4"/>
  <c r="G16" i="29" s="1"/>
  <c r="I16" i="29" s="1"/>
  <c r="L5" i="4"/>
  <c r="G17" i="29" s="1"/>
  <c r="I17" i="29" s="1"/>
  <c r="M5" i="4"/>
  <c r="N5" i="4"/>
  <c r="O5" i="4"/>
  <c r="P5" i="4"/>
  <c r="Q5" i="4"/>
  <c r="C5" i="4"/>
  <c r="C8" i="29" l="1"/>
  <c r="A8" i="29"/>
  <c r="Q3" i="4"/>
  <c r="P3" i="4"/>
  <c r="O3" i="4"/>
  <c r="N3" i="4"/>
  <c r="M3" i="4"/>
  <c r="L3" i="4"/>
  <c r="H3" i="4"/>
  <c r="C3" i="4"/>
  <c r="C6" i="4"/>
  <c r="B6" i="4"/>
  <c r="G8" i="29"/>
  <c r="I8" i="29" s="1"/>
  <c r="G9" i="29"/>
  <c r="I9" i="29" s="1"/>
  <c r="G10" i="29"/>
  <c r="I10" i="29" s="1"/>
  <c r="G11" i="29"/>
  <c r="I11" i="29" s="1"/>
  <c r="G12" i="29"/>
  <c r="I12" i="29" s="1"/>
  <c r="G13" i="29"/>
  <c r="I13" i="29" s="1"/>
  <c r="G14" i="29"/>
  <c r="I14" i="29" s="1"/>
  <c r="G18" i="29"/>
  <c r="I18" i="29" s="1"/>
  <c r="G19" i="29"/>
  <c r="I19" i="29" s="1"/>
  <c r="G20" i="29"/>
  <c r="I20" i="29" s="1"/>
  <c r="G21" i="29"/>
  <c r="I21" i="29" s="1"/>
  <c r="G22" i="29"/>
  <c r="I22" i="29" s="1"/>
  <c r="B5" i="4"/>
  <c r="C17" i="21" s="1"/>
  <c r="M6" i="21"/>
  <c r="O6" i="21"/>
  <c r="M7" i="21"/>
  <c r="O7" i="21"/>
  <c r="K7" i="21"/>
  <c r="K6" i="21"/>
  <c r="C5" i="15"/>
  <c r="A5" i="15"/>
  <c r="C8" i="7"/>
  <c r="A8" i="7"/>
  <c r="C5" i="59" l="1"/>
  <c r="C7" i="59"/>
  <c r="C9" i="59"/>
  <c r="E8" i="7"/>
  <c r="I31" i="29"/>
  <c r="G31" i="29"/>
  <c r="C8" i="53" s="1"/>
  <c r="H8" i="53" s="1"/>
  <c r="C5" i="17" s="1"/>
  <c r="Q6" i="21"/>
  <c r="E9" i="7"/>
  <c r="C16" i="21"/>
  <c r="C30" i="21" s="1"/>
  <c r="C11" i="59" s="1"/>
  <c r="E10" i="7"/>
  <c r="L10" i="7" s="1"/>
  <c r="E16" i="7"/>
  <c r="E13" i="7"/>
  <c r="E19" i="7"/>
  <c r="E21" i="7"/>
  <c r="E17" i="7"/>
  <c r="E11" i="7"/>
  <c r="E18" i="7"/>
  <c r="E15" i="7"/>
  <c r="E14" i="7"/>
  <c r="E20" i="7"/>
  <c r="E12" i="7"/>
  <c r="L12" i="7" s="1"/>
  <c r="E22" i="7"/>
  <c r="E28" i="15"/>
  <c r="C6" i="67" s="1"/>
  <c r="A12" i="67" s="1"/>
  <c r="Q7" i="21"/>
  <c r="C13" i="59" l="1"/>
  <c r="D10" i="67"/>
  <c r="D11" i="67"/>
  <c r="B12" i="67"/>
  <c r="C14" i="21"/>
  <c r="K24" i="21" s="1"/>
  <c r="C10" i="67" l="1"/>
  <c r="E11" i="67" s="1"/>
  <c r="C12" i="67"/>
  <c r="C11" i="67"/>
  <c r="L20" i="7"/>
  <c r="L15" i="7"/>
  <c r="L19" i="7"/>
  <c r="L11" i="7"/>
  <c r="L18" i="7"/>
  <c r="L16" i="7"/>
  <c r="L17" i="7"/>
  <c r="G24" i="21"/>
  <c r="G26" i="21" s="1"/>
  <c r="L9" i="7"/>
  <c r="L21" i="7"/>
  <c r="L13" i="7"/>
  <c r="L14" i="7"/>
  <c r="L22" i="7"/>
  <c r="E24" i="21"/>
  <c r="E26" i="21" s="1"/>
  <c r="C24" i="21"/>
  <c r="C26" i="21" s="1"/>
  <c r="I24" i="21"/>
  <c r="I26" i="21" s="1"/>
  <c r="K25" i="21"/>
  <c r="K26" i="21" s="1"/>
  <c r="C28" i="21" l="1"/>
  <c r="L31" i="7"/>
  <c r="C7" i="17" l="1"/>
  <c r="C9" i="17" s="1"/>
  <c r="AH30" i="72" s="1"/>
  <c r="C7" i="67"/>
</calcChain>
</file>

<file path=xl/sharedStrings.xml><?xml version="1.0" encoding="utf-8"?>
<sst xmlns="http://schemas.openxmlformats.org/spreadsheetml/2006/main" count="577" uniqueCount="379">
  <si>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</si>
  <si>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</si>
  <si>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</si>
  <si>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</si>
  <si>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</si>
  <si>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</si>
  <si>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</si>
  <si>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</si>
  <si>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</si>
  <si>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</si>
  <si>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</si>
  <si>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</si>
  <si>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</si>
  <si>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Capital Asset Pricing Model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</si>
  <si>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</si>
  <si>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</si>
  <si>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</si>
  <si>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</si>
  <si>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</si>
  <si>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</si>
  <si>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</si>
  <si>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</si>
  <si>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</si>
  <si>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</si>
  <si>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</si>
  <si>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</si>
  <si>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</si>
  <si>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</si>
  <si>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</si>
  <si>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</si>
  <si>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</si>
  <si>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</si>
  <si>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</si>
  <si>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</si>
  <si>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</si>
  <si>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</si>
  <si>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</si>
  <si>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</si>
  <si>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</si>
  <si>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</si>
  <si>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</si>
  <si>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</si>
  <si>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</si>
  <si>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</si>
  <si>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</si>
  <si>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</si>
  <si>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</si>
  <si>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</si>
  <si>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</si>
  <si>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</si>
  <si>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</si>
  <si>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</si>
  <si>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</si>
  <si>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ROE</t>
  </si>
  <si>
    <t>Value Line Safety Rank</t>
  </si>
  <si>
    <t>Market Category</t>
  </si>
  <si>
    <t>Market Cap. ($ millions)</t>
  </si>
  <si>
    <t>Dividend</t>
  </si>
  <si>
    <t>Stock Price</t>
  </si>
  <si>
    <r>
      <t>(d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</si>
  <si>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r>
      <t>(P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</si>
  <si>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(g)</t>
  </si>
  <si>
    <t>Results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</si>
  <si>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</si>
  <si>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</si>
  <si>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</si>
  <si>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</si>
  <si>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</si>
  <si>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</si>
  <si>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</si>
  <si>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</si>
  <si>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t>Risk Free Rate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</si>
  <si>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</si>
  <si>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</si>
  <si>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</si>
  <si>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</si>
  <si>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Damodaran</t>
  </si>
  <si>
    <t>Risk-Free</t>
  </si>
  <si>
    <t>Value Line</t>
  </si>
  <si>
    <t>Risk</t>
  </si>
  <si>
    <t>CAPM</t>
  </si>
  <si>
    <t xml:space="preserve">Rate </t>
  </si>
  <si>
    <t>Premium</t>
  </si>
  <si>
    <t>Company ERP</t>
  </si>
  <si>
    <t>Result</t>
  </si>
  <si>
    <t>Discounted Cash Flow Model</t>
  </si>
  <si>
    <t>Model</t>
  </si>
  <si>
    <t>DCF</t>
  </si>
  <si>
    <t>A</t>
  </si>
  <si>
    <t>B++</t>
  </si>
  <si>
    <t>B+</t>
  </si>
  <si>
    <t>[2] Large Cap &gt; $10 billion; Mid Cap &gt; $2 billion; Small Cap &gt; $200 million</t>
  </si>
  <si>
    <t xml:space="preserve">All prices are adjusted closing prices reported by Yahoo! Finance, http://finance.yahoo.com 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</si>
  <si>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1/4</t>
    </r>
    <r>
      <rPr>
        <sz val="9"/>
        <color theme="1"/>
        <rFont val="Calibri"/>
        <family val="2"/>
        <scheme val="minor"/>
      </rPr>
      <t>-1</t>
    </r>
  </si>
  <si>
    <t>Nominal GDP</t>
  </si>
  <si>
    <t>Yield</t>
  </si>
  <si>
    <t>Stock</t>
  </si>
  <si>
    <t>Inflation</t>
  </si>
  <si>
    <t>Garrett</t>
  </si>
  <si>
    <t>[6] = [1] + [2] * [3]</t>
  </si>
  <si>
    <t>*Daily Treasury Yield Curve Rates on 30-year T-bonds, http://www.treasury.gov/resources-center/data-chart-center/interest-rates/.</t>
  </si>
  <si>
    <t>EE</t>
  </si>
  <si>
    <t>OTTR</t>
  </si>
  <si>
    <t>Estimate</t>
  </si>
  <si>
    <t>Graham Harvey Survey</t>
  </si>
  <si>
    <t>IESE Survey</t>
  </si>
  <si>
    <t>IESE Business School Survey</t>
  </si>
  <si>
    <t>Graham &amp; Harvey Survey</t>
  </si>
  <si>
    <t>Duff &amp; Phelps Report</t>
  </si>
  <si>
    <t>[3] Recent highest reported ERP + risk-free rate</t>
  </si>
  <si>
    <t>[2] Average reported ERP + risk-free rate</t>
  </si>
  <si>
    <t>[1] Average reported ERP + riskfree rate</t>
  </si>
  <si>
    <t>[2] Average stock price from DJG stock price exhibit.</t>
  </si>
  <si>
    <t>[1] Average proxy dividend from DJG dividend exhibit</t>
  </si>
  <si>
    <t>[2] Average proxy stock price from DJG dividend exhibit</t>
  </si>
  <si>
    <t>[3] Highest growth rate from DJG growth determinant exhibit</t>
  </si>
  <si>
    <r>
      <t>[4] Quarterly DCF Approximation = [d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/P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(1 + g)</t>
    </r>
    <r>
      <rPr>
        <vertAlign val="superscript"/>
        <sz val="9"/>
        <color theme="1"/>
        <rFont val="Calibri"/>
        <family val="2"/>
        <scheme val="minor"/>
      </rPr>
      <t>0.25</t>
    </r>
    <r>
      <rPr>
        <sz val="9"/>
        <color theme="1"/>
        <rFont val="Calibri"/>
        <family val="2"/>
        <scheme val="minor"/>
      </rPr>
      <t>]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- 1</t>
    </r>
  </si>
  <si>
    <t>[11] Risk-free rate from DJG risk-free rate exhibit</t>
  </si>
  <si>
    <t>[12] 30-day average of closing index prices from DJG stock price exhibit</t>
  </si>
  <si>
    <t>[5] From DJG implied ERP exhibit</t>
  </si>
  <si>
    <t>[1] From DJG risk-free rate exhibit</t>
  </si>
  <si>
    <t>[2] From DJG beta exhibit</t>
  </si>
  <si>
    <t>[3] From DJG equity risk premium exhibit</t>
  </si>
  <si>
    <t>HE</t>
  </si>
  <si>
    <t>[1-4] S&amp;P Quarterly Press Releases, data found at https://us.spindices.com/indices/equity/sp-500 (additional info tab) (all dollar figures are in $ billions)</t>
  </si>
  <si>
    <t>Highest</t>
  </si>
  <si>
    <t xml:space="preserve">Beta </t>
  </si>
  <si>
    <t>Hospitals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</si>
  <si>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</si>
  <si>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</si>
  <si>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</si>
  <si>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</si>
  <si>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</si>
  <si>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</si>
  <si>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</si>
  <si>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</si>
  <si>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</si>
  <si>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</si>
  <si>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</si>
  <si>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</si>
  <si>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</si>
  <si>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OGE</t>
  </si>
  <si>
    <t>PNM</t>
  </si>
  <si>
    <t>Electric Utilities</t>
  </si>
  <si>
    <t>Gas Utilities</t>
  </si>
  <si>
    <t>Total Utilities</t>
  </si>
  <si>
    <t>S&amp;P 500</t>
  </si>
  <si>
    <t>T-Bond</t>
  </si>
  <si>
    <t>Market</t>
  </si>
  <si>
    <t>#</t>
  </si>
  <si>
    <t>Returns</t>
  </si>
  <si>
    <t>COE</t>
  </si>
  <si>
    <t>My Estimate</t>
  </si>
  <si>
    <t>Company ROE</t>
  </si>
  <si>
    <t>Gradual ROE</t>
  </si>
  <si>
    <t>[4], [5], [6] Annual S&amp;P 500 return, 10-year T-bond Rate, and equity risk premium published by NYU Stern School of Business</t>
  </si>
  <si>
    <t xml:space="preserve">[7] = [5] + [6] ; Market cost of equity represents the required return for investing in all stocks in the market for a given year </t>
  </si>
  <si>
    <t>[4] From Implied ERP exhibit</t>
  </si>
  <si>
    <t>[1] Most recent reported quarterly dividends per share.  Nasdaq.com</t>
  </si>
  <si>
    <t>[3] = [1] / [2] (quarterly)</t>
  </si>
  <si>
    <t>[4] From DJG risk-free rate exhibit</t>
  </si>
  <si>
    <t>Terminal Growth Determinants</t>
  </si>
  <si>
    <t>Avangrid, Inc.</t>
  </si>
  <si>
    <t>OGE Energy Corp.</t>
  </si>
  <si>
    <t>AEE</t>
  </si>
  <si>
    <t>AGR</t>
  </si>
  <si>
    <t>BKH</t>
  </si>
  <si>
    <t>CMS</t>
  </si>
  <si>
    <t>DTE</t>
  </si>
  <si>
    <t>NWE</t>
  </si>
  <si>
    <t>[1], [2] CBO Long-Term Budget Outlook 2019 - 2049 (p. 30)</t>
  </si>
  <si>
    <t>Market Value</t>
  </si>
  <si>
    <t>[3] Duff &amp; Phelps 2018</t>
  </si>
  <si>
    <t>[1] IESE Business School Survey 2019</t>
  </si>
  <si>
    <t>[2] Graham and Harvey Survey 2018</t>
  </si>
  <si>
    <t>Betas from Value Line Investment Survey</t>
  </si>
  <si>
    <t>[1], [2], [3] Average annual authorized ROE for electric and gas utilities, RRA Regulatory Focus:  Major Rate Case Decisions</t>
  </si>
  <si>
    <t>[3] = [1] + [2]</t>
  </si>
  <si>
    <t>Steel</t>
  </si>
  <si>
    <t>Software</t>
  </si>
  <si>
    <t>Utilities</t>
  </si>
  <si>
    <t>[3] I&amp;M 2018-19 IRP Public Summary, p. 2.</t>
  </si>
  <si>
    <t>[1], [3], [4] Value Line Investment Survey</t>
  </si>
  <si>
    <t>Algonquin Pwr &amp; Util</t>
  </si>
  <si>
    <t>Ameren Corp.</t>
  </si>
  <si>
    <t>Avista Corp.</t>
  </si>
  <si>
    <t>Black Hills Corp.</t>
  </si>
  <si>
    <t>CenterPoint Energy</t>
  </si>
  <si>
    <t>CMS Energy Corp.</t>
  </si>
  <si>
    <t>Dominion Energy</t>
  </si>
  <si>
    <t>DTE Energy Co.</t>
  </si>
  <si>
    <t>Edison International</t>
  </si>
  <si>
    <t>El Paso Electric Co.</t>
  </si>
  <si>
    <t>Emera Inc.</t>
  </si>
  <si>
    <t>Entergy Corp.</t>
  </si>
  <si>
    <t>Exelon Corp.</t>
  </si>
  <si>
    <t>FirstEnergy Corp.</t>
  </si>
  <si>
    <t>Hawaiian Elec.</t>
  </si>
  <si>
    <t>IDACORP, Inc.</t>
  </si>
  <si>
    <t>NorthWestern Corp.</t>
  </si>
  <si>
    <t>Otter Tail Corp.</t>
  </si>
  <si>
    <t>PNM Resources</t>
  </si>
  <si>
    <t>Sempra Energy</t>
  </si>
  <si>
    <t>AVA</t>
  </si>
  <si>
    <t>EIX</t>
  </si>
  <si>
    <t>IDA</t>
  </si>
  <si>
    <t>SRE</t>
  </si>
  <si>
    <t>D</t>
  </si>
  <si>
    <t>EXC</t>
  </si>
  <si>
    <t>FE</t>
  </si>
  <si>
    <t>CNP</t>
  </si>
  <si>
    <t>ETR</t>
  </si>
  <si>
    <t>EMA</t>
  </si>
  <si>
    <t>AQN</t>
  </si>
  <si>
    <t>NR</t>
  </si>
  <si>
    <t>NA</t>
  </si>
  <si>
    <t>Debt</t>
  </si>
  <si>
    <t>Inputs</t>
  </si>
  <si>
    <t>Ratings Table</t>
  </si>
  <si>
    <t>Coverage</t>
  </si>
  <si>
    <t>Bond</t>
  </si>
  <si>
    <t>Interest</t>
  </si>
  <si>
    <t>EBIT</t>
  </si>
  <si>
    <t>Ratio</t>
  </si>
  <si>
    <t>Rating</t>
  </si>
  <si>
    <t>Spread</t>
  </si>
  <si>
    <t>Interest Expense</t>
  </si>
  <si>
    <t>8.5 - 10.00</t>
  </si>
  <si>
    <t>Aaa/AAA</t>
  </si>
  <si>
    <t>Book Debt</t>
  </si>
  <si>
    <t>6.5 - 8.49</t>
  </si>
  <si>
    <t>Aa2/AA</t>
  </si>
  <si>
    <t>Book Equity</t>
  </si>
  <si>
    <t>5.5 - 6.49</t>
  </si>
  <si>
    <t>A1/A+</t>
  </si>
  <si>
    <t>Debt / Capital</t>
  </si>
  <si>
    <t>4.25 - 5.49</t>
  </si>
  <si>
    <t>A2/A</t>
  </si>
  <si>
    <t>Debt / Equity</t>
  </si>
  <si>
    <t>3.0 - 4.24</t>
  </si>
  <si>
    <t>A3/A-</t>
  </si>
  <si>
    <t>Debt Cost</t>
  </si>
  <si>
    <t xml:space="preserve"> </t>
  </si>
  <si>
    <t>2.5 - 2.99</t>
  </si>
  <si>
    <t>Baa2/BBB</t>
  </si>
  <si>
    <t>Corporate Tax Rate</t>
  </si>
  <si>
    <t>2.25 - 2.49</t>
  </si>
  <si>
    <t>Ba1/BB+</t>
  </si>
  <si>
    <t>Unlevered Beta</t>
  </si>
  <si>
    <t>2.0 - 2.24</t>
  </si>
  <si>
    <t>Ba2/BB</t>
  </si>
  <si>
    <t>1.75 - 1.99</t>
  </si>
  <si>
    <t>B1/B+</t>
  </si>
  <si>
    <t>Equity Risk Premium</t>
  </si>
  <si>
    <t>1.5 - 1.74</t>
  </si>
  <si>
    <t>B2/B</t>
  </si>
  <si>
    <t>Coverage Ratio</t>
  </si>
  <si>
    <t>1.25 - 1.49</t>
  </si>
  <si>
    <t>B3/B-</t>
  </si>
  <si>
    <t>Bond Rating</t>
  </si>
  <si>
    <t>0.8 - 1.24</t>
  </si>
  <si>
    <t>Caa/CCC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</si>
  <si>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</si>
  <si>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</si>
  <si>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</si>
  <si>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</si>
  <si>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</si>
  <si>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</si>
  <si>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</si>
  <si>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</si>
  <si>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</si>
  <si>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Optimal Capital Structure Calculation</t>
  </si>
  <si>
    <t>Figure</t>
  </si>
  <si>
    <t>D/E</t>
  </si>
  <si>
    <t>Levered</t>
  </si>
  <si>
    <t>Cost</t>
  </si>
  <si>
    <t>Proposed</t>
  </si>
  <si>
    <t>Pre-tax</t>
  </si>
  <si>
    <t>After-tax</t>
  </si>
  <si>
    <t>Optimal</t>
  </si>
  <si>
    <t>WACC at</t>
  </si>
  <si>
    <t>of Equity</t>
  </si>
  <si>
    <t>Level</t>
  </si>
  <si>
    <t>Expense</t>
  </si>
  <si>
    <t>WACC</t>
  </si>
  <si>
    <t>9.0% ROE</t>
  </si>
  <si>
    <t>∞</t>
  </si>
  <si>
    <t>[1], [2] Company 2018 Annual Report (000s)</t>
  </si>
  <si>
    <t>[12] = [1] / [2]</t>
  </si>
  <si>
    <t>[21] = [10] + [20] * [11]</t>
  </si>
  <si>
    <t>[3], [4] Company 2018 Annual Report (000s)</t>
  </si>
  <si>
    <t>[13] Company bond rating</t>
  </si>
  <si>
    <t>[22] Recommended awarded ROE</t>
  </si>
  <si>
    <t>[5] = [3] / ([3] + [4])</t>
  </si>
  <si>
    <t>[14] Ranges of coverage ratios</t>
  </si>
  <si>
    <t>[23] = [18] * ([3] + [4]); (000's)</t>
  </si>
  <si>
    <t>[6] = [3] / [4]</t>
  </si>
  <si>
    <t>[15] Moody's / S&amp;P bond ratings</t>
  </si>
  <si>
    <t>[24] = [22] * [7]; (000's)</t>
  </si>
  <si>
    <t>[16] NYU spread over risk-free rate</t>
  </si>
  <si>
    <t>[25] = [1] / [23]</t>
  </si>
  <si>
    <t>[8] Estimated corporate tax rate</t>
  </si>
  <si>
    <t>[17] = [16] + [10] = est. debt cost</t>
  </si>
  <si>
    <t>[26] Debt cost given coverage ratio per Ratings Table</t>
  </si>
  <si>
    <t>[9] Average beta / (1+(1 - [8])*[6])</t>
  </si>
  <si>
    <t>[18] = debt / total capital</t>
  </si>
  <si>
    <t>[27] = [25] * (1 - [8])</t>
  </si>
  <si>
    <t>[10] From DJG risk-free rate exhibit</t>
  </si>
  <si>
    <t xml:space="preserve">[19] = [18] / (1 - [18])  </t>
  </si>
  <si>
    <t>[28] = ([18] * [26]) + ((1 - [18]) * [21])</t>
  </si>
  <si>
    <t>[11] From DJG equity risk premium exhibit</t>
  </si>
  <si>
    <t>[20] = [9] * (1 + (1 - [8]) * [6]</t>
  </si>
  <si>
    <t>[29] = ([18] * [26]) + ((1 - [18]) * [22])</t>
  </si>
  <si>
    <t># Firms</t>
  </si>
  <si>
    <t>Debt Ratio</t>
  </si>
  <si>
    <t>Hospitals/Healthcare Facilities</t>
  </si>
  <si>
    <t>Tobacco</t>
  </si>
  <si>
    <t>Brokerage &amp; Investment Banking</t>
  </si>
  <si>
    <t>Auto &amp; Truck</t>
  </si>
  <si>
    <t>Retail (Building Supply)</t>
  </si>
  <si>
    <t>Advertising</t>
  </si>
  <si>
    <t>Retail (Automotive)</t>
  </si>
  <si>
    <t>Software (Internet)</t>
  </si>
  <si>
    <t>Bank (Money Center)</t>
  </si>
  <si>
    <t>Trucking</t>
  </si>
  <si>
    <t>Food Wholesalers</t>
  </si>
  <si>
    <t>Hotel/Gaming</t>
  </si>
  <si>
    <t>Beverage (Soft)</t>
  </si>
  <si>
    <t>Packaging &amp; Container</t>
  </si>
  <si>
    <t>R.E.I.T.</t>
  </si>
  <si>
    <t>Retail (Grocery and Food)</t>
  </si>
  <si>
    <t>Green &amp; Renewable Energy</t>
  </si>
  <si>
    <t>Transportation</t>
  </si>
  <si>
    <t>Retail (Distributors)</t>
  </si>
  <si>
    <t>Telecom. Services</t>
  </si>
  <si>
    <t>Utility (General)</t>
  </si>
  <si>
    <t>Aerospace/Defense</t>
  </si>
  <si>
    <t>Air Transport</t>
  </si>
  <si>
    <t>Oil/Gas Distribution</t>
  </si>
  <si>
    <t>Farming/Agriculture</t>
  </si>
  <si>
    <t>Construction Supplies</t>
  </si>
  <si>
    <t>Utility (Water)</t>
  </si>
  <si>
    <t>Power</t>
  </si>
  <si>
    <t>Cable TV</t>
  </si>
  <si>
    <t>Office Equipment &amp; Services</t>
  </si>
  <si>
    <t>Telecom (Wireless)</t>
  </si>
  <si>
    <t>Computers/Peripherals</t>
  </si>
  <si>
    <t>Business &amp; Consumer Services</t>
  </si>
  <si>
    <t>Recreation</t>
  </si>
  <si>
    <t>Real Estate (Operations &amp; Services)</t>
  </si>
  <si>
    <t>Total / Average</t>
  </si>
  <si>
    <t>Drugs (Biotechnology)</t>
  </si>
  <si>
    <t>Rubber&amp; Tires</t>
  </si>
  <si>
    <t>Environmental &amp; Waste Services</t>
  </si>
  <si>
    <t>Household Products</t>
  </si>
  <si>
    <t>Chemical (Basic)</t>
  </si>
  <si>
    <t>Information Services</t>
  </si>
  <si>
    <t>Computer Services</t>
  </si>
  <si>
    <t>Healthcare Support Services</t>
  </si>
  <si>
    <t>Chemical (Specialty)</t>
  </si>
  <si>
    <t>Software (System &amp; Application)</t>
  </si>
  <si>
    <t>Retail (General)</t>
  </si>
  <si>
    <t>Transportation (Railroads)</t>
  </si>
  <si>
    <t>Food Processing</t>
  </si>
  <si>
    <t>http://pages.stern.nyu.edu/~adamodar/New_Home_Page/datafile/dbtfund.htm</t>
  </si>
  <si>
    <t>Projected debt ratios from Value Line Investment Survey</t>
  </si>
  <si>
    <t>NR - not reported</t>
  </si>
  <si>
    <t>[4] Avg ERP, http://pages.stern.nyu.edu/~adamodar/ , 9-1-19</t>
  </si>
  <si>
    <t>AMM-8</t>
  </si>
  <si>
    <t>Baa2</t>
  </si>
  <si>
    <t>[7] Company 2018 Annual Report</t>
  </si>
  <si>
    <t>Company-Specific Qualitiative</t>
  </si>
  <si>
    <t>Growth Determinants</t>
  </si>
  <si>
    <t>Gas System Wide Growth</t>
  </si>
  <si>
    <t>Electric Customer Growth</t>
  </si>
  <si>
    <t>Population Growth</t>
  </si>
  <si>
    <t>[4] Company Electric IRP 2017, p. 3-10</t>
  </si>
  <si>
    <t>[4] Company Electric IRP 2017, p. 3-14</t>
  </si>
  <si>
    <t>[5] Company Natural Gas IRP 2018, p.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</si>
</sst>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0.000_);[Red]\(0.000\)"/>
    <numFmt numFmtId="169" formatCode="#,##0.0000_);[Red]\(#,##0.0000\)"/>
    <numFmt numFmtId="170" formatCode="mm/dd/yy;@"/>
    <numFmt numFmtId="171" formatCode="0.0"/>
    <numFmt numFmtId="172" formatCode="0.0000"/>
    <numFmt numFmtId="173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/>
    <xf numFmtId="10" fontId="0" fillId="0" borderId="0" xfId="0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10" fontId="3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3" fillId="0" borderId="1" xfId="0" applyNumberFormat="1" applyFont="1" applyBorder="1"/>
    <xf numFmtId="10" fontId="0" fillId="0" borderId="0" xfId="1" applyNumberFormat="1" applyFont="1" applyAlignment="1">
      <alignment horizontal="right" indent="2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3" xfId="0" applyBorder="1" applyAlignment="1">
      <alignment horizontal="center"/>
    </xf>
    <xf numFmtId="17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8" fontId="0" fillId="0" borderId="1" xfId="1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40" fontId="0" fillId="0" borderId="0" xfId="2" applyNumberFormat="1" applyFont="1" applyAlignment="1">
      <alignment horizontal="right" indent="3"/>
    </xf>
    <xf numFmtId="8" fontId="3" fillId="0" borderId="0" xfId="0" applyNumberFormat="1" applyFont="1" applyAlignment="1">
      <alignment horizontal="right" indent="3"/>
    </xf>
    <xf numFmtId="10" fontId="0" fillId="0" borderId="2" xfId="1" applyNumberFormat="1" applyFont="1" applyBorder="1" applyAlignment="1">
      <alignment horizontal="right" indent="2"/>
    </xf>
    <xf numFmtId="40" fontId="0" fillId="0" borderId="1" xfId="1" applyNumberFormat="1" applyFont="1" applyBorder="1" applyAlignment="1">
      <alignment horizontal="right" indent="2"/>
    </xf>
    <xf numFmtId="8" fontId="3" fillId="0" borderId="0" xfId="0" applyNumberFormat="1" applyFont="1" applyAlignment="1">
      <alignment horizontal="right" indent="2"/>
    </xf>
    <xf numFmtId="0" fontId="3" fillId="0" borderId="1" xfId="0" applyFont="1" applyBorder="1" applyAlignment="1">
      <alignment horizontal="center" wrapText="1"/>
    </xf>
    <xf numFmtId="8" fontId="0" fillId="0" borderId="0" xfId="0" applyNumberFormat="1" applyAlignment="1">
      <alignment horizontal="center"/>
    </xf>
    <xf numFmtId="167" fontId="1" fillId="0" borderId="0" xfId="1" applyNumberFormat="1" applyAlignment="1">
      <alignment horizontal="center"/>
    </xf>
    <xf numFmtId="40" fontId="0" fillId="0" borderId="1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 indent="2"/>
    </xf>
    <xf numFmtId="166" fontId="0" fillId="0" borderId="0" xfId="2" applyNumberFormat="1" applyFont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2" fillId="0" borderId="0" xfId="1" applyNumberFormat="1" applyFont="1"/>
    <xf numFmtId="164" fontId="12" fillId="0" borderId="0" xfId="1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left" indent="1"/>
    </xf>
    <xf numFmtId="164" fontId="12" fillId="0" borderId="0" xfId="0" applyNumberFormat="1" applyFont="1"/>
    <xf numFmtId="10" fontId="12" fillId="0" borderId="0" xfId="0" applyNumberFormat="1" applyFont="1" applyAlignment="1">
      <alignment horizontal="left"/>
    </xf>
    <xf numFmtId="164" fontId="12" fillId="0" borderId="1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1" xfId="0" applyFont="1" applyBorder="1"/>
    <xf numFmtId="10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38" fontId="16" fillId="0" borderId="0" xfId="0" applyNumberFormat="1" applyFont="1" applyAlignment="1">
      <alignment horizontal="right" indent="1"/>
    </xf>
    <xf numFmtId="38" fontId="16" fillId="0" borderId="0" xfId="0" applyNumberFormat="1" applyFont="1" applyAlignment="1">
      <alignment horizontal="right" indent="3"/>
    </xf>
    <xf numFmtId="38" fontId="16" fillId="0" borderId="0" xfId="0" applyNumberFormat="1" applyFont="1" applyAlignment="1">
      <alignment horizontal="left" indent="1"/>
    </xf>
    <xf numFmtId="38" fontId="16" fillId="0" borderId="0" xfId="0" applyNumberFormat="1" applyFont="1" applyAlignment="1">
      <alignment horizontal="left" indent="2"/>
    </xf>
    <xf numFmtId="0" fontId="16" fillId="0" borderId="0" xfId="0" applyFont="1" applyAlignment="1">
      <alignment horizontal="left" indent="3"/>
    </xf>
    <xf numFmtId="38" fontId="16" fillId="0" borderId="0" xfId="2" applyNumberFormat="1" applyFont="1" applyAlignment="1">
      <alignment horizontal="right" indent="3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38" fontId="16" fillId="0" borderId="1" xfId="0" applyNumberFormat="1" applyFont="1" applyBorder="1" applyAlignment="1">
      <alignment horizontal="right" indent="2"/>
    </xf>
    <xf numFmtId="38" fontId="16" fillId="0" borderId="1" xfId="0" applyNumberFormat="1" applyFont="1" applyBorder="1" applyAlignment="1">
      <alignment horizontal="right" indent="3"/>
    </xf>
    <xf numFmtId="38" fontId="16" fillId="0" borderId="1" xfId="0" applyNumberFormat="1" applyFont="1" applyBorder="1" applyAlignment="1">
      <alignment horizontal="left" indent="1"/>
    </xf>
    <xf numFmtId="38" fontId="16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left" indent="3"/>
    </xf>
    <xf numFmtId="0" fontId="17" fillId="0" borderId="0" xfId="0" applyFont="1" applyAlignment="1">
      <alignment horizontal="center"/>
    </xf>
    <xf numFmtId="38" fontId="16" fillId="0" borderId="0" xfId="0" applyNumberFormat="1" applyFont="1" applyAlignment="1">
      <alignment horizontal="right" indent="2"/>
    </xf>
    <xf numFmtId="0" fontId="18" fillId="0" borderId="0" xfId="0" applyFont="1"/>
    <xf numFmtId="10" fontId="12" fillId="2" borderId="0" xfId="1" applyNumberFormat="1" applyFont="1" applyFill="1"/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horizontal="center" wrapText="1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72" fontId="0" fillId="0" borderId="0" xfId="0" applyNumberFormat="1"/>
    <xf numFmtId="2" fontId="0" fillId="3" borderId="0" xfId="0" applyNumberFormat="1" applyFill="1"/>
    <xf numFmtId="172" fontId="0" fillId="3" borderId="0" xfId="0" applyNumberFormat="1" applyFill="1"/>
    <xf numFmtId="0" fontId="5" fillId="0" borderId="1" xfId="4" applyBorder="1"/>
    <xf numFmtId="0" fontId="5" fillId="0" borderId="0" xfId="4"/>
    <xf numFmtId="0" fontId="5" fillId="0" borderId="1" xfId="4" applyBorder="1" applyAlignment="1">
      <alignment horizontal="center"/>
    </xf>
    <xf numFmtId="0" fontId="5" fillId="0" borderId="0" xfId="4" applyAlignment="1">
      <alignment horizontal="center"/>
    </xf>
    <xf numFmtId="1" fontId="5" fillId="0" borderId="0" xfId="4" applyNumberFormat="1"/>
    <xf numFmtId="0" fontId="8" fillId="0" borderId="0" xfId="0" applyFont="1" applyAlignment="1">
      <alignment horizontal="left"/>
    </xf>
    <xf numFmtId="0" fontId="0" fillId="0" borderId="0" xfId="0" applyAlignment="1">
      <alignment horizontal="left" indent="3"/>
    </xf>
    <xf numFmtId="0" fontId="21" fillId="4" borderId="0" xfId="0" applyFont="1" applyFill="1" applyAlignment="1">
      <alignment horizontal="righ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3"/>
    </xf>
    <xf numFmtId="0" fontId="0" fillId="0" borderId="1" xfId="0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40" fontId="0" fillId="0" borderId="0" xfId="2" applyNumberFormat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166" fontId="0" fillId="0" borderId="0" xfId="0" applyNumberFormat="1" applyFill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3" fontId="0" fillId="0" borderId="0" xfId="0" applyNumberFormat="1"/>
    <xf numFmtId="42" fontId="0" fillId="0" borderId="0" xfId="0" applyNumberFormat="1"/>
    <xf numFmtId="4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0" fontId="0" fillId="0" borderId="0" xfId="1" applyNumberFormat="1" applyFont="1" applyAlignment="1">
      <alignment horizontal="right" indent="1"/>
    </xf>
    <xf numFmtId="10" fontId="0" fillId="0" borderId="0" xfId="0" applyNumberFormat="1" applyAlignment="1">
      <alignment horizontal="right" indent="1"/>
    </xf>
    <xf numFmtId="9" fontId="0" fillId="0" borderId="0" xfId="1" applyFont="1"/>
    <xf numFmtId="9" fontId="0" fillId="0" borderId="0" xfId="1" applyFont="1" applyAlignment="1">
      <alignment horizontal="center"/>
    </xf>
    <xf numFmtId="9" fontId="0" fillId="0" borderId="0" xfId="1" applyFont="1" applyAlignment="1">
      <alignment horizontal="right" indent="1"/>
    </xf>
    <xf numFmtId="0" fontId="24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10" fontId="0" fillId="0" borderId="6" xfId="1" applyNumberFormat="1" applyFont="1" applyBorder="1" applyAlignment="1">
      <alignment horizontal="right" indent="1"/>
    </xf>
    <xf numFmtId="10" fontId="0" fillId="0" borderId="6" xfId="1" applyNumberFormat="1" applyFont="1" applyBorder="1"/>
    <xf numFmtId="10" fontId="0" fillId="0" borderId="6" xfId="0" applyNumberFormat="1" applyBorder="1" applyAlignment="1">
      <alignment horizontal="right" indent="1"/>
    </xf>
    <xf numFmtId="171" fontId="0" fillId="0" borderId="0" xfId="0" applyNumberFormat="1" applyAlignment="1">
      <alignment horizontal="right" indent="2"/>
    </xf>
    <xf numFmtId="0" fontId="3" fillId="0" borderId="1" xfId="0" applyFont="1" applyBorder="1" applyAlignment="1">
      <alignment horizontal="center"/>
    </xf>
    <xf numFmtId="173" fontId="0" fillId="0" borderId="0" xfId="2" applyNumberFormat="1" applyFont="1"/>
    <xf numFmtId="9" fontId="0" fillId="5" borderId="0" xfId="1" applyFont="1" applyFill="1" applyAlignment="1">
      <alignment horizontal="right" indent="1"/>
    </xf>
    <xf numFmtId="10" fontId="0" fillId="5" borderId="0" xfId="0" applyNumberFormat="1" applyFill="1" applyAlignment="1">
      <alignment horizontal="right" indent="1"/>
    </xf>
    <xf numFmtId="10" fontId="0" fillId="5" borderId="0" xfId="1" applyNumberFormat="1" applyFont="1" applyFill="1" applyAlignment="1">
      <alignment horizontal="right" indent="1"/>
    </xf>
    <xf numFmtId="0" fontId="6" fillId="0" borderId="0" xfId="0" applyFont="1" applyAlignment="1">
      <alignment horizontal="left" indent="1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9" fontId="3" fillId="0" borderId="1" xfId="1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0" fontId="3" fillId="5" borderId="0" xfId="0" applyFont="1" applyFill="1"/>
    <xf numFmtId="9" fontId="3" fillId="5" borderId="0" xfId="1" applyFont="1" applyFill="1" applyAlignment="1">
      <alignment horizontal="center"/>
    </xf>
    <xf numFmtId="0" fontId="1" fillId="0" borderId="1" xfId="0" applyFont="1" applyBorder="1" applyAlignment="1">
      <alignment horizontal="right" indent="2"/>
    </xf>
    <xf numFmtId="9" fontId="1" fillId="0" borderId="1" xfId="1" applyBorder="1" applyAlignment="1">
      <alignment horizontal="center"/>
    </xf>
    <xf numFmtId="37" fontId="3" fillId="0" borderId="0" xfId="2" applyNumberFormat="1" applyFont="1" applyAlignment="1">
      <alignment horizontal="right" indent="1"/>
    </xf>
    <xf numFmtId="9" fontId="3" fillId="0" borderId="0" xfId="1" applyFont="1" applyAlignment="1">
      <alignment horizontal="center"/>
    </xf>
    <xf numFmtId="9" fontId="1" fillId="0" borderId="0" xfId="1"/>
    <xf numFmtId="9" fontId="0" fillId="0" borderId="1" xfId="1" applyFont="1" applyBorder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1" xfId="0" applyFill="1" applyBorder="1" applyAlignment="1">
      <alignment horizontal="center"/>
    </xf>
    <xf numFmtId="10" fontId="0" fillId="0" borderId="0" xfId="0" applyNumberFormat="1" applyFill="1" applyAlignment="1">
      <alignment horizontal="right"/>
    </xf>
    <xf numFmtId="9" fontId="0" fillId="0" borderId="0" xfId="1" applyFont="1" applyFill="1" applyAlignment="1">
      <alignment horizontal="right" indent="1"/>
    </xf>
    <xf numFmtId="10" fontId="0" fillId="0" borderId="0" xfId="0" applyNumberFormat="1" applyFill="1" applyAlignment="1">
      <alignment horizontal="right" indent="1"/>
    </xf>
    <xf numFmtId="10" fontId="0" fillId="0" borderId="0" xfId="1" applyNumberFormat="1" applyFont="1" applyFill="1" applyAlignment="1">
      <alignment horizontal="right" indent="1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right" inden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0" fontId="0" fillId="0" borderId="0" xfId="0" applyNumberFormat="1" applyFill="1" applyBorder="1" applyAlignment="1">
      <alignment horizontal="right" indent="1"/>
    </xf>
    <xf numFmtId="10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right" indent="1"/>
    </xf>
    <xf numFmtId="0" fontId="0" fillId="0" borderId="0" xfId="0" applyFill="1" applyBorder="1"/>
    <xf numFmtId="171" fontId="0" fillId="0" borderId="0" xfId="0" applyNumberFormat="1" applyFill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6" fillId="0" borderId="0" xfId="0" applyFont="1"/>
    <xf numFmtId="0" fontId="18" fillId="0" borderId="0" xfId="0" applyFont="1"/>
    <xf numFmtId="14" fontId="6" fillId="0" borderId="0" xfId="0" applyNumberFormat="1" applyFont="1"/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inden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3">
    <cellStyle name="_x000a_bidires=100_x000d_" xfId="3"/>
    <cellStyle name="Comma" xfId="2" builtinId="3"/>
    <cellStyle name="Comma 2" xfId="6"/>
    <cellStyle name="Currency 15" xfId="9"/>
    <cellStyle name="Normal" xfId="0" builtinId="0"/>
    <cellStyle name="Normal 2" xfId="4"/>
    <cellStyle name="Normal 3" xfId="11"/>
    <cellStyle name="Normal 4 2" xfId="8"/>
    <cellStyle name="Percent" xfId="1" builtinId="5"/>
    <cellStyle name="Percent 10" xfId="10"/>
    <cellStyle name="Percent 2" xfId="5"/>
    <cellStyle name="Percent 3" xfId="7"/>
    <cellStyle name="Percent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'28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18-417D-8839-F59111CA5F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Result'!$C$4</c:f>
              <c:numCache>
                <c:formatCode>0.0%</c:formatCode>
                <c:ptCount val="1"/>
                <c:pt idx="0">
                  <c:v>5.6000000000000001E-2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1"/>
          <c:order val="1"/>
          <c:tx>
            <c:strRef>
              <c:f>'28 ERP Result'!$A$6</c:f>
              <c:strCache>
                <c:ptCount val="1"/>
                <c:pt idx="0">
                  <c:v>Graham &amp; Harvey Survey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1.6533477067208915E-3"/>
                  <c:y val="-9.37858523403898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Graham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18-417D-8839-F59111CA5F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Result'!$C$6</c:f>
              <c:numCache>
                <c:formatCode>0.0%</c:formatCode>
                <c:ptCount val="1"/>
                <c:pt idx="0">
                  <c:v>4.4200000000000003E-2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8-417D-8839-F59111CA5FA3}"/>
            </c:ext>
          </c:extLst>
        </c:ser>
        <c:ser>
          <c:idx val="5"/>
          <c:order val="2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18-417D-8839-F59111CA5F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Result'!$C$10</c:f>
              <c:numCache>
                <c:formatCode>0.0%</c:formatCode>
                <c:ptCount val="1"/>
                <c:pt idx="0">
                  <c:v>5.1039999999999995E-2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3"/>
          <c:tx>
            <c:strRef>
              <c:f>'28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'28 ERP Result'!$C$8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4"/>
          <c:tx>
            <c:strRef>
              <c:f>'28 ERP Result'!$A$12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18-417D-8839-F59111CA5F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Result'!$C$12</c:f>
              <c:numCache>
                <c:formatCode>0.0%</c:formatCode>
                <c:ptCount val="1"/>
                <c:pt idx="0">
                  <c:v>5.959844190504833E-2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5"/>
          <c:tx>
            <c:strRef>
              <c:f>'28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6.4737548507571554E-4"/>
                  <c:y val="-2.2475518275098961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McKenzie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018-417D-8839-F59111CA5FA3}"/>
                </c:ex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'28 ERP Result'!$I$3</c:f>
              <c:numCache>
                <c:formatCode>0.00%</c:formatCode>
                <c:ptCount val="1"/>
                <c:pt idx="0">
                  <c:v>0.10100000000000001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424302888"/>
        <c:axId val="424304064"/>
      </c:barChart>
      <c:catAx>
        <c:axId val="424302888"/>
        <c:scaling>
          <c:orientation val="minMax"/>
        </c:scaling>
        <c:delete val="1"/>
        <c:axPos val="b"/>
        <c:majorTickMark val="out"/>
        <c:minorTickMark val="none"/>
        <c:tickLblPos val="none"/>
        <c:crossAx val="424304064"/>
        <c:crosses val="autoZero"/>
        <c:auto val="1"/>
        <c:lblAlgn val="ctr"/>
        <c:lblOffset val="100"/>
        <c:noMultiLvlLbl val="0"/>
      </c:catAx>
      <c:valAx>
        <c:axId val="424304064"/>
        <c:scaling>
          <c:orientation val="minMax"/>
          <c:max val="0.16000000000000003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424302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90600"/>
        <c:axId val="426389032"/>
      </c:scatterChart>
      <c:valAx>
        <c:axId val="4263906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426389032"/>
        <c:crosses val="autoZero"/>
        <c:crossBetween val="midCat"/>
        <c:majorUnit val="10"/>
      </c:valAx>
      <c:valAx>
        <c:axId val="426389032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4263906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5-AC81-427F-86E2-5ED340E7EC23}"/>
            </c:ext>
          </c:extLst>
        </c:ser>
        <c:ser>
          <c:idx val="3"/>
          <c:order val="3"/>
          <c:tx>
            <c:v>Risk-free Rate</c:v>
          </c:tx>
          <c:spPr>
            <a:ln w="254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Trends'!$Q$8:$Q$36</c:f>
              <c:numCache>
                <c:formatCode>0.00%</c:formatCode>
                <c:ptCount val="29"/>
                <c:pt idx="0">
                  <c:v>8.0699999999999994E-2</c:v>
                </c:pt>
                <c:pt idx="1">
                  <c:v>6.7000000000000004E-2</c:v>
                </c:pt>
                <c:pt idx="2">
                  <c:v>6.6799999999999998E-2</c:v>
                </c:pt>
                <c:pt idx="3">
                  <c:v>5.79E-2</c:v>
                </c:pt>
                <c:pt idx="4">
                  <c:v>7.8200000000000006E-2</c:v>
                </c:pt>
                <c:pt idx="5">
                  <c:v>5.57E-2</c:v>
                </c:pt>
                <c:pt idx="6">
                  <c:v>6.4100000000000004E-2</c:v>
                </c:pt>
                <c:pt idx="7">
                  <c:v>5.74E-2</c:v>
                </c:pt>
                <c:pt idx="8">
                  <c:v>4.65E-2</c:v>
                </c:pt>
                <c:pt idx="9">
                  <c:v>6.4399999999999999E-2</c:v>
                </c:pt>
                <c:pt idx="10">
                  <c:v>5.11E-2</c:v>
                </c:pt>
                <c:pt idx="11">
                  <c:v>5.0500000000000003E-2</c:v>
                </c:pt>
                <c:pt idx="12">
                  <c:v>3.8100000000000002E-2</c:v>
                </c:pt>
                <c:pt idx="13">
                  <c:v>4.2500000000000003E-2</c:v>
                </c:pt>
                <c:pt idx="14">
                  <c:v>4.2200000000000001E-2</c:v>
                </c:pt>
                <c:pt idx="15">
                  <c:v>4.3900000000000002E-2</c:v>
                </c:pt>
                <c:pt idx="16">
                  <c:v>4.7E-2</c:v>
                </c:pt>
                <c:pt idx="17">
                  <c:v>4.02E-2</c:v>
                </c:pt>
                <c:pt idx="18">
                  <c:v>2.2100000000000002E-2</c:v>
                </c:pt>
                <c:pt idx="19">
                  <c:v>3.8399999999999997E-2</c:v>
                </c:pt>
                <c:pt idx="20">
                  <c:v>3.2899999999999999E-2</c:v>
                </c:pt>
                <c:pt idx="21">
                  <c:v>1.8800000000000001E-2</c:v>
                </c:pt>
                <c:pt idx="22">
                  <c:v>1.7600000000000001E-2</c:v>
                </c:pt>
                <c:pt idx="23">
                  <c:v>3.04E-2</c:v>
                </c:pt>
                <c:pt idx="24">
                  <c:v>2.1700000000000001E-2</c:v>
                </c:pt>
                <c:pt idx="25">
                  <c:v>2.2700000000000001E-2</c:v>
                </c:pt>
                <c:pt idx="26">
                  <c:v>2.4500000000000001E-2</c:v>
                </c:pt>
                <c:pt idx="27">
                  <c:v>2.41E-2</c:v>
                </c:pt>
                <c:pt idx="28">
                  <c:v>2.6800000000000001E-2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81-427F-86E2-5ED340E7EC23}"/>
            </c:ext>
          </c:extLst>
        </c:ser>
        <c:ser>
          <c:idx val="4"/>
          <c:order val="4"/>
          <c:tx>
            <c:v>Equity Risk Premium</c:v>
          </c:tx>
          <c:spPr>
            <a:ln w="2540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Trends'!$S$8:$S$36</c:f>
              <c:numCache>
                <c:formatCode>0.00%</c:formatCode>
                <c:ptCount val="29"/>
                <c:pt idx="0">
                  <c:v>3.8899999999999997E-2</c:v>
                </c:pt>
                <c:pt idx="1">
                  <c:v>3.4799999999999998E-2</c:v>
                </c:pt>
                <c:pt idx="2">
                  <c:v>3.5499999999999997E-2</c:v>
                </c:pt>
                <c:pt idx="3">
                  <c:v>3.1699999999999999E-2</c:v>
                </c:pt>
                <c:pt idx="4">
                  <c:v>3.5499999999999997E-2</c:v>
                </c:pt>
                <c:pt idx="5">
                  <c:v>3.2899999999999999E-2</c:v>
                </c:pt>
                <c:pt idx="6">
                  <c:v>3.2000000000000001E-2</c:v>
                </c:pt>
                <c:pt idx="7">
                  <c:v>2.7300000000000001E-2</c:v>
                </c:pt>
                <c:pt idx="8">
                  <c:v>2.2599999999999999E-2</c:v>
                </c:pt>
                <c:pt idx="9">
                  <c:v>2.0500000000000001E-2</c:v>
                </c:pt>
                <c:pt idx="10">
                  <c:v>2.87E-2</c:v>
                </c:pt>
                <c:pt idx="11">
                  <c:v>3.6200000000000003E-2</c:v>
                </c:pt>
                <c:pt idx="12">
                  <c:v>4.1000000000000002E-2</c:v>
                </c:pt>
                <c:pt idx="13">
                  <c:v>3.6900000000000002E-2</c:v>
                </c:pt>
                <c:pt idx="14">
                  <c:v>3.6499999999999998E-2</c:v>
                </c:pt>
                <c:pt idx="15">
                  <c:v>4.0800000000000003E-2</c:v>
                </c:pt>
                <c:pt idx="16">
                  <c:v>4.1599999999999998E-2</c:v>
                </c:pt>
                <c:pt idx="17">
                  <c:v>4.3700000000000003E-2</c:v>
                </c:pt>
                <c:pt idx="18">
                  <c:v>6.4299999999999996E-2</c:v>
                </c:pt>
                <c:pt idx="19">
                  <c:v>4.36E-2</c:v>
                </c:pt>
                <c:pt idx="20">
                  <c:v>5.1999999999999998E-2</c:v>
                </c:pt>
                <c:pt idx="21">
                  <c:v>6.0100000000000001E-2</c:v>
                </c:pt>
                <c:pt idx="22">
                  <c:v>5.7799999999999997E-2</c:v>
                </c:pt>
                <c:pt idx="23">
                  <c:v>4.9599999999999998E-2</c:v>
                </c:pt>
                <c:pt idx="24">
                  <c:v>5.7799999999999997E-2</c:v>
                </c:pt>
                <c:pt idx="25">
                  <c:v>6.1199999999999997E-2</c:v>
                </c:pt>
                <c:pt idx="26">
                  <c:v>5.6899999999999999E-2</c:v>
                </c:pt>
                <c:pt idx="27">
                  <c:v>5.0799999999999998E-2</c:v>
                </c:pt>
                <c:pt idx="28">
                  <c:v>5.96E-2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81-427F-86E2-5ED340E7EC23}"/>
            </c:ext>
          </c:extLst>
        </c:ser>
        <c:ser>
          <c:idx val="5"/>
          <c:order val="5"/>
          <c:tx>
            <c:v>Market Cost of Equity</c:v>
          </c:tx>
          <c:spPr>
            <a:ln w="254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81-427F-86E2-5ED340E7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303280"/>
        <c:axId val="42430132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Trends'!$A$8:$A$38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Trends'!$G$8:$G$36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  <c:pt idx="28">
                        <c:v>9.5899999999999999E-2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C81-427F-86E2-5ED340E7EC2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  <c:pt idx="28">
                        <c:v>-4.2299999999999997E-2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AC81-427F-86E2-5ED340E7EC2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  <c:pt idx="28">
                        <c:v>9.5900000000000013E-2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AC81-427F-86E2-5ED340E7EC23}"/>
                  </c:ext>
                </c:extLst>
              </c15:ser>
            </c15:filteredScatterSeries>
          </c:ext>
        </c:extLst>
      </c:scatterChart>
      <c:valAx>
        <c:axId val="424303280"/>
        <c:scaling>
          <c:orientation val="minMax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01320"/>
        <c:crosses val="autoZero"/>
        <c:crossBetween val="midCat"/>
      </c:valAx>
      <c:valAx>
        <c:axId val="42430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03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Trends'!$A$8:$A$38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9-7F56-42F1-A314-001ACB25264F}"/>
            </c:ext>
          </c:extLst>
        </c:ser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56-42F1-A314-001ACB25264F}"/>
            </c:ext>
          </c:extLst>
        </c:ser>
        <c:ser>
          <c:idx val="7"/>
          <c:order val="7"/>
          <c:tx>
            <c:v>Company Cost of Equity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3.5350186489846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F56-42F1-A314-001ACB2526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Trends'!$AH$30</c:f>
              <c:numCache>
                <c:formatCode>0.0%</c:formatCode>
                <c:ptCount val="1"/>
                <c:pt idx="0">
                  <c:v>6.715274858030558E-2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56-42F1-A314-001ACB25264F}"/>
            </c:ext>
          </c:extLst>
        </c:ser>
        <c:ser>
          <c:idx val="8"/>
          <c:order val="8"/>
          <c:tx>
            <c:v>Company ROE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square"/>
              <c:size val="8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F56-42F1-A314-001ACB25264F}"/>
              </c:ext>
            </c:extLst>
          </c:dPt>
          <c:dLbls>
            <c:dLbl>
              <c:idx val="0"/>
              <c:layout>
                <c:manualLayout>
                  <c:x val="-5.7135069553363544E-3"/>
                  <c:y val="-3.48252521066448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F56-42F1-A314-001ACB2526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Trends'!$AH$33</c:f>
              <c:numCache>
                <c:formatCode>0.0%</c:formatCode>
                <c:ptCount val="1"/>
                <c:pt idx="0">
                  <c:v>0.105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56-42F1-A314-001ACB25264F}"/>
            </c:ext>
          </c:extLst>
        </c:ser>
        <c:ser>
          <c:idx val="9"/>
          <c:order val="9"/>
          <c:tx>
            <c:v>Garrett Proposal - Gradual ROE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0664819964759342E-3"/>
                  <c:y val="2.6246719160104988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F56-42F1-A314-001ACB2526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'6 Historic Trends'!$A$37</c:f>
              <c:numCache>
                <c:formatCode>General</c:formatCode>
                <c:ptCount val="1"/>
                <c:pt idx="0">
                  <c:v>2019</c:v>
                </c:pt>
              </c:numCache>
            </c:numRef>
          </c:xVal>
          <c:yVal>
            <c:numRef>
              <c:f>'6 Historic Trends'!$AH$36</c:f>
              <c:numCache>
                <c:formatCode>0.00%</c:formatCode>
                <c:ptCount val="1"/>
                <c:pt idx="0">
                  <c:v>9.2499999999999999E-2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F56-42F1-A314-001ACB252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023648"/>
        <c:axId val="42602168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7F56-42F1-A314-001ACB25264F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F56-42F1-A314-001ACB25264F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F56-42F1-A314-001ACB25264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7F56-42F1-A314-001ACB25264F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7F56-42F1-A314-001ACB25264F}"/>
                  </c:ext>
                </c:extLst>
              </c15:ser>
            </c15:filteredScatterSeries>
          </c:ext>
        </c:extLst>
      </c:scatterChart>
      <c:valAx>
        <c:axId val="426023648"/>
        <c:scaling>
          <c:orientation val="minMax"/>
          <c:max val="2025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21688"/>
        <c:crosses val="autoZero"/>
        <c:crossBetween val="midCat"/>
      </c:valAx>
      <c:valAx>
        <c:axId val="426021688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23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Authorized Electric ROE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Trends'!$A$8:$A$36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xVal>
          <c:yVal>
            <c:numRef>
              <c:f>'6 Historic Trends'!$C$8:$C$36</c:f>
              <c:numCache>
                <c:formatCode>0.00%</c:formatCode>
                <c:ptCount val="29"/>
                <c:pt idx="0">
                  <c:v>0.127</c:v>
                </c:pt>
                <c:pt idx="1">
                  <c:v>0.12539999999999998</c:v>
                </c:pt>
                <c:pt idx="2">
                  <c:v>0.12089999999999999</c:v>
                </c:pt>
                <c:pt idx="3">
                  <c:v>0.11460000000000001</c:v>
                </c:pt>
                <c:pt idx="4">
                  <c:v>0.11210000000000001</c:v>
                </c:pt>
                <c:pt idx="5">
                  <c:v>0.1158</c:v>
                </c:pt>
                <c:pt idx="6">
                  <c:v>0.114</c:v>
                </c:pt>
                <c:pt idx="7">
                  <c:v>0.1133</c:v>
                </c:pt>
                <c:pt idx="8">
                  <c:v>0.1177</c:v>
                </c:pt>
                <c:pt idx="9">
                  <c:v>0.1072</c:v>
                </c:pt>
                <c:pt idx="10">
                  <c:v>0.1158</c:v>
                </c:pt>
                <c:pt idx="11">
                  <c:v>0.11070000000000001</c:v>
                </c:pt>
                <c:pt idx="12">
                  <c:v>0.11210000000000001</c:v>
                </c:pt>
                <c:pt idx="13">
                  <c:v>0.1096</c:v>
                </c:pt>
                <c:pt idx="14">
                  <c:v>0.1081</c:v>
                </c:pt>
                <c:pt idx="15">
                  <c:v>0.1051</c:v>
                </c:pt>
                <c:pt idx="16">
                  <c:v>0.1032</c:v>
                </c:pt>
                <c:pt idx="17">
                  <c:v>0.10300000000000001</c:v>
                </c:pt>
                <c:pt idx="18">
                  <c:v>0.1041</c:v>
                </c:pt>
                <c:pt idx="19">
                  <c:v>0.1052</c:v>
                </c:pt>
                <c:pt idx="20">
                  <c:v>0.10369999999999999</c:v>
                </c:pt>
                <c:pt idx="21">
                  <c:v>0.10289999999999999</c:v>
                </c:pt>
                <c:pt idx="22">
                  <c:v>0.1017</c:v>
                </c:pt>
                <c:pt idx="23">
                  <c:v>0.1003</c:v>
                </c:pt>
                <c:pt idx="24">
                  <c:v>9.9100000000000008E-2</c:v>
                </c:pt>
                <c:pt idx="25">
                  <c:v>9.849999999999999E-2</c:v>
                </c:pt>
                <c:pt idx="26">
                  <c:v>9.7699999999999995E-2</c:v>
                </c:pt>
                <c:pt idx="27">
                  <c:v>9.74E-2</c:v>
                </c:pt>
                <c:pt idx="28">
                  <c:v>9.5899999999999999E-2</c:v>
                </c:pt>
              </c:numCache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EF91-4644-A24F-5153DE57A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017376"/>
        <c:axId val="426019336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EF91-4644-A24F-5153DE57A8A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EF91-4644-A24F-5153DE57A8A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EF91-4644-A24F-5153DE57A8A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EF91-4644-A24F-5153DE57A8A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Market Cost of Equity</c:v>
                </c:tx>
                <c:spPr>
                  <a:ln w="31750" cap="rnd">
                    <a:solidFill>
                      <a:schemeClr val="accent6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Trends'!$U$8:$U$35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0.11959999999999998</c:v>
                      </c:pt>
                      <c:pt idx="1">
                        <c:v>0.1018</c:v>
                      </c:pt>
                      <c:pt idx="2">
                        <c:v>0.1023</c:v>
                      </c:pt>
                      <c:pt idx="3">
                        <c:v>8.9599999999999999E-2</c:v>
                      </c:pt>
                      <c:pt idx="4">
                        <c:v>0.1137</c:v>
                      </c:pt>
                      <c:pt idx="5">
                        <c:v>8.8599999999999998E-2</c:v>
                      </c:pt>
                      <c:pt idx="6">
                        <c:v>9.6100000000000005E-2</c:v>
                      </c:pt>
                      <c:pt idx="7">
                        <c:v>8.4699999999999998E-2</c:v>
                      </c:pt>
                      <c:pt idx="8">
                        <c:v>6.9099999999999995E-2</c:v>
                      </c:pt>
                      <c:pt idx="9">
                        <c:v>8.4900000000000003E-2</c:v>
                      </c:pt>
                      <c:pt idx="10">
                        <c:v>7.9799999999999996E-2</c:v>
                      </c:pt>
                      <c:pt idx="11">
                        <c:v>8.6699999999999999E-2</c:v>
                      </c:pt>
                      <c:pt idx="12">
                        <c:v>7.9100000000000004E-2</c:v>
                      </c:pt>
                      <c:pt idx="13">
                        <c:v>7.9399999999999998E-2</c:v>
                      </c:pt>
                      <c:pt idx="14">
                        <c:v>7.8699999999999992E-2</c:v>
                      </c:pt>
                      <c:pt idx="15">
                        <c:v>8.4699999999999998E-2</c:v>
                      </c:pt>
                      <c:pt idx="16">
                        <c:v>8.8599999999999998E-2</c:v>
                      </c:pt>
                      <c:pt idx="17">
                        <c:v>8.3900000000000002E-2</c:v>
                      </c:pt>
                      <c:pt idx="18">
                        <c:v>8.6400000000000005E-2</c:v>
                      </c:pt>
                      <c:pt idx="19">
                        <c:v>8.199999999999999E-2</c:v>
                      </c:pt>
                      <c:pt idx="20">
                        <c:v>8.4900000000000003E-2</c:v>
                      </c:pt>
                      <c:pt idx="21">
                        <c:v>7.8899999999999998E-2</c:v>
                      </c:pt>
                      <c:pt idx="22">
                        <c:v>7.5399999999999995E-2</c:v>
                      </c:pt>
                      <c:pt idx="23">
                        <c:v>0.08</c:v>
                      </c:pt>
                      <c:pt idx="24">
                        <c:v>7.9500000000000001E-2</c:v>
                      </c:pt>
                      <c:pt idx="25">
                        <c:v>8.3900000000000002E-2</c:v>
                      </c:pt>
                      <c:pt idx="26">
                        <c:v>8.14E-2</c:v>
                      </c:pt>
                      <c:pt idx="27">
                        <c:v>7.4899999999999994E-2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EF91-4644-A24F-5153DE57A8A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Authorized Total ROE</c:v>
                </c:tx>
                <c:spPr>
                  <a:ln w="254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Trends'!$K$8:$K$35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0.12690704225352112</c:v>
                      </c:pt>
                      <c:pt idx="1">
                        <c:v>0.12501780821917807</c:v>
                      </c:pt>
                      <c:pt idx="2">
                        <c:v>0.12063150684931508</c:v>
                      </c:pt>
                      <c:pt idx="3">
                        <c:v>0.11407058823529412</c:v>
                      </c:pt>
                      <c:pt idx="4">
                        <c:v>0.11223846153846154</c:v>
                      </c:pt>
                      <c:pt idx="5">
                        <c:v>0.11535609756097562</c:v>
                      </c:pt>
                      <c:pt idx="6">
                        <c:v>0.11263999999999999</c:v>
                      </c:pt>
                      <c:pt idx="7">
                        <c:v>0.11313636363636365</c:v>
                      </c:pt>
                      <c:pt idx="8">
                        <c:v>0.1164</c:v>
                      </c:pt>
                      <c:pt idx="9">
                        <c:v>0.10730000000000001</c:v>
                      </c:pt>
                      <c:pt idx="10">
                        <c:v>0.11438181818181818</c:v>
                      </c:pt>
                      <c:pt idx="11">
                        <c:v>0.110425</c:v>
                      </c:pt>
                      <c:pt idx="12">
                        <c:v>0.11186969696969698</c:v>
                      </c:pt>
                      <c:pt idx="13">
                        <c:v>0.10976666666666668</c:v>
                      </c:pt>
                      <c:pt idx="14">
                        <c:v>0.10717906976744188</c:v>
                      </c:pt>
                      <c:pt idx="15">
                        <c:v>0.10458000000000001</c:v>
                      </c:pt>
                      <c:pt idx="16">
                        <c:v>0.10349268292682925</c:v>
                      </c:pt>
                      <c:pt idx="17">
                        <c:v>0.10261643835616439</c:v>
                      </c:pt>
                      <c:pt idx="18">
                        <c:v>0.10400724637681161</c:v>
                      </c:pt>
                      <c:pt idx="19">
                        <c:v>0.10391428571428572</c:v>
                      </c:pt>
                      <c:pt idx="20">
                        <c:v>0.10284199999999999</c:v>
                      </c:pt>
                      <c:pt idx="21">
                        <c:v>0.10187931034482758</c:v>
                      </c:pt>
                      <c:pt idx="22">
                        <c:v>0.10083440860215054</c:v>
                      </c:pt>
                      <c:pt idx="23">
                        <c:v>9.9249999999999991E-2</c:v>
                      </c:pt>
                      <c:pt idx="24">
                        <c:v>9.8571875000000003E-2</c:v>
                      </c:pt>
                      <c:pt idx="25">
                        <c:v>9.7630434782608688E-2</c:v>
                      </c:pt>
                      <c:pt idx="26">
                        <c:v>9.6820588235294103E-2</c:v>
                      </c:pt>
                      <c:pt idx="27">
                        <c:v>9.7337662337662334E-2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EF91-4644-A24F-5153DE57A8A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2-EF91-4644-A24F-5153DE57A8A8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6.715274858030558E-2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F91-4644-A24F-5153DE57A8A8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6r2="http://schemas.microsoft.com/office/drawing/2015/06/chart" xmlns:c15="http://schemas.microsoft.com/office/drawing/2012/chart">
                    <c:ext xmlns:c16="http://schemas.microsoft.com/office/drawing/2014/chart" uri="{C3380CC4-5D6E-409C-BE32-E72D297353CC}">
                      <c16:uniqueId val="{00000004-EF91-4644-A24F-5153DE57A8A8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4-EF91-4644-A24F-5153DE57A8A8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0.105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F91-4644-A24F-5153DE57A8A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6-EF91-4644-A24F-5153DE57A8A8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Trends'!$AH$36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EF91-4644-A24F-5153DE57A8A8}"/>
                  </c:ext>
                </c:extLst>
              </c15:ser>
            </c15:filteredScatterSeries>
          </c:ext>
        </c:extLst>
      </c:scatterChart>
      <c:valAx>
        <c:axId val="426017376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19336"/>
        <c:crosses val="autoZero"/>
        <c:crossBetween val="midCat"/>
      </c:valAx>
      <c:valAx>
        <c:axId val="426019336"/>
        <c:scaling>
          <c:orientation val="minMax"/>
          <c:max val="0.13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17376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5"/>
          <c:tx>
            <c:v>Market Cost of Equity</c:v>
          </c:tx>
          <c:spPr>
            <a:ln w="317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xVal>
          <c:yVal>
            <c:numRef>
              <c:f>'6 Historic Trends'!$U$8:$U$36</c:f>
              <c:numCache>
                <c:formatCode>0.00%</c:formatCode>
                <c:ptCount val="29"/>
                <c:pt idx="0">
                  <c:v>0.11959999999999998</c:v>
                </c:pt>
                <c:pt idx="1">
                  <c:v>0.1018</c:v>
                </c:pt>
                <c:pt idx="2">
                  <c:v>0.1023</c:v>
                </c:pt>
                <c:pt idx="3">
                  <c:v>8.9599999999999999E-2</c:v>
                </c:pt>
                <c:pt idx="4">
                  <c:v>0.1137</c:v>
                </c:pt>
                <c:pt idx="5">
                  <c:v>8.8599999999999998E-2</c:v>
                </c:pt>
                <c:pt idx="6">
                  <c:v>9.6100000000000005E-2</c:v>
                </c:pt>
                <c:pt idx="7">
                  <c:v>8.4699999999999998E-2</c:v>
                </c:pt>
                <c:pt idx="8">
                  <c:v>6.9099999999999995E-2</c:v>
                </c:pt>
                <c:pt idx="9">
                  <c:v>8.4900000000000003E-2</c:v>
                </c:pt>
                <c:pt idx="10">
                  <c:v>7.9799999999999996E-2</c:v>
                </c:pt>
                <c:pt idx="11">
                  <c:v>8.6699999999999999E-2</c:v>
                </c:pt>
                <c:pt idx="12">
                  <c:v>7.9100000000000004E-2</c:v>
                </c:pt>
                <c:pt idx="13">
                  <c:v>7.9399999999999998E-2</c:v>
                </c:pt>
                <c:pt idx="14">
                  <c:v>7.8699999999999992E-2</c:v>
                </c:pt>
                <c:pt idx="15">
                  <c:v>8.4699999999999998E-2</c:v>
                </c:pt>
                <c:pt idx="16">
                  <c:v>8.8599999999999998E-2</c:v>
                </c:pt>
                <c:pt idx="17">
                  <c:v>8.3900000000000002E-2</c:v>
                </c:pt>
                <c:pt idx="18">
                  <c:v>8.6400000000000005E-2</c:v>
                </c:pt>
                <c:pt idx="19">
                  <c:v>8.199999999999999E-2</c:v>
                </c:pt>
                <c:pt idx="20">
                  <c:v>8.4900000000000003E-2</c:v>
                </c:pt>
                <c:pt idx="21">
                  <c:v>7.8899999999999998E-2</c:v>
                </c:pt>
                <c:pt idx="22">
                  <c:v>7.5399999999999995E-2</c:v>
                </c:pt>
                <c:pt idx="23">
                  <c:v>0.08</c:v>
                </c:pt>
                <c:pt idx="24">
                  <c:v>7.9500000000000001E-2</c:v>
                </c:pt>
                <c:pt idx="25">
                  <c:v>8.3900000000000002E-2</c:v>
                </c:pt>
                <c:pt idx="26">
                  <c:v>8.14E-2</c:v>
                </c:pt>
                <c:pt idx="27">
                  <c:v>7.4899999999999994E-2</c:v>
                </c:pt>
                <c:pt idx="28">
                  <c:v>8.6400000000000005E-2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6F-4D4E-8302-8A3382F89A6B}"/>
            </c:ext>
          </c:extLst>
        </c:ser>
        <c:ser>
          <c:idx val="6"/>
          <c:order val="6"/>
          <c:tx>
            <c:v>Authorized Total ROE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 Historic Trends'!$A$8:$A$35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  <c:extLst xmlns:c16r2="http://schemas.microsoft.com/office/drawing/2015/06/chart" xmlns:c15="http://schemas.microsoft.com/office/drawing/2012/chart"/>
            </c:numRef>
          </c:xVal>
          <c:yVal>
            <c:numRef>
              <c:f>'6 Historic Trends'!$K$8:$K$35</c:f>
              <c:numCache>
                <c:formatCode>0.00%</c:formatCode>
                <c:ptCount val="28"/>
                <c:pt idx="0">
                  <c:v>0.12690704225352112</c:v>
                </c:pt>
                <c:pt idx="1">
                  <c:v>0.12501780821917807</c:v>
                </c:pt>
                <c:pt idx="2">
                  <c:v>0.12063150684931508</c:v>
                </c:pt>
                <c:pt idx="3">
                  <c:v>0.11407058823529412</c:v>
                </c:pt>
                <c:pt idx="4">
                  <c:v>0.11223846153846154</c:v>
                </c:pt>
                <c:pt idx="5">
                  <c:v>0.11535609756097562</c:v>
                </c:pt>
                <c:pt idx="6">
                  <c:v>0.11263999999999999</c:v>
                </c:pt>
                <c:pt idx="7">
                  <c:v>0.11313636363636365</c:v>
                </c:pt>
                <c:pt idx="8">
                  <c:v>0.1164</c:v>
                </c:pt>
                <c:pt idx="9">
                  <c:v>0.10730000000000001</c:v>
                </c:pt>
                <c:pt idx="10">
                  <c:v>0.11438181818181818</c:v>
                </c:pt>
                <c:pt idx="11">
                  <c:v>0.110425</c:v>
                </c:pt>
                <c:pt idx="12">
                  <c:v>0.11186969696969698</c:v>
                </c:pt>
                <c:pt idx="13">
                  <c:v>0.10976666666666668</c:v>
                </c:pt>
                <c:pt idx="14">
                  <c:v>0.10717906976744188</c:v>
                </c:pt>
                <c:pt idx="15">
                  <c:v>0.10458000000000001</c:v>
                </c:pt>
                <c:pt idx="16">
                  <c:v>0.10349268292682925</c:v>
                </c:pt>
                <c:pt idx="17">
                  <c:v>0.10261643835616439</c:v>
                </c:pt>
                <c:pt idx="18">
                  <c:v>0.10400724637681161</c:v>
                </c:pt>
                <c:pt idx="19">
                  <c:v>0.10391428571428572</c:v>
                </c:pt>
                <c:pt idx="20">
                  <c:v>0.10284199999999999</c:v>
                </c:pt>
                <c:pt idx="21">
                  <c:v>0.10187931034482758</c:v>
                </c:pt>
                <c:pt idx="22">
                  <c:v>0.10083440860215054</c:v>
                </c:pt>
                <c:pt idx="23">
                  <c:v>9.9249999999999991E-2</c:v>
                </c:pt>
                <c:pt idx="24">
                  <c:v>9.8571875000000003E-2</c:v>
                </c:pt>
                <c:pt idx="25">
                  <c:v>9.7630434782608688E-2</c:v>
                </c:pt>
                <c:pt idx="26">
                  <c:v>9.6820588235294103E-2</c:v>
                </c:pt>
                <c:pt idx="27">
                  <c:v>9.7337662337662334E-2</c:v>
                </c:pt>
              </c:numCache>
              <c:extLst xmlns:c16r2="http://schemas.microsoft.com/office/drawing/2015/06/chart" xmlns:c15="http://schemas.microsoft.com/office/drawing/2012/chart"/>
            </c:numRef>
          </c:y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C-206F-4D4E-8302-8A3382F8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019728"/>
        <c:axId val="42602247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Authorized Gas ROE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'6 Historic Trends'!$G$8:$G$35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0.1268</c:v>
                      </c:pt>
                      <c:pt idx="1">
                        <c:v>0.1245</c:v>
                      </c:pt>
                      <c:pt idx="2">
                        <c:v>0.1202</c:v>
                      </c:pt>
                      <c:pt idx="3">
                        <c:v>0.1137</c:v>
                      </c:pt>
                      <c:pt idx="4">
                        <c:v>0.1124</c:v>
                      </c:pt>
                      <c:pt idx="5">
                        <c:v>0.1144</c:v>
                      </c:pt>
                      <c:pt idx="6">
                        <c:v>0.11119999999999999</c:v>
                      </c:pt>
                      <c:pt idx="7">
                        <c:v>0.113</c:v>
                      </c:pt>
                      <c:pt idx="8">
                        <c:v>0.11509999999999999</c:v>
                      </c:pt>
                      <c:pt idx="9">
                        <c:v>0.1074</c:v>
                      </c:pt>
                      <c:pt idx="10">
                        <c:v>0.1134</c:v>
                      </c:pt>
                      <c:pt idx="11">
                        <c:v>0.1096</c:v>
                      </c:pt>
                      <c:pt idx="12">
                        <c:v>0.11169999999999999</c:v>
                      </c:pt>
                      <c:pt idx="13">
                        <c:v>0.1099</c:v>
                      </c:pt>
                      <c:pt idx="14">
                        <c:v>0.10630000000000001</c:v>
                      </c:pt>
                      <c:pt idx="15">
                        <c:v>0.1041</c:v>
                      </c:pt>
                      <c:pt idx="16">
                        <c:v>0.10400000000000001</c:v>
                      </c:pt>
                      <c:pt idx="17">
                        <c:v>0.10220000000000001</c:v>
                      </c:pt>
                      <c:pt idx="18">
                        <c:v>0.10390000000000001</c:v>
                      </c:pt>
                      <c:pt idx="19">
                        <c:v>0.10220000000000001</c:v>
                      </c:pt>
                      <c:pt idx="20">
                        <c:v>0.10150000000000001</c:v>
                      </c:pt>
                      <c:pt idx="21">
                        <c:v>9.9199999999999997E-2</c:v>
                      </c:pt>
                      <c:pt idx="22">
                        <c:v>9.9399999999999988E-2</c:v>
                      </c:pt>
                      <c:pt idx="23">
                        <c:v>9.6799999999999997E-2</c:v>
                      </c:pt>
                      <c:pt idx="24">
                        <c:v>9.7799999999999998E-2</c:v>
                      </c:pt>
                      <c:pt idx="25">
                        <c:v>9.6000000000000002E-2</c:v>
                      </c:pt>
                      <c:pt idx="26">
                        <c:v>9.5399999999999985E-2</c:v>
                      </c:pt>
                      <c:pt idx="27">
                        <c:v>9.7200000000000009E-2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8-206F-4D4E-8302-8A3382F89A6B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Authorized Electric ROE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Trends'!$A$8:$A$36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Trends'!$C$8:$C$36</c15:sqref>
                        </c15:formulaRef>
                      </c:ext>
                    </c:extLst>
                    <c:numCache>
                      <c:formatCode>0.00%</c:formatCode>
                      <c:ptCount val="29"/>
                      <c:pt idx="0">
                        <c:v>0.127</c:v>
                      </c:pt>
                      <c:pt idx="1">
                        <c:v>0.12539999999999998</c:v>
                      </c:pt>
                      <c:pt idx="2">
                        <c:v>0.12089999999999999</c:v>
                      </c:pt>
                      <c:pt idx="3">
                        <c:v>0.11460000000000001</c:v>
                      </c:pt>
                      <c:pt idx="4">
                        <c:v>0.11210000000000001</c:v>
                      </c:pt>
                      <c:pt idx="5">
                        <c:v>0.1158</c:v>
                      </c:pt>
                      <c:pt idx="6">
                        <c:v>0.114</c:v>
                      </c:pt>
                      <c:pt idx="7">
                        <c:v>0.1133</c:v>
                      </c:pt>
                      <c:pt idx="8">
                        <c:v>0.1177</c:v>
                      </c:pt>
                      <c:pt idx="9">
                        <c:v>0.1072</c:v>
                      </c:pt>
                      <c:pt idx="10">
                        <c:v>0.1158</c:v>
                      </c:pt>
                      <c:pt idx="11">
                        <c:v>0.11070000000000001</c:v>
                      </c:pt>
                      <c:pt idx="12">
                        <c:v>0.11210000000000001</c:v>
                      </c:pt>
                      <c:pt idx="13">
                        <c:v>0.1096</c:v>
                      </c:pt>
                      <c:pt idx="14">
                        <c:v>0.1081</c:v>
                      </c:pt>
                      <c:pt idx="15">
                        <c:v>0.1051</c:v>
                      </c:pt>
                      <c:pt idx="16">
                        <c:v>0.1032</c:v>
                      </c:pt>
                      <c:pt idx="17">
                        <c:v>0.10300000000000001</c:v>
                      </c:pt>
                      <c:pt idx="18">
                        <c:v>0.1041</c:v>
                      </c:pt>
                      <c:pt idx="19">
                        <c:v>0.1052</c:v>
                      </c:pt>
                      <c:pt idx="20">
                        <c:v>0.10369999999999999</c:v>
                      </c:pt>
                      <c:pt idx="21">
                        <c:v>0.10289999999999999</c:v>
                      </c:pt>
                      <c:pt idx="22">
                        <c:v>0.1017</c:v>
                      </c:pt>
                      <c:pt idx="23">
                        <c:v>0.1003</c:v>
                      </c:pt>
                      <c:pt idx="24">
                        <c:v>9.9100000000000008E-2</c:v>
                      </c:pt>
                      <c:pt idx="25">
                        <c:v>9.849999999999999E-2</c:v>
                      </c:pt>
                      <c:pt idx="26">
                        <c:v>9.7699999999999995E-2</c:v>
                      </c:pt>
                      <c:pt idx="27">
                        <c:v>9.74E-2</c:v>
                      </c:pt>
                      <c:pt idx="28">
                        <c:v>9.5899999999999999E-2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206F-4D4E-8302-8A3382F89A6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S&amp;P 500 Returns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Trends'!$O$8:$O$35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-3.0599999999999999E-2</c:v>
                      </c:pt>
                      <c:pt idx="1">
                        <c:v>0.30230000000000001</c:v>
                      </c:pt>
                      <c:pt idx="2">
                        <c:v>7.4899999999999994E-2</c:v>
                      </c:pt>
                      <c:pt idx="3">
                        <c:v>9.9699999999999997E-2</c:v>
                      </c:pt>
                      <c:pt idx="4">
                        <c:v>1.3299999999999999E-2</c:v>
                      </c:pt>
                      <c:pt idx="5">
                        <c:v>0.372</c:v>
                      </c:pt>
                      <c:pt idx="6">
                        <c:v>0.2268</c:v>
                      </c:pt>
                      <c:pt idx="7">
                        <c:v>0.33100000000000002</c:v>
                      </c:pt>
                      <c:pt idx="8">
                        <c:v>0.28339999999999999</c:v>
                      </c:pt>
                      <c:pt idx="9">
                        <c:v>0.2089</c:v>
                      </c:pt>
                      <c:pt idx="10">
                        <c:v>-9.0300000000000005E-2</c:v>
                      </c:pt>
                      <c:pt idx="11">
                        <c:v>-0.11849999999999999</c:v>
                      </c:pt>
                      <c:pt idx="12">
                        <c:v>-0.21970000000000001</c:v>
                      </c:pt>
                      <c:pt idx="13">
                        <c:v>0.28360000000000002</c:v>
                      </c:pt>
                      <c:pt idx="14">
                        <c:v>0.1074</c:v>
                      </c:pt>
                      <c:pt idx="15">
                        <c:v>4.8300000000000003E-2</c:v>
                      </c:pt>
                      <c:pt idx="16">
                        <c:v>0.15609999999999999</c:v>
                      </c:pt>
                      <c:pt idx="17">
                        <c:v>5.4800000000000001E-2</c:v>
                      </c:pt>
                      <c:pt idx="18">
                        <c:v>-0.36549999999999999</c:v>
                      </c:pt>
                      <c:pt idx="19">
                        <c:v>0.25940000000000002</c:v>
                      </c:pt>
                      <c:pt idx="20">
                        <c:v>0.1482</c:v>
                      </c:pt>
                      <c:pt idx="21">
                        <c:v>2.1000000000000001E-2</c:v>
                      </c:pt>
                      <c:pt idx="22">
                        <c:v>0.15890000000000001</c:v>
                      </c:pt>
                      <c:pt idx="23">
                        <c:v>0.32150000000000001</c:v>
                      </c:pt>
                      <c:pt idx="24">
                        <c:v>0.13519999999999999</c:v>
                      </c:pt>
                      <c:pt idx="25">
                        <c:v>1.38E-2</c:v>
                      </c:pt>
                      <c:pt idx="26">
                        <c:v>0.1177</c:v>
                      </c:pt>
                      <c:pt idx="27">
                        <c:v>0.21640000000000001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206F-4D4E-8302-8A3382F89A6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Risk-free Rate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Trends'!$Q$8:$Q$35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8.0699999999999994E-2</c:v>
                      </c:pt>
                      <c:pt idx="1">
                        <c:v>6.7000000000000004E-2</c:v>
                      </c:pt>
                      <c:pt idx="2">
                        <c:v>6.6799999999999998E-2</c:v>
                      </c:pt>
                      <c:pt idx="3">
                        <c:v>5.79E-2</c:v>
                      </c:pt>
                      <c:pt idx="4">
                        <c:v>7.8200000000000006E-2</c:v>
                      </c:pt>
                      <c:pt idx="5">
                        <c:v>5.57E-2</c:v>
                      </c:pt>
                      <c:pt idx="6">
                        <c:v>6.4100000000000004E-2</c:v>
                      </c:pt>
                      <c:pt idx="7">
                        <c:v>5.74E-2</c:v>
                      </c:pt>
                      <c:pt idx="8">
                        <c:v>4.65E-2</c:v>
                      </c:pt>
                      <c:pt idx="9">
                        <c:v>6.4399999999999999E-2</c:v>
                      </c:pt>
                      <c:pt idx="10">
                        <c:v>5.11E-2</c:v>
                      </c:pt>
                      <c:pt idx="11">
                        <c:v>5.0500000000000003E-2</c:v>
                      </c:pt>
                      <c:pt idx="12">
                        <c:v>3.8100000000000002E-2</c:v>
                      </c:pt>
                      <c:pt idx="13">
                        <c:v>4.2500000000000003E-2</c:v>
                      </c:pt>
                      <c:pt idx="14">
                        <c:v>4.2200000000000001E-2</c:v>
                      </c:pt>
                      <c:pt idx="15">
                        <c:v>4.3900000000000002E-2</c:v>
                      </c:pt>
                      <c:pt idx="16">
                        <c:v>4.7E-2</c:v>
                      </c:pt>
                      <c:pt idx="17">
                        <c:v>4.02E-2</c:v>
                      </c:pt>
                      <c:pt idx="18">
                        <c:v>2.2100000000000002E-2</c:v>
                      </c:pt>
                      <c:pt idx="19">
                        <c:v>3.8399999999999997E-2</c:v>
                      </c:pt>
                      <c:pt idx="20">
                        <c:v>3.2899999999999999E-2</c:v>
                      </c:pt>
                      <c:pt idx="21">
                        <c:v>1.8800000000000001E-2</c:v>
                      </c:pt>
                      <c:pt idx="22">
                        <c:v>1.7600000000000001E-2</c:v>
                      </c:pt>
                      <c:pt idx="23">
                        <c:v>3.04E-2</c:v>
                      </c:pt>
                      <c:pt idx="24">
                        <c:v>2.1700000000000001E-2</c:v>
                      </c:pt>
                      <c:pt idx="25">
                        <c:v>2.2700000000000001E-2</c:v>
                      </c:pt>
                      <c:pt idx="26">
                        <c:v>2.4500000000000001E-2</c:v>
                      </c:pt>
                      <c:pt idx="27">
                        <c:v>2.41E-2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206F-4D4E-8302-8A3382F89A6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Equity Risk Premium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Trends'!$A$8:$A$35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Trends'!$S$8:$S$35</c15:sqref>
                        </c15:formulaRef>
                      </c:ext>
                    </c:extLst>
                    <c:numCache>
                      <c:formatCode>0.00%</c:formatCode>
                      <c:ptCount val="28"/>
                      <c:pt idx="0">
                        <c:v>3.8899999999999997E-2</c:v>
                      </c:pt>
                      <c:pt idx="1">
                        <c:v>3.4799999999999998E-2</c:v>
                      </c:pt>
                      <c:pt idx="2">
                        <c:v>3.5499999999999997E-2</c:v>
                      </c:pt>
                      <c:pt idx="3">
                        <c:v>3.1699999999999999E-2</c:v>
                      </c:pt>
                      <c:pt idx="4">
                        <c:v>3.5499999999999997E-2</c:v>
                      </c:pt>
                      <c:pt idx="5">
                        <c:v>3.2899999999999999E-2</c:v>
                      </c:pt>
                      <c:pt idx="6">
                        <c:v>3.2000000000000001E-2</c:v>
                      </c:pt>
                      <c:pt idx="7">
                        <c:v>2.7300000000000001E-2</c:v>
                      </c:pt>
                      <c:pt idx="8">
                        <c:v>2.2599999999999999E-2</c:v>
                      </c:pt>
                      <c:pt idx="9">
                        <c:v>2.0500000000000001E-2</c:v>
                      </c:pt>
                      <c:pt idx="10">
                        <c:v>2.87E-2</c:v>
                      </c:pt>
                      <c:pt idx="11">
                        <c:v>3.6200000000000003E-2</c:v>
                      </c:pt>
                      <c:pt idx="12">
                        <c:v>4.1000000000000002E-2</c:v>
                      </c:pt>
                      <c:pt idx="13">
                        <c:v>3.6900000000000002E-2</c:v>
                      </c:pt>
                      <c:pt idx="14">
                        <c:v>3.6499999999999998E-2</c:v>
                      </c:pt>
                      <c:pt idx="15">
                        <c:v>4.0800000000000003E-2</c:v>
                      </c:pt>
                      <c:pt idx="16">
                        <c:v>4.1599999999999998E-2</c:v>
                      </c:pt>
                      <c:pt idx="17">
                        <c:v>4.3700000000000003E-2</c:v>
                      </c:pt>
                      <c:pt idx="18">
                        <c:v>6.4299999999999996E-2</c:v>
                      </c:pt>
                      <c:pt idx="19">
                        <c:v>4.36E-2</c:v>
                      </c:pt>
                      <c:pt idx="20">
                        <c:v>5.1999999999999998E-2</c:v>
                      </c:pt>
                      <c:pt idx="21">
                        <c:v>6.0100000000000001E-2</c:v>
                      </c:pt>
                      <c:pt idx="22">
                        <c:v>5.7799999999999997E-2</c:v>
                      </c:pt>
                      <c:pt idx="23">
                        <c:v>4.9599999999999998E-2</c:v>
                      </c:pt>
                      <c:pt idx="24">
                        <c:v>5.7799999999999997E-2</c:v>
                      </c:pt>
                      <c:pt idx="25">
                        <c:v>6.1199999999999997E-2</c:v>
                      </c:pt>
                      <c:pt idx="26">
                        <c:v>5.6899999999999999E-2</c:v>
                      </c:pt>
                      <c:pt idx="27">
                        <c:v>5.0799999999999998E-2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206F-4D4E-8302-8A3382F89A6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Garrett Cost of Equity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diamond"/>
                  <c:size val="10"/>
                  <c:spPr>
                    <a:solidFill>
                      <a:schemeClr val="accent3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3.5350186489846022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2-206F-4D4E-8302-8A3382F89A6B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Trends'!$AH$30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6.715274858030558E-2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06F-4D4E-8302-8A3382F89A6B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Company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noFill/>
                    </a:ln>
                    <a:effectLst/>
                  </c:spPr>
                </c:marker>
                <c:dPt>
                  <c:idx val="0"/>
                  <c:marker>
                    <c:symbol val="square"/>
                    <c:size val="8"/>
                    <c:spPr>
                      <a:solidFill>
                        <a:schemeClr val="accent2"/>
                      </a:solidFill>
                      <a:ln w="9525">
                        <a:noFill/>
                      </a:ln>
                      <a:effectLst/>
                    </c:spPr>
                  </c:marker>
                  <c:bubble3D val="0"/>
                  <c:extLst xmlns:c16r2="http://schemas.microsoft.com/office/drawing/2015/06/chart" xmlns:c15="http://schemas.microsoft.com/office/drawing/2012/chart">
                    <c:ext xmlns:c16="http://schemas.microsoft.com/office/drawing/2014/chart" uri="{C3380CC4-5D6E-409C-BE32-E72D297353CC}">
                      <c16:uniqueId val="{00000004-206F-4D4E-8302-8A3382F89A6B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5.7135069553363544E-3"/>
                        <c:y val="-3.4825252106644887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4-206F-4D4E-8302-8A3382F89A6B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Trends'!$AH$33</c15:sqref>
                        </c15:formulaRef>
                      </c:ext>
                    </c:extLst>
                    <c:numCache>
                      <c:formatCode>0.0%</c:formatCode>
                      <c:ptCount val="1"/>
                      <c:pt idx="0">
                        <c:v>0.105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206F-4D4E-8302-8A3382F89A6B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Garrett Proposal - Gradual ROE</c:v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5.0664819964759342E-3"/>
                        <c:y val="2.6246719160104988E-5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5="http://schemas.microsoft.com/office/drawing/2012/chart">
                      <c:ext xmlns:c16="http://schemas.microsoft.com/office/drawing/2014/chart" uri="{C3380CC4-5D6E-409C-BE32-E72D297353CC}">
                        <c16:uniqueId val="{00000006-206F-4D4E-8302-8A3382F89A6B}"/>
                      </c:ex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Trends'!$A$37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2019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'6 Historic Trends'!$AH$36</c15:sqref>
                        </c15:formulaRef>
                      </c:ext>
                    </c:extLst>
                    <c:numCache>
                      <c:formatCode>0.00%</c:formatCode>
                      <c:ptCount val="1"/>
                      <c:pt idx="0">
                        <c:v>9.2499999999999999E-2</c:v>
                      </c:pt>
                    </c:numCache>
                  </c:numRef>
                </c:y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206F-4D4E-8302-8A3382F89A6B}"/>
                  </c:ext>
                </c:extLst>
              </c15:ser>
            </c15:filteredScatterSeries>
          </c:ext>
        </c:extLst>
      </c:scatterChart>
      <c:valAx>
        <c:axId val="426019728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22472"/>
        <c:crosses val="autoZero"/>
        <c:crossBetween val="midCat"/>
      </c:valAx>
      <c:valAx>
        <c:axId val="42602247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19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9233769083493"/>
          <c:y val="3.43784477010044E-2"/>
          <c:w val="0.65471692249448366"/>
          <c:h val="0.80726374600295259"/>
        </c:manualLayout>
      </c:layout>
      <c:barChart>
        <c:barDir val="col"/>
        <c:grouping val="clustered"/>
        <c:varyColors val="0"/>
        <c:ser>
          <c:idx val="0"/>
          <c:order val="0"/>
          <c:tx>
            <c:v>Cost of Debt</c:v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Structure'!$S$31:$S$36</c:f>
              <c:numCache>
                <c:formatCode>0.00%</c:formatCode>
                <c:ptCount val="6"/>
                <c:pt idx="0">
                  <c:v>3.1442000000000005E-2</c:v>
                </c:pt>
                <c:pt idx="1">
                  <c:v>3.4918000000000005E-2</c:v>
                </c:pt>
                <c:pt idx="2">
                  <c:v>3.4918000000000005E-2</c:v>
                </c:pt>
                <c:pt idx="3">
                  <c:v>3.4918000000000005E-2</c:v>
                </c:pt>
                <c:pt idx="4">
                  <c:v>4.2818000000000002E-2</c:v>
                </c:pt>
                <c:pt idx="5">
                  <c:v>4.2818000000000002E-2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5-4F8B-A3C9-747762E73B3C}"/>
            </c:ext>
          </c:extLst>
        </c:ser>
        <c:ser>
          <c:idx val="1"/>
          <c:order val="1"/>
          <c:tx>
            <c:v>Cost of Equity</c:v>
          </c:tx>
          <c:spPr>
            <a:pattFill prst="dkUpDiag">
              <a:fgClr>
                <a:schemeClr val="accent2"/>
              </a:fgClr>
              <a:bgClr>
                <a:schemeClr val="bg1"/>
              </a:bgClr>
            </a:patt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Structure'!$G$31:$G$36</c:f>
              <c:numCache>
                <c:formatCode>0.00%</c:formatCode>
                <c:ptCount val="6"/>
                <c:pt idx="0">
                  <c:v>5.5299342457927413E-2</c:v>
                </c:pt>
                <c:pt idx="1">
                  <c:v>6.0669389155546621E-2</c:v>
                </c:pt>
                <c:pt idx="2">
                  <c:v>6.2011900829951436E-2</c:v>
                </c:pt>
                <c:pt idx="3">
                  <c:v>6.2726002784422072E-2</c:v>
                </c:pt>
                <c:pt idx="4">
                  <c:v>6.4249420287292774E-2</c:v>
                </c:pt>
                <c:pt idx="5">
                  <c:v>6.8724459201975438E-2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15-4F8B-A3C9-747762E73B3C}"/>
            </c:ext>
          </c:extLst>
        </c:ser>
        <c:ser>
          <c:idx val="2"/>
          <c:order val="2"/>
          <c:tx>
            <c:v>WACC</c:v>
          </c:tx>
          <c:spPr>
            <a:solidFill>
              <a:schemeClr val="accent3"/>
            </a:solidFill>
          </c:spPr>
          <c:invertIfNegative val="0"/>
          <c:cat>
            <c:numRef>
              <c:f>'35 Optimal Cap Structure'!$A$31:$A$36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0.6</c:v>
                </c:pt>
              </c:numCache>
            </c:numRef>
          </c:cat>
          <c:val>
            <c:numRef>
              <c:f>'35 Optimal Cap Structure'!$W$31:$W$36</c:f>
              <c:numCache>
                <c:formatCode>0.00%</c:formatCode>
                <c:ptCount val="6"/>
                <c:pt idx="0">
                  <c:v>6.6576800000000005E-2</c:v>
                </c:pt>
                <c:pt idx="1">
                  <c:v>6.2459000000000001E-2</c:v>
                </c:pt>
                <c:pt idx="2">
                  <c:v>6.135736E-2</c:v>
                </c:pt>
                <c:pt idx="3">
                  <c:v>6.0806539999999999E-2</c:v>
                </c:pt>
                <c:pt idx="4">
                  <c:v>6.4049899999999993E-2</c:v>
                </c:pt>
                <c:pt idx="5">
                  <c:v>6.1690799999999997E-2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15-4F8B-A3C9-747762E7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overlap val="-23"/>
        <c:axId val="426020512"/>
        <c:axId val="426023256"/>
      </c:barChart>
      <c:catAx>
        <c:axId val="4260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Debt Ratio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426023256"/>
        <c:crosses val="autoZero"/>
        <c:auto val="1"/>
        <c:lblAlgn val="ctr"/>
        <c:lblOffset val="100"/>
        <c:tickLblSkip val="1"/>
        <c:noMultiLvlLbl val="0"/>
      </c:catAx>
      <c:valAx>
        <c:axId val="426023256"/>
        <c:scaling>
          <c:orientation val="minMax"/>
          <c:max val="8.0000000000000043E-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Capital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426020512"/>
        <c:crosses val="autoZero"/>
        <c:crossBetween val="between"/>
        <c:majorUnit val="2.0000000000000011E-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Utilities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63C-42FC-A78B-601F3C4709C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3C-42FC-A78B-601F3C4709C0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Broadcasting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Broadcasting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63C-42FC-A78B-601F3C4709C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3C-42FC-A78B-601F3C4709C0}"/>
            </c:ext>
          </c:extLst>
        </c:ser>
        <c:ser>
          <c:idx val="3"/>
          <c:order val="2"/>
          <c:tx>
            <c:strRef>
              <c:f>'Fig Industry Betas'!$A$7</c:f>
              <c:strCache>
                <c:ptCount val="1"/>
                <c:pt idx="0">
                  <c:v>Hospitals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1.1200000000000001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3C-42FC-A78B-601F3C4709C0}"/>
            </c:ext>
          </c:extLst>
        </c:ser>
        <c:ser>
          <c:idx val="7"/>
          <c:order val="3"/>
          <c:tx>
            <c:strRef>
              <c:f>'Fig Industry Betas'!$A$8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63C-42FC-A78B-601F3C4709C0}"/>
            </c:ext>
          </c:extLst>
        </c:ser>
        <c:ser>
          <c:idx val="8"/>
          <c:order val="4"/>
          <c:tx>
            <c:strRef>
              <c:f>'Fig Industry Betas'!$A$9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63C-42FC-A78B-601F3C470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426016592"/>
        <c:axId val="426018160"/>
      </c:barChart>
      <c:catAx>
        <c:axId val="426016592"/>
        <c:scaling>
          <c:orientation val="minMax"/>
        </c:scaling>
        <c:delete val="1"/>
        <c:axPos val="b"/>
        <c:majorTickMark val="none"/>
        <c:minorTickMark val="none"/>
        <c:tickLblPos val="none"/>
        <c:crossAx val="426018160"/>
        <c:crosses val="autoZero"/>
        <c:auto val="1"/>
        <c:lblAlgn val="ctr"/>
        <c:lblOffset val="100"/>
        <c:noMultiLvlLbl val="0"/>
      </c:catAx>
      <c:valAx>
        <c:axId val="42601816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01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0.62619047619047608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2.4166666666666659E-2</c:v>
                </c:pt>
                <c:pt idx="1">
                  <c:v>5.3965887619190828E-2</c:v>
                </c:pt>
                <c:pt idx="2">
                  <c:v>6.1486643383399292E-2</c:v>
                </c:pt>
                <c:pt idx="3">
                  <c:v>8.3765108571714986E-2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0.62619047619047608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6.1486643383399292E-2</c:v>
                </c:pt>
                <c:pt idx="1">
                  <c:v>6.1486643383399292E-2</c:v>
                </c:pt>
                <c:pt idx="2">
                  <c:v>6.1486643383399292E-2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0.62619047619047608</c:v>
                </c:pt>
                <c:pt idx="1">
                  <c:v>0.62619047619047608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6.1486643383399292E-2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95696"/>
        <c:axId val="426393736"/>
      </c:scatterChart>
      <c:valAx>
        <c:axId val="42639569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26393736"/>
        <c:crosses val="autoZero"/>
        <c:crossBetween val="midCat"/>
        <c:majorUnit val="0.62600000000000011"/>
      </c:valAx>
      <c:valAx>
        <c:axId val="426393736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426395696"/>
        <c:crosses val="autoZero"/>
        <c:crossBetween val="midCat"/>
        <c:majorUnit val="6.1000000000000013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91384"/>
        <c:axId val="426389816"/>
      </c:scatterChart>
      <c:valAx>
        <c:axId val="426391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6389816"/>
        <c:crosses val="autoZero"/>
        <c:crossBetween val="midCat"/>
      </c:valAx>
      <c:valAx>
        <c:axId val="42638981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426391384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5</xdr:row>
      <xdr:rowOff>10583</xdr:rowOff>
    </xdr:from>
    <xdr:to>
      <xdr:col>23</xdr:col>
      <xdr:colOff>239183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0.06752</cdr:x>
      <cdr:y>0.625</cdr:y>
    </cdr:from>
    <cdr:to>
      <cdr:x>0.15046</cdr:x>
      <cdr:y>0.7018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913" y="2424109"/>
          <a:ext cx="497387" cy="297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2.42%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0.53046</cdr:x>
      <cdr:y>0.54645</cdr:y>
    </cdr:from>
    <cdr:to>
      <cdr:x>0.65177</cdr:x>
      <cdr:y>0.62837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4174634" y="1862217"/>
          <a:ext cx="954682" cy="279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Duff &amp; Phelps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4</xdr:row>
      <xdr:rowOff>14288</xdr:rowOff>
    </xdr:from>
    <xdr:to>
      <xdr:col>32</xdr:col>
      <xdr:colOff>114300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503FC4C-13D9-4001-8F5D-E4CEE5E5A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9526</xdr:colOff>
      <xdr:row>23</xdr:row>
      <xdr:rowOff>47625</xdr:rowOff>
    </xdr:from>
    <xdr:to>
      <xdr:col>32</xdr:col>
      <xdr:colOff>142875</xdr:colOff>
      <xdr:row>42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ECD7D78D-5A56-48CE-8729-D408B8D16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57150</xdr:colOff>
      <xdr:row>43</xdr:row>
      <xdr:rowOff>0</xdr:rowOff>
    </xdr:from>
    <xdr:to>
      <xdr:col>32</xdr:col>
      <xdr:colOff>190499</xdr:colOff>
      <xdr:row>62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EE9AC56C-F7CB-4E9A-A14C-D10301FB0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64</xdr:row>
      <xdr:rowOff>0</xdr:rowOff>
    </xdr:from>
    <xdr:to>
      <xdr:col>32</xdr:col>
      <xdr:colOff>133349</xdr:colOff>
      <xdr:row>83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A69EC888-F2B6-445D-B120-4F191732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0.14939</cdr:x>
      <cdr:y>0.1421</cdr:y>
    </cdr:from>
    <cdr:to>
      <cdr:x>0.19272</cdr:x>
      <cdr:y>0.38463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xmlns="" id="{CF3E631E-32F3-4FE4-8335-FBC88B064CE5}"/>
            </a:ext>
          </a:extLst>
        </cdr:cNvPr>
        <cdr:cNvSpPr/>
      </cdr:nvSpPr>
      <cdr:spPr>
        <a:xfrm xmlns:a="http://schemas.openxmlformats.org/drawingml/2006/main">
          <a:off x="839510" y="514335"/>
          <a:ext cx="243504" cy="8778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31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363508</xdr:colOff>
      <xdr:row>20</xdr:row>
      <xdr:rowOff>115685</xdr:rowOff>
    </xdr:from>
    <xdr:to>
      <xdr:col>42</xdr:col>
      <xdr:colOff>314931</xdr:colOff>
      <xdr:row>42</xdr:row>
      <xdr:rowOff>16625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4953A04-DB5B-4AAE-A540-3383B4290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0.46373</cdr:x>
      <cdr:y>0.85317</cdr:y>
    </cdr:from>
    <cdr:to>
      <cdr:x>0.53926</cdr:x>
      <cdr:y>0.90346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2041" y="3499237"/>
          <a:ext cx="401007" cy="20626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4</xdr:row>
      <xdr:rowOff>200023</xdr:rowOff>
    </xdr:from>
    <xdr:to>
      <xdr:col>22</xdr:col>
      <xdr:colOff>9525</xdr:colOff>
      <xdr:row>32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2A014C-B3B5-4171-8E21-292185337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xmlns="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5</xdr:row>
      <xdr:rowOff>89535</xdr:rowOff>
    </xdr:from>
    <xdr:to>
      <xdr:col>16</xdr:col>
      <xdr:colOff>259080</xdr:colOff>
      <xdr:row>25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34"/>
  <sheetViews>
    <sheetView zoomScaleNormal="100" workbookViewId="0">
      <selection activeCell="B16" sqref="B16"/>
    </sheetView>
  </sheetViews>
  <sheetFormatPr defaultRowHeight="15"/>
  <cols>
    <col min="1" max="1" width="36.140625" style="116" bestFit="1" customWidth="1"/>
    <col min="2" max="2" width="2.7109375" style="116" customWidth="1"/>
    <col min="3" max="3" width="8" style="116" customWidth="1"/>
    <col min="4" max="4" width="2.7109375" style="116" customWidth="1"/>
    <col min="5" max="5" width="12.28515625" style="116" customWidth="1"/>
    <col min="6" max="6" width="2.7109375" style="116" customWidth="1"/>
    <col min="7" max="7" width="12.28515625" style="116" customWidth="1"/>
    <col min="8" max="8" width="2.7109375" style="116" customWidth="1"/>
    <col min="9" max="9" width="12.28515625" style="116" customWidth="1"/>
    <col min="10" max="10" width="2.7109375" style="116" customWidth="1"/>
    <col min="11" max="11" width="12.28515625" style="116" customWidth="1"/>
    <col min="12" max="16384" width="9.140625" style="116"/>
  </cols>
  <sheetData>
    <row r="1" spans="1:11" ht="18.7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9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9.5" customHeight="1">
      <c r="E3" s="117" t="s">
        <v>3</v>
      </c>
      <c r="F3" s="117"/>
      <c r="G3" s="117" t="s">
        <v>4</v>
      </c>
      <c r="H3" s="117"/>
      <c r="I3" s="175" t="s">
        <v>5</v>
      </c>
      <c r="J3" s="117"/>
      <c r="K3" s="175" t="s">
        <v>6</v>
      </c>
    </row>
    <row r="4" spans="1:11" ht="19.5" customHeight="1"/>
    <row r="5" spans="1:11" ht="30">
      <c r="A5" s="118" t="s">
        <v>0</v>
      </c>
      <c r="B5" s="117"/>
      <c r="C5" s="182" t="s">
        <v>1</v>
      </c>
      <c r="D5" s="117"/>
      <c r="E5" s="156" t="s">
        <v>56</v>
      </c>
      <c r="F5" s="119"/>
      <c r="G5" s="156" t="s">
        <v>55</v>
      </c>
      <c r="H5" s="119"/>
      <c r="I5" s="156" t="s">
        <v>54</v>
      </c>
      <c r="J5" s="119"/>
      <c r="K5" s="156" t="s">
        <v>17</v>
      </c>
    </row>
    <row r="6" spans="1:11">
      <c r="A6" s="179"/>
      <c r="B6" s="117"/>
      <c r="C6" s="180"/>
      <c r="D6" s="117"/>
      <c r="E6" s="181"/>
      <c r="F6" s="119"/>
      <c r="G6" s="181"/>
      <c r="H6" s="119"/>
      <c r="I6" s="181"/>
      <c r="J6" s="119"/>
      <c r="K6" s="181"/>
    </row>
    <row r="7" spans="1:11" ht="19.5" customHeight="1">
      <c r="A7" s="116" t="s">
        <v>183</v>
      </c>
      <c r="C7" s="153" t="s">
        <v>213</v>
      </c>
      <c r="E7" s="120">
        <v>6400</v>
      </c>
      <c r="F7" s="121"/>
      <c r="G7" s="122" t="str">
        <f t="shared" ref="G7:G28" si="0">IF(E7&gt;=200000,"Mega Cap",IF(E7&gt;=10000,"Large Cap",IF(E7&gt;=2000,"Mid Cap",IF(E7&gt;=300,"Small Cap",IF(E7&gt;=50,"Micro Cap",IF(E7&lt;50,"Nano Cap"))))))</f>
        <v>Mid Cap</v>
      </c>
      <c r="H7" s="123"/>
      <c r="I7" s="175" t="s">
        <v>214</v>
      </c>
      <c r="K7" s="154" t="s">
        <v>214</v>
      </c>
    </row>
    <row r="8" spans="1:11" ht="19.5" customHeight="1">
      <c r="A8" s="116" t="s">
        <v>184</v>
      </c>
      <c r="C8" s="153" t="s">
        <v>164</v>
      </c>
      <c r="E8" s="120">
        <v>18000</v>
      </c>
      <c r="F8" s="121"/>
      <c r="G8" s="122" t="str">
        <f t="shared" si="0"/>
        <v>Large Cap</v>
      </c>
      <c r="H8" s="123"/>
      <c r="I8" s="117">
        <v>2</v>
      </c>
      <c r="K8" s="151" t="s">
        <v>88</v>
      </c>
    </row>
    <row r="9" spans="1:11" ht="19.5" customHeight="1">
      <c r="A9" s="116" t="s">
        <v>162</v>
      </c>
      <c r="C9" s="153" t="s">
        <v>165</v>
      </c>
      <c r="E9" s="120">
        <v>16000</v>
      </c>
      <c r="F9" s="121"/>
      <c r="G9" s="122" t="str">
        <f t="shared" si="0"/>
        <v>Large Cap</v>
      </c>
      <c r="H9" s="123"/>
      <c r="I9" s="117">
        <v>2</v>
      </c>
      <c r="K9" s="151" t="s">
        <v>89</v>
      </c>
    </row>
    <row r="10" spans="1:11" ht="19.5" customHeight="1">
      <c r="A10" s="116" t="s">
        <v>185</v>
      </c>
      <c r="C10" s="153" t="s">
        <v>203</v>
      </c>
      <c r="E10" s="120">
        <v>3000</v>
      </c>
      <c r="F10" s="121"/>
      <c r="G10" s="122" t="str">
        <f t="shared" si="0"/>
        <v>Mid Cap</v>
      </c>
      <c r="H10" s="123"/>
      <c r="I10" s="117">
        <v>2</v>
      </c>
      <c r="K10" s="151" t="s">
        <v>88</v>
      </c>
    </row>
    <row r="11" spans="1:11" ht="19.5" customHeight="1">
      <c r="A11" s="116" t="s">
        <v>186</v>
      </c>
      <c r="C11" s="153" t="s">
        <v>166</v>
      </c>
      <c r="E11" s="120">
        <v>4800</v>
      </c>
      <c r="F11" s="121"/>
      <c r="G11" s="122" t="str">
        <f t="shared" si="0"/>
        <v>Mid Cap</v>
      </c>
      <c r="H11" s="123"/>
      <c r="I11" s="117">
        <v>2</v>
      </c>
      <c r="K11" s="151" t="s">
        <v>88</v>
      </c>
    </row>
    <row r="12" spans="1:11" ht="19.5" customHeight="1">
      <c r="A12" s="116" t="s">
        <v>187</v>
      </c>
      <c r="C12" s="153" t="s">
        <v>210</v>
      </c>
      <c r="E12" s="120">
        <v>14000</v>
      </c>
      <c r="F12" s="121"/>
      <c r="G12" s="122" t="str">
        <f t="shared" si="0"/>
        <v>Large Cap</v>
      </c>
      <c r="H12" s="123"/>
      <c r="I12" s="117">
        <v>3</v>
      </c>
      <c r="K12" s="151" t="s">
        <v>90</v>
      </c>
    </row>
    <row r="13" spans="1:11" ht="19.5" customHeight="1">
      <c r="A13" s="116" t="s">
        <v>188</v>
      </c>
      <c r="C13" s="153" t="s">
        <v>167</v>
      </c>
      <c r="E13" s="120">
        <v>16000</v>
      </c>
      <c r="F13" s="121"/>
      <c r="G13" s="122" t="str">
        <f t="shared" si="0"/>
        <v>Large Cap</v>
      </c>
      <c r="H13" s="123"/>
      <c r="I13" s="117">
        <v>2</v>
      </c>
      <c r="K13" s="151" t="s">
        <v>89</v>
      </c>
    </row>
    <row r="14" spans="1:11" ht="19.5" customHeight="1">
      <c r="A14" s="116" t="s">
        <v>189</v>
      </c>
      <c r="C14" s="153" t="s">
        <v>207</v>
      </c>
      <c r="E14" s="120">
        <v>60000</v>
      </c>
      <c r="F14" s="121"/>
      <c r="G14" s="122" t="str">
        <f t="shared" si="0"/>
        <v>Large Cap</v>
      </c>
      <c r="H14" s="123"/>
      <c r="I14" s="117">
        <v>2</v>
      </c>
      <c r="K14" s="151" t="s">
        <v>89</v>
      </c>
    </row>
    <row r="15" spans="1:11" ht="19.5" customHeight="1">
      <c r="A15" s="116" t="s">
        <v>190</v>
      </c>
      <c r="C15" s="153" t="s">
        <v>168</v>
      </c>
      <c r="E15" s="120">
        <v>23000</v>
      </c>
      <c r="F15" s="121"/>
      <c r="G15" s="122" t="str">
        <f t="shared" si="0"/>
        <v>Large Cap</v>
      </c>
      <c r="H15" s="123"/>
      <c r="I15" s="117">
        <v>2</v>
      </c>
      <c r="K15" s="151" t="s">
        <v>89</v>
      </c>
    </row>
    <row r="16" spans="1:11" ht="19.5" customHeight="1">
      <c r="A16" s="116" t="s">
        <v>191</v>
      </c>
      <c r="C16" s="153" t="s">
        <v>204</v>
      </c>
      <c r="D16" s="117"/>
      <c r="E16" s="120">
        <v>23000</v>
      </c>
      <c r="F16" s="125"/>
      <c r="G16" s="122" t="str">
        <f t="shared" si="0"/>
        <v>Large Cap</v>
      </c>
      <c r="H16" s="123"/>
      <c r="I16" s="117">
        <v>3</v>
      </c>
      <c r="J16" s="117"/>
      <c r="K16" s="151" t="s">
        <v>90</v>
      </c>
    </row>
    <row r="17" spans="1:11" ht="19.5" customHeight="1">
      <c r="A17" s="116" t="s">
        <v>192</v>
      </c>
      <c r="C17" s="153" t="s">
        <v>101</v>
      </c>
      <c r="D17" s="117"/>
      <c r="E17" s="120">
        <v>2700</v>
      </c>
      <c r="F17" s="121"/>
      <c r="G17" s="122" t="str">
        <f t="shared" si="0"/>
        <v>Mid Cap</v>
      </c>
      <c r="H17" s="123"/>
      <c r="I17" s="117">
        <v>2</v>
      </c>
      <c r="K17" s="151" t="s">
        <v>89</v>
      </c>
    </row>
    <row r="18" spans="1:11" ht="19.5" customHeight="1">
      <c r="A18" s="116" t="s">
        <v>193</v>
      </c>
      <c r="C18" s="153" t="s">
        <v>212</v>
      </c>
      <c r="E18" s="120">
        <v>12500</v>
      </c>
      <c r="F18" s="121"/>
      <c r="G18" s="122" t="str">
        <f t="shared" si="0"/>
        <v>Large Cap</v>
      </c>
      <c r="H18" s="123"/>
      <c r="I18" s="117">
        <v>2</v>
      </c>
      <c r="K18" s="151" t="s">
        <v>90</v>
      </c>
    </row>
    <row r="19" spans="1:11" ht="19.5" customHeight="1">
      <c r="A19" s="116" t="s">
        <v>194</v>
      </c>
      <c r="C19" s="153" t="s">
        <v>211</v>
      </c>
      <c r="D19" s="117"/>
      <c r="E19" s="120">
        <v>19000</v>
      </c>
      <c r="F19" s="121"/>
      <c r="G19" s="122" t="str">
        <f t="shared" si="0"/>
        <v>Large Cap</v>
      </c>
      <c r="H19" s="123"/>
      <c r="I19" s="117">
        <v>3</v>
      </c>
      <c r="J19" s="117"/>
      <c r="K19" s="151" t="s">
        <v>89</v>
      </c>
    </row>
    <row r="20" spans="1:11" ht="19.5" customHeight="1">
      <c r="A20" s="116" t="s">
        <v>195</v>
      </c>
      <c r="C20" s="153" t="s">
        <v>208</v>
      </c>
      <c r="E20" s="120">
        <v>44000</v>
      </c>
      <c r="F20" s="121"/>
      <c r="G20" s="122" t="str">
        <f t="shared" si="0"/>
        <v>Large Cap</v>
      </c>
      <c r="H20" s="123"/>
      <c r="I20" s="117">
        <v>2</v>
      </c>
      <c r="K20" s="151" t="s">
        <v>89</v>
      </c>
    </row>
    <row r="21" spans="1:11" ht="19.5" customHeight="1">
      <c r="A21" s="116" t="s">
        <v>196</v>
      </c>
      <c r="C21" s="153" t="s">
        <v>209</v>
      </c>
      <c r="E21" s="120">
        <v>23000</v>
      </c>
      <c r="F21" s="121"/>
      <c r="G21" s="122" t="str">
        <f t="shared" si="0"/>
        <v>Large Cap</v>
      </c>
      <c r="H21" s="123"/>
      <c r="I21" s="117">
        <v>2</v>
      </c>
      <c r="K21" s="151" t="s">
        <v>89</v>
      </c>
    </row>
    <row r="22" spans="1:11" ht="19.5" customHeight="1">
      <c r="A22" s="116" t="s">
        <v>197</v>
      </c>
      <c r="C22" s="153" t="s">
        <v>123</v>
      </c>
      <c r="E22" s="120">
        <v>4800</v>
      </c>
      <c r="F22" s="121"/>
      <c r="G22" s="122" t="str">
        <f t="shared" si="0"/>
        <v>Mid Cap</v>
      </c>
      <c r="H22" s="123"/>
      <c r="I22" s="117">
        <v>2</v>
      </c>
      <c r="K22" s="151" t="s">
        <v>88</v>
      </c>
    </row>
    <row r="23" spans="1:11" ht="19.5" customHeight="1">
      <c r="A23" s="116" t="s">
        <v>198</v>
      </c>
      <c r="C23" s="153" t="s">
        <v>205</v>
      </c>
      <c r="E23" s="120">
        <v>5300</v>
      </c>
      <c r="F23" s="121"/>
      <c r="G23" s="122" t="str">
        <f t="shared" si="0"/>
        <v>Mid Cap</v>
      </c>
      <c r="H23" s="123"/>
      <c r="I23" s="117">
        <v>2</v>
      </c>
      <c r="K23" s="151" t="s">
        <v>88</v>
      </c>
    </row>
    <row r="24" spans="1:11" ht="19.5" customHeight="1">
      <c r="A24" s="116" t="s">
        <v>199</v>
      </c>
      <c r="C24" s="153" t="s">
        <v>169</v>
      </c>
      <c r="E24" s="120">
        <v>3700</v>
      </c>
      <c r="F24" s="121"/>
      <c r="G24" s="122" t="str">
        <f t="shared" si="0"/>
        <v>Mid Cap</v>
      </c>
      <c r="H24" s="123"/>
      <c r="I24" s="117">
        <v>2</v>
      </c>
      <c r="K24" s="151" t="s">
        <v>89</v>
      </c>
    </row>
    <row r="25" spans="1:11" ht="19.5" customHeight="1">
      <c r="A25" s="116" t="s">
        <v>163</v>
      </c>
      <c r="C25" s="153" t="s">
        <v>141</v>
      </c>
      <c r="E25" s="120">
        <v>8500</v>
      </c>
      <c r="F25" s="121"/>
      <c r="G25" s="122" t="str">
        <f t="shared" si="0"/>
        <v>Mid Cap</v>
      </c>
      <c r="H25" s="123"/>
      <c r="I25" s="117">
        <v>2</v>
      </c>
      <c r="K25" s="151" t="s">
        <v>88</v>
      </c>
    </row>
    <row r="26" spans="1:11" ht="19.5" customHeight="1">
      <c r="A26" s="116" t="s">
        <v>200</v>
      </c>
      <c r="C26" s="153" t="s">
        <v>102</v>
      </c>
      <c r="E26" s="120">
        <v>2000</v>
      </c>
      <c r="F26" s="121"/>
      <c r="G26" s="122" t="str">
        <f t="shared" si="0"/>
        <v>Mid Cap</v>
      </c>
      <c r="H26" s="123"/>
      <c r="I26" s="117">
        <v>2</v>
      </c>
      <c r="K26" s="151" t="s">
        <v>88</v>
      </c>
    </row>
    <row r="27" spans="1:11" ht="19.5" customHeight="1">
      <c r="A27" s="116" t="s">
        <v>201</v>
      </c>
      <c r="C27" s="153" t="s">
        <v>142</v>
      </c>
      <c r="E27" s="120">
        <v>3900</v>
      </c>
      <c r="F27" s="121"/>
      <c r="G27" s="122" t="str">
        <f t="shared" ref="G27" si="1">IF(E27&gt;=200000,"Mega Cap",IF(E27&gt;=10000,"Large Cap",IF(E27&gt;=2000,"Mid Cap",IF(E27&gt;=300,"Small Cap",IF(E27&gt;=50,"Micro Cap",IF(E27&lt;50,"Nano Cap"))))))</f>
        <v>Mid Cap</v>
      </c>
      <c r="H27" s="123"/>
      <c r="I27" s="117">
        <v>3</v>
      </c>
      <c r="K27" s="151" t="s">
        <v>90</v>
      </c>
    </row>
    <row r="28" spans="1:11" ht="19.5" customHeight="1">
      <c r="A28" s="116" t="s">
        <v>202</v>
      </c>
      <c r="C28" s="153" t="s">
        <v>206</v>
      </c>
      <c r="E28" s="120">
        <v>38000</v>
      </c>
      <c r="F28" s="121"/>
      <c r="G28" s="122" t="str">
        <f t="shared" si="0"/>
        <v>Large Cap</v>
      </c>
      <c r="H28" s="123"/>
      <c r="I28" s="117">
        <v>2</v>
      </c>
      <c r="K28" s="151" t="s">
        <v>88</v>
      </c>
    </row>
    <row r="29" spans="1:11">
      <c r="A29" s="126"/>
      <c r="B29" s="126"/>
      <c r="C29" s="127"/>
      <c r="D29" s="126"/>
      <c r="E29" s="128"/>
      <c r="F29" s="129"/>
      <c r="G29" s="130"/>
      <c r="H29" s="131"/>
      <c r="I29" s="118"/>
      <c r="J29" s="126"/>
      <c r="K29" s="132"/>
    </row>
    <row r="30" spans="1:11">
      <c r="C30" s="133"/>
      <c r="E30" s="134"/>
      <c r="F30" s="121"/>
      <c r="G30" s="123"/>
      <c r="H30" s="123"/>
      <c r="I30" s="117"/>
      <c r="K30" s="124"/>
    </row>
    <row r="31" spans="1:11" s="135" customFormat="1" ht="14.4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s="135" customFormat="1" ht="14.45" customHeight="1">
      <c r="A32" s="253" t="s">
        <v>182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</row>
    <row r="33" spans="1:11" s="135" customFormat="1" ht="14.45" customHeight="1">
      <c r="A33" s="254" t="s">
        <v>91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</row>
    <row r="34" spans="1:11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</row>
  </sheetData>
  <sortState ref="A7:K28">
    <sortCondition ref="A7:A28"/>
  </sortState>
  <mergeCells count="3">
    <mergeCell ref="A32:K32"/>
    <mergeCell ref="A33:K33"/>
    <mergeCell ref="A34:K34"/>
  </mergeCells>
  <phoneticPr fontId="23" type="noConversion"/>
  <printOptions horizontalCentered="1" headings="1" gridLines="1"/>
  <pageMargins left="0.7" right="0.7" top="0.75" bottom="0.75" header="0.3" footer="0.3"/>
  <pageSetup scale="80" orientation="landscape" r:id="rId1"/>
  <headerFooter scaleWithDoc="0">
    <oddHeader xml:space="preserve">&amp;C&amp;"-,Bold"&amp;14Proxy Group Summary&amp;RUE-190334 and UG-190335,
 UE-190222 (Consolidated)
 Exh. DJG-10 
&amp;P of &amp;N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38"/>
  <sheetViews>
    <sheetView topLeftCell="A16" zoomScale="90" zoomScaleNormal="90" workbookViewId="0"/>
  </sheetViews>
  <sheetFormatPr defaultRowHeight="15"/>
  <cols>
    <col min="1" max="1" width="31.42578125" bestFit="1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1" width="2.7109375" customWidth="1"/>
    <col min="12" max="12" width="10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9.5" customHeight="1"/>
    <row r="3" spans="1:12" ht="19.5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/>
      <c r="L3" s="1" t="s">
        <v>6</v>
      </c>
    </row>
    <row r="4" spans="1:12" ht="19.5" customHeight="1">
      <c r="E4" s="1"/>
      <c r="F4" s="1"/>
      <c r="G4" s="1"/>
      <c r="H4" s="1"/>
      <c r="I4" s="1"/>
      <c r="J4" s="1"/>
      <c r="K4" s="1"/>
      <c r="L4" s="1"/>
    </row>
    <row r="5" spans="1:12" ht="19.5" customHeight="1">
      <c r="E5" s="1" t="s">
        <v>77</v>
      </c>
      <c r="F5" s="1"/>
      <c r="G5" s="1" t="s">
        <v>78</v>
      </c>
      <c r="H5" s="1"/>
      <c r="I5" s="1" t="s">
        <v>79</v>
      </c>
      <c r="J5" s="39"/>
      <c r="K5" s="1"/>
      <c r="L5" s="1" t="s">
        <v>80</v>
      </c>
    </row>
    <row r="6" spans="1:12" ht="19.5" customHeight="1">
      <c r="A6" s="2" t="s">
        <v>0</v>
      </c>
      <c r="B6" s="1"/>
      <c r="C6" s="2" t="s">
        <v>1</v>
      </c>
      <c r="D6" s="1"/>
      <c r="E6" s="4" t="s">
        <v>81</v>
      </c>
      <c r="F6" s="5"/>
      <c r="G6" s="4" t="s">
        <v>52</v>
      </c>
      <c r="H6" s="5"/>
      <c r="I6" s="4" t="s">
        <v>82</v>
      </c>
      <c r="J6" s="25"/>
      <c r="K6" s="5"/>
      <c r="L6" s="4" t="s">
        <v>62</v>
      </c>
    </row>
    <row r="7" spans="1:12" ht="19.5" customHeight="1">
      <c r="A7" s="1"/>
      <c r="B7" s="1"/>
      <c r="C7" s="1"/>
      <c r="D7" s="1"/>
      <c r="E7" s="5"/>
      <c r="F7" s="5"/>
      <c r="G7" s="5"/>
      <c r="H7" s="5"/>
      <c r="I7" s="5"/>
      <c r="J7" s="25"/>
      <c r="K7" s="5"/>
    </row>
    <row r="8" spans="1:12" ht="19.5" customHeight="1">
      <c r="A8" t="str">
        <f>'10 Proxy Sum'!A7</f>
        <v>Algonquin Pwr &amp; Util</v>
      </c>
      <c r="C8" s="40" t="str">
        <f>'10 Proxy Sum'!C7</f>
        <v>AQN</v>
      </c>
      <c r="D8" s="1"/>
      <c r="E8" s="22">
        <f>'21 Risk Free Rate'!$E$35</f>
        <v>2.4166666666666659E-2</v>
      </c>
      <c r="F8" s="7"/>
      <c r="G8" s="23" t="str">
        <f>'22 Beta'!E5</f>
        <v>NR</v>
      </c>
      <c r="H8" s="23"/>
      <c r="I8" s="22">
        <f>'28 ERP Result'!$C$16</f>
        <v>5.959844190504833E-2</v>
      </c>
      <c r="J8" s="29"/>
      <c r="K8" s="9"/>
      <c r="L8" s="16" t="s">
        <v>215</v>
      </c>
    </row>
    <row r="9" spans="1:12" ht="19.5" customHeight="1">
      <c r="A9" t="str">
        <f>'10 Proxy Sum'!A8</f>
        <v>Ameren Corp.</v>
      </c>
      <c r="C9" s="40" t="str">
        <f>'10 Proxy Sum'!C8</f>
        <v>AEE</v>
      </c>
      <c r="D9" s="1"/>
      <c r="E9" s="22">
        <f>'21 Risk Free Rate'!$E$35</f>
        <v>2.4166666666666659E-2</v>
      </c>
      <c r="F9" s="7"/>
      <c r="G9" s="23">
        <f>'22 Beta'!E6</f>
        <v>0.6</v>
      </c>
      <c r="H9" s="23"/>
      <c r="I9" s="22">
        <f>'28 ERP Result'!$C$16</f>
        <v>5.959844190504833E-2</v>
      </c>
      <c r="J9" s="29"/>
      <c r="K9" s="9"/>
      <c r="L9" s="16">
        <f t="shared" ref="L9:L22" si="0">E9+G9*I9</f>
        <v>5.9925731809695654E-2</v>
      </c>
    </row>
    <row r="10" spans="1:12" ht="19.5" customHeight="1">
      <c r="A10" t="str">
        <f>'10 Proxy Sum'!A9</f>
        <v>Avangrid, Inc.</v>
      </c>
      <c r="C10" s="40" t="str">
        <f>'10 Proxy Sum'!C9</f>
        <v>AGR</v>
      </c>
      <c r="D10" s="1"/>
      <c r="E10" s="22">
        <f>'21 Risk Free Rate'!$E$35</f>
        <v>2.4166666666666659E-2</v>
      </c>
      <c r="F10" s="7"/>
      <c r="G10" s="23">
        <f>'22 Beta'!E7</f>
        <v>0.4</v>
      </c>
      <c r="H10" s="23"/>
      <c r="I10" s="22">
        <f>'28 ERP Result'!$C$16</f>
        <v>5.959844190504833E-2</v>
      </c>
      <c r="J10" s="29"/>
      <c r="K10" s="9"/>
      <c r="L10" s="16">
        <f t="shared" si="0"/>
        <v>4.8006043428685988E-2</v>
      </c>
    </row>
    <row r="11" spans="1:12" ht="19.5" customHeight="1">
      <c r="A11" t="str">
        <f>'10 Proxy Sum'!A10</f>
        <v>Avista Corp.</v>
      </c>
      <c r="C11" s="40" t="str">
        <f>'10 Proxy Sum'!C10</f>
        <v>AVA</v>
      </c>
      <c r="D11" s="1"/>
      <c r="E11" s="22">
        <f>'21 Risk Free Rate'!$E$35</f>
        <v>2.4166666666666659E-2</v>
      </c>
      <c r="F11" s="7"/>
      <c r="G11" s="23">
        <f>'22 Beta'!E8</f>
        <v>0.6</v>
      </c>
      <c r="H11" s="23"/>
      <c r="I11" s="22">
        <f>'28 ERP Result'!$C$16</f>
        <v>5.959844190504833E-2</v>
      </c>
      <c r="J11" s="29"/>
      <c r="K11" s="9"/>
      <c r="L11" s="16">
        <f t="shared" si="0"/>
        <v>5.9925731809695654E-2</v>
      </c>
    </row>
    <row r="12" spans="1:12" ht="19.5" customHeight="1">
      <c r="A12" t="str">
        <f>'10 Proxy Sum'!A11</f>
        <v>Black Hills Corp.</v>
      </c>
      <c r="C12" s="40" t="str">
        <f>'10 Proxy Sum'!C11</f>
        <v>BKH</v>
      </c>
      <c r="D12" s="1"/>
      <c r="E12" s="22">
        <f>'21 Risk Free Rate'!$E$35</f>
        <v>2.4166666666666659E-2</v>
      </c>
      <c r="F12" s="7"/>
      <c r="G12" s="23">
        <f>'22 Beta'!E9</f>
        <v>0.75</v>
      </c>
      <c r="H12" s="23"/>
      <c r="I12" s="22">
        <f>'28 ERP Result'!$C$16</f>
        <v>5.959844190504833E-2</v>
      </c>
      <c r="J12" s="29"/>
      <c r="K12" s="9"/>
      <c r="L12" s="16">
        <f t="shared" si="0"/>
        <v>6.8865498095452907E-2</v>
      </c>
    </row>
    <row r="13" spans="1:12" ht="19.5" customHeight="1">
      <c r="A13" t="str">
        <f>'10 Proxy Sum'!A12</f>
        <v>CenterPoint Energy</v>
      </c>
      <c r="C13" s="40" t="str">
        <f>'10 Proxy Sum'!C12</f>
        <v>CNP</v>
      </c>
      <c r="D13" s="1"/>
      <c r="E13" s="22">
        <f>'21 Risk Free Rate'!$E$35</f>
        <v>2.4166666666666659E-2</v>
      </c>
      <c r="F13" s="7"/>
      <c r="G13" s="23">
        <f>'22 Beta'!E10</f>
        <v>0.8</v>
      </c>
      <c r="H13" s="23"/>
      <c r="I13" s="22">
        <f>'28 ERP Result'!$C$16</f>
        <v>5.959844190504833E-2</v>
      </c>
      <c r="J13" s="29"/>
      <c r="K13" s="9"/>
      <c r="L13" s="16">
        <f t="shared" si="0"/>
        <v>7.184542019070532E-2</v>
      </c>
    </row>
    <row r="14" spans="1:12" ht="19.5" customHeight="1">
      <c r="A14" t="str">
        <f>'10 Proxy Sum'!A13</f>
        <v>CMS Energy Corp.</v>
      </c>
      <c r="C14" s="40" t="str">
        <f>'10 Proxy Sum'!C13</f>
        <v>CMS</v>
      </c>
      <c r="D14" s="1"/>
      <c r="E14" s="22">
        <f>'21 Risk Free Rate'!$E$35</f>
        <v>2.4166666666666659E-2</v>
      </c>
      <c r="F14" s="7"/>
      <c r="G14" s="23">
        <f>'22 Beta'!E11</f>
        <v>0.55000000000000004</v>
      </c>
      <c r="H14" s="23"/>
      <c r="I14" s="22">
        <f>'28 ERP Result'!$C$16</f>
        <v>5.959844190504833E-2</v>
      </c>
      <c r="J14" s="29"/>
      <c r="K14" s="9"/>
      <c r="L14" s="16">
        <f t="shared" si="0"/>
        <v>5.6945809714443241E-2</v>
      </c>
    </row>
    <row r="15" spans="1:12" ht="19.5" customHeight="1">
      <c r="A15" t="str">
        <f>'10 Proxy Sum'!A14</f>
        <v>Dominion Energy</v>
      </c>
      <c r="C15" s="40" t="str">
        <f>'10 Proxy Sum'!C14</f>
        <v>D</v>
      </c>
      <c r="D15" s="1"/>
      <c r="E15" s="22">
        <f>'21 Risk Free Rate'!$E$35</f>
        <v>2.4166666666666659E-2</v>
      </c>
      <c r="F15" s="7"/>
      <c r="G15" s="23">
        <f>'22 Beta'!E12</f>
        <v>0.55000000000000004</v>
      </c>
      <c r="H15" s="23"/>
      <c r="I15" s="22">
        <f>'28 ERP Result'!$C$16</f>
        <v>5.959844190504833E-2</v>
      </c>
      <c r="J15" s="29"/>
      <c r="K15" s="9"/>
      <c r="L15" s="16">
        <f t="shared" si="0"/>
        <v>5.6945809714443241E-2</v>
      </c>
    </row>
    <row r="16" spans="1:12" ht="19.5" customHeight="1">
      <c r="A16" t="str">
        <f>'10 Proxy Sum'!A15</f>
        <v>DTE Energy Co.</v>
      </c>
      <c r="C16" s="40" t="str">
        <f>'10 Proxy Sum'!C15</f>
        <v>DTE</v>
      </c>
      <c r="D16" s="1"/>
      <c r="E16" s="22">
        <f>'21 Risk Free Rate'!$E$35</f>
        <v>2.4166666666666659E-2</v>
      </c>
      <c r="F16" s="7"/>
      <c r="G16" s="23">
        <f>'22 Beta'!E13</f>
        <v>0.55000000000000004</v>
      </c>
      <c r="H16" s="23"/>
      <c r="I16" s="22">
        <f>'28 ERP Result'!$C$16</f>
        <v>5.959844190504833E-2</v>
      </c>
      <c r="J16" s="29"/>
      <c r="K16" s="9"/>
      <c r="L16" s="16">
        <f t="shared" si="0"/>
        <v>5.6945809714443241E-2</v>
      </c>
    </row>
    <row r="17" spans="1:12" ht="19.5" customHeight="1">
      <c r="A17" t="str">
        <f>'10 Proxy Sum'!A16</f>
        <v>Edison International</v>
      </c>
      <c r="C17" s="40" t="str">
        <f>'10 Proxy Sum'!C16</f>
        <v>EIX</v>
      </c>
      <c r="D17" s="1"/>
      <c r="E17" s="22">
        <f>'21 Risk Free Rate'!$E$35</f>
        <v>2.4166666666666659E-2</v>
      </c>
      <c r="F17" s="7"/>
      <c r="G17" s="23">
        <f>'22 Beta'!E14</f>
        <v>0.6</v>
      </c>
      <c r="H17" s="23"/>
      <c r="I17" s="22">
        <f>'28 ERP Result'!$C$16</f>
        <v>5.959844190504833E-2</v>
      </c>
      <c r="J17" s="29"/>
      <c r="K17" s="9"/>
      <c r="L17" s="16">
        <f t="shared" si="0"/>
        <v>5.9925731809695654E-2</v>
      </c>
    </row>
    <row r="18" spans="1:12" ht="19.5" customHeight="1">
      <c r="A18" t="str">
        <f>'10 Proxy Sum'!A17</f>
        <v>El Paso Electric Co.</v>
      </c>
      <c r="C18" s="40" t="str">
        <f>'10 Proxy Sum'!C17</f>
        <v>EE</v>
      </c>
      <c r="D18" s="1"/>
      <c r="E18" s="22">
        <f>'21 Risk Free Rate'!$E$35</f>
        <v>2.4166666666666659E-2</v>
      </c>
      <c r="F18" s="7"/>
      <c r="G18" s="23">
        <f>'22 Beta'!E15</f>
        <v>0.7</v>
      </c>
      <c r="H18" s="23"/>
      <c r="I18" s="22">
        <f>'28 ERP Result'!$C$16</f>
        <v>5.959844190504833E-2</v>
      </c>
      <c r="J18" s="29"/>
      <c r="K18" s="9"/>
      <c r="L18" s="16">
        <f t="shared" si="0"/>
        <v>6.5885576000200494E-2</v>
      </c>
    </row>
    <row r="19" spans="1:12" ht="19.5" customHeight="1">
      <c r="A19" t="str">
        <f>'10 Proxy Sum'!A18</f>
        <v>Emera Inc.</v>
      </c>
      <c r="C19" s="40" t="str">
        <f>'10 Proxy Sum'!C18</f>
        <v>EMA</v>
      </c>
      <c r="D19" s="1"/>
      <c r="E19" s="22">
        <f>'21 Risk Free Rate'!$E$35</f>
        <v>2.4166666666666659E-2</v>
      </c>
      <c r="F19" s="7"/>
      <c r="G19" s="23">
        <f>'22 Beta'!E16</f>
        <v>0.55000000000000004</v>
      </c>
      <c r="H19" s="23"/>
      <c r="I19" s="22">
        <f>'28 ERP Result'!$C$16</f>
        <v>5.959844190504833E-2</v>
      </c>
      <c r="J19" s="29"/>
      <c r="K19" s="9"/>
      <c r="L19" s="16">
        <f t="shared" si="0"/>
        <v>5.6945809714443241E-2</v>
      </c>
    </row>
    <row r="20" spans="1:12" ht="19.5" customHeight="1">
      <c r="A20" t="str">
        <f>'10 Proxy Sum'!A19</f>
        <v>Entergy Corp.</v>
      </c>
      <c r="C20" s="40" t="str">
        <f>'10 Proxy Sum'!C19</f>
        <v>ETR</v>
      </c>
      <c r="D20" s="1"/>
      <c r="E20" s="22">
        <f>'21 Risk Free Rate'!$E$35</f>
        <v>2.4166666666666659E-2</v>
      </c>
      <c r="F20" s="7"/>
      <c r="G20" s="23">
        <f>'22 Beta'!E17</f>
        <v>0.6</v>
      </c>
      <c r="H20" s="23"/>
      <c r="I20" s="22">
        <f>'28 ERP Result'!$C$16</f>
        <v>5.959844190504833E-2</v>
      </c>
      <c r="J20" s="29"/>
      <c r="K20" s="9"/>
      <c r="L20" s="16">
        <f t="shared" si="0"/>
        <v>5.9925731809695654E-2</v>
      </c>
    </row>
    <row r="21" spans="1:12" ht="19.5" customHeight="1">
      <c r="A21" t="str">
        <f>'10 Proxy Sum'!A20</f>
        <v>Exelon Corp.</v>
      </c>
      <c r="C21" s="40" t="str">
        <f>'10 Proxy Sum'!C20</f>
        <v>EXC</v>
      </c>
      <c r="D21" s="1"/>
      <c r="E21" s="22">
        <f>'21 Risk Free Rate'!$E$35</f>
        <v>2.4166666666666659E-2</v>
      </c>
      <c r="F21" s="7"/>
      <c r="G21" s="23">
        <f>'22 Beta'!E18</f>
        <v>0.7</v>
      </c>
      <c r="H21" s="23"/>
      <c r="I21" s="22">
        <f>'28 ERP Result'!$C$16</f>
        <v>5.959844190504833E-2</v>
      </c>
      <c r="J21" s="29"/>
      <c r="K21" s="9"/>
      <c r="L21" s="16">
        <f t="shared" si="0"/>
        <v>6.5885576000200494E-2</v>
      </c>
    </row>
    <row r="22" spans="1:12" ht="19.5" customHeight="1">
      <c r="A22" t="str">
        <f>'10 Proxy Sum'!A21</f>
        <v>FirstEnergy Corp.</v>
      </c>
      <c r="C22" s="40" t="str">
        <f>'10 Proxy Sum'!C21</f>
        <v>FE</v>
      </c>
      <c r="D22" s="1"/>
      <c r="E22" s="22">
        <f>'21 Risk Free Rate'!$E$35</f>
        <v>2.4166666666666659E-2</v>
      </c>
      <c r="F22" s="7"/>
      <c r="G22" s="23">
        <f>'22 Beta'!E19</f>
        <v>0.6</v>
      </c>
      <c r="H22" s="23"/>
      <c r="I22" s="22">
        <f>'28 ERP Result'!$C$16</f>
        <v>5.959844190504833E-2</v>
      </c>
      <c r="J22" s="29"/>
      <c r="K22" s="9"/>
      <c r="L22" s="16">
        <f t="shared" si="0"/>
        <v>5.9925731809695654E-2</v>
      </c>
    </row>
    <row r="23" spans="1:12" s="167" customFormat="1" ht="19.5" customHeight="1">
      <c r="A23" s="167" t="str">
        <f>'10 Proxy Sum'!A22</f>
        <v>Hawaiian Elec.</v>
      </c>
      <c r="C23" s="40" t="str">
        <f>'10 Proxy Sum'!C22</f>
        <v>HE</v>
      </c>
      <c r="D23" s="166"/>
      <c r="E23" s="164">
        <f>'21 Risk Free Rate'!$E$35</f>
        <v>2.4166666666666659E-2</v>
      </c>
      <c r="F23" s="7"/>
      <c r="G23" s="23">
        <f>'22 Beta'!E20</f>
        <v>0.55000000000000004</v>
      </c>
      <c r="H23" s="23"/>
      <c r="I23" s="164">
        <f>'28 ERP Result'!$C$16</f>
        <v>5.959844190504833E-2</v>
      </c>
      <c r="J23" s="29"/>
      <c r="K23" s="9"/>
      <c r="L23" s="16">
        <f t="shared" ref="L23:L29" si="1">E23+G23*I23</f>
        <v>5.6945809714443241E-2</v>
      </c>
    </row>
    <row r="24" spans="1:12" s="167" customFormat="1" ht="19.5" customHeight="1">
      <c r="A24" s="167" t="str">
        <f>'10 Proxy Sum'!A23</f>
        <v>IDACORP, Inc.</v>
      </c>
      <c r="C24" s="40" t="str">
        <f>'10 Proxy Sum'!C23</f>
        <v>IDA</v>
      </c>
      <c r="D24" s="166"/>
      <c r="E24" s="164">
        <f>'21 Risk Free Rate'!$E$35</f>
        <v>2.4166666666666659E-2</v>
      </c>
      <c r="F24" s="7"/>
      <c r="G24" s="23">
        <f>'22 Beta'!E21</f>
        <v>0.6</v>
      </c>
      <c r="H24" s="23"/>
      <c r="I24" s="164">
        <f>'28 ERP Result'!$C$16</f>
        <v>5.959844190504833E-2</v>
      </c>
      <c r="J24" s="29"/>
      <c r="K24" s="9"/>
      <c r="L24" s="16">
        <f t="shared" si="1"/>
        <v>5.9925731809695654E-2</v>
      </c>
    </row>
    <row r="25" spans="1:12" s="167" customFormat="1" ht="19.5" customHeight="1">
      <c r="A25" s="167" t="str">
        <f>'10 Proxy Sum'!A24</f>
        <v>NorthWestern Corp.</v>
      </c>
      <c r="C25" s="40" t="str">
        <f>'10 Proxy Sum'!C24</f>
        <v>NWE</v>
      </c>
      <c r="D25" s="166"/>
      <c r="E25" s="164">
        <f>'21 Risk Free Rate'!$E$35</f>
        <v>2.4166666666666659E-2</v>
      </c>
      <c r="F25" s="7"/>
      <c r="G25" s="23">
        <f>'22 Beta'!E22</f>
        <v>0.6</v>
      </c>
      <c r="H25" s="23"/>
      <c r="I25" s="164">
        <f>'28 ERP Result'!$C$16</f>
        <v>5.959844190504833E-2</v>
      </c>
      <c r="J25" s="29"/>
      <c r="K25" s="9"/>
      <c r="L25" s="16">
        <f t="shared" si="1"/>
        <v>5.9925731809695654E-2</v>
      </c>
    </row>
    <row r="26" spans="1:12" s="167" customFormat="1" ht="19.5" customHeight="1">
      <c r="A26" s="167" t="str">
        <f>'10 Proxy Sum'!A25</f>
        <v>OGE Energy Corp.</v>
      </c>
      <c r="C26" s="40" t="str">
        <f>'10 Proxy Sum'!C25</f>
        <v>OGE</v>
      </c>
      <c r="D26" s="166"/>
      <c r="E26" s="164">
        <f>'21 Risk Free Rate'!$E$35</f>
        <v>2.4166666666666659E-2</v>
      </c>
      <c r="F26" s="7"/>
      <c r="G26" s="23">
        <f>'22 Beta'!E23</f>
        <v>0.8</v>
      </c>
      <c r="H26" s="23"/>
      <c r="I26" s="164">
        <f>'28 ERP Result'!$C$16</f>
        <v>5.959844190504833E-2</v>
      </c>
      <c r="J26" s="29"/>
      <c r="K26" s="9"/>
      <c r="L26" s="16">
        <f t="shared" si="1"/>
        <v>7.184542019070532E-2</v>
      </c>
    </row>
    <row r="27" spans="1:12" s="167" customFormat="1" ht="19.5" customHeight="1">
      <c r="A27" s="167" t="str">
        <f>'10 Proxy Sum'!A26</f>
        <v>Otter Tail Corp.</v>
      </c>
      <c r="C27" s="40" t="str">
        <f>'10 Proxy Sum'!C26</f>
        <v>OTTR</v>
      </c>
      <c r="D27" s="166"/>
      <c r="E27" s="164">
        <f>'21 Risk Free Rate'!$E$35</f>
        <v>2.4166666666666659E-2</v>
      </c>
      <c r="F27" s="7"/>
      <c r="G27" s="23">
        <f>'22 Beta'!E24</f>
        <v>0.7</v>
      </c>
      <c r="H27" s="23"/>
      <c r="I27" s="164">
        <f>'28 ERP Result'!$C$16</f>
        <v>5.959844190504833E-2</v>
      </c>
      <c r="J27" s="29"/>
      <c r="K27" s="9"/>
      <c r="L27" s="16">
        <f t="shared" si="1"/>
        <v>6.5885576000200494E-2</v>
      </c>
    </row>
    <row r="28" spans="1:12" s="176" customFormat="1" ht="19.5" customHeight="1">
      <c r="A28" s="176" t="str">
        <f>'10 Proxy Sum'!A27</f>
        <v>PNM Resources</v>
      </c>
      <c r="C28" s="40" t="str">
        <f>'10 Proxy Sum'!C27</f>
        <v>PNM</v>
      </c>
      <c r="D28" s="178"/>
      <c r="E28" s="164">
        <f>'21 Risk Free Rate'!$E$35</f>
        <v>2.4166666666666659E-2</v>
      </c>
      <c r="F28" s="7"/>
      <c r="G28" s="23">
        <f>'22 Beta'!E25</f>
        <v>0.6</v>
      </c>
      <c r="H28" s="23"/>
      <c r="I28" s="164">
        <f>'28 ERP Result'!$C$16</f>
        <v>5.959844190504833E-2</v>
      </c>
      <c r="J28" s="29"/>
      <c r="K28" s="9"/>
      <c r="L28" s="16">
        <f t="shared" ref="L28" si="2">E28+G28*I28</f>
        <v>5.9925731809695654E-2</v>
      </c>
    </row>
    <row r="29" spans="1:12" ht="19.5" customHeight="1">
      <c r="A29" s="15" t="str">
        <f>'10 Proxy Sum'!A28</f>
        <v>Sempra Energy</v>
      </c>
      <c r="C29" s="40" t="str">
        <f>'10 Proxy Sum'!C28</f>
        <v>SRE</v>
      </c>
      <c r="D29" s="1"/>
      <c r="E29" s="22">
        <f>'21 Risk Free Rate'!$E$35</f>
        <v>2.4166666666666659E-2</v>
      </c>
      <c r="F29" s="7"/>
      <c r="G29" s="58">
        <f>'22 Beta'!E26</f>
        <v>0.75</v>
      </c>
      <c r="H29" s="23"/>
      <c r="I29" s="22">
        <f>'28 ERP Result'!$C$16</f>
        <v>5.959844190504833E-2</v>
      </c>
      <c r="J29" s="29"/>
      <c r="K29" s="9"/>
      <c r="L29" s="49">
        <f t="shared" si="1"/>
        <v>6.8865498095452907E-2</v>
      </c>
    </row>
    <row r="30" spans="1:12" ht="19.5" customHeight="1" thickBot="1">
      <c r="C30" s="1"/>
      <c r="D30" s="1"/>
      <c r="E30" s="7"/>
      <c r="F30" s="7"/>
      <c r="G30" s="7"/>
      <c r="H30" s="7"/>
      <c r="I30" s="9"/>
      <c r="J30" s="9"/>
      <c r="K30" s="9"/>
    </row>
    <row r="31" spans="1:12" ht="19.5" customHeight="1" thickBot="1">
      <c r="A31" s="48" t="s">
        <v>65</v>
      </c>
      <c r="B31" s="11"/>
      <c r="C31" s="1"/>
      <c r="D31" s="1"/>
      <c r="E31" s="7"/>
      <c r="F31" s="7"/>
      <c r="G31" s="23">
        <f>AVERAGE(G8:G29)</f>
        <v>0.62619047619047608</v>
      </c>
      <c r="H31" s="23"/>
      <c r="I31" s="9"/>
      <c r="J31" s="9"/>
      <c r="K31" s="9"/>
      <c r="L31" s="83">
        <f>AVERAGE(L8:L29)</f>
        <v>6.1486643383399292E-2</v>
      </c>
    </row>
    <row r="32" spans="1:12">
      <c r="A32" s="57"/>
      <c r="B32" s="57"/>
      <c r="C32" s="2"/>
      <c r="D32" s="2"/>
      <c r="E32" s="53"/>
      <c r="F32" s="53"/>
      <c r="G32" s="58"/>
      <c r="H32" s="58"/>
      <c r="I32" s="55"/>
      <c r="J32" s="55"/>
      <c r="K32" s="55"/>
      <c r="L32" s="59"/>
    </row>
    <row r="33" spans="1:12">
      <c r="A33" s="11"/>
      <c r="B33" s="11"/>
      <c r="C33" s="1"/>
      <c r="D33" s="1"/>
      <c r="E33" s="7"/>
      <c r="F33" s="7"/>
      <c r="G33" s="8"/>
      <c r="H33" s="8"/>
      <c r="I33" s="9"/>
      <c r="J33" s="9"/>
      <c r="K33" s="9"/>
      <c r="L33" s="26"/>
    </row>
    <row r="34" spans="1:12" s="52" customFormat="1" ht="14.4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s="52" customFormat="1" ht="14.45" customHeight="1">
      <c r="A35" s="253" t="s">
        <v>120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</row>
    <row r="36" spans="1:12" s="52" customFormat="1" ht="14.45" customHeight="1">
      <c r="A36" s="253" t="s">
        <v>121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</row>
    <row r="37" spans="1:12" s="52" customFormat="1" ht="14.45" customHeight="1">
      <c r="A37" s="253" t="s">
        <v>122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</row>
    <row r="38" spans="1:12">
      <c r="A38" s="253" t="s">
        <v>99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</row>
  </sheetData>
  <mergeCells count="4">
    <mergeCell ref="A38:L38"/>
    <mergeCell ref="A35:L35"/>
    <mergeCell ref="A36:L36"/>
    <mergeCell ref="A37:L37"/>
  </mergeCells>
  <printOptions horizontalCentered="1" verticalCentered="1" headings="1" gridLines="1"/>
  <pageMargins left="0.7" right="0.7" top="0.75" bottom="0.75" header="0.3" footer="0.3"/>
  <pageSetup scale="86" orientation="portrait" r:id="rId1"/>
  <headerFooter scaleWithDoc="0">
    <oddHeader xml:space="preserve">&amp;C&amp;"-,Bold"&amp;14CAPM Final Results&amp;RUE-190334 and UG-190335,
 UE-190222 (Consolidated)
 Exh. DJG-29 
&amp;P of &amp;N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10"/>
  <sheetViews>
    <sheetView zoomScale="110" zoomScaleNormal="110" workbookViewId="0"/>
  </sheetViews>
  <sheetFormatPr defaultRowHeight="15"/>
  <cols>
    <col min="1" max="1" width="35.7109375" customWidth="1"/>
    <col min="2" max="2" width="4.7109375" customWidth="1"/>
    <col min="3" max="3" width="28.7109375" customWidth="1"/>
  </cols>
  <sheetData>
    <row r="1" spans="1:3">
      <c r="A1" s="15"/>
      <c r="B1" s="15"/>
      <c r="C1" s="15"/>
    </row>
    <row r="3" spans="1:3" ht="18.75">
      <c r="A3" s="46" t="s">
        <v>86</v>
      </c>
      <c r="B3" s="48"/>
      <c r="C3" s="62" t="s">
        <v>70</v>
      </c>
    </row>
    <row r="4" spans="1:3" ht="18.75">
      <c r="A4" s="63"/>
      <c r="B4" s="63"/>
      <c r="C4" s="63"/>
    </row>
    <row r="5" spans="1:3" ht="18.75">
      <c r="A5" s="63" t="s">
        <v>85</v>
      </c>
      <c r="B5" s="63"/>
      <c r="C5" s="81">
        <f>'18 DCF Result'!H8</f>
        <v>7.2818853777211867E-2</v>
      </c>
    </row>
    <row r="6" spans="1:3" ht="18.75">
      <c r="A6" s="63"/>
      <c r="B6" s="63"/>
      <c r="C6" s="81"/>
    </row>
    <row r="7" spans="1:3" ht="18.75">
      <c r="A7" s="65" t="s">
        <v>13</v>
      </c>
      <c r="B7" s="63"/>
      <c r="C7" s="82">
        <f>'29 CAPM Result'!L31</f>
        <v>6.1486643383399292E-2</v>
      </c>
    </row>
    <row r="8" spans="1:3" ht="18.75">
      <c r="A8" s="63"/>
      <c r="B8" s="63"/>
      <c r="C8" s="64"/>
    </row>
    <row r="9" spans="1:3" ht="18.75">
      <c r="A9" s="48" t="s">
        <v>65</v>
      </c>
      <c r="B9" s="61"/>
      <c r="C9" s="80">
        <f>AVERAGE(C5,C7)</f>
        <v>6.715274858030558E-2</v>
      </c>
    </row>
    <row r="10" spans="1:3">
      <c r="A10" s="15"/>
      <c r="B10" s="15"/>
      <c r="C10" s="15"/>
    </row>
  </sheetData>
  <printOptions horizontalCentered="1" vertic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&amp;C&amp;"-,Bold"&amp;14Cost of Equity Summary&amp;RUE-190334 and UG-190335,
 UE-190222 (Consolidated)
 Exh. DJG-33 
&amp;P of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0"/>
  <sheetViews>
    <sheetView workbookViewId="0"/>
  </sheetViews>
  <sheetFormatPr defaultRowHeight="15"/>
  <cols>
    <col min="1" max="1" width="28.140625" customWidth="1"/>
    <col min="2" max="2" width="4.28515625" customWidth="1"/>
    <col min="3" max="3" width="12.7109375" customWidth="1"/>
    <col min="4" max="4" width="4.7109375" customWidth="1"/>
  </cols>
  <sheetData>
    <row r="1" spans="1:4">
      <c r="A1" s="15"/>
      <c r="B1" s="15"/>
      <c r="C1" s="15"/>
      <c r="D1" s="15"/>
    </row>
    <row r="3" spans="1:4">
      <c r="A3" s="47" t="s">
        <v>12</v>
      </c>
      <c r="B3" s="1"/>
      <c r="C3" s="47" t="s">
        <v>103</v>
      </c>
    </row>
    <row r="5" spans="1:4">
      <c r="A5" t="s">
        <v>105</v>
      </c>
      <c r="C5" s="16">
        <f>'28 ERP Result'!C4+'21 Risk Free Rate'!E35</f>
        <v>8.0166666666666664E-2</v>
      </c>
      <c r="D5" s="1" t="s">
        <v>3</v>
      </c>
    </row>
    <row r="6" spans="1:4">
      <c r="D6" s="1"/>
    </row>
    <row r="7" spans="1:4">
      <c r="A7" t="s">
        <v>104</v>
      </c>
      <c r="C7" s="16">
        <f>'28 ERP Result'!C6+'21 Risk Free Rate'!E35</f>
        <v>6.8366666666666659E-2</v>
      </c>
      <c r="D7" s="1" t="s">
        <v>4</v>
      </c>
    </row>
    <row r="8" spans="1:4">
      <c r="C8" s="16"/>
      <c r="D8" s="1"/>
    </row>
    <row r="9" spans="1:4">
      <c r="A9" t="s">
        <v>76</v>
      </c>
      <c r="C9" s="16">
        <f>'28 ERP Result'!C10+'21 Risk Free Rate'!E35</f>
        <v>7.5206666666666658E-2</v>
      </c>
      <c r="D9" s="1" t="s">
        <v>5</v>
      </c>
    </row>
    <row r="10" spans="1:4">
      <c r="C10" s="16"/>
      <c r="D10" s="1"/>
    </row>
    <row r="11" spans="1:4">
      <c r="A11" s="15" t="s">
        <v>98</v>
      </c>
      <c r="C11" s="92">
        <f>'27 Implied ERP'!C30</f>
        <v>8.3765108571714986E-2</v>
      </c>
      <c r="D11" s="1" t="s">
        <v>6</v>
      </c>
    </row>
    <row r="12" spans="1:4">
      <c r="C12" s="88"/>
      <c r="D12" s="1"/>
    </row>
    <row r="13" spans="1:4">
      <c r="A13" s="13" t="s">
        <v>65</v>
      </c>
      <c r="B13" s="11"/>
      <c r="C13" s="88">
        <f>AVERAGE(C5:C11)</f>
        <v>7.6876277142928745E-2</v>
      </c>
      <c r="D13" s="1"/>
    </row>
    <row r="14" spans="1:4">
      <c r="A14" s="15"/>
      <c r="B14" s="15"/>
      <c r="C14" s="15"/>
      <c r="D14" s="15"/>
    </row>
    <row r="17" spans="1:7">
      <c r="A17" s="253" t="s">
        <v>111</v>
      </c>
      <c r="B17" s="253"/>
      <c r="C17" s="253"/>
      <c r="D17" s="253"/>
    </row>
    <row r="18" spans="1:7">
      <c r="A18" s="253" t="s">
        <v>110</v>
      </c>
      <c r="B18" s="253"/>
      <c r="C18" s="253"/>
      <c r="D18" s="253"/>
    </row>
    <row r="19" spans="1:7">
      <c r="A19" s="253" t="s">
        <v>109</v>
      </c>
      <c r="B19" s="253"/>
      <c r="C19" s="253"/>
      <c r="D19" s="253"/>
      <c r="E19" s="52"/>
      <c r="F19" s="52"/>
      <c r="G19" s="52"/>
    </row>
    <row r="20" spans="1:7">
      <c r="A20" s="253" t="s">
        <v>157</v>
      </c>
      <c r="B20" s="253"/>
      <c r="C20" s="253"/>
      <c r="D20" s="253"/>
      <c r="E20" s="52"/>
      <c r="F20" s="52"/>
      <c r="G20" s="52"/>
    </row>
  </sheetData>
  <mergeCells count="4">
    <mergeCell ref="A17:D17"/>
    <mergeCell ref="A18:D18"/>
    <mergeCell ref="A19:D19"/>
    <mergeCell ref="A20:D20"/>
  </mergeCells>
  <printOptions horizontalCentered="1" vertic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&amp;C&amp;"-,Bold"&amp;14Market Cost of Equity&amp;RUE-190334 and UG-190335,
 UE-190222 (Consolidated)
 Exh. DJG-34 
&amp;P of &amp;N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H48"/>
  <sheetViews>
    <sheetView zoomScale="40" zoomScaleNormal="40" workbookViewId="0">
      <selection activeCell="W8" sqref="W8"/>
    </sheetView>
  </sheetViews>
  <sheetFormatPr defaultRowHeight="15"/>
  <cols>
    <col min="2" max="2" width="2.7109375" customWidth="1"/>
    <col min="4" max="4" width="1.7109375" customWidth="1"/>
    <col min="5" max="5" width="4.7109375" customWidth="1"/>
    <col min="6" max="6" width="2.7109375" customWidth="1"/>
    <col min="8" max="8" width="1.7109375" customWidth="1"/>
    <col min="9" max="9" width="4.7109375" customWidth="1"/>
    <col min="10" max="10" width="2.7109375" customWidth="1"/>
    <col min="12" max="12" width="1.7109375" customWidth="1"/>
    <col min="13" max="13" width="4.7109375" customWidth="1"/>
    <col min="14" max="14" width="2.7109375" customWidth="1"/>
    <col min="16" max="16" width="2.7109375" customWidth="1"/>
    <col min="18" max="18" width="2.7109375" customWidth="1"/>
    <col min="20" max="20" width="2.7109375" customWidth="1"/>
    <col min="34" max="34" width="14.85546875" bestFit="1" customWidth="1"/>
  </cols>
  <sheetData>
    <row r="1" spans="1:2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3" spans="1:21">
      <c r="C3" s="265" t="s">
        <v>3</v>
      </c>
      <c r="D3" s="265"/>
      <c r="E3" s="265"/>
      <c r="G3" s="265" t="s">
        <v>4</v>
      </c>
      <c r="H3" s="265"/>
      <c r="I3" s="265"/>
      <c r="K3" s="265" t="s">
        <v>5</v>
      </c>
      <c r="L3" s="265"/>
      <c r="M3" s="265"/>
      <c r="O3" s="1" t="s">
        <v>6</v>
      </c>
      <c r="P3" s="1"/>
      <c r="Q3" s="1" t="s">
        <v>7</v>
      </c>
      <c r="R3" s="1"/>
      <c r="S3" s="1" t="s">
        <v>14</v>
      </c>
      <c r="T3" s="1"/>
      <c r="U3" s="1" t="s">
        <v>15</v>
      </c>
    </row>
    <row r="5" spans="1:21">
      <c r="C5" s="266" t="s">
        <v>143</v>
      </c>
      <c r="D5" s="266"/>
      <c r="E5" s="266"/>
      <c r="G5" s="266" t="s">
        <v>144</v>
      </c>
      <c r="H5" s="266"/>
      <c r="I5" s="266"/>
      <c r="K5" s="266" t="s">
        <v>145</v>
      </c>
      <c r="L5" s="266"/>
      <c r="M5" s="266"/>
      <c r="O5" s="1" t="s">
        <v>146</v>
      </c>
      <c r="Q5" s="1" t="s">
        <v>147</v>
      </c>
      <c r="S5" s="1" t="s">
        <v>79</v>
      </c>
      <c r="U5" s="1" t="s">
        <v>148</v>
      </c>
    </row>
    <row r="6" spans="1:21">
      <c r="A6" s="2" t="s">
        <v>25</v>
      </c>
      <c r="B6" s="1"/>
      <c r="C6" s="2" t="s">
        <v>53</v>
      </c>
      <c r="D6" s="1"/>
      <c r="E6" s="2" t="s">
        <v>149</v>
      </c>
      <c r="F6" s="1"/>
      <c r="G6" s="2" t="s">
        <v>53</v>
      </c>
      <c r="H6" s="1"/>
      <c r="I6" s="2" t="s">
        <v>149</v>
      </c>
      <c r="K6" s="2" t="s">
        <v>53</v>
      </c>
      <c r="L6" s="1"/>
      <c r="M6" s="2" t="s">
        <v>149</v>
      </c>
      <c r="O6" s="2" t="s">
        <v>150</v>
      </c>
      <c r="Q6" s="2" t="s">
        <v>18</v>
      </c>
      <c r="S6" s="2" t="s">
        <v>82</v>
      </c>
      <c r="U6" s="2" t="s">
        <v>151</v>
      </c>
    </row>
    <row r="8" spans="1:21">
      <c r="A8" s="169">
        <v>1990</v>
      </c>
      <c r="B8" s="169"/>
      <c r="C8" s="27">
        <v>0.127</v>
      </c>
      <c r="D8" s="169"/>
      <c r="E8" s="169">
        <v>38</v>
      </c>
      <c r="F8" s="169"/>
      <c r="G8" s="27">
        <v>0.1268</v>
      </c>
      <c r="H8" s="169"/>
      <c r="I8" s="169">
        <v>33</v>
      </c>
      <c r="J8" s="169"/>
      <c r="K8" s="27">
        <f>C8*E8/M8+G8*I8/M8</f>
        <v>0.12690704225352112</v>
      </c>
      <c r="L8" s="169"/>
      <c r="M8" s="169">
        <f>E8+I8</f>
        <v>71</v>
      </c>
      <c r="N8" s="169"/>
      <c r="O8" s="12">
        <v>-3.0599999999999999E-2</v>
      </c>
      <c r="P8" s="169"/>
      <c r="Q8" s="27">
        <v>8.0699999999999994E-2</v>
      </c>
      <c r="R8" s="169"/>
      <c r="S8" s="27">
        <v>3.8899999999999997E-2</v>
      </c>
      <c r="T8" s="169"/>
      <c r="U8" s="12">
        <f>S8+Q8</f>
        <v>0.11959999999999998</v>
      </c>
    </row>
    <row r="9" spans="1:21">
      <c r="A9" s="169">
        <v>1991</v>
      </c>
      <c r="B9" s="169"/>
      <c r="C9" s="27">
        <v>0.12539999999999998</v>
      </c>
      <c r="D9" s="169"/>
      <c r="E9" s="169">
        <v>42</v>
      </c>
      <c r="F9" s="169"/>
      <c r="G9" s="27">
        <v>0.1245</v>
      </c>
      <c r="H9" s="169"/>
      <c r="I9" s="169">
        <v>31</v>
      </c>
      <c r="J9" s="169"/>
      <c r="K9" s="27">
        <f t="shared" ref="K9:K36" si="0">C9*E9/M9+G9*I9/M9</f>
        <v>0.12501780821917807</v>
      </c>
      <c r="L9" s="169"/>
      <c r="M9" s="169">
        <f t="shared" ref="M9:M36" si="1">E9+I9</f>
        <v>73</v>
      </c>
      <c r="N9" s="169"/>
      <c r="O9" s="12">
        <v>0.30230000000000001</v>
      </c>
      <c r="P9" s="169"/>
      <c r="Q9" s="27">
        <v>6.7000000000000004E-2</v>
      </c>
      <c r="R9" s="169"/>
      <c r="S9" s="27">
        <v>3.4799999999999998E-2</v>
      </c>
      <c r="T9" s="169"/>
      <c r="U9" s="12">
        <f t="shared" ref="U9:U36" si="2">S9+Q9</f>
        <v>0.1018</v>
      </c>
    </row>
    <row r="10" spans="1:21">
      <c r="A10" s="169">
        <v>1992</v>
      </c>
      <c r="B10" s="169"/>
      <c r="C10" s="27">
        <v>0.12089999999999999</v>
      </c>
      <c r="D10" s="169"/>
      <c r="E10" s="169">
        <v>45</v>
      </c>
      <c r="F10" s="169"/>
      <c r="G10" s="27">
        <v>0.1202</v>
      </c>
      <c r="H10" s="169"/>
      <c r="I10" s="169">
        <v>28</v>
      </c>
      <c r="J10" s="169"/>
      <c r="K10" s="27">
        <f t="shared" si="0"/>
        <v>0.12063150684931508</v>
      </c>
      <c r="L10" s="169"/>
      <c r="M10" s="169">
        <f t="shared" si="1"/>
        <v>73</v>
      </c>
      <c r="N10" s="169"/>
      <c r="O10" s="12">
        <v>7.4899999999999994E-2</v>
      </c>
      <c r="P10" s="169"/>
      <c r="Q10" s="27">
        <v>6.6799999999999998E-2</v>
      </c>
      <c r="R10" s="169"/>
      <c r="S10" s="27">
        <v>3.5499999999999997E-2</v>
      </c>
      <c r="T10" s="169"/>
      <c r="U10" s="12">
        <f t="shared" si="2"/>
        <v>0.1023</v>
      </c>
    </row>
    <row r="11" spans="1:21">
      <c r="A11" s="169">
        <v>1993</v>
      </c>
      <c r="B11" s="169"/>
      <c r="C11" s="27">
        <v>0.11460000000000001</v>
      </c>
      <c r="D11" s="169"/>
      <c r="E11" s="169">
        <v>28</v>
      </c>
      <c r="F11" s="169"/>
      <c r="G11" s="27">
        <v>0.1137</v>
      </c>
      <c r="H11" s="169"/>
      <c r="I11" s="169">
        <v>40</v>
      </c>
      <c r="J11" s="169"/>
      <c r="K11" s="27">
        <f t="shared" si="0"/>
        <v>0.11407058823529412</v>
      </c>
      <c r="L11" s="169"/>
      <c r="M11" s="169">
        <f t="shared" si="1"/>
        <v>68</v>
      </c>
      <c r="N11" s="169"/>
      <c r="O11" s="12">
        <v>9.9699999999999997E-2</v>
      </c>
      <c r="P11" s="169"/>
      <c r="Q11" s="27">
        <v>5.79E-2</v>
      </c>
      <c r="R11" s="169"/>
      <c r="S11" s="27">
        <v>3.1699999999999999E-2</v>
      </c>
      <c r="T11" s="169"/>
      <c r="U11" s="12">
        <f t="shared" si="2"/>
        <v>8.9599999999999999E-2</v>
      </c>
    </row>
    <row r="12" spans="1:21">
      <c r="A12" s="169">
        <v>1994</v>
      </c>
      <c r="B12" s="169"/>
      <c r="C12" s="27">
        <v>0.11210000000000001</v>
      </c>
      <c r="D12" s="169"/>
      <c r="E12" s="169">
        <v>28</v>
      </c>
      <c r="F12" s="169"/>
      <c r="G12" s="27">
        <v>0.1124</v>
      </c>
      <c r="H12" s="169"/>
      <c r="I12" s="169">
        <v>24</v>
      </c>
      <c r="J12" s="169"/>
      <c r="K12" s="27">
        <f t="shared" si="0"/>
        <v>0.11223846153846154</v>
      </c>
      <c r="L12" s="169"/>
      <c r="M12" s="169">
        <f t="shared" si="1"/>
        <v>52</v>
      </c>
      <c r="N12" s="169"/>
      <c r="O12" s="12">
        <v>1.3299999999999999E-2</v>
      </c>
      <c r="P12" s="169"/>
      <c r="Q12" s="27">
        <v>7.8200000000000006E-2</v>
      </c>
      <c r="R12" s="169"/>
      <c r="S12" s="27">
        <v>3.5499999999999997E-2</v>
      </c>
      <c r="T12" s="169"/>
      <c r="U12" s="12">
        <f t="shared" si="2"/>
        <v>0.1137</v>
      </c>
    </row>
    <row r="13" spans="1:21">
      <c r="A13" s="169">
        <v>1995</v>
      </c>
      <c r="B13" s="169"/>
      <c r="C13" s="27">
        <v>0.1158</v>
      </c>
      <c r="D13" s="169"/>
      <c r="E13" s="169">
        <v>28</v>
      </c>
      <c r="F13" s="169"/>
      <c r="G13" s="27">
        <v>0.1144</v>
      </c>
      <c r="H13" s="169"/>
      <c r="I13" s="169">
        <v>13</v>
      </c>
      <c r="J13" s="169"/>
      <c r="K13" s="27">
        <f t="shared" si="0"/>
        <v>0.11535609756097562</v>
      </c>
      <c r="L13" s="169"/>
      <c r="M13" s="169">
        <f t="shared" si="1"/>
        <v>41</v>
      </c>
      <c r="N13" s="169"/>
      <c r="O13" s="12">
        <v>0.372</v>
      </c>
      <c r="P13" s="169"/>
      <c r="Q13" s="27">
        <v>5.57E-2</v>
      </c>
      <c r="R13" s="169"/>
      <c r="S13" s="27">
        <v>3.2899999999999999E-2</v>
      </c>
      <c r="T13" s="169"/>
      <c r="U13" s="12">
        <f t="shared" si="2"/>
        <v>8.8599999999999998E-2</v>
      </c>
    </row>
    <row r="14" spans="1:21">
      <c r="A14" s="169">
        <v>1996</v>
      </c>
      <c r="B14" s="169"/>
      <c r="C14" s="27">
        <v>0.114</v>
      </c>
      <c r="D14" s="169"/>
      <c r="E14" s="169">
        <v>18</v>
      </c>
      <c r="F14" s="169"/>
      <c r="G14" s="27">
        <v>0.11119999999999999</v>
      </c>
      <c r="H14" s="169"/>
      <c r="I14" s="169">
        <v>17</v>
      </c>
      <c r="J14" s="169"/>
      <c r="K14" s="27">
        <f t="shared" si="0"/>
        <v>0.11263999999999999</v>
      </c>
      <c r="L14" s="169"/>
      <c r="M14" s="169">
        <f t="shared" si="1"/>
        <v>35</v>
      </c>
      <c r="N14" s="169"/>
      <c r="O14" s="12">
        <v>0.2268</v>
      </c>
      <c r="P14" s="169"/>
      <c r="Q14" s="27">
        <v>6.4100000000000004E-2</v>
      </c>
      <c r="R14" s="169"/>
      <c r="S14" s="27">
        <v>3.2000000000000001E-2</v>
      </c>
      <c r="T14" s="169"/>
      <c r="U14" s="12">
        <f t="shared" si="2"/>
        <v>9.6100000000000005E-2</v>
      </c>
    </row>
    <row r="15" spans="1:21">
      <c r="A15" s="169">
        <v>1997</v>
      </c>
      <c r="B15" s="169"/>
      <c r="C15" s="27">
        <v>0.1133</v>
      </c>
      <c r="D15" s="169"/>
      <c r="E15" s="169">
        <v>10</v>
      </c>
      <c r="F15" s="169"/>
      <c r="G15" s="27">
        <v>0.113</v>
      </c>
      <c r="H15" s="169"/>
      <c r="I15" s="169">
        <v>12</v>
      </c>
      <c r="J15" s="169"/>
      <c r="K15" s="27">
        <f t="shared" si="0"/>
        <v>0.11313636363636365</v>
      </c>
      <c r="L15" s="169"/>
      <c r="M15" s="169">
        <f t="shared" si="1"/>
        <v>22</v>
      </c>
      <c r="N15" s="169"/>
      <c r="O15" s="12">
        <v>0.33100000000000002</v>
      </c>
      <c r="P15" s="169"/>
      <c r="Q15" s="27">
        <v>5.74E-2</v>
      </c>
      <c r="R15" s="169"/>
      <c r="S15" s="27">
        <v>2.7300000000000001E-2</v>
      </c>
      <c r="T15" s="169"/>
      <c r="U15" s="12">
        <f t="shared" si="2"/>
        <v>8.4699999999999998E-2</v>
      </c>
    </row>
    <row r="16" spans="1:21">
      <c r="A16" s="169">
        <v>1998</v>
      </c>
      <c r="B16" s="169"/>
      <c r="C16" s="27">
        <v>0.1177</v>
      </c>
      <c r="D16" s="169"/>
      <c r="E16" s="169">
        <v>10</v>
      </c>
      <c r="F16" s="169"/>
      <c r="G16" s="27">
        <v>0.11509999999999999</v>
      </c>
      <c r="H16" s="169"/>
      <c r="I16" s="169">
        <v>10</v>
      </c>
      <c r="J16" s="169"/>
      <c r="K16" s="27">
        <f t="shared" si="0"/>
        <v>0.1164</v>
      </c>
      <c r="L16" s="169"/>
      <c r="M16" s="169">
        <f t="shared" si="1"/>
        <v>20</v>
      </c>
      <c r="N16" s="169"/>
      <c r="O16" s="12">
        <v>0.28339999999999999</v>
      </c>
      <c r="P16" s="169"/>
      <c r="Q16" s="27">
        <v>4.65E-2</v>
      </c>
      <c r="R16" s="169"/>
      <c r="S16" s="27">
        <v>2.2599999999999999E-2</v>
      </c>
      <c r="T16" s="169"/>
      <c r="U16" s="12">
        <f t="shared" si="2"/>
        <v>6.9099999999999995E-2</v>
      </c>
    </row>
    <row r="17" spans="1:34">
      <c r="A17" s="169">
        <v>1999</v>
      </c>
      <c r="B17" s="169"/>
      <c r="C17" s="27">
        <v>0.1072</v>
      </c>
      <c r="D17" s="169"/>
      <c r="E17" s="169">
        <v>6</v>
      </c>
      <c r="F17" s="169"/>
      <c r="G17" s="27">
        <v>0.1074</v>
      </c>
      <c r="H17" s="169"/>
      <c r="I17" s="169">
        <v>6</v>
      </c>
      <c r="J17" s="169"/>
      <c r="K17" s="27">
        <f t="shared" si="0"/>
        <v>0.10730000000000001</v>
      </c>
      <c r="L17" s="169"/>
      <c r="M17" s="169">
        <f t="shared" si="1"/>
        <v>12</v>
      </c>
      <c r="N17" s="169"/>
      <c r="O17" s="12">
        <v>0.2089</v>
      </c>
      <c r="P17" s="169"/>
      <c r="Q17" s="27">
        <v>6.4399999999999999E-2</v>
      </c>
      <c r="R17" s="169"/>
      <c r="S17" s="27">
        <v>2.0500000000000001E-2</v>
      </c>
      <c r="T17" s="169"/>
      <c r="U17" s="12">
        <f t="shared" si="2"/>
        <v>8.4900000000000003E-2</v>
      </c>
    </row>
    <row r="18" spans="1:34">
      <c r="A18" s="169">
        <v>2000</v>
      </c>
      <c r="B18" s="169"/>
      <c r="C18" s="27">
        <v>0.1158</v>
      </c>
      <c r="D18" s="169"/>
      <c r="E18" s="169">
        <v>9</v>
      </c>
      <c r="F18" s="169"/>
      <c r="G18" s="27">
        <v>0.1134</v>
      </c>
      <c r="H18" s="169"/>
      <c r="I18" s="169">
        <v>13</v>
      </c>
      <c r="J18" s="169"/>
      <c r="K18" s="27">
        <f t="shared" si="0"/>
        <v>0.11438181818181818</v>
      </c>
      <c r="L18" s="169"/>
      <c r="M18" s="169">
        <f t="shared" si="1"/>
        <v>22</v>
      </c>
      <c r="N18" s="169"/>
      <c r="O18" s="12">
        <v>-9.0300000000000005E-2</v>
      </c>
      <c r="P18" s="169"/>
      <c r="Q18" s="27">
        <v>5.11E-2</v>
      </c>
      <c r="R18" s="169"/>
      <c r="S18" s="27">
        <v>2.87E-2</v>
      </c>
      <c r="T18" s="169"/>
      <c r="U18" s="12">
        <f t="shared" si="2"/>
        <v>7.9799999999999996E-2</v>
      </c>
    </row>
    <row r="19" spans="1:34">
      <c r="A19" s="169">
        <v>2001</v>
      </c>
      <c r="B19" s="169"/>
      <c r="C19" s="27">
        <v>0.11070000000000001</v>
      </c>
      <c r="D19" s="169"/>
      <c r="E19" s="169">
        <v>15</v>
      </c>
      <c r="F19" s="169"/>
      <c r="G19" s="27">
        <v>0.1096</v>
      </c>
      <c r="H19" s="169"/>
      <c r="I19" s="169">
        <v>5</v>
      </c>
      <c r="J19" s="169"/>
      <c r="K19" s="27">
        <f t="shared" si="0"/>
        <v>0.110425</v>
      </c>
      <c r="L19" s="169"/>
      <c r="M19" s="169">
        <f t="shared" si="1"/>
        <v>20</v>
      </c>
      <c r="N19" s="169"/>
      <c r="O19" s="12">
        <v>-0.11849999999999999</v>
      </c>
      <c r="P19" s="169"/>
      <c r="Q19" s="27">
        <v>5.0500000000000003E-2</v>
      </c>
      <c r="R19" s="169"/>
      <c r="S19" s="27">
        <v>3.6200000000000003E-2</v>
      </c>
      <c r="T19" s="169"/>
      <c r="U19" s="12">
        <f t="shared" si="2"/>
        <v>8.6699999999999999E-2</v>
      </c>
    </row>
    <row r="20" spans="1:34">
      <c r="A20" s="169">
        <v>2002</v>
      </c>
      <c r="B20" s="169"/>
      <c r="C20" s="27">
        <v>0.11210000000000001</v>
      </c>
      <c r="D20" s="169"/>
      <c r="E20" s="169">
        <v>14</v>
      </c>
      <c r="F20" s="169"/>
      <c r="G20" s="27">
        <v>0.11169999999999999</v>
      </c>
      <c r="H20" s="169"/>
      <c r="I20" s="169">
        <v>19</v>
      </c>
      <c r="J20" s="169"/>
      <c r="K20" s="27">
        <f t="shared" si="0"/>
        <v>0.11186969696969698</v>
      </c>
      <c r="L20" s="169"/>
      <c r="M20" s="169">
        <f t="shared" si="1"/>
        <v>33</v>
      </c>
      <c r="N20" s="169"/>
      <c r="O20" s="12">
        <v>-0.21970000000000001</v>
      </c>
      <c r="P20" s="169"/>
      <c r="Q20" s="27">
        <v>3.8100000000000002E-2</v>
      </c>
      <c r="R20" s="169"/>
      <c r="S20" s="27">
        <v>4.1000000000000002E-2</v>
      </c>
      <c r="T20" s="169"/>
      <c r="U20" s="12">
        <f t="shared" si="2"/>
        <v>7.9100000000000004E-2</v>
      </c>
    </row>
    <row r="21" spans="1:34">
      <c r="A21" s="169">
        <v>2003</v>
      </c>
      <c r="B21" s="169"/>
      <c r="C21" s="27">
        <v>0.1096</v>
      </c>
      <c r="D21" s="169"/>
      <c r="E21" s="169">
        <v>20</v>
      </c>
      <c r="F21" s="169"/>
      <c r="G21" s="27">
        <v>0.1099</v>
      </c>
      <c r="H21" s="169"/>
      <c r="I21" s="169">
        <v>25</v>
      </c>
      <c r="J21" s="169"/>
      <c r="K21" s="27">
        <f t="shared" si="0"/>
        <v>0.10976666666666668</v>
      </c>
      <c r="L21" s="169"/>
      <c r="M21" s="169">
        <f t="shared" si="1"/>
        <v>45</v>
      </c>
      <c r="N21" s="169"/>
      <c r="O21" s="12">
        <v>0.28360000000000002</v>
      </c>
      <c r="P21" s="169"/>
      <c r="Q21" s="27">
        <v>4.2500000000000003E-2</v>
      </c>
      <c r="R21" s="169"/>
      <c r="S21" s="27">
        <v>3.6900000000000002E-2</v>
      </c>
      <c r="T21" s="169"/>
      <c r="U21" s="12">
        <f t="shared" si="2"/>
        <v>7.9399999999999998E-2</v>
      </c>
    </row>
    <row r="22" spans="1:34">
      <c r="A22" s="169">
        <v>2004</v>
      </c>
      <c r="B22" s="169"/>
      <c r="C22" s="27">
        <v>0.1081</v>
      </c>
      <c r="D22" s="169"/>
      <c r="E22" s="169">
        <v>21</v>
      </c>
      <c r="F22" s="169"/>
      <c r="G22" s="27">
        <v>0.10630000000000001</v>
      </c>
      <c r="H22" s="169"/>
      <c r="I22" s="169">
        <v>22</v>
      </c>
      <c r="J22" s="169"/>
      <c r="K22" s="27">
        <f t="shared" si="0"/>
        <v>0.10717906976744188</v>
      </c>
      <c r="L22" s="169"/>
      <c r="M22" s="169">
        <f t="shared" si="1"/>
        <v>43</v>
      </c>
      <c r="N22" s="169"/>
      <c r="O22" s="12">
        <v>0.1074</v>
      </c>
      <c r="P22" s="169"/>
      <c r="Q22" s="27">
        <v>4.2200000000000001E-2</v>
      </c>
      <c r="R22" s="169"/>
      <c r="S22" s="27">
        <v>3.6499999999999998E-2</v>
      </c>
      <c r="T22" s="169"/>
      <c r="U22" s="12">
        <f t="shared" si="2"/>
        <v>7.8699999999999992E-2</v>
      </c>
    </row>
    <row r="23" spans="1:34">
      <c r="A23" s="169">
        <v>2005</v>
      </c>
      <c r="B23" s="169"/>
      <c r="C23" s="27">
        <v>0.1051</v>
      </c>
      <c r="D23" s="169"/>
      <c r="E23" s="169">
        <v>24</v>
      </c>
      <c r="F23" s="169"/>
      <c r="G23" s="27">
        <v>0.1041</v>
      </c>
      <c r="H23" s="169"/>
      <c r="I23" s="169">
        <v>26</v>
      </c>
      <c r="J23" s="169"/>
      <c r="K23" s="27">
        <f t="shared" si="0"/>
        <v>0.10458000000000001</v>
      </c>
      <c r="L23" s="169"/>
      <c r="M23" s="169">
        <f t="shared" si="1"/>
        <v>50</v>
      </c>
      <c r="N23" s="169"/>
      <c r="O23" s="12">
        <v>4.8300000000000003E-2</v>
      </c>
      <c r="P23" s="169"/>
      <c r="Q23" s="27">
        <v>4.3900000000000002E-2</v>
      </c>
      <c r="R23" s="169"/>
      <c r="S23" s="27">
        <v>4.0800000000000003E-2</v>
      </c>
      <c r="T23" s="169"/>
      <c r="U23" s="12">
        <f t="shared" si="2"/>
        <v>8.4699999999999998E-2</v>
      </c>
    </row>
    <row r="24" spans="1:34">
      <c r="A24" s="169">
        <v>2006</v>
      </c>
      <c r="B24" s="169"/>
      <c r="C24" s="27">
        <v>0.1032</v>
      </c>
      <c r="D24" s="169"/>
      <c r="E24" s="169">
        <v>26</v>
      </c>
      <c r="F24" s="169"/>
      <c r="G24" s="27">
        <v>0.10400000000000001</v>
      </c>
      <c r="H24" s="169"/>
      <c r="I24" s="169">
        <v>15</v>
      </c>
      <c r="J24" s="169"/>
      <c r="K24" s="27">
        <f t="shared" si="0"/>
        <v>0.10349268292682925</v>
      </c>
      <c r="L24" s="169"/>
      <c r="M24" s="169">
        <f t="shared" si="1"/>
        <v>41</v>
      </c>
      <c r="N24" s="169"/>
      <c r="O24" s="12">
        <v>0.15609999999999999</v>
      </c>
      <c r="P24" s="169"/>
      <c r="Q24" s="27">
        <v>4.7E-2</v>
      </c>
      <c r="R24" s="169"/>
      <c r="S24" s="27">
        <v>4.1599999999999998E-2</v>
      </c>
      <c r="T24" s="169"/>
      <c r="U24" s="12">
        <f t="shared" si="2"/>
        <v>8.8599999999999998E-2</v>
      </c>
    </row>
    <row r="25" spans="1:34">
      <c r="A25" s="169">
        <v>2007</v>
      </c>
      <c r="B25" s="169"/>
      <c r="C25" s="27">
        <v>0.10300000000000001</v>
      </c>
      <c r="D25" s="169"/>
      <c r="E25" s="169">
        <v>38</v>
      </c>
      <c r="F25" s="169"/>
      <c r="G25" s="27">
        <v>0.10220000000000001</v>
      </c>
      <c r="H25" s="169"/>
      <c r="I25" s="169">
        <v>35</v>
      </c>
      <c r="J25" s="169"/>
      <c r="K25" s="27">
        <f t="shared" si="0"/>
        <v>0.10261643835616439</v>
      </c>
      <c r="L25" s="169"/>
      <c r="M25" s="169">
        <f t="shared" si="1"/>
        <v>73</v>
      </c>
      <c r="N25" s="169"/>
      <c r="O25" s="12">
        <v>5.4800000000000001E-2</v>
      </c>
      <c r="P25" s="169"/>
      <c r="Q25" s="27">
        <v>4.02E-2</v>
      </c>
      <c r="R25" s="169"/>
      <c r="S25" s="27">
        <v>4.3700000000000003E-2</v>
      </c>
      <c r="T25" s="169"/>
      <c r="U25" s="12">
        <f t="shared" si="2"/>
        <v>8.3900000000000002E-2</v>
      </c>
    </row>
    <row r="26" spans="1:34">
      <c r="A26" s="169">
        <v>2008</v>
      </c>
      <c r="B26" s="169"/>
      <c r="C26" s="27">
        <v>0.1041</v>
      </c>
      <c r="D26" s="169"/>
      <c r="E26" s="169">
        <v>37</v>
      </c>
      <c r="F26" s="169"/>
      <c r="G26" s="27">
        <v>0.10390000000000001</v>
      </c>
      <c r="H26" s="169"/>
      <c r="I26" s="169">
        <v>32</v>
      </c>
      <c r="J26" s="169"/>
      <c r="K26" s="27">
        <f t="shared" si="0"/>
        <v>0.10400724637681161</v>
      </c>
      <c r="L26" s="169"/>
      <c r="M26" s="169">
        <f t="shared" si="1"/>
        <v>69</v>
      </c>
      <c r="N26" s="169"/>
      <c r="O26" s="12">
        <v>-0.36549999999999999</v>
      </c>
      <c r="P26" s="169"/>
      <c r="Q26" s="27">
        <v>2.2100000000000002E-2</v>
      </c>
      <c r="R26" s="169"/>
      <c r="S26" s="27">
        <v>6.4299999999999996E-2</v>
      </c>
      <c r="T26" s="169"/>
      <c r="U26" s="12">
        <f t="shared" si="2"/>
        <v>8.6400000000000005E-2</v>
      </c>
    </row>
    <row r="27" spans="1:34">
      <c r="A27" s="169">
        <v>2009</v>
      </c>
      <c r="B27" s="169"/>
      <c r="C27" s="27">
        <v>0.1052</v>
      </c>
      <c r="D27" s="169"/>
      <c r="E27" s="169">
        <v>40</v>
      </c>
      <c r="F27" s="169"/>
      <c r="G27" s="27">
        <v>0.10220000000000001</v>
      </c>
      <c r="H27" s="169"/>
      <c r="I27" s="169">
        <v>30</v>
      </c>
      <c r="J27" s="169"/>
      <c r="K27" s="27">
        <f t="shared" si="0"/>
        <v>0.10391428571428572</v>
      </c>
      <c r="L27" s="169"/>
      <c r="M27" s="169">
        <f t="shared" si="1"/>
        <v>70</v>
      </c>
      <c r="N27" s="169"/>
      <c r="O27" s="12">
        <v>0.25940000000000002</v>
      </c>
      <c r="P27" s="169"/>
      <c r="Q27" s="27">
        <v>3.8399999999999997E-2</v>
      </c>
      <c r="R27" s="169"/>
      <c r="S27" s="27">
        <v>4.36E-2</v>
      </c>
      <c r="T27" s="169"/>
      <c r="U27" s="12">
        <f t="shared" si="2"/>
        <v>8.199999999999999E-2</v>
      </c>
    </row>
    <row r="28" spans="1:34">
      <c r="A28" s="169">
        <v>2010</v>
      </c>
      <c r="B28" s="169"/>
      <c r="C28" s="27">
        <v>0.10369999999999999</v>
      </c>
      <c r="D28" s="169"/>
      <c r="E28" s="169">
        <v>61</v>
      </c>
      <c r="F28" s="169"/>
      <c r="G28" s="27">
        <v>0.10150000000000001</v>
      </c>
      <c r="H28" s="169"/>
      <c r="I28" s="169">
        <v>39</v>
      </c>
      <c r="J28" s="169"/>
      <c r="K28" s="27">
        <f t="shared" si="0"/>
        <v>0.10284199999999999</v>
      </c>
      <c r="L28" s="169"/>
      <c r="M28" s="169">
        <f t="shared" si="1"/>
        <v>100</v>
      </c>
      <c r="N28" s="169"/>
      <c r="O28" s="12">
        <v>0.1482</v>
      </c>
      <c r="P28" s="169"/>
      <c r="Q28" s="27">
        <v>3.2899999999999999E-2</v>
      </c>
      <c r="R28" s="169"/>
      <c r="S28" s="27">
        <v>5.1999999999999998E-2</v>
      </c>
      <c r="T28" s="169"/>
      <c r="U28" s="12">
        <f t="shared" si="2"/>
        <v>8.4900000000000003E-2</v>
      </c>
    </row>
    <row r="29" spans="1:34">
      <c r="A29" s="169">
        <v>2011</v>
      </c>
      <c r="B29" s="169"/>
      <c r="C29" s="27">
        <v>0.10289999999999999</v>
      </c>
      <c r="D29" s="169"/>
      <c r="E29" s="169">
        <v>42</v>
      </c>
      <c r="F29" s="169"/>
      <c r="G29" s="27">
        <v>9.9199999999999997E-2</v>
      </c>
      <c r="H29" s="169"/>
      <c r="I29" s="169">
        <v>16</v>
      </c>
      <c r="J29" s="169"/>
      <c r="K29" s="27">
        <f t="shared" si="0"/>
        <v>0.10187931034482758</v>
      </c>
      <c r="L29" s="169"/>
      <c r="M29" s="169">
        <f t="shared" si="1"/>
        <v>58</v>
      </c>
      <c r="N29" s="169"/>
      <c r="O29" s="12">
        <v>2.1000000000000001E-2</v>
      </c>
      <c r="P29" s="169"/>
      <c r="Q29" s="27">
        <v>1.8800000000000001E-2</v>
      </c>
      <c r="R29" s="169"/>
      <c r="S29" s="27">
        <v>6.0100000000000001E-2</v>
      </c>
      <c r="T29" s="169"/>
      <c r="U29" s="12">
        <f t="shared" si="2"/>
        <v>7.8899999999999998E-2</v>
      </c>
      <c r="AH29" t="s">
        <v>152</v>
      </c>
    </row>
    <row r="30" spans="1:34">
      <c r="A30" s="169">
        <v>2012</v>
      </c>
      <c r="B30" s="169"/>
      <c r="C30" s="27">
        <v>0.1017</v>
      </c>
      <c r="D30" s="169"/>
      <c r="E30" s="169">
        <v>58</v>
      </c>
      <c r="F30" s="169"/>
      <c r="G30" s="27">
        <v>9.9399999999999988E-2</v>
      </c>
      <c r="H30" s="169"/>
      <c r="I30" s="169">
        <v>35</v>
      </c>
      <c r="J30" s="169"/>
      <c r="K30" s="27">
        <f t="shared" si="0"/>
        <v>0.10083440860215054</v>
      </c>
      <c r="L30" s="169"/>
      <c r="M30" s="169">
        <f t="shared" si="1"/>
        <v>93</v>
      </c>
      <c r="N30" s="169"/>
      <c r="O30" s="12">
        <v>0.15890000000000001</v>
      </c>
      <c r="P30" s="169"/>
      <c r="Q30" s="27">
        <v>1.7600000000000001E-2</v>
      </c>
      <c r="R30" s="169"/>
      <c r="S30" s="27">
        <v>5.7799999999999997E-2</v>
      </c>
      <c r="T30" s="169"/>
      <c r="U30" s="12">
        <f t="shared" si="2"/>
        <v>7.5399999999999995E-2</v>
      </c>
      <c r="AH30" s="14">
        <f>'33 COE Summary'!C9</f>
        <v>6.715274858030558E-2</v>
      </c>
    </row>
    <row r="31" spans="1:34">
      <c r="A31" s="169">
        <v>2013</v>
      </c>
      <c r="B31" s="169"/>
      <c r="C31" s="27">
        <v>0.1003</v>
      </c>
      <c r="D31" s="169"/>
      <c r="E31" s="169">
        <v>49</v>
      </c>
      <c r="F31" s="169"/>
      <c r="G31" s="27">
        <v>9.6799999999999997E-2</v>
      </c>
      <c r="H31" s="169"/>
      <c r="I31" s="169">
        <v>21</v>
      </c>
      <c r="J31" s="169"/>
      <c r="K31" s="27">
        <f t="shared" si="0"/>
        <v>9.9249999999999991E-2</v>
      </c>
      <c r="L31" s="169"/>
      <c r="M31" s="169">
        <f t="shared" si="1"/>
        <v>70</v>
      </c>
      <c r="N31" s="169"/>
      <c r="O31" s="12">
        <v>0.32150000000000001</v>
      </c>
      <c r="P31" s="169"/>
      <c r="Q31" s="27">
        <v>3.04E-2</v>
      </c>
      <c r="R31" s="169"/>
      <c r="S31" s="27">
        <v>4.9599999999999998E-2</v>
      </c>
      <c r="T31" s="169"/>
      <c r="U31" s="12">
        <f t="shared" si="2"/>
        <v>0.08</v>
      </c>
    </row>
    <row r="32" spans="1:34">
      <c r="A32" s="169">
        <v>2014</v>
      </c>
      <c r="B32" s="169"/>
      <c r="C32" s="27">
        <v>9.9100000000000008E-2</v>
      </c>
      <c r="D32" s="169"/>
      <c r="E32" s="169">
        <v>38</v>
      </c>
      <c r="F32" s="169"/>
      <c r="G32" s="27">
        <v>9.7799999999999998E-2</v>
      </c>
      <c r="H32" s="169"/>
      <c r="I32" s="169">
        <v>26</v>
      </c>
      <c r="J32" s="169"/>
      <c r="K32" s="27">
        <f t="shared" si="0"/>
        <v>9.8571875000000003E-2</v>
      </c>
      <c r="L32" s="169"/>
      <c r="M32" s="169">
        <f t="shared" si="1"/>
        <v>64</v>
      </c>
      <c r="N32" s="169"/>
      <c r="O32" s="12">
        <v>0.13519999999999999</v>
      </c>
      <c r="P32" s="169"/>
      <c r="Q32" s="27">
        <v>2.1700000000000001E-2</v>
      </c>
      <c r="R32" s="169"/>
      <c r="S32" s="27">
        <v>5.7799999999999997E-2</v>
      </c>
      <c r="T32" s="169"/>
      <c r="U32" s="12">
        <f t="shared" si="2"/>
        <v>7.9500000000000001E-2</v>
      </c>
      <c r="X32" s="10"/>
      <c r="AH32" t="s">
        <v>153</v>
      </c>
    </row>
    <row r="33" spans="1:34">
      <c r="A33" s="169">
        <v>2015</v>
      </c>
      <c r="B33" s="169"/>
      <c r="C33" s="27">
        <v>9.849999999999999E-2</v>
      </c>
      <c r="D33" s="169"/>
      <c r="E33" s="169">
        <v>30</v>
      </c>
      <c r="F33" s="169"/>
      <c r="G33" s="27">
        <v>9.6000000000000002E-2</v>
      </c>
      <c r="H33" s="169"/>
      <c r="I33" s="169">
        <v>16</v>
      </c>
      <c r="J33" s="169"/>
      <c r="K33" s="27">
        <f t="shared" si="0"/>
        <v>9.7630434782608688E-2</v>
      </c>
      <c r="L33" s="169"/>
      <c r="M33" s="169">
        <f t="shared" si="1"/>
        <v>46</v>
      </c>
      <c r="N33" s="169"/>
      <c r="O33" s="12">
        <v>1.38E-2</v>
      </c>
      <c r="P33" s="169"/>
      <c r="Q33" s="27">
        <v>2.2700000000000001E-2</v>
      </c>
      <c r="R33" s="169"/>
      <c r="S33" s="27">
        <v>6.1199999999999997E-2</v>
      </c>
      <c r="T33" s="169"/>
      <c r="U33" s="12">
        <f t="shared" si="2"/>
        <v>8.3900000000000002E-2</v>
      </c>
      <c r="AH33" s="14">
        <v>0.105</v>
      </c>
    </row>
    <row r="34" spans="1:34">
      <c r="A34" s="169">
        <v>2016</v>
      </c>
      <c r="B34" s="169"/>
      <c r="C34" s="27">
        <v>9.7699999999999995E-2</v>
      </c>
      <c r="D34" s="169"/>
      <c r="E34" s="169">
        <v>42</v>
      </c>
      <c r="F34" s="169"/>
      <c r="G34" s="27">
        <v>9.5399999999999985E-2</v>
      </c>
      <c r="H34" s="169"/>
      <c r="I34" s="169">
        <v>26</v>
      </c>
      <c r="J34" s="169"/>
      <c r="K34" s="27">
        <f t="shared" si="0"/>
        <v>9.6820588235294103E-2</v>
      </c>
      <c r="L34" s="169"/>
      <c r="M34" s="169">
        <f t="shared" si="1"/>
        <v>68</v>
      </c>
      <c r="N34" s="169"/>
      <c r="O34" s="12">
        <v>0.1177</v>
      </c>
      <c r="P34" s="169"/>
      <c r="Q34" s="27">
        <v>2.4500000000000001E-2</v>
      </c>
      <c r="R34" s="169"/>
      <c r="S34" s="27">
        <v>5.6899999999999999E-2</v>
      </c>
      <c r="T34" s="169"/>
      <c r="U34" s="12">
        <f t="shared" si="2"/>
        <v>8.14E-2</v>
      </c>
      <c r="AC34" s="10"/>
    </row>
    <row r="35" spans="1:34">
      <c r="A35" s="18">
        <v>2017</v>
      </c>
      <c r="B35" s="169"/>
      <c r="C35" s="27">
        <v>9.74E-2</v>
      </c>
      <c r="D35" s="169"/>
      <c r="E35" s="169">
        <v>53</v>
      </c>
      <c r="F35" s="169"/>
      <c r="G35" s="27">
        <v>9.7200000000000009E-2</v>
      </c>
      <c r="H35" s="169"/>
      <c r="I35" s="169">
        <v>24</v>
      </c>
      <c r="J35" s="169"/>
      <c r="K35" s="27">
        <f t="shared" si="0"/>
        <v>9.7337662337662334E-2</v>
      </c>
      <c r="L35" s="169"/>
      <c r="M35" s="169">
        <f t="shared" si="1"/>
        <v>77</v>
      </c>
      <c r="N35" s="169"/>
      <c r="O35" s="12">
        <v>0.21640000000000001</v>
      </c>
      <c r="P35" s="169"/>
      <c r="Q35" s="27">
        <v>2.41E-2</v>
      </c>
      <c r="R35" s="169"/>
      <c r="S35" s="27">
        <v>5.0799999999999998E-2</v>
      </c>
      <c r="T35" s="169"/>
      <c r="U35" s="12">
        <f t="shared" si="2"/>
        <v>7.4899999999999994E-2</v>
      </c>
      <c r="AH35" t="s">
        <v>154</v>
      </c>
    </row>
    <row r="36" spans="1:34">
      <c r="A36" s="18">
        <v>2018</v>
      </c>
      <c r="B36" s="169"/>
      <c r="C36" s="27">
        <v>9.5899999999999999E-2</v>
      </c>
      <c r="D36" s="169"/>
      <c r="E36" s="169">
        <v>48</v>
      </c>
      <c r="F36" s="169"/>
      <c r="G36" s="27">
        <v>9.5899999999999999E-2</v>
      </c>
      <c r="H36" s="169"/>
      <c r="I36" s="169">
        <v>41</v>
      </c>
      <c r="J36" s="169"/>
      <c r="K36" s="27">
        <f t="shared" si="0"/>
        <v>9.5900000000000013E-2</v>
      </c>
      <c r="L36" s="169"/>
      <c r="M36" s="169">
        <f t="shared" si="1"/>
        <v>89</v>
      </c>
      <c r="N36" s="169"/>
      <c r="O36" s="12">
        <v>-4.2299999999999997E-2</v>
      </c>
      <c r="P36" s="169"/>
      <c r="Q36" s="27">
        <v>2.6800000000000001E-2</v>
      </c>
      <c r="R36" s="169"/>
      <c r="S36" s="27">
        <v>5.96E-2</v>
      </c>
      <c r="T36" s="169"/>
      <c r="U36" s="12">
        <f t="shared" si="2"/>
        <v>8.6400000000000005E-2</v>
      </c>
      <c r="AH36" s="27">
        <v>9.2499999999999999E-2</v>
      </c>
    </row>
    <row r="37" spans="1:34">
      <c r="A37" s="152">
        <v>2019</v>
      </c>
      <c r="C37" s="27"/>
      <c r="G37" s="27"/>
      <c r="K37" s="27"/>
      <c r="O37" s="12"/>
      <c r="Q37" s="27"/>
      <c r="S37" s="27"/>
      <c r="U37" s="12"/>
    </row>
    <row r="38" spans="1:3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40" spans="1:34">
      <c r="A40" s="11"/>
      <c r="C40" s="12"/>
      <c r="G40" s="12"/>
    </row>
    <row r="41" spans="1:34" ht="15" customHeight="1">
      <c r="A41" s="263" t="s">
        <v>176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</row>
    <row r="42" spans="1:34">
      <c r="A42" s="263" t="s">
        <v>177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</row>
    <row r="43" spans="1:34" ht="15" customHeight="1">
      <c r="A43" s="263" t="s">
        <v>155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</row>
    <row r="44" spans="1:34">
      <c r="A44" s="264" t="s">
        <v>156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</row>
    <row r="45" spans="1:34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</row>
    <row r="46" spans="1:34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</row>
    <row r="47" spans="1:34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</row>
    <row r="48" spans="1:34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</row>
  </sheetData>
  <mergeCells count="10">
    <mergeCell ref="A41:U41"/>
    <mergeCell ref="A42:U42"/>
    <mergeCell ref="A43:U43"/>
    <mergeCell ref="A44:U44"/>
    <mergeCell ref="C3:E3"/>
    <mergeCell ref="G3:I3"/>
    <mergeCell ref="K3:M3"/>
    <mergeCell ref="C5:E5"/>
    <mergeCell ref="G5:I5"/>
    <mergeCell ref="K5:M5"/>
  </mergeCells>
  <printOptions horizontalCentered="1" verticalCentered="1" headings="1" gridLines="1"/>
  <pageMargins left="0.7" right="0.7" top="1" bottom="0.5" header="0.3" footer="0.3"/>
  <pageSetup scale="73" fitToWidth="2" orientation="portrait" horizontalDpi="1200" verticalDpi="1200" r:id="rId1"/>
  <headerFooter scaleWithDoc="0">
    <oddHeader xml:space="preserve">&amp;C&amp;"-,Bold"&amp;14Market Cost of Equity vs. Awarded Returns
&amp;RUE-190334 and UG-190335,
 UE-190222 (Consolidated)
 Exh. DJG-6 
&amp;P of &amp;N </oddHeader>
  </headerFooter>
  <colBreaks count="1" manualBreakCount="1">
    <brk id="2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BE49"/>
  <sheetViews>
    <sheetView zoomScale="40" zoomScaleNormal="40" workbookViewId="0">
      <selection activeCell="Y17" sqref="Y17"/>
    </sheetView>
  </sheetViews>
  <sheetFormatPr defaultColWidth="9.140625" defaultRowHeight="15"/>
  <cols>
    <col min="1" max="1" width="9.28515625" style="187" customWidth="1"/>
    <col min="2" max="2" width="1.7109375" style="187" customWidth="1"/>
    <col min="3" max="3" width="9.28515625" style="187" customWidth="1"/>
    <col min="4" max="4" width="1.7109375" style="187" customWidth="1"/>
    <col min="5" max="5" width="10.140625" style="187" bestFit="1" customWidth="1"/>
    <col min="6" max="6" width="1.7109375" style="187" customWidth="1"/>
    <col min="7" max="7" width="9.28515625" style="187" customWidth="1"/>
    <col min="8" max="8" width="1.7109375" style="187" customWidth="1"/>
    <col min="9" max="9" width="9.42578125" style="187" customWidth="1"/>
    <col min="10" max="10" width="1.7109375" style="187" customWidth="1"/>
    <col min="11" max="11" width="9.28515625" style="187" customWidth="1"/>
    <col min="12" max="12" width="1.7109375" style="187" customWidth="1"/>
    <col min="13" max="13" width="9.28515625" style="187" customWidth="1"/>
    <col min="14" max="14" width="1.7109375" style="187" customWidth="1"/>
    <col min="15" max="15" width="10.42578125" style="187" customWidth="1"/>
    <col min="16" max="16" width="1.7109375" style="187" customWidth="1"/>
    <col min="17" max="17" width="9.28515625" style="187" customWidth="1"/>
    <col min="18" max="18" width="1.7109375" style="187" customWidth="1"/>
    <col min="19" max="19" width="9.28515625" style="187" customWidth="1"/>
    <col min="20" max="20" width="1.7109375" style="187" customWidth="1"/>
    <col min="21" max="21" width="9.28515625" style="187" customWidth="1"/>
    <col min="22" max="22" width="1.7109375" style="187" customWidth="1"/>
    <col min="23" max="24" width="9.5703125" style="187" customWidth="1"/>
    <col min="25" max="25" width="13.28515625" style="187" customWidth="1"/>
    <col min="26" max="26" width="2.7109375" style="187" customWidth="1"/>
    <col min="27" max="34" width="9.140625" style="187"/>
    <col min="35" max="35" width="9.28515625" style="187" customWidth="1"/>
    <col min="36" max="36" width="1.7109375" style="187" customWidth="1"/>
    <col min="37" max="37" width="9.28515625" style="187" customWidth="1"/>
    <col min="38" max="38" width="1.7109375" style="187" customWidth="1"/>
    <col min="39" max="39" width="9.28515625" style="187" customWidth="1"/>
    <col min="40" max="40" width="1.7109375" style="187" customWidth="1"/>
    <col min="41" max="41" width="9.28515625" style="187" customWidth="1"/>
    <col min="42" max="42" width="1.7109375" style="187" customWidth="1"/>
    <col min="43" max="43" width="9.42578125" style="187" customWidth="1"/>
    <col min="44" max="44" width="1.7109375" style="187" customWidth="1"/>
    <col min="45" max="45" width="9.28515625" style="187" customWidth="1"/>
    <col min="46" max="46" width="1.7109375" style="187" customWidth="1"/>
    <col min="47" max="47" width="9.28515625" style="187" customWidth="1"/>
    <col min="48" max="48" width="1.7109375" style="187" customWidth="1"/>
    <col min="49" max="49" width="10.42578125" style="187" customWidth="1"/>
    <col min="50" max="50" width="1.7109375" style="187" customWidth="1"/>
    <col min="51" max="51" width="9.140625" style="187"/>
    <col min="52" max="52" width="1.7109375" style="187" customWidth="1"/>
    <col min="53" max="53" width="9.140625" style="187"/>
    <col min="54" max="54" width="1.7109375" style="187" customWidth="1"/>
    <col min="55" max="55" width="9.140625" style="187"/>
    <col min="56" max="56" width="1.7109375" style="187" customWidth="1"/>
    <col min="57" max="16384" width="9.140625" style="187"/>
  </cols>
  <sheetData>
    <row r="1" spans="1:49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3" spans="1:49">
      <c r="Q3" s="188" t="s">
        <v>40</v>
      </c>
      <c r="S3" s="188" t="s">
        <v>41</v>
      </c>
      <c r="T3" s="188"/>
      <c r="U3" s="188" t="s">
        <v>42</v>
      </c>
      <c r="V3" s="188"/>
      <c r="W3" s="188" t="s">
        <v>43</v>
      </c>
      <c r="X3" s="188"/>
    </row>
    <row r="5" spans="1:49">
      <c r="A5" s="269" t="s">
        <v>217</v>
      </c>
      <c r="B5" s="269"/>
      <c r="C5" s="269"/>
      <c r="D5" s="269"/>
      <c r="E5" s="269"/>
      <c r="F5" s="13"/>
      <c r="G5" s="13"/>
      <c r="H5" s="13"/>
      <c r="I5" s="13"/>
      <c r="J5" s="13"/>
      <c r="K5" s="193"/>
      <c r="M5" s="194"/>
      <c r="P5" s="13"/>
      <c r="Q5" s="269" t="s">
        <v>218</v>
      </c>
      <c r="R5" s="269"/>
      <c r="S5" s="269"/>
      <c r="T5" s="269"/>
      <c r="U5" s="269"/>
      <c r="V5" s="269"/>
      <c r="W5" s="269"/>
      <c r="X5" s="13"/>
    </row>
    <row r="6" spans="1:49">
      <c r="K6" s="193"/>
      <c r="M6" s="194"/>
      <c r="Q6" s="188" t="s">
        <v>219</v>
      </c>
      <c r="R6" s="188"/>
      <c r="S6" s="188" t="s">
        <v>220</v>
      </c>
      <c r="T6" s="188"/>
      <c r="U6" s="188"/>
      <c r="V6" s="188"/>
      <c r="W6" s="188" t="s">
        <v>221</v>
      </c>
      <c r="X6" s="188"/>
      <c r="AI6" s="13" t="s">
        <v>272</v>
      </c>
    </row>
    <row r="7" spans="1:49">
      <c r="A7" s="256" t="s">
        <v>222</v>
      </c>
      <c r="B7" s="256"/>
      <c r="C7" s="256"/>
      <c r="E7" s="195">
        <v>261113</v>
      </c>
      <c r="F7" s="196"/>
      <c r="G7" s="197" t="s">
        <v>3</v>
      </c>
      <c r="H7" s="196"/>
      <c r="I7" s="196"/>
      <c r="J7" s="196"/>
      <c r="K7" s="193"/>
      <c r="M7" s="194"/>
      <c r="Q7" s="189" t="s">
        <v>223</v>
      </c>
      <c r="R7" s="189"/>
      <c r="S7" s="189" t="s">
        <v>224</v>
      </c>
      <c r="T7" s="189"/>
      <c r="U7" s="189" t="s">
        <v>225</v>
      </c>
      <c r="V7" s="189"/>
      <c r="W7" s="189" t="s">
        <v>18</v>
      </c>
      <c r="X7" s="188"/>
    </row>
    <row r="8" spans="1:49">
      <c r="A8" s="256" t="s">
        <v>226</v>
      </c>
      <c r="B8" s="256"/>
      <c r="C8" s="256"/>
      <c r="E8" s="195">
        <v>100936</v>
      </c>
      <c r="F8" s="196"/>
      <c r="G8" s="197" t="s">
        <v>4</v>
      </c>
      <c r="H8" s="196"/>
      <c r="I8" s="196"/>
      <c r="J8" s="196"/>
      <c r="K8" s="193"/>
      <c r="M8" s="194"/>
      <c r="O8" s="11"/>
      <c r="Q8" s="24" t="s">
        <v>227</v>
      </c>
      <c r="R8" s="188"/>
      <c r="S8" s="24" t="s">
        <v>228</v>
      </c>
      <c r="T8" s="24"/>
      <c r="U8" s="199">
        <v>7.4999999999999997E-3</v>
      </c>
      <c r="V8" s="27"/>
      <c r="W8" s="200">
        <f t="shared" ref="W8:W19" si="0">$E$16+U8</f>
        <v>3.1666666666666662E-2</v>
      </c>
      <c r="X8" s="200"/>
      <c r="Z8" s="12"/>
      <c r="AI8" s="191" t="s">
        <v>216</v>
      </c>
      <c r="AJ8" s="191"/>
      <c r="AK8" s="191" t="s">
        <v>274</v>
      </c>
      <c r="AL8" s="191"/>
      <c r="AM8" s="191" t="s">
        <v>275</v>
      </c>
      <c r="AN8" s="191"/>
      <c r="AO8" s="191" t="s">
        <v>276</v>
      </c>
      <c r="AP8" s="191"/>
      <c r="AQ8" s="191" t="s">
        <v>219</v>
      </c>
      <c r="AR8" s="191"/>
      <c r="AS8" s="191" t="s">
        <v>278</v>
      </c>
      <c r="AT8" s="191"/>
      <c r="AU8" s="191" t="s">
        <v>279</v>
      </c>
      <c r="AV8" s="191"/>
      <c r="AW8" s="191" t="s">
        <v>280</v>
      </c>
    </row>
    <row r="9" spans="1:49">
      <c r="A9" s="256" t="s">
        <v>229</v>
      </c>
      <c r="B9" s="256"/>
      <c r="C9" s="256"/>
      <c r="E9" s="195">
        <v>1863174</v>
      </c>
      <c r="F9" s="196"/>
      <c r="G9" s="197" t="s">
        <v>5</v>
      </c>
      <c r="H9" s="196"/>
      <c r="I9" s="196"/>
      <c r="J9" s="196"/>
      <c r="K9" s="193"/>
      <c r="M9" s="194"/>
      <c r="Q9" s="24" t="s">
        <v>230</v>
      </c>
      <c r="R9" s="188"/>
      <c r="S9" s="24" t="s">
        <v>231</v>
      </c>
      <c r="T9" s="24"/>
      <c r="U9" s="199">
        <v>0.01</v>
      </c>
      <c r="V9" s="27"/>
      <c r="W9" s="200">
        <f t="shared" si="0"/>
        <v>3.4166666666666658E-2</v>
      </c>
      <c r="X9" s="200"/>
      <c r="Z9" s="12"/>
      <c r="AI9" s="192" t="s">
        <v>223</v>
      </c>
      <c r="AJ9" s="192"/>
      <c r="AK9" s="192" t="s">
        <v>52</v>
      </c>
      <c r="AL9" s="192"/>
      <c r="AM9" s="192" t="s">
        <v>281</v>
      </c>
      <c r="AN9" s="192"/>
      <c r="AO9" s="234" t="s">
        <v>53</v>
      </c>
      <c r="AP9" s="192"/>
      <c r="AQ9" s="192" t="s">
        <v>223</v>
      </c>
      <c r="AR9" s="192"/>
      <c r="AS9" s="192" t="s">
        <v>241</v>
      </c>
      <c r="AT9" s="192"/>
      <c r="AU9" s="192" t="s">
        <v>284</v>
      </c>
      <c r="AV9" s="192"/>
      <c r="AW9" s="192" t="s">
        <v>285</v>
      </c>
    </row>
    <row r="10" spans="1:49">
      <c r="A10" s="256" t="s">
        <v>232</v>
      </c>
      <c r="B10" s="256"/>
      <c r="C10" s="256"/>
      <c r="E10" s="195">
        <v>1773220</v>
      </c>
      <c r="F10" s="196"/>
      <c r="G10" s="197" t="s">
        <v>6</v>
      </c>
      <c r="H10" s="196"/>
      <c r="I10" s="201"/>
      <c r="J10" s="196"/>
      <c r="K10" s="193"/>
      <c r="M10" s="194"/>
      <c r="Q10" s="24" t="s">
        <v>233</v>
      </c>
      <c r="R10" s="188"/>
      <c r="S10" s="24" t="s">
        <v>234</v>
      </c>
      <c r="T10" s="24"/>
      <c r="U10" s="199">
        <v>1.2500000000000001E-2</v>
      </c>
      <c r="V10" s="27"/>
      <c r="W10" s="200">
        <f t="shared" si="0"/>
        <v>3.666666666666666E-2</v>
      </c>
      <c r="X10" s="200"/>
      <c r="Z10" s="12"/>
      <c r="AI10" s="203">
        <v>0</v>
      </c>
      <c r="AJ10" s="203"/>
      <c r="AK10" s="9">
        <v>0.34216636784752852</v>
      </c>
      <c r="AL10" s="93"/>
      <c r="AM10" s="200">
        <v>4.4559249062688988E-2</v>
      </c>
      <c r="AN10" s="12"/>
      <c r="AO10" s="200">
        <v>0.09</v>
      </c>
      <c r="AP10" s="12"/>
      <c r="AQ10" s="204" t="s">
        <v>286</v>
      </c>
      <c r="AR10" s="204"/>
      <c r="AS10" s="200">
        <v>2.5042999999999999E-2</v>
      </c>
      <c r="AT10" s="200"/>
      <c r="AU10" s="199">
        <v>4.4559249062688988E-2</v>
      </c>
      <c r="AV10" s="190"/>
      <c r="AW10" s="199">
        <v>0.09</v>
      </c>
    </row>
    <row r="11" spans="1:49">
      <c r="A11" s="256" t="s">
        <v>235</v>
      </c>
      <c r="B11" s="256"/>
      <c r="C11" s="256"/>
      <c r="E11" s="27">
        <f>E9/(E9+E10)</f>
        <v>0.51236857172242611</v>
      </c>
      <c r="F11" s="201"/>
      <c r="G11" s="202" t="s">
        <v>7</v>
      </c>
      <c r="H11" s="201"/>
      <c r="I11" s="201"/>
      <c r="J11" s="201"/>
      <c r="K11" s="193"/>
      <c r="M11" s="194"/>
      <c r="Q11" s="24" t="s">
        <v>236</v>
      </c>
      <c r="R11" s="188"/>
      <c r="S11" s="24" t="s">
        <v>237</v>
      </c>
      <c r="T11" s="24"/>
      <c r="U11" s="199">
        <v>1.38E-2</v>
      </c>
      <c r="V11" s="27"/>
      <c r="W11" s="200">
        <f t="shared" si="0"/>
        <v>3.7966666666666662E-2</v>
      </c>
      <c r="X11" s="200"/>
      <c r="Z11" s="12"/>
      <c r="AI11" s="203">
        <v>0.2</v>
      </c>
      <c r="AJ11" s="203"/>
      <c r="AK11" s="9">
        <v>0.4097442254974154</v>
      </c>
      <c r="AL11" s="93"/>
      <c r="AM11" s="200">
        <v>4.8586784085903389E-2</v>
      </c>
      <c r="AN11" s="12"/>
      <c r="AO11" s="200">
        <v>0.09</v>
      </c>
      <c r="AP11" s="12"/>
      <c r="AQ11" s="3">
        <v>6.7359733043414822</v>
      </c>
      <c r="AR11" s="204"/>
      <c r="AS11" s="200">
        <v>2.7018000000000004E-2</v>
      </c>
      <c r="AT11" s="200"/>
      <c r="AU11" s="199">
        <v>4.4273027268722717E-2</v>
      </c>
      <c r="AV11" s="190"/>
      <c r="AW11" s="199">
        <v>7.7403599999999989E-2</v>
      </c>
    </row>
    <row r="12" spans="1:49">
      <c r="A12" s="256" t="s">
        <v>238</v>
      </c>
      <c r="B12" s="256"/>
      <c r="C12" s="256"/>
      <c r="E12" s="201">
        <f>E9/E10</f>
        <v>1.0507291819401992</v>
      </c>
      <c r="F12" s="201"/>
      <c r="G12" s="202" t="s">
        <v>14</v>
      </c>
      <c r="H12" s="201"/>
      <c r="I12" s="201"/>
      <c r="J12" s="201"/>
      <c r="K12" s="193"/>
      <c r="M12" s="194"/>
      <c r="Q12" s="24" t="s">
        <v>239</v>
      </c>
      <c r="R12" s="188"/>
      <c r="S12" s="24" t="s">
        <v>240</v>
      </c>
      <c r="T12" s="24"/>
      <c r="U12" s="199">
        <v>1.5599999999999999E-2</v>
      </c>
      <c r="V12" s="27"/>
      <c r="W12" s="200">
        <f t="shared" si="0"/>
        <v>3.9766666666666659E-2</v>
      </c>
      <c r="X12" s="200"/>
      <c r="Z12" s="12"/>
      <c r="AI12" s="203">
        <v>0.3</v>
      </c>
      <c r="AJ12" s="203"/>
      <c r="AK12" s="9">
        <v>0.45801412381876316</v>
      </c>
      <c r="AL12" s="93"/>
      <c r="AM12" s="200">
        <v>5.1463594816770833E-2</v>
      </c>
      <c r="AN12" s="12"/>
      <c r="AO12" s="200">
        <v>0.09</v>
      </c>
      <c r="AP12" s="12"/>
      <c r="AQ12" s="3">
        <v>4.4906488695609887</v>
      </c>
      <c r="AR12" s="204"/>
      <c r="AS12" s="200">
        <v>3.0020000000000002E-2</v>
      </c>
      <c r="AT12" s="200"/>
      <c r="AU12" s="199">
        <v>4.5030516371739583E-2</v>
      </c>
      <c r="AV12" s="190"/>
      <c r="AW12" s="199">
        <v>7.2006000000000001E-2</v>
      </c>
    </row>
    <row r="13" spans="1:49" ht="15.75" thickBot="1">
      <c r="A13" s="256" t="s">
        <v>241</v>
      </c>
      <c r="B13" s="256"/>
      <c r="C13" s="256"/>
      <c r="E13" s="27">
        <v>5.33E-2</v>
      </c>
      <c r="F13" s="27"/>
      <c r="G13" s="164" t="s">
        <v>15</v>
      </c>
      <c r="H13" s="27"/>
      <c r="I13" s="27"/>
      <c r="J13" s="27"/>
      <c r="K13" s="193"/>
      <c r="M13" s="194"/>
      <c r="O13" s="187" t="s">
        <v>242</v>
      </c>
      <c r="Q13" s="205" t="s">
        <v>243</v>
      </c>
      <c r="R13" s="206"/>
      <c r="S13" s="205" t="s">
        <v>244</v>
      </c>
      <c r="T13" s="205"/>
      <c r="U13" s="207">
        <v>0.02</v>
      </c>
      <c r="V13" s="208"/>
      <c r="W13" s="209">
        <f t="shared" si="0"/>
        <v>4.416666666666666E-2</v>
      </c>
      <c r="X13" s="200"/>
      <c r="Z13" s="12"/>
      <c r="AI13" s="203">
        <v>0.4</v>
      </c>
      <c r="AJ13" s="203"/>
      <c r="AK13" s="9">
        <v>0.52237398824722692</v>
      </c>
      <c r="AL13" s="93"/>
      <c r="AM13" s="200">
        <v>5.5299342457927413E-2</v>
      </c>
      <c r="AN13" s="12"/>
      <c r="AO13" s="200">
        <v>0.09</v>
      </c>
      <c r="AP13" s="12"/>
      <c r="AQ13" s="3">
        <v>3.3679866521707411</v>
      </c>
      <c r="AR13" s="210"/>
      <c r="AS13" s="200">
        <v>3.1442000000000005E-2</v>
      </c>
      <c r="AT13" s="200"/>
      <c r="AU13" s="199">
        <v>4.5756405474756442E-2</v>
      </c>
      <c r="AV13" s="190"/>
      <c r="AW13" s="199">
        <v>6.6576800000000005E-2</v>
      </c>
    </row>
    <row r="14" spans="1:49">
      <c r="A14" s="256" t="s">
        <v>245</v>
      </c>
      <c r="B14" s="256"/>
      <c r="C14" s="256"/>
      <c r="E14" s="201">
        <v>0.21</v>
      </c>
      <c r="F14" s="201"/>
      <c r="G14" s="202" t="s">
        <v>16</v>
      </c>
      <c r="H14" s="201"/>
      <c r="I14" s="201"/>
      <c r="J14" s="201"/>
      <c r="K14" s="193"/>
      <c r="M14" s="194"/>
      <c r="Q14" s="24" t="s">
        <v>246</v>
      </c>
      <c r="R14" s="188"/>
      <c r="S14" s="24" t="s">
        <v>247</v>
      </c>
      <c r="T14" s="24"/>
      <c r="U14" s="199">
        <v>0.03</v>
      </c>
      <c r="V14" s="27"/>
      <c r="W14" s="200">
        <f t="shared" si="0"/>
        <v>5.4166666666666655E-2</v>
      </c>
      <c r="X14" s="200"/>
      <c r="Z14" s="12"/>
      <c r="AI14" s="203">
        <v>0.5</v>
      </c>
      <c r="AJ14" s="203"/>
      <c r="AK14" s="9">
        <v>0.61247779844707606</v>
      </c>
      <c r="AL14" s="93"/>
      <c r="AM14" s="200">
        <v>6.0669389155546621E-2</v>
      </c>
      <c r="AN14" s="12"/>
      <c r="AO14" s="200">
        <v>0.09</v>
      </c>
      <c r="AP14" s="12"/>
      <c r="AQ14" s="3">
        <v>2.6943893217365931</v>
      </c>
      <c r="AR14" s="210"/>
      <c r="AS14" s="200">
        <v>3.4918000000000005E-2</v>
      </c>
      <c r="AT14" s="200"/>
      <c r="AU14" s="199">
        <v>4.7793694577773313E-2</v>
      </c>
      <c r="AV14" s="190"/>
      <c r="AW14" s="199">
        <v>6.2459000000000001E-2</v>
      </c>
    </row>
    <row r="15" spans="1:49">
      <c r="A15" s="256" t="s">
        <v>248</v>
      </c>
      <c r="B15" s="256"/>
      <c r="C15" s="256"/>
      <c r="E15" s="10">
        <f>'29 CAPM Result'!G31/(1+(1-'35 Optimal Cap Structure'!E14)*('35 Optimal Cap Structure'!E12))</f>
        <v>0.34216636784752852</v>
      </c>
      <c r="F15" s="93"/>
      <c r="G15" s="9" t="s">
        <v>19</v>
      </c>
      <c r="H15" s="93"/>
      <c r="I15" s="93"/>
      <c r="J15" s="93"/>
      <c r="K15" s="193"/>
      <c r="M15" s="194"/>
      <c r="Q15" s="24" t="s">
        <v>249</v>
      </c>
      <c r="R15" s="188"/>
      <c r="S15" s="24" t="s">
        <v>250</v>
      </c>
      <c r="T15" s="24"/>
      <c r="U15" s="199">
        <v>3.5999999999999997E-2</v>
      </c>
      <c r="V15" s="27"/>
      <c r="W15" s="200">
        <f t="shared" si="0"/>
        <v>6.016666666666666E-2</v>
      </c>
      <c r="X15" s="200"/>
      <c r="Z15" s="12"/>
      <c r="AI15" s="203">
        <v>0.52</v>
      </c>
      <c r="AJ15" s="203"/>
      <c r="AK15" s="9">
        <v>0.63500375099703843</v>
      </c>
      <c r="AL15" s="93"/>
      <c r="AM15" s="200">
        <v>6.2011900829951436E-2</v>
      </c>
      <c r="AN15" s="12"/>
      <c r="AO15" s="200">
        <v>0.09</v>
      </c>
      <c r="AP15" s="12"/>
      <c r="AQ15" s="3">
        <v>2.5907589632082626</v>
      </c>
      <c r="AR15" s="210"/>
      <c r="AS15" s="200">
        <v>3.4918000000000005E-2</v>
      </c>
      <c r="AT15" s="200"/>
      <c r="AU15" s="199">
        <v>4.792307239837669E-2</v>
      </c>
      <c r="AV15" s="190"/>
      <c r="AW15" s="199">
        <v>6.135736E-2</v>
      </c>
    </row>
    <row r="16" spans="1:49">
      <c r="A16" s="256" t="s">
        <v>31</v>
      </c>
      <c r="B16" s="256"/>
      <c r="C16" s="256"/>
      <c r="E16" s="12">
        <f>'21 Risk Free Rate'!E35</f>
        <v>2.4166666666666659E-2</v>
      </c>
      <c r="F16" s="12"/>
      <c r="G16" s="165" t="s">
        <v>30</v>
      </c>
      <c r="H16" s="12"/>
      <c r="I16" s="12"/>
      <c r="J16" s="12"/>
      <c r="K16" s="193"/>
      <c r="M16" s="194"/>
      <c r="Q16" s="24" t="s">
        <v>251</v>
      </c>
      <c r="R16" s="188"/>
      <c r="S16" s="24" t="s">
        <v>252</v>
      </c>
      <c r="T16" s="24"/>
      <c r="U16" s="199">
        <v>4.4999999999999998E-2</v>
      </c>
      <c r="V16" s="27"/>
      <c r="W16" s="200">
        <f t="shared" si="0"/>
        <v>6.9166666666666654E-2</v>
      </c>
      <c r="X16" s="200"/>
      <c r="Z16" s="12"/>
      <c r="AI16" s="213">
        <v>0.53</v>
      </c>
      <c r="AJ16" s="203"/>
      <c r="AK16" s="9">
        <v>0.64698564065127362</v>
      </c>
      <c r="AL16" s="93"/>
      <c r="AM16" s="200">
        <v>6.2726002784422072E-2</v>
      </c>
      <c r="AN16" s="12"/>
      <c r="AO16" s="214">
        <v>0.09</v>
      </c>
      <c r="AP16" s="12"/>
      <c r="AQ16" s="3">
        <v>2.5418767186194273</v>
      </c>
      <c r="AR16" s="210"/>
      <c r="AS16" s="200">
        <v>3.4918000000000005E-2</v>
      </c>
      <c r="AT16" s="200"/>
      <c r="AU16" s="199">
        <v>4.7987761308678378E-2</v>
      </c>
      <c r="AV16" s="190"/>
      <c r="AW16" s="215">
        <v>6.0806539999999999E-2</v>
      </c>
    </row>
    <row r="17" spans="1:57">
      <c r="A17" s="256" t="s">
        <v>253</v>
      </c>
      <c r="B17" s="256"/>
      <c r="C17" s="256"/>
      <c r="E17" s="12">
        <f>'28 ERP Result'!C16</f>
        <v>5.959844190504833E-2</v>
      </c>
      <c r="F17" s="12"/>
      <c r="G17" s="165" t="s">
        <v>32</v>
      </c>
      <c r="H17" s="12"/>
      <c r="I17" s="12"/>
      <c r="J17" s="12"/>
      <c r="K17" s="193"/>
      <c r="M17" s="194"/>
      <c r="Q17" s="24" t="s">
        <v>254</v>
      </c>
      <c r="R17" s="188"/>
      <c r="S17" s="24" t="s">
        <v>255</v>
      </c>
      <c r="T17" s="24"/>
      <c r="U17" s="199">
        <v>5.3999999999999999E-2</v>
      </c>
      <c r="V17" s="27"/>
      <c r="W17" s="200">
        <f t="shared" si="0"/>
        <v>7.8166666666666662E-2</v>
      </c>
      <c r="X17" s="200"/>
      <c r="Z17" s="12"/>
      <c r="AI17" s="236">
        <v>0.55000000000000004</v>
      </c>
      <c r="AJ17" s="203"/>
      <c r="AK17" s="9">
        <v>0.67254700524697564</v>
      </c>
      <c r="AL17" s="93"/>
      <c r="AM17" s="200">
        <v>6.4249420287292774E-2</v>
      </c>
      <c r="AN17" s="12"/>
      <c r="AO17" s="237">
        <v>0.09</v>
      </c>
      <c r="AP17" s="12"/>
      <c r="AQ17" s="3">
        <v>2.449444837942357</v>
      </c>
      <c r="AR17" s="210"/>
      <c r="AS17" s="200">
        <v>4.2818000000000002E-2</v>
      </c>
      <c r="AT17" s="200"/>
      <c r="AU17" s="199">
        <v>5.2462139129281743E-2</v>
      </c>
      <c r="AV17" s="190"/>
      <c r="AW17" s="238">
        <v>6.4049899999999993E-2</v>
      </c>
    </row>
    <row r="18" spans="1:57">
      <c r="A18" s="187" t="s">
        <v>256</v>
      </c>
      <c r="E18" s="10">
        <f>E7/E8</f>
        <v>2.586916461916462</v>
      </c>
      <c r="F18" s="12"/>
      <c r="G18" s="165" t="s">
        <v>38</v>
      </c>
      <c r="H18" s="12"/>
      <c r="I18" s="12"/>
      <c r="J18" s="12"/>
      <c r="K18" s="193"/>
      <c r="M18" s="194"/>
      <c r="Q18" s="24" t="s">
        <v>257</v>
      </c>
      <c r="R18" s="188"/>
      <c r="S18" s="24" t="s">
        <v>258</v>
      </c>
      <c r="T18" s="24"/>
      <c r="U18" s="199">
        <v>6.6000000000000003E-2</v>
      </c>
      <c r="V18" s="27"/>
      <c r="W18" s="200">
        <f t="shared" si="0"/>
        <v>9.0166666666666659E-2</v>
      </c>
      <c r="X18" s="200"/>
      <c r="Z18" s="12"/>
      <c r="AI18" s="203">
        <v>0.6</v>
      </c>
      <c r="AJ18" s="203"/>
      <c r="AK18" s="9">
        <v>0.74763351374684972</v>
      </c>
      <c r="AL18" s="93"/>
      <c r="AM18" s="200">
        <v>6.8724459201975438E-2</v>
      </c>
      <c r="AN18" s="12"/>
      <c r="AO18" s="200">
        <v>0.09</v>
      </c>
      <c r="AP18" s="12"/>
      <c r="AQ18" s="3">
        <v>2.2453244347804944</v>
      </c>
      <c r="AR18" s="210"/>
      <c r="AS18" s="200">
        <v>4.2818000000000002E-2</v>
      </c>
      <c r="AT18" s="200"/>
      <c r="AU18" s="199">
        <v>5.3180583680790178E-2</v>
      </c>
      <c r="AV18" s="12"/>
      <c r="AW18" s="199">
        <v>6.1690799999999997E-2</v>
      </c>
    </row>
    <row r="19" spans="1:57">
      <c r="A19" s="187" t="s">
        <v>259</v>
      </c>
      <c r="E19" s="235" t="s">
        <v>369</v>
      </c>
      <c r="F19" s="12"/>
      <c r="G19" s="165" t="s">
        <v>39</v>
      </c>
      <c r="H19" s="12"/>
      <c r="I19" s="12"/>
      <c r="J19" s="12"/>
      <c r="K19" s="193"/>
      <c r="M19" s="194"/>
      <c r="Q19" s="24" t="s">
        <v>260</v>
      </c>
      <c r="R19" s="188"/>
      <c r="S19" s="24" t="s">
        <v>261</v>
      </c>
      <c r="T19" s="24"/>
      <c r="U19" s="199">
        <v>0.09</v>
      </c>
      <c r="V19" s="27"/>
      <c r="W19" s="200">
        <f t="shared" si="0"/>
        <v>0.11416666666666665</v>
      </c>
      <c r="X19" s="200"/>
      <c r="Z19" s="12"/>
      <c r="AI19" s="203"/>
      <c r="AJ19" s="203"/>
      <c r="AK19" s="9"/>
      <c r="AL19" s="93"/>
      <c r="AM19" s="200"/>
      <c r="AN19" s="12"/>
      <c r="AO19" s="200"/>
      <c r="AP19" s="12"/>
      <c r="AQ19" s="3"/>
      <c r="AR19" s="210"/>
      <c r="AS19" s="200"/>
      <c r="AT19" s="200"/>
      <c r="AU19" s="199"/>
      <c r="AW19" s="199"/>
    </row>
    <row r="20" spans="1:5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AI20" s="203"/>
      <c r="AJ20" s="203"/>
      <c r="AK20" s="9"/>
      <c r="AL20" s="93"/>
      <c r="AM20" s="200"/>
      <c r="AN20" s="12"/>
      <c r="AO20" s="200"/>
      <c r="AP20" s="12"/>
      <c r="AQ20" s="3"/>
      <c r="AR20" s="210"/>
      <c r="AS20" s="200"/>
      <c r="AT20" s="200"/>
      <c r="AU20" s="199"/>
      <c r="AW20" s="199"/>
    </row>
    <row r="21" spans="1:57">
      <c r="AI21" s="203"/>
      <c r="AJ21" s="203"/>
      <c r="AK21" s="9"/>
      <c r="AL21" s="93"/>
      <c r="AM21" s="200"/>
      <c r="AN21" s="12"/>
      <c r="AO21" s="200"/>
      <c r="AP21" s="12"/>
      <c r="AQ21" s="3"/>
      <c r="AR21" s="210"/>
      <c r="AS21" s="200"/>
      <c r="AT21" s="200"/>
      <c r="AU21" s="199"/>
      <c r="AW21" s="199"/>
    </row>
    <row r="22" spans="1:57">
      <c r="A22" s="188" t="s">
        <v>50</v>
      </c>
      <c r="B22" s="188"/>
      <c r="C22" s="188" t="s">
        <v>51</v>
      </c>
      <c r="D22" s="188"/>
      <c r="E22" s="164" t="s">
        <v>64</v>
      </c>
      <c r="F22" s="164"/>
      <c r="G22" s="165" t="s">
        <v>262</v>
      </c>
      <c r="H22" s="165"/>
      <c r="I22" s="188" t="s">
        <v>263</v>
      </c>
      <c r="J22" s="188"/>
      <c r="K22" s="188" t="s">
        <v>264</v>
      </c>
      <c r="L22" s="188"/>
      <c r="M22" s="188" t="s">
        <v>265</v>
      </c>
      <c r="N22" s="188"/>
      <c r="O22" s="188" t="s">
        <v>266</v>
      </c>
      <c r="P22" s="188"/>
      <c r="Q22" s="188" t="s">
        <v>267</v>
      </c>
      <c r="R22" s="188"/>
      <c r="S22" s="188" t="s">
        <v>268</v>
      </c>
      <c r="U22" s="188" t="s">
        <v>269</v>
      </c>
      <c r="W22" s="188" t="s">
        <v>270</v>
      </c>
      <c r="X22" s="188"/>
      <c r="AI22" s="203"/>
      <c r="AJ22" s="203"/>
      <c r="AK22" s="9"/>
      <c r="AL22" s="93"/>
      <c r="AM22" s="200"/>
      <c r="AN22" s="12"/>
      <c r="AO22" s="200"/>
      <c r="AP22" s="12"/>
      <c r="AQ22" s="3"/>
      <c r="AR22" s="210"/>
      <c r="AS22" s="200"/>
      <c r="AT22" s="200"/>
      <c r="AU22" s="199"/>
      <c r="AV22" s="12"/>
      <c r="AW22" s="199"/>
    </row>
    <row r="23" spans="1:57">
      <c r="A23" s="188"/>
      <c r="B23" s="188"/>
      <c r="C23" s="24"/>
      <c r="D23" s="24"/>
      <c r="E23" s="27"/>
      <c r="F23" s="27"/>
      <c r="G23" s="12"/>
      <c r="H23" s="12"/>
      <c r="I23" s="12"/>
      <c r="J23" s="12"/>
      <c r="O23" s="188"/>
      <c r="Q23" s="24"/>
    </row>
    <row r="24" spans="1:57">
      <c r="A24" s="268" t="s">
        <v>271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</row>
    <row r="25" spans="1:57"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</row>
    <row r="26" spans="1:57">
      <c r="A26" s="188" t="s">
        <v>216</v>
      </c>
      <c r="B26" s="188"/>
      <c r="C26" s="188" t="s">
        <v>273</v>
      </c>
      <c r="D26" s="188"/>
      <c r="E26" s="188" t="s">
        <v>274</v>
      </c>
      <c r="F26" s="188"/>
      <c r="G26" s="188" t="s">
        <v>275</v>
      </c>
      <c r="H26" s="188"/>
      <c r="I26" s="188" t="s">
        <v>276</v>
      </c>
      <c r="J26" s="188"/>
      <c r="K26" s="188" t="s">
        <v>216</v>
      </c>
      <c r="L26" s="188"/>
      <c r="M26" s="188" t="s">
        <v>221</v>
      </c>
      <c r="N26" s="188"/>
      <c r="O26" s="188" t="s">
        <v>219</v>
      </c>
      <c r="P26" s="188"/>
      <c r="Q26" s="188" t="s">
        <v>277</v>
      </c>
      <c r="R26" s="188"/>
      <c r="S26" s="188" t="s">
        <v>278</v>
      </c>
      <c r="T26" s="188"/>
      <c r="U26" s="188" t="s">
        <v>279</v>
      </c>
      <c r="V26" s="188"/>
      <c r="W26" s="188" t="s">
        <v>280</v>
      </c>
      <c r="X26" s="188"/>
      <c r="AI26" s="203"/>
      <c r="AJ26" s="203"/>
      <c r="AK26" s="9"/>
      <c r="AL26" s="93"/>
      <c r="AM26" s="200"/>
      <c r="AN26" s="12"/>
      <c r="AO26" s="200"/>
      <c r="AP26" s="12"/>
      <c r="AQ26" s="204"/>
      <c r="AR26" s="204"/>
      <c r="AS26" s="200"/>
      <c r="AT26" s="200"/>
      <c r="AU26" s="199"/>
      <c r="AW26" s="199"/>
    </row>
    <row r="27" spans="1:57">
      <c r="A27" s="189" t="s">
        <v>223</v>
      </c>
      <c r="B27" s="189"/>
      <c r="C27" s="189" t="s">
        <v>223</v>
      </c>
      <c r="D27" s="189"/>
      <c r="E27" s="189" t="s">
        <v>52</v>
      </c>
      <c r="F27" s="189"/>
      <c r="G27" s="189" t="s">
        <v>281</v>
      </c>
      <c r="H27" s="189"/>
      <c r="I27" s="234" t="s">
        <v>53</v>
      </c>
      <c r="J27" s="189"/>
      <c r="K27" s="189" t="s">
        <v>282</v>
      </c>
      <c r="L27" s="189"/>
      <c r="M27" s="189" t="s">
        <v>283</v>
      </c>
      <c r="N27" s="189"/>
      <c r="O27" s="189" t="s">
        <v>223</v>
      </c>
      <c r="P27" s="189"/>
      <c r="Q27" s="234" t="s">
        <v>241</v>
      </c>
      <c r="R27" s="189"/>
      <c r="S27" s="189" t="s">
        <v>241</v>
      </c>
      <c r="T27" s="189"/>
      <c r="U27" s="189" t="s">
        <v>284</v>
      </c>
      <c r="V27" s="189"/>
      <c r="W27" s="189" t="s">
        <v>285</v>
      </c>
      <c r="X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</row>
    <row r="28" spans="1:57">
      <c r="A28" s="203">
        <v>0</v>
      </c>
      <c r="B28" s="203"/>
      <c r="C28" s="203">
        <f>A28/(1-A28)</f>
        <v>0</v>
      </c>
      <c r="D28" s="201"/>
      <c r="E28" s="9">
        <f>$E$15</f>
        <v>0.34216636784752852</v>
      </c>
      <c r="F28" s="93"/>
      <c r="G28" s="200">
        <f t="shared" ref="G28:G36" si="1">$E$16+E28*$E$17</f>
        <v>4.4559249062688988E-2</v>
      </c>
      <c r="H28" s="12"/>
      <c r="I28" s="200">
        <v>0.09</v>
      </c>
      <c r="J28" s="12"/>
      <c r="K28" s="195">
        <f>A28*($E$9+$E$10)</f>
        <v>0</v>
      </c>
      <c r="L28" s="195"/>
      <c r="M28" s="195">
        <f t="shared" ref="M28:M36" si="2">K28*$E$13</f>
        <v>0</v>
      </c>
      <c r="N28" s="195"/>
      <c r="O28" s="204" t="s">
        <v>286</v>
      </c>
      <c r="P28" s="204"/>
      <c r="Q28" s="200">
        <v>3.1699999999999999E-2</v>
      </c>
      <c r="R28" s="200"/>
      <c r="S28" s="200">
        <f>Q28*(1-$E$14)</f>
        <v>2.5042999999999999E-2</v>
      </c>
      <c r="T28" s="200"/>
      <c r="U28" s="199">
        <f t="shared" ref="U28:U36" si="3">(A28*S28)+((1-A28)*G28)</f>
        <v>4.4559249062688988E-2</v>
      </c>
      <c r="W28" s="199">
        <f>(A28*S28)+((1-A28)*I28)</f>
        <v>0.09</v>
      </c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</row>
    <row r="29" spans="1:57">
      <c r="A29" s="203">
        <v>0.2</v>
      </c>
      <c r="B29" s="203"/>
      <c r="C29" s="203">
        <f t="shared" ref="C29:C36" si="4">A29/(1-A29)</f>
        <v>0.25</v>
      </c>
      <c r="D29" s="201"/>
      <c r="E29" s="9">
        <f t="shared" ref="E29:E36" si="5">$E$28*(1+(1-$E$14)*C29)</f>
        <v>0.4097442254974154</v>
      </c>
      <c r="F29" s="93"/>
      <c r="G29" s="200">
        <f t="shared" si="1"/>
        <v>4.8586784085903389E-2</v>
      </c>
      <c r="H29" s="12"/>
      <c r="I29" s="200">
        <v>0.09</v>
      </c>
      <c r="J29" s="12"/>
      <c r="K29" s="195">
        <f t="shared" ref="K29:K36" si="6">A29*($E$9+$E$10)</f>
        <v>727278.8</v>
      </c>
      <c r="L29" s="195"/>
      <c r="M29" s="195">
        <f t="shared" si="2"/>
        <v>38763.960040000005</v>
      </c>
      <c r="N29" s="195"/>
      <c r="O29" s="3">
        <f t="shared" ref="O29:O36" si="7">$E$7/M29</f>
        <v>6.7359733043414822</v>
      </c>
      <c r="P29" s="204"/>
      <c r="Q29" s="200">
        <v>3.4200000000000001E-2</v>
      </c>
      <c r="R29" s="200"/>
      <c r="S29" s="200">
        <f t="shared" ref="S29:S36" si="8">Q29*(1-$E$14)</f>
        <v>2.7018000000000004E-2</v>
      </c>
      <c r="T29" s="200"/>
      <c r="U29" s="199">
        <f t="shared" si="3"/>
        <v>4.4273027268722717E-2</v>
      </c>
      <c r="W29" s="199">
        <f t="shared" ref="W29:W36" si="9">(A29*S29)+((1-A29)*I29)</f>
        <v>7.7403599999999989E-2</v>
      </c>
      <c r="AI29" s="240"/>
      <c r="AJ29" s="240"/>
      <c r="AK29" s="241"/>
      <c r="AL29" s="242"/>
      <c r="AM29" s="243"/>
      <c r="AN29" s="244"/>
      <c r="AO29" s="243"/>
      <c r="AP29" s="244"/>
      <c r="AQ29" s="245"/>
      <c r="AR29" s="246"/>
      <c r="AS29" s="243"/>
      <c r="AT29" s="243"/>
      <c r="AU29" s="247"/>
      <c r="AV29" s="248"/>
      <c r="AW29" s="247"/>
    </row>
    <row r="30" spans="1:57">
      <c r="A30" s="203">
        <v>0.3</v>
      </c>
      <c r="B30" s="203"/>
      <c r="C30" s="203">
        <f t="shared" si="4"/>
        <v>0.4285714285714286</v>
      </c>
      <c r="D30" s="201"/>
      <c r="E30" s="9">
        <f t="shared" si="5"/>
        <v>0.45801412381876316</v>
      </c>
      <c r="F30" s="93"/>
      <c r="G30" s="200">
        <f t="shared" si="1"/>
        <v>5.1463594816770833E-2</v>
      </c>
      <c r="H30" s="12"/>
      <c r="I30" s="200">
        <v>0.09</v>
      </c>
      <c r="J30" s="12"/>
      <c r="K30" s="195">
        <f t="shared" si="6"/>
        <v>1090918.2</v>
      </c>
      <c r="L30" s="195"/>
      <c r="M30" s="195">
        <f t="shared" si="2"/>
        <v>58145.940060000001</v>
      </c>
      <c r="N30" s="195"/>
      <c r="O30" s="3">
        <f t="shared" si="7"/>
        <v>4.4906488695609887</v>
      </c>
      <c r="P30" s="204"/>
      <c r="Q30" s="200">
        <v>3.7999999999999999E-2</v>
      </c>
      <c r="R30" s="200"/>
      <c r="S30" s="200">
        <f t="shared" si="8"/>
        <v>3.0020000000000002E-2</v>
      </c>
      <c r="T30" s="200"/>
      <c r="U30" s="199">
        <f t="shared" si="3"/>
        <v>4.5030516371739583E-2</v>
      </c>
      <c r="W30" s="199">
        <f t="shared" si="9"/>
        <v>7.2006000000000001E-2</v>
      </c>
      <c r="AI30" s="240"/>
      <c r="AJ30" s="240"/>
      <c r="AK30" s="241"/>
      <c r="AL30" s="242"/>
      <c r="AM30" s="243"/>
      <c r="AN30" s="244"/>
      <c r="AO30" s="243"/>
      <c r="AP30" s="244"/>
      <c r="AQ30" s="245"/>
      <c r="AR30" s="246"/>
      <c r="AS30" s="243"/>
      <c r="AT30" s="243"/>
      <c r="AU30" s="247"/>
      <c r="AV30" s="248"/>
      <c r="AW30" s="247"/>
    </row>
    <row r="31" spans="1:57">
      <c r="A31" s="203">
        <v>0.4</v>
      </c>
      <c r="B31" s="203"/>
      <c r="C31" s="203">
        <f t="shared" si="4"/>
        <v>0.66666666666666674</v>
      </c>
      <c r="D31" s="201"/>
      <c r="E31" s="9">
        <f t="shared" si="5"/>
        <v>0.52237398824722692</v>
      </c>
      <c r="F31" s="93"/>
      <c r="G31" s="200">
        <f t="shared" si="1"/>
        <v>5.5299342457927413E-2</v>
      </c>
      <c r="H31" s="12"/>
      <c r="I31" s="200">
        <v>0.09</v>
      </c>
      <c r="J31" s="12"/>
      <c r="K31" s="195">
        <f t="shared" si="6"/>
        <v>1454557.6</v>
      </c>
      <c r="L31" s="195"/>
      <c r="M31" s="195">
        <f t="shared" si="2"/>
        <v>77527.920080000011</v>
      </c>
      <c r="N31" s="195"/>
      <c r="O31" s="3">
        <f t="shared" si="7"/>
        <v>3.3679866521707411</v>
      </c>
      <c r="P31" s="210"/>
      <c r="Q31" s="200">
        <v>3.9800000000000002E-2</v>
      </c>
      <c r="R31" s="200"/>
      <c r="S31" s="200">
        <f t="shared" si="8"/>
        <v>3.1442000000000005E-2</v>
      </c>
      <c r="T31" s="200"/>
      <c r="U31" s="199">
        <f t="shared" si="3"/>
        <v>4.5756405474756442E-2</v>
      </c>
      <c r="W31" s="199">
        <f t="shared" si="9"/>
        <v>6.6576800000000005E-2</v>
      </c>
      <c r="Y31" s="212"/>
      <c r="AI31" s="240"/>
      <c r="AJ31" s="240"/>
      <c r="AK31" s="241"/>
      <c r="AL31" s="242"/>
      <c r="AM31" s="243"/>
      <c r="AN31" s="244"/>
      <c r="AO31" s="243"/>
      <c r="AP31" s="244"/>
      <c r="AQ31" s="245"/>
      <c r="AR31" s="249"/>
      <c r="AS31" s="243"/>
      <c r="AT31" s="243"/>
      <c r="AU31" s="247"/>
      <c r="AV31" s="248"/>
      <c r="AW31" s="247"/>
    </row>
    <row r="32" spans="1:57">
      <c r="A32" s="203">
        <v>0.5</v>
      </c>
      <c r="B32" s="203"/>
      <c r="C32" s="203">
        <f t="shared" si="4"/>
        <v>1</v>
      </c>
      <c r="D32" s="201"/>
      <c r="E32" s="9">
        <f t="shared" si="5"/>
        <v>0.61247779844707606</v>
      </c>
      <c r="F32" s="93"/>
      <c r="G32" s="200">
        <f t="shared" si="1"/>
        <v>6.0669389155546621E-2</v>
      </c>
      <c r="H32" s="12"/>
      <c r="I32" s="200">
        <v>0.09</v>
      </c>
      <c r="J32" s="12"/>
      <c r="K32" s="195">
        <f t="shared" si="6"/>
        <v>1818197</v>
      </c>
      <c r="L32" s="195"/>
      <c r="M32" s="195">
        <f t="shared" si="2"/>
        <v>96909.900099999999</v>
      </c>
      <c r="N32" s="195"/>
      <c r="O32" s="3">
        <f t="shared" si="7"/>
        <v>2.6943893217365931</v>
      </c>
      <c r="P32" s="210"/>
      <c r="Q32" s="200">
        <v>4.4200000000000003E-2</v>
      </c>
      <c r="R32" s="200"/>
      <c r="S32" s="200">
        <f t="shared" si="8"/>
        <v>3.4918000000000005E-2</v>
      </c>
      <c r="T32" s="200"/>
      <c r="U32" s="199">
        <f t="shared" si="3"/>
        <v>4.7793694577773313E-2</v>
      </c>
      <c r="W32" s="199">
        <f t="shared" si="9"/>
        <v>6.2459000000000001E-2</v>
      </c>
      <c r="AI32" s="240"/>
      <c r="AJ32" s="240"/>
      <c r="AK32" s="241"/>
      <c r="AL32" s="242"/>
      <c r="AM32" s="243"/>
      <c r="AN32" s="244"/>
      <c r="AO32" s="243"/>
      <c r="AP32" s="244"/>
      <c r="AQ32" s="245"/>
      <c r="AR32" s="249"/>
      <c r="AS32" s="243"/>
      <c r="AT32" s="243"/>
      <c r="AU32" s="247"/>
      <c r="AV32" s="248"/>
      <c r="AW32" s="247"/>
      <c r="AX32" s="190"/>
      <c r="AY32" s="190"/>
      <c r="AZ32" s="190"/>
      <c r="BA32" s="190"/>
      <c r="BB32" s="190"/>
      <c r="BC32" s="190"/>
      <c r="BD32" s="190"/>
      <c r="BE32" s="190"/>
    </row>
    <row r="33" spans="1:57" s="190" customFormat="1">
      <c r="A33" s="203">
        <v>0.52</v>
      </c>
      <c r="B33" s="203"/>
      <c r="C33" s="203">
        <f t="shared" ref="C33:C34" si="10">A33/(1-A33)</f>
        <v>1.0833333333333335</v>
      </c>
      <c r="D33" s="201"/>
      <c r="E33" s="9">
        <f t="shared" ref="E33:E34" si="11">$E$28*(1+(1-$E$14)*C33)</f>
        <v>0.63500375099703843</v>
      </c>
      <c r="F33" s="93"/>
      <c r="G33" s="200">
        <f t="shared" ref="G33:G34" si="12">$E$16+E33*$E$17</f>
        <v>6.2011900829951436E-2</v>
      </c>
      <c r="H33" s="12"/>
      <c r="I33" s="200">
        <v>0.09</v>
      </c>
      <c r="J33" s="12"/>
      <c r="K33" s="195">
        <f t="shared" ref="K33:K34" si="13">A33*($E$9+$E$10)</f>
        <v>1890924.8800000001</v>
      </c>
      <c r="L33" s="195"/>
      <c r="M33" s="195">
        <f t="shared" ref="M33:M34" si="14">K33*$E$13</f>
        <v>100786.29610400001</v>
      </c>
      <c r="N33" s="195"/>
      <c r="O33" s="3">
        <f t="shared" ref="O33:O34" si="15">$E$7/M33</f>
        <v>2.5907589632082626</v>
      </c>
      <c r="P33" s="210"/>
      <c r="Q33" s="200">
        <v>4.4200000000000003E-2</v>
      </c>
      <c r="R33" s="200"/>
      <c r="S33" s="200">
        <f t="shared" ref="S33:S34" si="16">Q33*(1-$E$14)</f>
        <v>3.4918000000000005E-2</v>
      </c>
      <c r="T33" s="200"/>
      <c r="U33" s="199">
        <f t="shared" ref="U33:U34" si="17">(A33*S33)+((1-A33)*G33)</f>
        <v>4.792307239837669E-2</v>
      </c>
      <c r="W33" s="199">
        <f t="shared" ref="W33:W34" si="18">(A33*S33)+((1-A33)*I33)</f>
        <v>6.135736E-2</v>
      </c>
      <c r="AI33" s="240"/>
      <c r="AJ33" s="240"/>
      <c r="AK33" s="241"/>
      <c r="AL33" s="242"/>
      <c r="AM33" s="243"/>
      <c r="AN33" s="244"/>
      <c r="AO33" s="243"/>
      <c r="AP33" s="244"/>
      <c r="AQ33" s="245"/>
      <c r="AR33" s="249"/>
      <c r="AS33" s="243"/>
      <c r="AT33" s="243"/>
      <c r="AU33" s="247"/>
      <c r="AV33" s="248"/>
      <c r="AW33" s="247"/>
    </row>
    <row r="34" spans="1:57" s="190" customFormat="1">
      <c r="A34" s="213">
        <v>0.53</v>
      </c>
      <c r="B34" s="203"/>
      <c r="C34" s="203">
        <f t="shared" si="10"/>
        <v>1.1276595744680853</v>
      </c>
      <c r="D34" s="201"/>
      <c r="E34" s="9">
        <f t="shared" si="11"/>
        <v>0.64698564065127362</v>
      </c>
      <c r="F34" s="93"/>
      <c r="G34" s="200">
        <f t="shared" si="12"/>
        <v>6.2726002784422072E-2</v>
      </c>
      <c r="H34" s="12"/>
      <c r="I34" s="214">
        <v>0.09</v>
      </c>
      <c r="J34" s="12"/>
      <c r="K34" s="195">
        <f t="shared" si="13"/>
        <v>1927288.82</v>
      </c>
      <c r="L34" s="195"/>
      <c r="M34" s="195">
        <f t="shared" si="14"/>
        <v>102724.494106</v>
      </c>
      <c r="N34" s="195"/>
      <c r="O34" s="3">
        <f t="shared" si="15"/>
        <v>2.5418767186194273</v>
      </c>
      <c r="P34" s="210"/>
      <c r="Q34" s="200">
        <v>4.4200000000000003E-2</v>
      </c>
      <c r="R34" s="200"/>
      <c r="S34" s="200">
        <f t="shared" si="16"/>
        <v>3.4918000000000005E-2</v>
      </c>
      <c r="T34" s="200"/>
      <c r="U34" s="199">
        <f t="shared" si="17"/>
        <v>4.7987761308678378E-2</v>
      </c>
      <c r="W34" s="215">
        <f t="shared" si="18"/>
        <v>6.0806539999999999E-2</v>
      </c>
      <c r="AI34" s="240"/>
      <c r="AJ34" s="240"/>
      <c r="AK34" s="241"/>
      <c r="AL34" s="242"/>
      <c r="AM34" s="243"/>
      <c r="AN34" s="244"/>
      <c r="AO34" s="243"/>
      <c r="AP34" s="244"/>
      <c r="AQ34" s="245"/>
      <c r="AR34" s="249"/>
      <c r="AS34" s="243"/>
      <c r="AT34" s="243"/>
      <c r="AU34" s="247"/>
      <c r="AV34" s="248"/>
      <c r="AW34" s="247"/>
      <c r="AX34" s="187"/>
      <c r="AY34" s="187"/>
      <c r="AZ34" s="187"/>
      <c r="BA34" s="187"/>
      <c r="BB34" s="187"/>
      <c r="BC34" s="187"/>
      <c r="BD34" s="187"/>
      <c r="BE34" s="187"/>
    </row>
    <row r="35" spans="1:57">
      <c r="A35" s="236">
        <v>0.55000000000000004</v>
      </c>
      <c r="B35" s="203"/>
      <c r="C35" s="203">
        <f t="shared" si="4"/>
        <v>1.2222222222222225</v>
      </c>
      <c r="D35" s="201"/>
      <c r="E35" s="9">
        <f t="shared" si="5"/>
        <v>0.67254700524697564</v>
      </c>
      <c r="F35" s="93"/>
      <c r="G35" s="200">
        <f t="shared" si="1"/>
        <v>6.4249420287292774E-2</v>
      </c>
      <c r="H35" s="12"/>
      <c r="I35" s="237">
        <v>0.09</v>
      </c>
      <c r="J35" s="12"/>
      <c r="K35" s="195">
        <f t="shared" si="6"/>
        <v>2000016.7000000002</v>
      </c>
      <c r="L35" s="195"/>
      <c r="M35" s="195">
        <f t="shared" si="2"/>
        <v>106600.89011000001</v>
      </c>
      <c r="N35" s="195"/>
      <c r="O35" s="3">
        <f t="shared" si="7"/>
        <v>2.449444837942357</v>
      </c>
      <c r="P35" s="210"/>
      <c r="Q35" s="200">
        <v>5.4199999999999998E-2</v>
      </c>
      <c r="R35" s="200"/>
      <c r="S35" s="200">
        <f t="shared" si="8"/>
        <v>4.2818000000000002E-2</v>
      </c>
      <c r="T35" s="200"/>
      <c r="U35" s="199">
        <f t="shared" si="3"/>
        <v>5.2462139129281743E-2</v>
      </c>
      <c r="W35" s="238">
        <f t="shared" si="9"/>
        <v>6.4049899999999993E-2</v>
      </c>
      <c r="AI35" s="203"/>
      <c r="AJ35" s="203"/>
      <c r="AK35" s="9"/>
      <c r="AL35" s="93"/>
      <c r="AM35" s="200"/>
      <c r="AN35" s="12"/>
      <c r="AO35" s="200"/>
      <c r="AP35" s="12"/>
      <c r="AQ35" s="3"/>
      <c r="AR35" s="210"/>
      <c r="AS35" s="200"/>
      <c r="AT35" s="200"/>
      <c r="AU35" s="199"/>
      <c r="AV35" s="12"/>
      <c r="AW35" s="199"/>
    </row>
    <row r="36" spans="1:57">
      <c r="A36" s="203">
        <v>0.6</v>
      </c>
      <c r="B36" s="203"/>
      <c r="C36" s="203">
        <f t="shared" si="4"/>
        <v>1.4999999999999998</v>
      </c>
      <c r="D36" s="201"/>
      <c r="E36" s="9">
        <f t="shared" si="5"/>
        <v>0.74763351374684972</v>
      </c>
      <c r="F36" s="93"/>
      <c r="G36" s="200">
        <f t="shared" si="1"/>
        <v>6.8724459201975438E-2</v>
      </c>
      <c r="H36" s="12"/>
      <c r="I36" s="200">
        <v>0.09</v>
      </c>
      <c r="J36" s="12"/>
      <c r="K36" s="195">
        <f t="shared" si="6"/>
        <v>2181836.4</v>
      </c>
      <c r="L36" s="195"/>
      <c r="M36" s="195">
        <f t="shared" si="2"/>
        <v>116291.88012</v>
      </c>
      <c r="N36" s="195"/>
      <c r="O36" s="3">
        <f t="shared" si="7"/>
        <v>2.2453244347804944</v>
      </c>
      <c r="P36" s="210"/>
      <c r="Q36" s="200">
        <v>5.4199999999999998E-2</v>
      </c>
      <c r="R36" s="200"/>
      <c r="S36" s="200">
        <f t="shared" si="8"/>
        <v>4.2818000000000002E-2</v>
      </c>
      <c r="T36" s="200"/>
      <c r="U36" s="199">
        <f t="shared" si="3"/>
        <v>5.3180583680790178E-2</v>
      </c>
      <c r="V36" s="12"/>
      <c r="W36" s="199">
        <f t="shared" si="9"/>
        <v>6.1690799999999997E-2</v>
      </c>
      <c r="AI36" s="203"/>
      <c r="AJ36" s="203"/>
      <c r="AK36" s="9"/>
      <c r="AL36" s="93"/>
      <c r="AM36" s="200"/>
      <c r="AN36" s="12"/>
      <c r="AO36" s="200"/>
      <c r="AP36" s="12"/>
      <c r="AQ36" s="204"/>
      <c r="AR36" s="204"/>
      <c r="AS36" s="200"/>
      <c r="AT36" s="200"/>
      <c r="AU36" s="199"/>
      <c r="AW36" s="199"/>
    </row>
    <row r="37" spans="1:5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AI37" s="203"/>
      <c r="AJ37" s="203"/>
      <c r="AK37" s="9"/>
      <c r="AL37" s="93"/>
      <c r="AM37" s="200"/>
      <c r="AN37" s="12"/>
      <c r="AO37" s="200"/>
      <c r="AP37" s="12"/>
      <c r="AQ37" s="3"/>
      <c r="AR37" s="204"/>
      <c r="AS37" s="200"/>
      <c r="AT37" s="200"/>
      <c r="AU37" s="199"/>
      <c r="AW37" s="199"/>
    </row>
    <row r="38" spans="1:57">
      <c r="X38" s="186"/>
      <c r="AI38" s="203"/>
      <c r="AJ38" s="203"/>
      <c r="AK38" s="9"/>
      <c r="AL38" s="93"/>
      <c r="AM38" s="200"/>
      <c r="AN38" s="12"/>
      <c r="AO38" s="200"/>
      <c r="AP38" s="12"/>
      <c r="AQ38" s="3"/>
      <c r="AR38" s="210"/>
      <c r="AS38" s="200"/>
      <c r="AT38" s="200"/>
      <c r="AU38" s="199"/>
      <c r="AW38" s="199"/>
    </row>
    <row r="39" spans="1:57">
      <c r="U39" s="12"/>
      <c r="X39" s="186"/>
      <c r="AI39" s="203"/>
      <c r="AJ39" s="203"/>
      <c r="AK39" s="9"/>
      <c r="AL39" s="93"/>
      <c r="AM39" s="200"/>
      <c r="AN39" s="12"/>
      <c r="AO39" s="200"/>
      <c r="AP39" s="12"/>
      <c r="AQ39" s="3"/>
      <c r="AR39" s="210"/>
      <c r="AS39" s="200"/>
      <c r="AT39" s="200"/>
      <c r="AU39" s="199"/>
      <c r="AW39" s="199"/>
    </row>
    <row r="40" spans="1:57">
      <c r="A40" s="258" t="s">
        <v>287</v>
      </c>
      <c r="B40" s="258"/>
      <c r="C40" s="258"/>
      <c r="D40" s="258"/>
      <c r="E40" s="258"/>
      <c r="F40" s="258"/>
      <c r="G40" s="258"/>
      <c r="H40" s="216"/>
      <c r="I40" s="267" t="s">
        <v>288</v>
      </c>
      <c r="J40" s="267"/>
      <c r="K40" s="267"/>
      <c r="L40" s="267"/>
      <c r="M40" s="267"/>
      <c r="N40" s="267"/>
      <c r="O40" s="267"/>
      <c r="P40" s="186"/>
      <c r="Q40" s="253" t="s">
        <v>289</v>
      </c>
      <c r="R40" s="253"/>
      <c r="S40" s="253"/>
      <c r="T40" s="253"/>
      <c r="U40" s="253"/>
      <c r="V40" s="253"/>
      <c r="W40" s="253"/>
      <c r="X40" s="186"/>
      <c r="AI40" s="203"/>
      <c r="AJ40" s="203"/>
      <c r="AK40" s="9"/>
      <c r="AL40" s="93"/>
      <c r="AM40" s="200"/>
      <c r="AN40" s="12"/>
      <c r="AO40" s="200"/>
      <c r="AP40" s="12"/>
      <c r="AQ40" s="3"/>
      <c r="AR40" s="210"/>
      <c r="AS40" s="200"/>
      <c r="AT40" s="200"/>
      <c r="AU40" s="199"/>
      <c r="AW40" s="199"/>
    </row>
    <row r="41" spans="1:57">
      <c r="A41" s="253" t="s">
        <v>290</v>
      </c>
      <c r="B41" s="253"/>
      <c r="C41" s="253"/>
      <c r="D41" s="253"/>
      <c r="E41" s="253"/>
      <c r="F41" s="253"/>
      <c r="G41" s="253"/>
      <c r="H41" s="216"/>
      <c r="I41" s="267" t="s">
        <v>291</v>
      </c>
      <c r="J41" s="267"/>
      <c r="K41" s="267"/>
      <c r="L41" s="267"/>
      <c r="M41" s="267"/>
      <c r="N41" s="267"/>
      <c r="O41" s="267"/>
      <c r="P41" s="186"/>
      <c r="Q41" s="253" t="s">
        <v>292</v>
      </c>
      <c r="R41" s="253"/>
      <c r="S41" s="253"/>
      <c r="T41" s="253"/>
      <c r="U41" s="253"/>
      <c r="V41" s="253"/>
      <c r="W41" s="253"/>
      <c r="X41" s="186"/>
      <c r="AI41" s="203"/>
      <c r="AJ41" s="203"/>
      <c r="AK41" s="9"/>
      <c r="AL41" s="93"/>
      <c r="AM41" s="200"/>
      <c r="AN41" s="12"/>
      <c r="AO41" s="200"/>
      <c r="AP41" s="12"/>
      <c r="AQ41" s="3"/>
      <c r="AR41" s="210"/>
      <c r="AS41" s="200"/>
      <c r="AT41" s="200"/>
      <c r="AU41" s="199"/>
      <c r="AW41" s="199"/>
    </row>
    <row r="42" spans="1:57">
      <c r="A42" s="253" t="s">
        <v>293</v>
      </c>
      <c r="B42" s="253"/>
      <c r="C42" s="253"/>
      <c r="D42" s="253"/>
      <c r="E42" s="253"/>
      <c r="F42" s="253"/>
      <c r="G42" s="253"/>
      <c r="H42" s="216"/>
      <c r="I42" s="267" t="s">
        <v>294</v>
      </c>
      <c r="J42" s="267"/>
      <c r="K42" s="267"/>
      <c r="L42" s="267"/>
      <c r="M42" s="267"/>
      <c r="N42" s="267"/>
      <c r="O42" s="267"/>
      <c r="P42" s="186"/>
      <c r="Q42" s="253" t="s">
        <v>295</v>
      </c>
      <c r="R42" s="253"/>
      <c r="S42" s="253"/>
      <c r="T42" s="253"/>
      <c r="U42" s="253"/>
      <c r="V42" s="253"/>
      <c r="W42" s="253"/>
      <c r="X42" s="186"/>
      <c r="AI42" s="203"/>
      <c r="AJ42" s="203"/>
      <c r="AK42" s="9"/>
      <c r="AL42" s="93"/>
      <c r="AM42" s="200"/>
      <c r="AN42" s="12"/>
      <c r="AO42" s="200"/>
      <c r="AP42" s="12"/>
      <c r="AQ42" s="3"/>
      <c r="AR42" s="210"/>
      <c r="AS42" s="200"/>
      <c r="AT42" s="200"/>
      <c r="AU42" s="199"/>
      <c r="AW42" s="199"/>
    </row>
    <row r="43" spans="1:57">
      <c r="A43" s="253" t="s">
        <v>296</v>
      </c>
      <c r="B43" s="253"/>
      <c r="C43" s="253"/>
      <c r="D43" s="253"/>
      <c r="E43" s="253"/>
      <c r="F43" s="253"/>
      <c r="G43" s="253"/>
      <c r="H43" s="216"/>
      <c r="I43" s="267" t="s">
        <v>297</v>
      </c>
      <c r="J43" s="267"/>
      <c r="K43" s="267"/>
      <c r="L43" s="267"/>
      <c r="M43" s="267"/>
      <c r="N43" s="267"/>
      <c r="O43" s="267"/>
      <c r="P43" s="186"/>
      <c r="Q43" s="253" t="s">
        <v>298</v>
      </c>
      <c r="R43" s="253"/>
      <c r="S43" s="253"/>
      <c r="T43" s="253"/>
      <c r="U43" s="253"/>
      <c r="V43" s="253"/>
      <c r="W43" s="253"/>
      <c r="X43" s="186"/>
      <c r="AI43" s="203"/>
      <c r="AJ43" s="203"/>
      <c r="AK43" s="9"/>
      <c r="AL43" s="93"/>
      <c r="AM43" s="200"/>
      <c r="AN43" s="12"/>
      <c r="AO43" s="200"/>
      <c r="AP43" s="12"/>
      <c r="AQ43" s="3"/>
      <c r="AR43" s="210"/>
      <c r="AS43" s="200"/>
      <c r="AT43" s="200"/>
      <c r="AU43" s="199"/>
      <c r="AV43" s="12"/>
      <c r="AW43" s="199"/>
    </row>
    <row r="44" spans="1:57">
      <c r="A44" s="253" t="s">
        <v>370</v>
      </c>
      <c r="B44" s="253"/>
      <c r="C44" s="253"/>
      <c r="D44" s="253"/>
      <c r="E44" s="253"/>
      <c r="F44" s="253"/>
      <c r="G44" s="253"/>
      <c r="H44" s="216"/>
      <c r="I44" s="267" t="s">
        <v>299</v>
      </c>
      <c r="J44" s="267"/>
      <c r="K44" s="267"/>
      <c r="L44" s="267"/>
      <c r="M44" s="267"/>
      <c r="N44" s="267"/>
      <c r="O44" s="267"/>
      <c r="P44" s="186"/>
      <c r="Q44" s="253" t="s">
        <v>300</v>
      </c>
      <c r="R44" s="253"/>
      <c r="S44" s="253"/>
      <c r="T44" s="253"/>
      <c r="U44" s="253"/>
      <c r="V44" s="253"/>
      <c r="W44" s="253"/>
      <c r="X44" s="186"/>
    </row>
    <row r="45" spans="1:57">
      <c r="A45" s="253" t="s">
        <v>301</v>
      </c>
      <c r="B45" s="253"/>
      <c r="C45" s="253"/>
      <c r="D45" s="253"/>
      <c r="E45" s="253"/>
      <c r="F45" s="253"/>
      <c r="G45" s="253"/>
      <c r="H45" s="216"/>
      <c r="I45" s="267" t="s">
        <v>302</v>
      </c>
      <c r="J45" s="267"/>
      <c r="K45" s="267"/>
      <c r="L45" s="267"/>
      <c r="M45" s="267"/>
      <c r="N45" s="267"/>
      <c r="O45" s="267"/>
      <c r="P45" s="186"/>
      <c r="Q45" s="253" t="s">
        <v>303</v>
      </c>
      <c r="R45" s="253"/>
      <c r="S45" s="253"/>
      <c r="T45" s="253"/>
      <c r="U45" s="253"/>
      <c r="V45" s="253"/>
      <c r="W45" s="253"/>
      <c r="X45" s="186"/>
    </row>
    <row r="46" spans="1:57">
      <c r="A46" s="253" t="s">
        <v>304</v>
      </c>
      <c r="B46" s="253"/>
      <c r="C46" s="253"/>
      <c r="D46" s="253"/>
      <c r="E46" s="253"/>
      <c r="F46" s="253"/>
      <c r="G46" s="253"/>
      <c r="H46" s="216"/>
      <c r="I46" s="267" t="s">
        <v>305</v>
      </c>
      <c r="J46" s="267"/>
      <c r="K46" s="267"/>
      <c r="L46" s="267"/>
      <c r="M46" s="267"/>
      <c r="N46" s="267"/>
      <c r="O46" s="267"/>
      <c r="P46" s="186"/>
      <c r="Q46" s="253" t="s">
        <v>306</v>
      </c>
      <c r="R46" s="253"/>
      <c r="S46" s="253"/>
      <c r="T46" s="253"/>
      <c r="U46" s="253"/>
      <c r="V46" s="253"/>
      <c r="W46" s="253"/>
      <c r="X46" s="186"/>
    </row>
    <row r="47" spans="1:57">
      <c r="A47" s="260" t="s">
        <v>307</v>
      </c>
      <c r="B47" s="260"/>
      <c r="C47" s="260"/>
      <c r="D47" s="260"/>
      <c r="E47" s="260"/>
      <c r="F47" s="260"/>
      <c r="G47" s="260"/>
      <c r="H47" s="216"/>
      <c r="I47" s="267" t="s">
        <v>308</v>
      </c>
      <c r="J47" s="267"/>
      <c r="K47" s="267"/>
      <c r="L47" s="267"/>
      <c r="M47" s="267"/>
      <c r="N47" s="267"/>
      <c r="O47" s="267"/>
      <c r="P47" s="186"/>
      <c r="Q47" s="253" t="s">
        <v>309</v>
      </c>
      <c r="R47" s="253"/>
      <c r="S47" s="253"/>
      <c r="T47" s="253"/>
      <c r="U47" s="253"/>
      <c r="V47" s="253"/>
      <c r="W47" s="253"/>
    </row>
    <row r="48" spans="1:57">
      <c r="A48" s="260" t="s">
        <v>310</v>
      </c>
      <c r="B48" s="260"/>
      <c r="C48" s="260"/>
      <c r="D48" s="260"/>
      <c r="E48" s="260"/>
      <c r="F48" s="260"/>
      <c r="G48" s="260"/>
      <c r="H48" s="216"/>
      <c r="I48" s="267" t="s">
        <v>311</v>
      </c>
      <c r="J48" s="267"/>
      <c r="K48" s="267"/>
      <c r="L48" s="267"/>
      <c r="M48" s="267"/>
      <c r="N48" s="267"/>
      <c r="O48" s="267"/>
      <c r="P48" s="186"/>
      <c r="Q48" s="253" t="s">
        <v>312</v>
      </c>
      <c r="R48" s="253"/>
      <c r="S48" s="253"/>
      <c r="T48" s="253"/>
      <c r="U48" s="253"/>
      <c r="V48" s="253"/>
      <c r="W48" s="253"/>
    </row>
    <row r="49" spans="6:6">
      <c r="F49" s="186"/>
    </row>
  </sheetData>
  <mergeCells count="41">
    <mergeCell ref="A15:C15"/>
    <mergeCell ref="A5:E5"/>
    <mergeCell ref="Q5:W5"/>
    <mergeCell ref="A7:C7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  <mergeCell ref="A24:W24"/>
    <mergeCell ref="A40:G40"/>
    <mergeCell ref="I40:O40"/>
    <mergeCell ref="Q40:W40"/>
    <mergeCell ref="A41:G41"/>
    <mergeCell ref="I41:O41"/>
    <mergeCell ref="Q41:W41"/>
    <mergeCell ref="A42:G42"/>
    <mergeCell ref="I42:O42"/>
    <mergeCell ref="Q42:W42"/>
    <mergeCell ref="A43:G43"/>
    <mergeCell ref="I43:O43"/>
    <mergeCell ref="Q43:W43"/>
    <mergeCell ref="A44:G44"/>
    <mergeCell ref="I44:O44"/>
    <mergeCell ref="Q44:W44"/>
    <mergeCell ref="A45:G45"/>
    <mergeCell ref="I45:O45"/>
    <mergeCell ref="Q45:W45"/>
    <mergeCell ref="A46:G46"/>
    <mergeCell ref="I46:O46"/>
    <mergeCell ref="Q46:W46"/>
    <mergeCell ref="A47:G47"/>
    <mergeCell ref="I47:O47"/>
    <mergeCell ref="Q47:W47"/>
    <mergeCell ref="A48:G48"/>
    <mergeCell ref="I48:O48"/>
    <mergeCell ref="Q48:W48"/>
  </mergeCells>
  <printOptions horizontalCentered="1" verticalCentered="1" headings="1" gridLines="1"/>
  <pageMargins left="0.45" right="0.45" top="1" bottom="0.5" header="0.3" footer="0.3"/>
  <pageSetup scale="59" fitToWidth="2" orientation="portrait" r:id="rId1"/>
  <headerFooter scaleWithDoc="0">
    <oddHeader xml:space="preserve">&amp;C&amp;"-,Bold"&amp;14Optimal Capital Structure&amp;RUE-190334 and UG-190335,
 UE-190222 (Consolidated)
 Exh. DJG-35 
&amp;P of &amp;N </oddHeader>
  </headerFooter>
  <colBreaks count="2" manualBreakCount="2">
    <brk id="22" max="1048575" man="1"/>
    <brk id="2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58"/>
  <sheetViews>
    <sheetView topLeftCell="A38" zoomScale="90" zoomScaleNormal="90" workbookViewId="0"/>
  </sheetViews>
  <sheetFormatPr defaultRowHeight="15"/>
  <cols>
    <col min="1" max="1" width="36.140625" style="219" customWidth="1"/>
    <col min="2" max="2" width="2.7109375" style="219" customWidth="1"/>
    <col min="3" max="3" width="10.7109375" style="219" bestFit="1" customWidth="1"/>
    <col min="4" max="4" width="2.7109375" style="219" customWidth="1"/>
    <col min="5" max="5" width="13.28515625" style="231" customWidth="1"/>
    <col min="6" max="8" width="9.140625" style="219"/>
    <col min="9" max="9" width="30.5703125" style="219" bestFit="1" customWidth="1"/>
    <col min="10" max="10" width="2.7109375" style="219" customWidth="1"/>
    <col min="11" max="11" width="8.7109375" style="219" customWidth="1"/>
    <col min="12" max="12" width="2.7109375" style="219" customWidth="1"/>
    <col min="13" max="13" width="12.7109375" style="219" customWidth="1"/>
    <col min="14" max="16384" width="9.140625" style="219"/>
  </cols>
  <sheetData>
    <row r="1" spans="1:13">
      <c r="A1" s="217"/>
      <c r="B1" s="217"/>
      <c r="C1" s="217"/>
      <c r="D1" s="217"/>
      <c r="E1" s="218"/>
      <c r="I1" s="219" t="s">
        <v>272</v>
      </c>
    </row>
    <row r="3" spans="1:13" ht="14.45" customHeight="1">
      <c r="A3" s="47" t="s">
        <v>66</v>
      </c>
      <c r="C3" s="47" t="s">
        <v>313</v>
      </c>
      <c r="E3" s="220" t="s">
        <v>314</v>
      </c>
      <c r="I3" s="47" t="s">
        <v>66</v>
      </c>
      <c r="K3" s="47" t="s">
        <v>313</v>
      </c>
      <c r="M3" s="220" t="s">
        <v>314</v>
      </c>
    </row>
    <row r="4" spans="1:13" ht="14.45" customHeight="1">
      <c r="A4" s="219" t="s">
        <v>315</v>
      </c>
      <c r="C4" s="221">
        <v>34</v>
      </c>
      <c r="D4" s="222"/>
      <c r="E4" s="223">
        <v>0.88175161089599663</v>
      </c>
      <c r="I4" s="219" t="s">
        <v>315</v>
      </c>
      <c r="K4" s="221">
        <v>34</v>
      </c>
      <c r="L4" s="222"/>
      <c r="M4" s="223">
        <v>0.88175161089599663</v>
      </c>
    </row>
    <row r="5" spans="1:13" ht="14.45" customHeight="1">
      <c r="A5" s="219" t="s">
        <v>316</v>
      </c>
      <c r="C5" s="221">
        <v>17</v>
      </c>
      <c r="D5" s="222"/>
      <c r="E5" s="223">
        <v>0.87637667739406089</v>
      </c>
      <c r="I5" s="219" t="s">
        <v>316</v>
      </c>
      <c r="K5" s="221">
        <v>17</v>
      </c>
      <c r="L5" s="222"/>
      <c r="M5" s="223">
        <v>0.87637667739406089</v>
      </c>
    </row>
    <row r="6" spans="1:13" ht="14.45" customHeight="1">
      <c r="A6" s="219" t="s">
        <v>67</v>
      </c>
      <c r="C6" s="221">
        <v>24</v>
      </c>
      <c r="D6" s="222"/>
      <c r="E6" s="223">
        <v>0.82811689570767133</v>
      </c>
      <c r="I6" s="219" t="s">
        <v>67</v>
      </c>
      <c r="K6" s="221">
        <v>24</v>
      </c>
      <c r="L6" s="222"/>
      <c r="M6" s="223">
        <v>0.82811689570767133</v>
      </c>
    </row>
    <row r="7" spans="1:13" ht="14.45" customHeight="1">
      <c r="A7" s="219" t="s">
        <v>317</v>
      </c>
      <c r="C7" s="221">
        <v>38</v>
      </c>
      <c r="D7" s="222"/>
      <c r="E7" s="223">
        <v>0.77031193196062075</v>
      </c>
      <c r="I7" s="219" t="s">
        <v>317</v>
      </c>
      <c r="K7" s="221">
        <v>38</v>
      </c>
      <c r="L7" s="222"/>
      <c r="M7" s="223">
        <v>0.77031193196062075</v>
      </c>
    </row>
    <row r="8" spans="1:13" ht="14.45" customHeight="1">
      <c r="A8" s="219" t="s">
        <v>318</v>
      </c>
      <c r="C8" s="221">
        <v>14</v>
      </c>
      <c r="D8" s="222"/>
      <c r="E8" s="223">
        <v>0.75939848699481149</v>
      </c>
      <c r="I8" s="219" t="s">
        <v>318</v>
      </c>
      <c r="K8" s="221">
        <v>14</v>
      </c>
      <c r="L8" s="222"/>
      <c r="M8" s="223">
        <v>0.75939848699481149</v>
      </c>
    </row>
    <row r="9" spans="1:13" ht="14.45" customHeight="1">
      <c r="A9" s="219" t="s">
        <v>319</v>
      </c>
      <c r="C9" s="221">
        <v>17</v>
      </c>
      <c r="D9" s="222"/>
      <c r="E9" s="223">
        <v>0.7568266683800885</v>
      </c>
      <c r="I9" s="187" t="s">
        <v>319</v>
      </c>
      <c r="J9" s="187"/>
      <c r="K9" s="224">
        <v>17</v>
      </c>
      <c r="L9" s="188"/>
      <c r="M9" s="223">
        <v>0.7568266683800885</v>
      </c>
    </row>
    <row r="10" spans="1:13" ht="14.45" customHeight="1">
      <c r="A10" s="219" t="s">
        <v>320</v>
      </c>
      <c r="C10" s="221">
        <v>48</v>
      </c>
      <c r="D10" s="222"/>
      <c r="E10" s="223">
        <v>0.74880430353457983</v>
      </c>
      <c r="I10" s="187" t="s">
        <v>320</v>
      </c>
      <c r="J10" s="187"/>
      <c r="K10" s="224">
        <v>48</v>
      </c>
      <c r="L10" s="188"/>
      <c r="M10" s="223">
        <v>0.74880430353457983</v>
      </c>
    </row>
    <row r="11" spans="1:13" ht="14.45" customHeight="1">
      <c r="A11" s="219" t="s">
        <v>321</v>
      </c>
      <c r="C11" s="221">
        <v>24</v>
      </c>
      <c r="D11" s="222"/>
      <c r="E11" s="223">
        <v>0.74100554576178612</v>
      </c>
      <c r="I11" s="187" t="s">
        <v>321</v>
      </c>
      <c r="J11" s="187"/>
      <c r="K11" s="224">
        <v>24</v>
      </c>
      <c r="L11" s="188"/>
      <c r="M11" s="223">
        <v>0.74100554576178612</v>
      </c>
    </row>
    <row r="12" spans="1:13" ht="14.45" customHeight="1">
      <c r="A12" s="219" t="s">
        <v>322</v>
      </c>
      <c r="C12" s="221">
        <v>44</v>
      </c>
      <c r="D12" s="222"/>
      <c r="E12" s="223">
        <v>0.73836326391589735</v>
      </c>
      <c r="I12" s="187" t="s">
        <v>322</v>
      </c>
      <c r="J12" s="187"/>
      <c r="K12" s="224">
        <v>44</v>
      </c>
      <c r="L12" s="188"/>
      <c r="M12" s="223">
        <v>0.73836326391589735</v>
      </c>
    </row>
    <row r="13" spans="1:13" ht="14.45" customHeight="1">
      <c r="A13" s="219" t="s">
        <v>323</v>
      </c>
      <c r="C13" s="221">
        <v>10</v>
      </c>
      <c r="D13" s="222"/>
      <c r="E13" s="223">
        <v>0.67059600389617802</v>
      </c>
      <c r="I13" s="187" t="s">
        <v>323</v>
      </c>
      <c r="J13" s="187"/>
      <c r="K13" s="224">
        <v>10</v>
      </c>
      <c r="L13" s="188"/>
      <c r="M13" s="223">
        <v>0.67059600389617802</v>
      </c>
    </row>
    <row r="14" spans="1:13" ht="14.45" customHeight="1">
      <c r="A14" s="219" t="s">
        <v>324</v>
      </c>
      <c r="C14" s="221">
        <v>28</v>
      </c>
      <c r="D14" s="222"/>
      <c r="E14" s="223">
        <v>0.64848377961491588</v>
      </c>
      <c r="I14" s="187" t="s">
        <v>324</v>
      </c>
      <c r="J14" s="187"/>
      <c r="K14" s="224">
        <v>28</v>
      </c>
      <c r="L14" s="188"/>
      <c r="M14" s="223">
        <v>0.64848377961491588</v>
      </c>
    </row>
    <row r="15" spans="1:13" ht="14.45" customHeight="1">
      <c r="A15" s="219" t="s">
        <v>325</v>
      </c>
      <c r="C15" s="221">
        <v>18</v>
      </c>
      <c r="D15" s="222"/>
      <c r="E15" s="223">
        <v>0.64033341277351929</v>
      </c>
      <c r="I15" s="187" t="s">
        <v>325</v>
      </c>
      <c r="J15" s="187"/>
      <c r="K15" s="224">
        <v>18</v>
      </c>
      <c r="L15" s="188"/>
      <c r="M15" s="223">
        <v>0.64033341277351929</v>
      </c>
    </row>
    <row r="16" spans="1:13" ht="14.45" customHeight="1">
      <c r="A16" s="219" t="s">
        <v>326</v>
      </c>
      <c r="C16" s="221">
        <v>70</v>
      </c>
      <c r="D16" s="222"/>
      <c r="E16" s="223">
        <v>0.63434698033035042</v>
      </c>
      <c r="I16" s="187" t="s">
        <v>326</v>
      </c>
      <c r="J16" s="187"/>
      <c r="K16" s="224">
        <v>70</v>
      </c>
      <c r="L16" s="188"/>
      <c r="M16" s="223">
        <v>0.63434698033035042</v>
      </c>
    </row>
    <row r="17" spans="1:13" ht="14.45" customHeight="1">
      <c r="A17" s="219" t="s">
        <v>327</v>
      </c>
      <c r="C17" s="221">
        <v>37</v>
      </c>
      <c r="D17" s="222"/>
      <c r="E17" s="223">
        <v>0.62860253121177478</v>
      </c>
      <c r="I17" s="187" t="s">
        <v>327</v>
      </c>
      <c r="J17" s="187"/>
      <c r="K17" s="224">
        <v>37</v>
      </c>
      <c r="L17" s="188"/>
      <c r="M17" s="223">
        <v>0.62860253121177478</v>
      </c>
    </row>
    <row r="18" spans="1:13" ht="14.45" customHeight="1">
      <c r="A18" s="219" t="s">
        <v>328</v>
      </c>
      <c r="C18" s="221">
        <v>27</v>
      </c>
      <c r="D18" s="222"/>
      <c r="E18" s="223">
        <v>0.62423842010029462</v>
      </c>
      <c r="I18" s="187" t="s">
        <v>328</v>
      </c>
      <c r="J18" s="187"/>
      <c r="K18" s="224">
        <v>27</v>
      </c>
      <c r="L18" s="188"/>
      <c r="M18" s="223">
        <v>0.62423842010029462</v>
      </c>
    </row>
    <row r="19" spans="1:13" ht="14.45" customHeight="1">
      <c r="A19" s="219" t="s">
        <v>329</v>
      </c>
      <c r="C19" s="221">
        <v>238</v>
      </c>
      <c r="D19" s="222"/>
      <c r="E19" s="223">
        <v>0.61762573769669793</v>
      </c>
      <c r="I19" s="187" t="s">
        <v>329</v>
      </c>
      <c r="J19" s="187"/>
      <c r="K19" s="224">
        <v>238</v>
      </c>
      <c r="L19" s="188"/>
      <c r="M19" s="223">
        <v>0.61762573769669793</v>
      </c>
    </row>
    <row r="20" spans="1:13" ht="14.45" customHeight="1">
      <c r="A20" s="219" t="s">
        <v>330</v>
      </c>
      <c r="C20" s="221">
        <v>12</v>
      </c>
      <c r="D20" s="222"/>
      <c r="E20" s="223">
        <v>0.60504874114342533</v>
      </c>
      <c r="I20" s="187" t="s">
        <v>330</v>
      </c>
      <c r="J20" s="187"/>
      <c r="K20" s="224">
        <v>12</v>
      </c>
      <c r="L20" s="188"/>
      <c r="M20" s="223">
        <v>0.60504874114342533</v>
      </c>
    </row>
    <row r="21" spans="1:13" ht="14.45" customHeight="1">
      <c r="A21" s="219" t="s">
        <v>331</v>
      </c>
      <c r="C21" s="221">
        <v>21</v>
      </c>
      <c r="D21" s="222"/>
      <c r="E21" s="223">
        <v>0.6015339617253338</v>
      </c>
      <c r="I21" s="225" t="s">
        <v>331</v>
      </c>
      <c r="J21" s="187"/>
      <c r="K21" s="224">
        <v>21</v>
      </c>
      <c r="L21" s="188"/>
      <c r="M21" s="226">
        <v>0.6015339617253338</v>
      </c>
    </row>
    <row r="22" spans="1:13" ht="14.45" customHeight="1">
      <c r="A22" s="219" t="s">
        <v>332</v>
      </c>
      <c r="C22" s="221">
        <v>19</v>
      </c>
      <c r="D22" s="222"/>
      <c r="E22" s="223">
        <v>0.58876573161664647</v>
      </c>
      <c r="I22" s="187" t="s">
        <v>332</v>
      </c>
      <c r="J22" s="187"/>
      <c r="K22" s="224">
        <v>19</v>
      </c>
      <c r="L22" s="188"/>
      <c r="M22" s="223">
        <v>0.58876573161664647</v>
      </c>
    </row>
    <row r="23" spans="1:13" ht="14.45" customHeight="1">
      <c r="A23" s="219" t="s">
        <v>333</v>
      </c>
      <c r="C23" s="221">
        <v>88</v>
      </c>
      <c r="D23" s="222"/>
      <c r="E23" s="223">
        <v>0.58552709143633042</v>
      </c>
      <c r="I23" s="187" t="s">
        <v>333</v>
      </c>
      <c r="J23" s="187"/>
      <c r="K23" s="224">
        <v>88</v>
      </c>
      <c r="L23" s="188"/>
      <c r="M23" s="223">
        <v>0.58552709143633042</v>
      </c>
    </row>
    <row r="24" spans="1:13">
      <c r="A24" s="219" t="s">
        <v>334</v>
      </c>
      <c r="C24" s="221">
        <v>67</v>
      </c>
      <c r="D24" s="222"/>
      <c r="E24" s="223">
        <v>0.58269902508047378</v>
      </c>
      <c r="I24" s="225" t="s">
        <v>334</v>
      </c>
      <c r="K24" s="221">
        <v>67</v>
      </c>
      <c r="L24" s="222"/>
      <c r="M24" s="226">
        <v>0.58269902508047378</v>
      </c>
    </row>
    <row r="25" spans="1:13">
      <c r="A25" s="219" t="s">
        <v>335</v>
      </c>
      <c r="C25" s="221">
        <v>18</v>
      </c>
      <c r="D25" s="222"/>
      <c r="E25" s="223">
        <v>0.5791420626737902</v>
      </c>
      <c r="I25" s="219" t="s">
        <v>336</v>
      </c>
      <c r="K25" s="221">
        <v>85</v>
      </c>
      <c r="L25" s="222"/>
      <c r="M25" s="223">
        <v>0.57769282056957494</v>
      </c>
    </row>
    <row r="26" spans="1:13">
      <c r="A26" s="219" t="s">
        <v>336</v>
      </c>
      <c r="C26" s="221">
        <v>85</v>
      </c>
      <c r="D26" s="222"/>
      <c r="E26" s="223">
        <v>0.57769282056957494</v>
      </c>
      <c r="I26" s="219" t="s">
        <v>337</v>
      </c>
      <c r="K26" s="221">
        <v>18</v>
      </c>
      <c r="L26" s="222"/>
      <c r="M26" s="223">
        <v>0.57653089364168608</v>
      </c>
    </row>
    <row r="27" spans="1:13">
      <c r="A27" s="219" t="s">
        <v>337</v>
      </c>
      <c r="C27" s="221">
        <v>18</v>
      </c>
      <c r="D27" s="222"/>
      <c r="E27" s="223">
        <v>0.57653089364168608</v>
      </c>
      <c r="I27" s="187" t="s">
        <v>338</v>
      </c>
      <c r="K27" s="221">
        <v>20</v>
      </c>
      <c r="L27" s="222"/>
      <c r="M27" s="223">
        <v>0.5759458043661787</v>
      </c>
    </row>
    <row r="28" spans="1:13">
      <c r="A28" s="219" t="s">
        <v>338</v>
      </c>
      <c r="C28" s="221">
        <v>20</v>
      </c>
      <c r="D28" s="222"/>
      <c r="E28" s="223">
        <v>0.5759458043661787</v>
      </c>
      <c r="I28" s="219" t="s">
        <v>339</v>
      </c>
      <c r="K28" s="221">
        <v>33</v>
      </c>
      <c r="L28" s="222"/>
      <c r="M28" s="223">
        <v>0.5687910854969267</v>
      </c>
    </row>
    <row r="29" spans="1:13">
      <c r="A29" s="219" t="s">
        <v>339</v>
      </c>
      <c r="C29" s="221">
        <v>33</v>
      </c>
      <c r="D29" s="222"/>
      <c r="E29" s="223">
        <v>0.5687910854969267</v>
      </c>
      <c r="I29" s="219" t="s">
        <v>340</v>
      </c>
      <c r="K29" s="221">
        <v>48</v>
      </c>
      <c r="L29" s="222"/>
      <c r="M29" s="223">
        <v>0.56482457664724794</v>
      </c>
    </row>
    <row r="30" spans="1:13">
      <c r="A30" s="219" t="s">
        <v>340</v>
      </c>
      <c r="C30" s="221">
        <v>48</v>
      </c>
      <c r="D30" s="222"/>
      <c r="E30" s="223">
        <v>0.56482457664724794</v>
      </c>
      <c r="I30" s="225" t="s">
        <v>341</v>
      </c>
      <c r="K30" s="221">
        <v>19</v>
      </c>
      <c r="L30" s="222"/>
      <c r="M30" s="226">
        <v>0.56472194781607254</v>
      </c>
    </row>
    <row r="31" spans="1:13">
      <c r="A31" s="219" t="s">
        <v>341</v>
      </c>
      <c r="C31" s="221">
        <v>19</v>
      </c>
      <c r="D31" s="222"/>
      <c r="E31" s="223">
        <v>0.56472194781607254</v>
      </c>
      <c r="I31" s="225" t="s">
        <v>342</v>
      </c>
      <c r="K31" s="221">
        <v>51</v>
      </c>
      <c r="L31" s="222"/>
      <c r="M31" s="226">
        <v>0.56167007430061255</v>
      </c>
    </row>
    <row r="32" spans="1:13">
      <c r="A32" s="219" t="s">
        <v>342</v>
      </c>
      <c r="C32" s="221">
        <v>51</v>
      </c>
      <c r="D32" s="222"/>
      <c r="E32" s="223">
        <v>0.56167007430061255</v>
      </c>
      <c r="I32" s="225" t="s">
        <v>343</v>
      </c>
      <c r="K32" s="221">
        <v>14</v>
      </c>
      <c r="L32" s="222"/>
      <c r="M32" s="226">
        <v>0.56149046285757365</v>
      </c>
    </row>
    <row r="33" spans="1:13">
      <c r="A33" s="219" t="s">
        <v>343</v>
      </c>
      <c r="C33" s="221">
        <v>14</v>
      </c>
      <c r="D33" s="222"/>
      <c r="E33" s="223">
        <v>0.56149046285757365</v>
      </c>
      <c r="I33" s="219" t="s">
        <v>344</v>
      </c>
      <c r="K33" s="221">
        <v>24</v>
      </c>
      <c r="L33" s="222"/>
      <c r="M33" s="223">
        <v>0.55649621572922747</v>
      </c>
    </row>
    <row r="34" spans="1:13">
      <c r="A34" s="219" t="s">
        <v>344</v>
      </c>
      <c r="C34" s="221">
        <v>24</v>
      </c>
      <c r="D34" s="222"/>
      <c r="E34" s="223">
        <v>0.55649621572922747</v>
      </c>
      <c r="I34" s="225" t="s">
        <v>345</v>
      </c>
      <c r="K34" s="221">
        <v>21</v>
      </c>
      <c r="L34" s="222"/>
      <c r="M34" s="226">
        <v>0.55420158873370196</v>
      </c>
    </row>
    <row r="35" spans="1:13">
      <c r="A35" s="219" t="s">
        <v>345</v>
      </c>
      <c r="C35" s="221">
        <v>21</v>
      </c>
      <c r="D35" s="222"/>
      <c r="E35" s="223">
        <v>0.55420158873370196</v>
      </c>
      <c r="I35" s="219" t="s">
        <v>346</v>
      </c>
      <c r="K35" s="221">
        <v>57</v>
      </c>
      <c r="L35" s="222"/>
      <c r="M35" s="223">
        <v>0.55386058569953389</v>
      </c>
    </row>
    <row r="36" spans="1:13">
      <c r="A36" s="219" t="s">
        <v>346</v>
      </c>
      <c r="C36" s="221">
        <v>57</v>
      </c>
      <c r="D36" s="222"/>
      <c r="E36" s="223">
        <v>0.55386058569953389</v>
      </c>
      <c r="I36" s="219" t="s">
        <v>347</v>
      </c>
      <c r="K36" s="221">
        <v>168</v>
      </c>
      <c r="L36" s="222"/>
      <c r="M36" s="223">
        <v>0.55134503730362383</v>
      </c>
    </row>
    <row r="37" spans="1:13">
      <c r="A37" s="219" t="s">
        <v>347</v>
      </c>
      <c r="C37" s="221">
        <v>168</v>
      </c>
      <c r="D37" s="222"/>
      <c r="E37" s="223">
        <v>0.55134503730362383</v>
      </c>
      <c r="F37" s="186"/>
      <c r="I37" s="217" t="s">
        <v>348</v>
      </c>
      <c r="K37" s="227">
        <v>72</v>
      </c>
      <c r="L37" s="222"/>
      <c r="M37" s="228">
        <v>0.54940952979765412</v>
      </c>
    </row>
    <row r="38" spans="1:13">
      <c r="A38" s="219" t="s">
        <v>348</v>
      </c>
      <c r="C38" s="221">
        <v>72</v>
      </c>
      <c r="D38" s="222"/>
      <c r="E38" s="223">
        <v>0.54940952979765412</v>
      </c>
      <c r="K38" s="222"/>
      <c r="L38" s="222"/>
      <c r="M38" s="223"/>
    </row>
    <row r="39" spans="1:13">
      <c r="A39" s="219" t="s">
        <v>349</v>
      </c>
      <c r="C39" s="221">
        <v>59</v>
      </c>
      <c r="D39" s="222"/>
      <c r="E39" s="223">
        <v>0.53316241964396338</v>
      </c>
      <c r="I39" s="13" t="s">
        <v>350</v>
      </c>
      <c r="K39" s="229">
        <f>SUM(K4:K37)</f>
        <v>1525</v>
      </c>
      <c r="L39" s="222"/>
      <c r="M39" s="230">
        <f>AVERAGE(M4:M37)</f>
        <v>0.64252168894503137</v>
      </c>
    </row>
    <row r="40" spans="1:13">
      <c r="A40" s="219" t="s">
        <v>351</v>
      </c>
      <c r="C40" s="221">
        <v>481</v>
      </c>
      <c r="D40" s="222"/>
      <c r="E40" s="223">
        <v>0.52947832043842258</v>
      </c>
    </row>
    <row r="41" spans="1:13">
      <c r="A41" s="219" t="s">
        <v>352</v>
      </c>
      <c r="C41" s="221">
        <v>4</v>
      </c>
      <c r="D41" s="222"/>
      <c r="E41" s="223">
        <v>0.52229105713145263</v>
      </c>
    </row>
    <row r="42" spans="1:13">
      <c r="A42" s="219" t="s">
        <v>353</v>
      </c>
      <c r="C42" s="221">
        <v>91</v>
      </c>
      <c r="D42" s="222"/>
      <c r="E42" s="223">
        <v>0.51992614092406009</v>
      </c>
    </row>
    <row r="43" spans="1:13">
      <c r="A43" s="219" t="s">
        <v>354</v>
      </c>
      <c r="C43" s="221">
        <v>141</v>
      </c>
      <c r="D43" s="222"/>
      <c r="E43" s="223">
        <v>0.51947553248991984</v>
      </c>
    </row>
    <row r="44" spans="1:13">
      <c r="A44" s="219" t="s">
        <v>355</v>
      </c>
      <c r="C44" s="221">
        <v>39</v>
      </c>
      <c r="D44" s="222"/>
      <c r="E44" s="223">
        <v>0.51741318931787827</v>
      </c>
    </row>
    <row r="45" spans="1:13">
      <c r="A45" s="219" t="s">
        <v>356</v>
      </c>
      <c r="C45" s="221">
        <v>71</v>
      </c>
      <c r="D45" s="222"/>
      <c r="E45" s="223">
        <v>0.51588178389553085</v>
      </c>
    </row>
    <row r="46" spans="1:13">
      <c r="A46" s="219" t="s">
        <v>357</v>
      </c>
      <c r="C46" s="221">
        <v>119</v>
      </c>
      <c r="D46" s="222"/>
      <c r="E46" s="223">
        <v>0.5090368086327155</v>
      </c>
    </row>
    <row r="47" spans="1:13">
      <c r="A47" s="219" t="s">
        <v>358</v>
      </c>
      <c r="C47" s="221">
        <v>111</v>
      </c>
      <c r="D47" s="222"/>
      <c r="E47" s="223">
        <v>0.4952892532497723</v>
      </c>
    </row>
    <row r="48" spans="1:13">
      <c r="A48" s="219" t="s">
        <v>359</v>
      </c>
      <c r="C48" s="221">
        <v>89</v>
      </c>
      <c r="D48" s="222"/>
      <c r="E48" s="223">
        <v>0.49432199088153944</v>
      </c>
    </row>
    <row r="49" spans="1:5">
      <c r="A49" s="219" t="s">
        <v>360</v>
      </c>
      <c r="C49" s="221">
        <v>355</v>
      </c>
      <c r="D49" s="222"/>
      <c r="E49" s="223">
        <v>0.48343388761972977</v>
      </c>
    </row>
    <row r="50" spans="1:5">
      <c r="A50" s="219" t="s">
        <v>361</v>
      </c>
      <c r="C50" s="221">
        <v>19</v>
      </c>
      <c r="D50" s="222"/>
      <c r="E50" s="223">
        <v>0.47355329230915411</v>
      </c>
    </row>
    <row r="51" spans="1:5">
      <c r="A51" s="219" t="s">
        <v>362</v>
      </c>
      <c r="C51" s="221">
        <v>10</v>
      </c>
      <c r="D51" s="222"/>
      <c r="E51" s="223">
        <v>0.47257148471031718</v>
      </c>
    </row>
    <row r="52" spans="1:5">
      <c r="A52" s="217" t="s">
        <v>363</v>
      </c>
      <c r="C52" s="227">
        <v>83</v>
      </c>
      <c r="D52" s="222"/>
      <c r="E52" s="228">
        <v>0.47001858701282345</v>
      </c>
    </row>
    <row r="53" spans="1:5">
      <c r="C53" s="222"/>
      <c r="D53" s="222"/>
      <c r="E53" s="223"/>
    </row>
    <row r="54" spans="1:5">
      <c r="A54" s="13" t="s">
        <v>350</v>
      </c>
      <c r="C54" s="229">
        <f>SUM(C4:C52)</f>
        <v>3215</v>
      </c>
      <c r="D54" s="222"/>
      <c r="E54" s="230">
        <f>AVERAGE(E4:E52)</f>
        <v>0.60164761704208436</v>
      </c>
    </row>
    <row r="55" spans="1:5">
      <c r="A55" s="217"/>
      <c r="B55" s="217"/>
      <c r="C55" s="217"/>
      <c r="D55" s="217"/>
      <c r="E55" s="218"/>
    </row>
    <row r="58" spans="1:5">
      <c r="A58" s="253" t="s">
        <v>364</v>
      </c>
      <c r="B58" s="253"/>
      <c r="C58" s="253"/>
      <c r="D58" s="253"/>
      <c r="E58" s="253"/>
    </row>
  </sheetData>
  <mergeCells count="1">
    <mergeCell ref="A58:E58"/>
  </mergeCells>
  <printOptions horizontalCentered="1" verticalCentered="1" headings="1" gridLines="1"/>
  <pageMargins left="0.7" right="0.7" top="1" bottom="0.5" header="0.3" footer="0.3"/>
  <pageSetup scale="59" orientation="portrait" r:id="rId1"/>
  <headerFooter scaleWithDoc="0">
    <oddHeader xml:space="preserve">&amp;C&amp;"-,Bold"&amp;14Competitive Industry Debt Ratios&amp;RUE-190334 and UG-190335,
 UE-190222 (Consolidated)
 Exh. DJG-36 
&amp;P of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33"/>
  <sheetViews>
    <sheetView tabSelected="1" topLeftCell="A4" zoomScaleNormal="100" workbookViewId="0"/>
  </sheetViews>
  <sheetFormatPr defaultRowHeight="15"/>
  <cols>
    <col min="1" max="1" width="36.140625" style="187" bestFit="1" customWidth="1"/>
    <col min="2" max="2" width="2.7109375" style="187" customWidth="1"/>
    <col min="3" max="3" width="6.7109375" style="187" customWidth="1"/>
    <col min="4" max="4" width="2.7109375" style="187" customWidth="1"/>
    <col min="5" max="5" width="13.7109375" style="187" customWidth="1"/>
    <col min="6" max="16384" width="9.140625" style="187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189" t="s">
        <v>0</v>
      </c>
      <c r="B3" s="188"/>
      <c r="C3" s="189" t="s">
        <v>1</v>
      </c>
      <c r="D3" s="188"/>
      <c r="E3" s="4" t="s">
        <v>314</v>
      </c>
    </row>
    <row r="4" spans="1:5" ht="19.899999999999999" customHeight="1">
      <c r="A4" s="188"/>
      <c r="B4" s="188"/>
      <c r="C4" s="188"/>
      <c r="D4" s="188"/>
      <c r="E4" s="5"/>
    </row>
    <row r="5" spans="1:5" ht="19.899999999999999" customHeight="1">
      <c r="A5" s="187" t="str">
        <f>'10 Proxy Sum'!A7</f>
        <v>Algonquin Pwr &amp; Util</v>
      </c>
      <c r="C5" s="38" t="str">
        <f>'10 Proxy Sum'!C7</f>
        <v>AQN</v>
      </c>
      <c r="D5" s="188"/>
      <c r="E5" s="202" t="s">
        <v>214</v>
      </c>
    </row>
    <row r="6" spans="1:5" ht="19.899999999999999" customHeight="1">
      <c r="A6" s="187" t="str">
        <f>'10 Proxy Sum'!A8</f>
        <v>Ameren Corp.</v>
      </c>
      <c r="C6" s="38" t="str">
        <f>'10 Proxy Sum'!C8</f>
        <v>AEE</v>
      </c>
      <c r="D6" s="188"/>
      <c r="E6" s="202">
        <v>0.503</v>
      </c>
    </row>
    <row r="7" spans="1:5" ht="19.899999999999999" customHeight="1">
      <c r="A7" s="187" t="str">
        <f>'10 Proxy Sum'!A9</f>
        <v>Avangrid, Inc.</v>
      </c>
      <c r="C7" s="38" t="str">
        <f>'10 Proxy Sum'!C9</f>
        <v>AGR</v>
      </c>
      <c r="D7" s="188"/>
      <c r="E7" s="202">
        <v>0.26200000000000001</v>
      </c>
    </row>
    <row r="8" spans="1:5" ht="19.899999999999999" customHeight="1">
      <c r="A8" s="187" t="str">
        <f>'10 Proxy Sum'!A10</f>
        <v>Avista Corp.</v>
      </c>
      <c r="C8" s="38" t="str">
        <f>'10 Proxy Sum'!C10</f>
        <v>AVA</v>
      </c>
      <c r="D8" s="188"/>
      <c r="E8" s="202">
        <v>0.505</v>
      </c>
    </row>
    <row r="9" spans="1:5" ht="19.899999999999999" customHeight="1">
      <c r="A9" s="187" t="str">
        <f>'10 Proxy Sum'!A11</f>
        <v>Black Hills Corp.</v>
      </c>
      <c r="C9" s="38" t="str">
        <f>'10 Proxy Sum'!C11</f>
        <v>BKH</v>
      </c>
      <c r="D9" s="188"/>
      <c r="E9" s="202">
        <v>0.57499999999999996</v>
      </c>
    </row>
    <row r="10" spans="1:5" ht="19.899999999999999" customHeight="1">
      <c r="A10" s="187" t="str">
        <f>'10 Proxy Sum'!A12</f>
        <v>CenterPoint Energy</v>
      </c>
      <c r="C10" s="38" t="str">
        <f>'10 Proxy Sum'!C12</f>
        <v>CNP</v>
      </c>
      <c r="D10" s="188"/>
      <c r="E10" s="202">
        <v>0.51900000000000002</v>
      </c>
    </row>
    <row r="11" spans="1:5" ht="19.899999999999999" customHeight="1">
      <c r="A11" s="187" t="str">
        <f>'10 Proxy Sum'!A13</f>
        <v>CMS Energy Corp.</v>
      </c>
      <c r="C11" s="38" t="str">
        <f>'10 Proxy Sum'!C13</f>
        <v>CMS</v>
      </c>
      <c r="D11" s="188"/>
      <c r="E11" s="202">
        <v>0.69</v>
      </c>
    </row>
    <row r="12" spans="1:5" ht="19.899999999999999" customHeight="1">
      <c r="A12" s="187" t="str">
        <f>'10 Proxy Sum'!A14</f>
        <v>Dominion Energy</v>
      </c>
      <c r="C12" s="38" t="str">
        <f>'10 Proxy Sum'!C14</f>
        <v>D</v>
      </c>
      <c r="D12" s="188"/>
      <c r="E12" s="202">
        <v>0.60799999999999998</v>
      </c>
    </row>
    <row r="13" spans="1:5" ht="19.899999999999999" customHeight="1">
      <c r="A13" s="187" t="str">
        <f>'10 Proxy Sum'!A15</f>
        <v>DTE Energy Co.</v>
      </c>
      <c r="C13" s="38" t="str">
        <f>'10 Proxy Sum'!C15</f>
        <v>DTE</v>
      </c>
      <c r="D13" s="188"/>
      <c r="E13" s="202">
        <v>0.54200000000000004</v>
      </c>
    </row>
    <row r="14" spans="1:5" ht="19.899999999999999" customHeight="1">
      <c r="A14" s="187" t="str">
        <f>'10 Proxy Sum'!A16</f>
        <v>Edison International</v>
      </c>
      <c r="C14" s="38" t="str">
        <f>'10 Proxy Sum'!C16</f>
        <v>EIX</v>
      </c>
      <c r="D14" s="188"/>
      <c r="E14" s="202">
        <v>0.53600000000000003</v>
      </c>
    </row>
    <row r="15" spans="1:5" ht="19.899999999999999" customHeight="1">
      <c r="A15" s="187" t="str">
        <f>'10 Proxy Sum'!A17</f>
        <v>El Paso Electric Co.</v>
      </c>
      <c r="C15" s="38" t="str">
        <f>'10 Proxy Sum'!C17</f>
        <v>EE</v>
      </c>
      <c r="D15" s="188"/>
      <c r="E15" s="202">
        <v>0.52500000000000002</v>
      </c>
    </row>
    <row r="16" spans="1:5" ht="19.899999999999999" customHeight="1">
      <c r="A16" s="187" t="str">
        <f>'10 Proxy Sum'!A18</f>
        <v>Emera Inc.</v>
      </c>
      <c r="C16" s="38" t="str">
        <f>'10 Proxy Sum'!C18</f>
        <v>EMA</v>
      </c>
      <c r="D16" s="188"/>
      <c r="E16" s="202" t="s">
        <v>214</v>
      </c>
    </row>
    <row r="17" spans="1:5" ht="19.899999999999999" customHeight="1">
      <c r="A17" s="187" t="str">
        <f>'10 Proxy Sum'!A19</f>
        <v>Entergy Corp.</v>
      </c>
      <c r="C17" s="38" t="str">
        <f>'10 Proxy Sum'!C19</f>
        <v>ETR</v>
      </c>
      <c r="D17" s="188"/>
      <c r="E17" s="202">
        <v>0.63200000000000001</v>
      </c>
    </row>
    <row r="18" spans="1:5" ht="19.899999999999999" customHeight="1">
      <c r="A18" s="187" t="str">
        <f>'10 Proxy Sum'!A20</f>
        <v>Exelon Corp.</v>
      </c>
      <c r="C18" s="38" t="str">
        <f>'10 Proxy Sum'!C20</f>
        <v>EXC</v>
      </c>
      <c r="D18" s="188"/>
      <c r="E18" s="202">
        <v>0.52800000000000002</v>
      </c>
    </row>
    <row r="19" spans="1:5" ht="19.899999999999999" customHeight="1">
      <c r="A19" s="187" t="str">
        <f>'10 Proxy Sum'!A21</f>
        <v>FirstEnergy Corp.</v>
      </c>
      <c r="C19" s="38" t="str">
        <f>'10 Proxy Sum'!C21</f>
        <v>FE</v>
      </c>
      <c r="D19" s="188"/>
      <c r="E19" s="202">
        <v>0.72299999999999998</v>
      </c>
    </row>
    <row r="20" spans="1:5" ht="19.899999999999999" customHeight="1">
      <c r="A20" s="187" t="str">
        <f>'10 Proxy Sum'!A22</f>
        <v>Hawaiian Elec.</v>
      </c>
      <c r="C20" s="38" t="str">
        <f>'10 Proxy Sum'!C22</f>
        <v>HE</v>
      </c>
      <c r="D20" s="188"/>
      <c r="E20" s="202">
        <v>0.47499999999999998</v>
      </c>
    </row>
    <row r="21" spans="1:5" ht="19.899999999999999" customHeight="1">
      <c r="A21" s="187" t="str">
        <f>'10 Proxy Sum'!A23</f>
        <v>IDACORP, Inc.</v>
      </c>
      <c r="C21" s="38" t="str">
        <f>'10 Proxy Sum'!C23</f>
        <v>IDA</v>
      </c>
      <c r="D21" s="188"/>
      <c r="E21" s="202">
        <v>0.436</v>
      </c>
    </row>
    <row r="22" spans="1:5" ht="19.899999999999999" customHeight="1">
      <c r="A22" s="187" t="str">
        <f>'10 Proxy Sum'!A24</f>
        <v>NorthWestern Corp.</v>
      </c>
      <c r="C22" s="38" t="str">
        <f>'10 Proxy Sum'!C24</f>
        <v>NWE</v>
      </c>
      <c r="D22" s="188"/>
      <c r="E22" s="202">
        <v>0.52200000000000002</v>
      </c>
    </row>
    <row r="23" spans="1:5" ht="19.899999999999999" customHeight="1">
      <c r="A23" s="187" t="str">
        <f>'10 Proxy Sum'!A25</f>
        <v>OGE Energy Corp.</v>
      </c>
      <c r="C23" s="38" t="str">
        <f>'10 Proxy Sum'!C25</f>
        <v>OGE</v>
      </c>
      <c r="D23" s="188"/>
      <c r="E23" s="202">
        <v>0.42</v>
      </c>
    </row>
    <row r="24" spans="1:5" ht="19.899999999999999" customHeight="1">
      <c r="A24" s="187" t="str">
        <f>'10 Proxy Sum'!A26</f>
        <v>Otter Tail Corp.</v>
      </c>
      <c r="C24" s="38" t="str">
        <f>'10 Proxy Sum'!C26</f>
        <v>OTTR</v>
      </c>
      <c r="D24" s="188"/>
      <c r="E24" s="202">
        <v>0.44700000000000001</v>
      </c>
    </row>
    <row r="25" spans="1:5" ht="19.899999999999999" customHeight="1">
      <c r="A25" s="187" t="str">
        <f>'10 Proxy Sum'!A27</f>
        <v>PNM Resources</v>
      </c>
      <c r="C25" s="38" t="str">
        <f>'10 Proxy Sum'!C27</f>
        <v>PNM</v>
      </c>
      <c r="D25" s="188"/>
      <c r="E25" s="202">
        <v>0.61099999999999999</v>
      </c>
    </row>
    <row r="26" spans="1:5" ht="19.899999999999999" customHeight="1">
      <c r="A26" s="15" t="str">
        <f>'10 Proxy Sum'!A28</f>
        <v>Sempra Energy</v>
      </c>
      <c r="C26" s="38" t="str">
        <f>'10 Proxy Sum'!C28</f>
        <v>SRE</v>
      </c>
      <c r="D26" s="188"/>
      <c r="E26" s="232">
        <v>0.55700000000000005</v>
      </c>
    </row>
    <row r="27" spans="1:5" ht="19.899999999999999" customHeight="1">
      <c r="C27" s="188"/>
      <c r="D27" s="188"/>
      <c r="E27" s="7"/>
    </row>
    <row r="28" spans="1:5">
      <c r="A28" s="188" t="s">
        <v>65</v>
      </c>
      <c r="B28" s="11"/>
      <c r="C28" s="188"/>
      <c r="D28" s="188"/>
      <c r="E28" s="233">
        <f>AVERAGE(E5:E26)</f>
        <v>0.53080000000000005</v>
      </c>
    </row>
    <row r="29" spans="1:5">
      <c r="A29" s="189"/>
      <c r="B29" s="15"/>
      <c r="C29" s="189"/>
      <c r="D29" s="189"/>
      <c r="E29" s="45"/>
    </row>
    <row r="30" spans="1:5">
      <c r="C30" s="188"/>
      <c r="D30" s="188"/>
      <c r="E30" s="7"/>
    </row>
    <row r="31" spans="1:5" s="186" customFormat="1" ht="14.45" customHeight="1">
      <c r="A31" s="187"/>
      <c r="B31" s="187"/>
      <c r="C31" s="187"/>
      <c r="D31" s="187"/>
      <c r="E31" s="187"/>
    </row>
    <row r="32" spans="1:5">
      <c r="A32" s="253" t="s">
        <v>365</v>
      </c>
      <c r="B32" s="253"/>
      <c r="C32" s="253"/>
      <c r="D32" s="253"/>
      <c r="E32" s="253"/>
    </row>
    <row r="33" spans="1:5">
      <c r="A33" s="253" t="s">
        <v>366</v>
      </c>
      <c r="B33" s="253"/>
      <c r="C33" s="253"/>
      <c r="D33" s="253"/>
      <c r="E33" s="253"/>
    </row>
  </sheetData>
  <mergeCells count="2">
    <mergeCell ref="A32:E32"/>
    <mergeCell ref="A33:E33"/>
  </mergeCells>
  <printOptions horizontalCentered="1" verticalCentered="1" headings="1" gridLines="1"/>
  <pageMargins left="0.7" right="0.7" top="1" bottom="0.5" header="0.3" footer="0.3"/>
  <pageSetup orientation="portrait" r:id="rId1"/>
  <headerFooter scaleWithDoc="0">
    <oddHeader xml:space="preserve">&amp;C&amp;"-,Bold"&amp;14Proxy Company Debt Ratios&amp;RUE-190334 and UG-190335,
 UE-190222 (Consolidated)
 Exh. DJG-37 
&amp;P of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B13"/>
  <sheetViews>
    <sheetView zoomScale="80" zoomScaleNormal="80" workbookViewId="0">
      <selection activeCell="A22" sqref="A22"/>
    </sheetView>
  </sheetViews>
  <sheetFormatPr defaultColWidth="8.85546875" defaultRowHeight="15"/>
  <cols>
    <col min="1" max="1" width="38" style="190" bestFit="1" customWidth="1"/>
    <col min="2" max="2" width="5.85546875" style="190" bestFit="1" customWidth="1"/>
    <col min="3" max="16384" width="8.85546875" style="190"/>
  </cols>
  <sheetData>
    <row r="4" spans="1:2">
      <c r="A4" s="137" t="s">
        <v>66</v>
      </c>
      <c r="B4" s="138" t="s">
        <v>126</v>
      </c>
    </row>
    <row r="5" spans="1:2" ht="15.75">
      <c r="A5" s="139" t="s">
        <v>180</v>
      </c>
      <c r="B5" s="140">
        <v>0.27</v>
      </c>
    </row>
    <row r="6" spans="1:2" ht="15.75">
      <c r="A6" s="139" t="s">
        <v>67</v>
      </c>
      <c r="B6" s="140">
        <v>1.02</v>
      </c>
    </row>
    <row r="7" spans="1:2" ht="15.75">
      <c r="A7" s="139" t="s">
        <v>127</v>
      </c>
      <c r="B7" s="140">
        <v>1.1200000000000001</v>
      </c>
    </row>
    <row r="8" spans="1:2" ht="15.75">
      <c r="A8" s="139" t="s">
        <v>179</v>
      </c>
      <c r="B8" s="140">
        <v>1.46</v>
      </c>
    </row>
    <row r="9" spans="1:2" ht="15.75">
      <c r="A9" s="139" t="s">
        <v>178</v>
      </c>
      <c r="B9" s="140">
        <v>1.62</v>
      </c>
    </row>
    <row r="10" spans="1:2" ht="15.75">
      <c r="A10" s="139"/>
    </row>
    <row r="11" spans="1:2" ht="15.75">
      <c r="A11" s="139"/>
    </row>
    <row r="13" spans="1:2" ht="15.75">
      <c r="A13" s="141" t="s">
        <v>128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4:E512"/>
  <sheetViews>
    <sheetView workbookViewId="0">
      <selection activeCell="B12" sqref="B12"/>
    </sheetView>
  </sheetViews>
  <sheetFormatPr defaultRowHeight="15"/>
  <cols>
    <col min="1" max="2" width="9.7109375" customWidth="1"/>
  </cols>
  <sheetData>
    <row r="4" spans="1:5">
      <c r="A4" t="s">
        <v>31</v>
      </c>
      <c r="C4" s="12">
        <f>'21 Risk Free Rate'!E35</f>
        <v>2.4166666666666659E-2</v>
      </c>
    </row>
    <row r="5" spans="1:5">
      <c r="A5" t="s">
        <v>129</v>
      </c>
      <c r="C5" s="12">
        <f>'28 ERP Result'!C16</f>
        <v>5.959844190504833E-2</v>
      </c>
    </row>
    <row r="6" spans="1:5">
      <c r="A6" t="s">
        <v>52</v>
      </c>
      <c r="C6" s="93">
        <f>'22 Beta'!E28</f>
        <v>0.62619047619047608</v>
      </c>
    </row>
    <row r="7" spans="1:5">
      <c r="A7" t="s">
        <v>140</v>
      </c>
      <c r="C7" s="93">
        <f>'29 CAPM Result'!L31</f>
        <v>6.1486643383399292E-2</v>
      </c>
    </row>
    <row r="9" spans="1:5">
      <c r="A9" s="1" t="s">
        <v>130</v>
      </c>
      <c r="B9" s="1" t="s">
        <v>131</v>
      </c>
      <c r="C9" s="1" t="s">
        <v>132</v>
      </c>
    </row>
    <row r="10" spans="1:5">
      <c r="A10" s="10">
        <v>0</v>
      </c>
      <c r="B10" s="142">
        <f>A10*$C$5+$C$4</f>
        <v>2.4166666666666659E-2</v>
      </c>
      <c r="C10" s="142">
        <f>$B$12</f>
        <v>6.1486643383399292E-2</v>
      </c>
      <c r="D10" s="142">
        <f>$A$12</f>
        <v>0.62619047619047608</v>
      </c>
      <c r="E10" s="142">
        <v>0</v>
      </c>
    </row>
    <row r="11" spans="1:5">
      <c r="A11" s="10">
        <v>0.5</v>
      </c>
      <c r="B11" s="142">
        <f t="shared" ref="B11:B13" si="0">A11*$C$5+$C$4</f>
        <v>5.3965887619190828E-2</v>
      </c>
      <c r="C11" s="142">
        <f t="shared" ref="C11:C12" si="1">$B$12</f>
        <v>6.1486643383399292E-2</v>
      </c>
      <c r="D11" s="142">
        <f>$A$12</f>
        <v>0.62619047619047608</v>
      </c>
      <c r="E11" s="142">
        <f>$C$10</f>
        <v>6.1486643383399292E-2</v>
      </c>
    </row>
    <row r="12" spans="1:5">
      <c r="A12" s="143">
        <f>C6</f>
        <v>0.62619047619047608</v>
      </c>
      <c r="B12" s="144">
        <f t="shared" si="0"/>
        <v>6.1486643383399292E-2</v>
      </c>
      <c r="C12" s="142">
        <f t="shared" si="1"/>
        <v>6.1486643383399292E-2</v>
      </c>
    </row>
    <row r="13" spans="1:5">
      <c r="A13" s="10">
        <v>1</v>
      </c>
      <c r="B13" s="142">
        <f t="shared" si="0"/>
        <v>8.3765108571714986E-2</v>
      </c>
      <c r="C13" s="142"/>
    </row>
    <row r="14" spans="1:5">
      <c r="A14" s="10"/>
      <c r="B14" s="142"/>
      <c r="C14" s="142"/>
    </row>
    <row r="15" spans="1:5">
      <c r="A15" s="142"/>
      <c r="B15" s="142"/>
    </row>
    <row r="16" spans="1:5">
      <c r="A16" s="142"/>
      <c r="B16" s="142"/>
    </row>
    <row r="20" spans="1:2">
      <c r="A20" s="142"/>
      <c r="B20" s="142"/>
    </row>
    <row r="21" spans="1:2">
      <c r="A21" s="142"/>
      <c r="B21" s="142"/>
    </row>
    <row r="22" spans="1:2">
      <c r="A22" s="142"/>
      <c r="B22" s="142"/>
    </row>
    <row r="23" spans="1:2">
      <c r="A23" s="142"/>
      <c r="B23" s="142"/>
    </row>
    <row r="24" spans="1:2">
      <c r="A24" s="142"/>
      <c r="B24" s="142"/>
    </row>
    <row r="25" spans="1:2">
      <c r="A25" s="142"/>
      <c r="B25" s="142"/>
    </row>
    <row r="26" spans="1:2">
      <c r="A26" s="142"/>
      <c r="B26" s="142"/>
    </row>
    <row r="27" spans="1:2">
      <c r="A27" s="142"/>
      <c r="B27" s="142"/>
    </row>
    <row r="28" spans="1:2">
      <c r="A28" s="142"/>
      <c r="B28" s="142"/>
    </row>
    <row r="29" spans="1:2">
      <c r="A29" s="142"/>
      <c r="B29" s="142"/>
    </row>
    <row r="30" spans="1:2">
      <c r="A30" s="142"/>
      <c r="B30" s="142"/>
    </row>
    <row r="31" spans="1:2">
      <c r="A31" s="142"/>
      <c r="B31" s="142"/>
    </row>
    <row r="32" spans="1:2">
      <c r="A32" s="142"/>
      <c r="B32" s="142"/>
    </row>
    <row r="33" spans="1:2">
      <c r="A33" s="142"/>
      <c r="B33" s="142"/>
    </row>
    <row r="34" spans="1:2">
      <c r="A34" s="142"/>
      <c r="B34" s="142"/>
    </row>
    <row r="35" spans="1:2">
      <c r="A35" s="142"/>
      <c r="B35" s="142"/>
    </row>
    <row r="36" spans="1:2">
      <c r="A36" s="142"/>
      <c r="B36" s="142"/>
    </row>
    <row r="37" spans="1:2">
      <c r="A37" s="142"/>
      <c r="B37" s="142"/>
    </row>
    <row r="38" spans="1:2">
      <c r="A38" s="142"/>
      <c r="B38" s="142"/>
    </row>
    <row r="39" spans="1:2">
      <c r="A39" s="142"/>
      <c r="B39" s="142"/>
    </row>
    <row r="40" spans="1:2">
      <c r="A40" s="142"/>
      <c r="B40" s="142"/>
    </row>
    <row r="41" spans="1:2">
      <c r="A41" s="142"/>
      <c r="B41" s="142"/>
    </row>
    <row r="42" spans="1:2">
      <c r="A42" s="142"/>
      <c r="B42" s="142"/>
    </row>
    <row r="43" spans="1:2">
      <c r="A43" s="142"/>
      <c r="B43" s="142"/>
    </row>
    <row r="44" spans="1:2">
      <c r="A44" s="142"/>
      <c r="B44" s="142"/>
    </row>
    <row r="45" spans="1:2">
      <c r="A45" s="142"/>
      <c r="B45" s="142"/>
    </row>
    <row r="46" spans="1:2">
      <c r="A46" s="142"/>
      <c r="B46" s="142"/>
    </row>
    <row r="47" spans="1:2">
      <c r="A47" s="142"/>
      <c r="B47" s="142"/>
    </row>
    <row r="48" spans="1:2">
      <c r="A48" s="142"/>
      <c r="B48" s="142"/>
    </row>
    <row r="49" spans="1:2">
      <c r="A49" s="142"/>
      <c r="B49" s="142"/>
    </row>
    <row r="50" spans="1:2">
      <c r="A50" s="142"/>
      <c r="B50" s="142"/>
    </row>
    <row r="51" spans="1:2">
      <c r="A51" s="142"/>
      <c r="B51" s="142"/>
    </row>
    <row r="52" spans="1:2">
      <c r="A52" s="142"/>
      <c r="B52" s="142"/>
    </row>
    <row r="53" spans="1:2">
      <c r="A53" s="142"/>
      <c r="B53" s="142"/>
    </row>
    <row r="54" spans="1:2">
      <c r="A54" s="142"/>
      <c r="B54" s="142"/>
    </row>
    <row r="55" spans="1:2">
      <c r="A55" s="142"/>
      <c r="B55" s="142"/>
    </row>
    <row r="56" spans="1:2">
      <c r="A56" s="142"/>
      <c r="B56" s="142"/>
    </row>
    <row r="57" spans="1:2">
      <c r="A57" s="142"/>
      <c r="B57" s="142"/>
    </row>
    <row r="58" spans="1:2">
      <c r="A58" s="142"/>
      <c r="B58" s="142"/>
    </row>
    <row r="59" spans="1:2">
      <c r="A59" s="142"/>
      <c r="B59" s="142"/>
    </row>
    <row r="60" spans="1:2">
      <c r="A60" s="142"/>
      <c r="B60" s="142"/>
    </row>
    <row r="61" spans="1:2">
      <c r="A61" s="142"/>
      <c r="B61" s="142"/>
    </row>
    <row r="62" spans="1:2">
      <c r="A62" s="142"/>
      <c r="B62" s="142"/>
    </row>
    <row r="63" spans="1:2">
      <c r="A63" s="142"/>
      <c r="B63" s="142"/>
    </row>
    <row r="64" spans="1:2">
      <c r="A64" s="142"/>
      <c r="B64" s="142"/>
    </row>
    <row r="65" spans="1:2">
      <c r="A65" s="142"/>
      <c r="B65" s="142"/>
    </row>
    <row r="66" spans="1:2">
      <c r="A66" s="142"/>
      <c r="B66" s="142"/>
    </row>
    <row r="67" spans="1:2">
      <c r="A67" s="142"/>
      <c r="B67" s="142"/>
    </row>
    <row r="68" spans="1:2">
      <c r="A68" s="142"/>
      <c r="B68" s="142"/>
    </row>
    <row r="69" spans="1:2">
      <c r="A69" s="142"/>
      <c r="B69" s="142"/>
    </row>
    <row r="70" spans="1:2">
      <c r="A70" s="142"/>
      <c r="B70" s="142"/>
    </row>
    <row r="71" spans="1:2">
      <c r="A71" s="142"/>
      <c r="B71" s="142"/>
    </row>
    <row r="72" spans="1:2">
      <c r="A72" s="142"/>
      <c r="B72" s="142"/>
    </row>
    <row r="73" spans="1:2">
      <c r="A73" s="142"/>
      <c r="B73" s="142"/>
    </row>
    <row r="74" spans="1:2">
      <c r="A74" s="142"/>
      <c r="B74" s="142"/>
    </row>
    <row r="75" spans="1:2">
      <c r="A75" s="142"/>
      <c r="B75" s="142"/>
    </row>
    <row r="76" spans="1:2">
      <c r="A76" s="142"/>
      <c r="B76" s="142"/>
    </row>
    <row r="77" spans="1:2">
      <c r="A77" s="142"/>
      <c r="B77" s="142"/>
    </row>
    <row r="78" spans="1:2">
      <c r="A78" s="142"/>
      <c r="B78" s="142"/>
    </row>
    <row r="79" spans="1:2">
      <c r="A79" s="142"/>
      <c r="B79" s="142"/>
    </row>
    <row r="80" spans="1:2">
      <c r="A80" s="142"/>
      <c r="B80" s="142"/>
    </row>
    <row r="81" spans="1:2">
      <c r="A81" s="142"/>
      <c r="B81" s="142"/>
    </row>
    <row r="82" spans="1:2">
      <c r="A82" s="142"/>
      <c r="B82" s="142"/>
    </row>
    <row r="83" spans="1:2">
      <c r="A83" s="142"/>
      <c r="B83" s="142"/>
    </row>
    <row r="84" spans="1:2">
      <c r="A84" s="142"/>
      <c r="B84" s="142"/>
    </row>
    <row r="85" spans="1:2">
      <c r="A85" s="142"/>
      <c r="B85" s="142"/>
    </row>
    <row r="86" spans="1:2">
      <c r="A86" s="142"/>
      <c r="B86" s="142"/>
    </row>
    <row r="87" spans="1:2">
      <c r="A87" s="142"/>
      <c r="B87" s="142"/>
    </row>
    <row r="88" spans="1:2">
      <c r="A88" s="142"/>
      <c r="B88" s="142"/>
    </row>
    <row r="89" spans="1:2">
      <c r="A89" s="142"/>
      <c r="B89" s="142"/>
    </row>
    <row r="90" spans="1:2">
      <c r="A90" s="142"/>
      <c r="B90" s="142"/>
    </row>
    <row r="91" spans="1:2">
      <c r="A91" s="142"/>
      <c r="B91" s="142"/>
    </row>
    <row r="92" spans="1:2">
      <c r="A92" s="142"/>
      <c r="B92" s="142"/>
    </row>
    <row r="93" spans="1:2">
      <c r="A93" s="142"/>
      <c r="B93" s="142"/>
    </row>
    <row r="94" spans="1:2">
      <c r="A94" s="142"/>
      <c r="B94" s="142"/>
    </row>
    <row r="95" spans="1:2">
      <c r="A95" s="142"/>
      <c r="B95" s="142"/>
    </row>
    <row r="96" spans="1:2">
      <c r="A96" s="142"/>
      <c r="B96" s="142"/>
    </row>
    <row r="97" spans="1:2">
      <c r="A97" s="142"/>
      <c r="B97" s="142"/>
    </row>
    <row r="98" spans="1:2">
      <c r="A98" s="142"/>
      <c r="B98" s="142"/>
    </row>
    <row r="99" spans="1:2">
      <c r="A99" s="142"/>
      <c r="B99" s="142"/>
    </row>
    <row r="100" spans="1:2">
      <c r="A100" s="142"/>
      <c r="B100" s="142"/>
    </row>
    <row r="101" spans="1:2">
      <c r="A101" s="142"/>
      <c r="B101" s="142"/>
    </row>
    <row r="102" spans="1:2">
      <c r="A102" s="142"/>
      <c r="B102" s="142"/>
    </row>
    <row r="103" spans="1:2">
      <c r="A103" s="142"/>
      <c r="B103" s="142"/>
    </row>
    <row r="104" spans="1:2">
      <c r="A104" s="142"/>
      <c r="B104" s="142"/>
    </row>
    <row r="105" spans="1:2">
      <c r="A105" s="142"/>
      <c r="B105" s="142"/>
    </row>
    <row r="106" spans="1:2">
      <c r="A106" s="142"/>
      <c r="B106" s="142"/>
    </row>
    <row r="107" spans="1:2">
      <c r="A107" s="142"/>
      <c r="B107" s="142"/>
    </row>
    <row r="108" spans="1:2">
      <c r="A108" s="142"/>
      <c r="B108" s="142"/>
    </row>
    <row r="109" spans="1:2">
      <c r="A109" s="142"/>
      <c r="B109" s="142"/>
    </row>
    <row r="110" spans="1:2">
      <c r="A110" s="142"/>
      <c r="B110" s="142"/>
    </row>
    <row r="111" spans="1:2">
      <c r="A111" s="142"/>
      <c r="B111" s="142"/>
    </row>
    <row r="112" spans="1:2">
      <c r="A112" s="142"/>
      <c r="B112" s="142"/>
    </row>
    <row r="113" spans="1:2">
      <c r="A113" s="142"/>
      <c r="B113" s="142"/>
    </row>
    <row r="114" spans="1:2">
      <c r="A114" s="142"/>
      <c r="B114" s="142"/>
    </row>
    <row r="115" spans="1:2">
      <c r="A115" s="142"/>
      <c r="B115" s="142"/>
    </row>
    <row r="116" spans="1:2">
      <c r="A116" s="142"/>
      <c r="B116" s="142"/>
    </row>
    <row r="117" spans="1:2">
      <c r="A117" s="142"/>
      <c r="B117" s="142"/>
    </row>
    <row r="118" spans="1:2">
      <c r="A118" s="142"/>
      <c r="B118" s="142"/>
    </row>
    <row r="119" spans="1:2">
      <c r="A119" s="142"/>
      <c r="B119" s="142"/>
    </row>
    <row r="120" spans="1:2">
      <c r="A120" s="142"/>
      <c r="B120" s="142"/>
    </row>
    <row r="121" spans="1:2">
      <c r="A121" s="142"/>
      <c r="B121" s="142"/>
    </row>
    <row r="122" spans="1:2">
      <c r="A122" s="142"/>
      <c r="B122" s="142"/>
    </row>
    <row r="123" spans="1:2">
      <c r="A123" s="142"/>
      <c r="B123" s="142"/>
    </row>
    <row r="124" spans="1:2">
      <c r="A124" s="142"/>
      <c r="B124" s="142"/>
    </row>
    <row r="125" spans="1:2">
      <c r="A125" s="142"/>
      <c r="B125" s="142"/>
    </row>
    <row r="126" spans="1:2">
      <c r="A126" s="142"/>
      <c r="B126" s="142"/>
    </row>
    <row r="127" spans="1:2">
      <c r="A127" s="142"/>
      <c r="B127" s="142"/>
    </row>
    <row r="128" spans="1:2">
      <c r="A128" s="142"/>
      <c r="B128" s="142"/>
    </row>
    <row r="129" spans="1:2">
      <c r="A129" s="142"/>
      <c r="B129" s="142"/>
    </row>
    <row r="130" spans="1:2">
      <c r="A130" s="142"/>
      <c r="B130" s="142"/>
    </row>
    <row r="131" spans="1:2">
      <c r="A131" s="142"/>
      <c r="B131" s="142"/>
    </row>
    <row r="132" spans="1:2">
      <c r="A132" s="142"/>
      <c r="B132" s="142"/>
    </row>
    <row r="133" spans="1:2">
      <c r="A133" s="142"/>
      <c r="B133" s="142"/>
    </row>
    <row r="134" spans="1:2">
      <c r="A134" s="142"/>
      <c r="B134" s="142"/>
    </row>
    <row r="135" spans="1:2">
      <c r="A135" s="142"/>
      <c r="B135" s="142"/>
    </row>
    <row r="136" spans="1:2">
      <c r="A136" s="142"/>
      <c r="B136" s="142"/>
    </row>
    <row r="137" spans="1:2">
      <c r="A137" s="142"/>
      <c r="B137" s="142"/>
    </row>
    <row r="138" spans="1:2">
      <c r="A138" s="142"/>
      <c r="B138" s="142"/>
    </row>
    <row r="139" spans="1:2">
      <c r="A139" s="142"/>
      <c r="B139" s="142"/>
    </row>
    <row r="140" spans="1:2">
      <c r="A140" s="142"/>
      <c r="B140" s="142"/>
    </row>
    <row r="141" spans="1:2">
      <c r="A141" s="142"/>
      <c r="B141" s="142"/>
    </row>
    <row r="142" spans="1:2">
      <c r="A142" s="142"/>
      <c r="B142" s="142"/>
    </row>
    <row r="143" spans="1:2">
      <c r="A143" s="142"/>
      <c r="B143" s="142"/>
    </row>
    <row r="144" spans="1:2">
      <c r="A144" s="142"/>
      <c r="B144" s="142"/>
    </row>
    <row r="145" spans="1:2">
      <c r="A145" s="142"/>
      <c r="B145" s="142"/>
    </row>
    <row r="146" spans="1:2">
      <c r="A146" s="142"/>
      <c r="B146" s="142"/>
    </row>
    <row r="147" spans="1:2">
      <c r="A147" s="142"/>
      <c r="B147" s="142"/>
    </row>
    <row r="148" spans="1:2">
      <c r="A148" s="142"/>
      <c r="B148" s="142"/>
    </row>
    <row r="149" spans="1:2">
      <c r="A149" s="142"/>
      <c r="B149" s="142"/>
    </row>
    <row r="150" spans="1:2">
      <c r="A150" s="142"/>
      <c r="B150" s="142"/>
    </row>
    <row r="151" spans="1:2">
      <c r="A151" s="142"/>
      <c r="B151" s="142"/>
    </row>
    <row r="152" spans="1:2">
      <c r="A152" s="142"/>
      <c r="B152" s="142"/>
    </row>
    <row r="153" spans="1:2">
      <c r="A153" s="142"/>
      <c r="B153" s="142"/>
    </row>
    <row r="154" spans="1:2">
      <c r="A154" s="142"/>
      <c r="B154" s="142"/>
    </row>
    <row r="155" spans="1:2">
      <c r="A155" s="142"/>
      <c r="B155" s="142"/>
    </row>
    <row r="156" spans="1:2">
      <c r="A156" s="142"/>
      <c r="B156" s="142"/>
    </row>
    <row r="157" spans="1:2">
      <c r="A157" s="142"/>
      <c r="B157" s="142"/>
    </row>
    <row r="158" spans="1:2">
      <c r="A158" s="142"/>
      <c r="B158" s="142"/>
    </row>
    <row r="159" spans="1:2">
      <c r="A159" s="142"/>
      <c r="B159" s="142"/>
    </row>
    <row r="160" spans="1:2">
      <c r="A160" s="142"/>
      <c r="B160" s="142"/>
    </row>
    <row r="161" spans="1:2">
      <c r="A161" s="142"/>
      <c r="B161" s="142"/>
    </row>
    <row r="162" spans="1:2">
      <c r="A162" s="142"/>
      <c r="B162" s="142"/>
    </row>
    <row r="163" spans="1:2">
      <c r="A163" s="142"/>
      <c r="B163" s="142"/>
    </row>
    <row r="164" spans="1:2">
      <c r="A164" s="142"/>
      <c r="B164" s="142"/>
    </row>
    <row r="165" spans="1:2">
      <c r="A165" s="142"/>
      <c r="B165" s="142"/>
    </row>
    <row r="166" spans="1:2">
      <c r="A166" s="142"/>
      <c r="B166" s="142"/>
    </row>
    <row r="167" spans="1:2">
      <c r="A167" s="142"/>
      <c r="B167" s="142"/>
    </row>
    <row r="168" spans="1:2">
      <c r="A168" s="142"/>
      <c r="B168" s="142"/>
    </row>
    <row r="169" spans="1:2">
      <c r="A169" s="142"/>
      <c r="B169" s="142"/>
    </row>
    <row r="170" spans="1:2">
      <c r="A170" s="142"/>
      <c r="B170" s="142"/>
    </row>
    <row r="171" spans="1:2">
      <c r="A171" s="142"/>
      <c r="B171" s="142"/>
    </row>
    <row r="172" spans="1:2">
      <c r="A172" s="142"/>
      <c r="B172" s="142"/>
    </row>
    <row r="173" spans="1:2">
      <c r="A173" s="142"/>
      <c r="B173" s="142"/>
    </row>
    <row r="174" spans="1:2">
      <c r="A174" s="142"/>
      <c r="B174" s="142"/>
    </row>
    <row r="175" spans="1:2">
      <c r="A175" s="142"/>
      <c r="B175" s="142"/>
    </row>
    <row r="176" spans="1:2">
      <c r="A176" s="142"/>
      <c r="B176" s="142"/>
    </row>
    <row r="177" spans="1:2">
      <c r="A177" s="142"/>
      <c r="B177" s="142"/>
    </row>
    <row r="178" spans="1:2">
      <c r="A178" s="142"/>
      <c r="B178" s="142"/>
    </row>
    <row r="179" spans="1:2">
      <c r="A179" s="142"/>
      <c r="B179" s="142"/>
    </row>
    <row r="180" spans="1:2">
      <c r="A180" s="142"/>
      <c r="B180" s="142"/>
    </row>
    <row r="181" spans="1:2">
      <c r="A181" s="142"/>
      <c r="B181" s="142"/>
    </row>
    <row r="182" spans="1:2">
      <c r="A182" s="142"/>
      <c r="B182" s="142"/>
    </row>
    <row r="183" spans="1:2">
      <c r="A183" s="142"/>
      <c r="B183" s="142"/>
    </row>
    <row r="184" spans="1:2">
      <c r="A184" s="142"/>
      <c r="B184" s="142"/>
    </row>
    <row r="185" spans="1:2">
      <c r="A185" s="142"/>
      <c r="B185" s="142"/>
    </row>
    <row r="186" spans="1:2">
      <c r="A186" s="142"/>
      <c r="B186" s="142"/>
    </row>
    <row r="187" spans="1:2">
      <c r="A187" s="142"/>
      <c r="B187" s="142"/>
    </row>
    <row r="188" spans="1:2">
      <c r="A188" s="142"/>
      <c r="B188" s="142"/>
    </row>
    <row r="189" spans="1:2">
      <c r="A189" s="142"/>
      <c r="B189" s="142"/>
    </row>
    <row r="190" spans="1:2">
      <c r="A190" s="142"/>
      <c r="B190" s="142"/>
    </row>
    <row r="191" spans="1:2">
      <c r="A191" s="142"/>
      <c r="B191" s="142"/>
    </row>
    <row r="192" spans="1:2">
      <c r="A192" s="142"/>
      <c r="B192" s="142"/>
    </row>
    <row r="193" spans="1:2">
      <c r="A193" s="142"/>
      <c r="B193" s="142"/>
    </row>
    <row r="194" spans="1:2">
      <c r="A194" s="142"/>
      <c r="B194" s="142"/>
    </row>
    <row r="195" spans="1:2">
      <c r="A195" s="142"/>
      <c r="B195" s="142"/>
    </row>
    <row r="196" spans="1:2">
      <c r="A196" s="142"/>
      <c r="B196" s="142"/>
    </row>
    <row r="197" spans="1:2">
      <c r="A197" s="142"/>
      <c r="B197" s="142"/>
    </row>
    <row r="198" spans="1:2">
      <c r="A198" s="142"/>
      <c r="B198" s="142"/>
    </row>
    <row r="199" spans="1:2">
      <c r="A199" s="142"/>
      <c r="B199" s="142"/>
    </row>
    <row r="200" spans="1:2">
      <c r="A200" s="142"/>
      <c r="B200" s="142"/>
    </row>
    <row r="201" spans="1:2">
      <c r="A201" s="142"/>
      <c r="B201" s="142"/>
    </row>
    <row r="202" spans="1:2">
      <c r="A202" s="142"/>
      <c r="B202" s="142"/>
    </row>
    <row r="203" spans="1:2">
      <c r="A203" s="142"/>
      <c r="B203" s="142"/>
    </row>
    <row r="204" spans="1:2">
      <c r="A204" s="142"/>
      <c r="B204" s="142"/>
    </row>
    <row r="205" spans="1:2">
      <c r="A205" s="142"/>
      <c r="B205" s="142"/>
    </row>
    <row r="206" spans="1:2">
      <c r="A206" s="142"/>
      <c r="B206" s="142"/>
    </row>
    <row r="207" spans="1:2">
      <c r="A207" s="142"/>
      <c r="B207" s="142"/>
    </row>
    <row r="208" spans="1:2">
      <c r="A208" s="142"/>
      <c r="B208" s="142"/>
    </row>
    <row r="209" spans="1:2">
      <c r="A209" s="142"/>
      <c r="B209" s="142"/>
    </row>
    <row r="210" spans="1:2">
      <c r="A210" s="142"/>
      <c r="B210" s="142"/>
    </row>
    <row r="211" spans="1:2">
      <c r="A211" s="142"/>
      <c r="B211" s="142"/>
    </row>
    <row r="212" spans="1:2">
      <c r="A212" s="142"/>
      <c r="B212" s="142"/>
    </row>
    <row r="213" spans="1:2">
      <c r="A213" s="142"/>
      <c r="B213" s="142"/>
    </row>
    <row r="214" spans="1:2">
      <c r="A214" s="142"/>
      <c r="B214" s="142"/>
    </row>
    <row r="215" spans="1:2">
      <c r="A215" s="142"/>
      <c r="B215" s="142"/>
    </row>
    <row r="216" spans="1:2">
      <c r="A216" s="142"/>
      <c r="B216" s="142"/>
    </row>
    <row r="217" spans="1:2">
      <c r="A217" s="142"/>
      <c r="B217" s="142"/>
    </row>
    <row r="218" spans="1:2">
      <c r="A218" s="142"/>
      <c r="B218" s="142"/>
    </row>
    <row r="219" spans="1:2">
      <c r="A219" s="142"/>
      <c r="B219" s="142"/>
    </row>
    <row r="220" spans="1:2">
      <c r="A220" s="142"/>
      <c r="B220" s="142"/>
    </row>
    <row r="221" spans="1:2">
      <c r="A221" s="142"/>
      <c r="B221" s="142"/>
    </row>
    <row r="222" spans="1:2">
      <c r="A222" s="142"/>
      <c r="B222" s="142"/>
    </row>
    <row r="223" spans="1:2">
      <c r="A223" s="142"/>
      <c r="B223" s="142"/>
    </row>
    <row r="224" spans="1:2">
      <c r="A224" s="142"/>
      <c r="B224" s="142"/>
    </row>
    <row r="225" spans="1:2">
      <c r="A225" s="142"/>
      <c r="B225" s="142"/>
    </row>
    <row r="226" spans="1:2">
      <c r="A226" s="142"/>
      <c r="B226" s="142"/>
    </row>
    <row r="227" spans="1:2">
      <c r="A227" s="142"/>
      <c r="B227" s="142"/>
    </row>
    <row r="228" spans="1:2">
      <c r="A228" s="142"/>
      <c r="B228" s="142"/>
    </row>
    <row r="229" spans="1:2">
      <c r="A229" s="142"/>
      <c r="B229" s="142"/>
    </row>
    <row r="230" spans="1:2">
      <c r="A230" s="142"/>
      <c r="B230" s="142"/>
    </row>
    <row r="231" spans="1:2">
      <c r="A231" s="142"/>
      <c r="B231" s="142"/>
    </row>
    <row r="232" spans="1:2">
      <c r="A232" s="142"/>
      <c r="B232" s="142"/>
    </row>
    <row r="233" spans="1:2">
      <c r="A233" s="142"/>
      <c r="B233" s="142"/>
    </row>
    <row r="234" spans="1:2">
      <c r="A234" s="142"/>
      <c r="B234" s="142"/>
    </row>
    <row r="235" spans="1:2">
      <c r="A235" s="142"/>
      <c r="B235" s="142"/>
    </row>
    <row r="236" spans="1:2">
      <c r="A236" s="142"/>
      <c r="B236" s="142"/>
    </row>
    <row r="237" spans="1:2">
      <c r="A237" s="142"/>
      <c r="B237" s="142"/>
    </row>
    <row r="238" spans="1:2">
      <c r="A238" s="142"/>
      <c r="B238" s="142"/>
    </row>
    <row r="239" spans="1:2">
      <c r="A239" s="142"/>
      <c r="B239" s="142"/>
    </row>
    <row r="240" spans="1:2">
      <c r="A240" s="142"/>
      <c r="B240" s="142"/>
    </row>
    <row r="241" spans="1:2">
      <c r="A241" s="142"/>
      <c r="B241" s="142"/>
    </row>
    <row r="242" spans="1:2">
      <c r="A242" s="142"/>
      <c r="B242" s="142"/>
    </row>
    <row r="243" spans="1:2">
      <c r="A243" s="142"/>
      <c r="B243" s="142"/>
    </row>
    <row r="244" spans="1:2">
      <c r="A244" s="142"/>
      <c r="B244" s="142"/>
    </row>
    <row r="245" spans="1:2">
      <c r="A245" s="142"/>
      <c r="B245" s="142"/>
    </row>
    <row r="246" spans="1:2">
      <c r="A246" s="142"/>
      <c r="B246" s="142"/>
    </row>
    <row r="247" spans="1:2">
      <c r="A247" s="142"/>
      <c r="B247" s="142"/>
    </row>
    <row r="248" spans="1:2">
      <c r="A248" s="142"/>
      <c r="B248" s="142"/>
    </row>
    <row r="249" spans="1:2">
      <c r="A249" s="142"/>
      <c r="B249" s="142"/>
    </row>
    <row r="250" spans="1:2">
      <c r="A250" s="142"/>
      <c r="B250" s="142"/>
    </row>
    <row r="251" spans="1:2">
      <c r="A251" s="142"/>
      <c r="B251" s="142"/>
    </row>
    <row r="252" spans="1:2">
      <c r="A252" s="142"/>
      <c r="B252" s="142"/>
    </row>
    <row r="253" spans="1:2">
      <c r="A253" s="142"/>
      <c r="B253" s="142"/>
    </row>
    <row r="254" spans="1:2">
      <c r="A254" s="142"/>
      <c r="B254" s="142"/>
    </row>
    <row r="255" spans="1:2">
      <c r="A255" s="142"/>
      <c r="B255" s="142"/>
    </row>
    <row r="256" spans="1:2">
      <c r="A256" s="142"/>
      <c r="B256" s="142"/>
    </row>
    <row r="257" spans="1:2">
      <c r="A257" s="142"/>
      <c r="B257" s="142"/>
    </row>
    <row r="258" spans="1:2">
      <c r="A258" s="142"/>
      <c r="B258" s="142"/>
    </row>
    <row r="259" spans="1:2">
      <c r="A259" s="142"/>
    </row>
    <row r="260" spans="1:2">
      <c r="A260" s="142"/>
    </row>
    <row r="261" spans="1:2">
      <c r="A261" s="142"/>
    </row>
    <row r="262" spans="1:2">
      <c r="A262" s="142"/>
    </row>
    <row r="263" spans="1:2">
      <c r="A263" s="142"/>
    </row>
    <row r="264" spans="1:2">
      <c r="A264" s="142"/>
    </row>
    <row r="265" spans="1:2">
      <c r="A265" s="142"/>
    </row>
    <row r="266" spans="1:2">
      <c r="A266" s="142"/>
    </row>
    <row r="267" spans="1:2">
      <c r="A267" s="142"/>
    </row>
    <row r="268" spans="1:2">
      <c r="A268" s="142"/>
    </row>
    <row r="269" spans="1:2">
      <c r="A269" s="142"/>
    </row>
    <row r="270" spans="1:2">
      <c r="A270" s="142"/>
    </row>
    <row r="271" spans="1:2">
      <c r="A271" s="142"/>
    </row>
    <row r="272" spans="1:2">
      <c r="A272" s="142"/>
    </row>
    <row r="273" spans="1:1">
      <c r="A273" s="142"/>
    </row>
    <row r="274" spans="1:1">
      <c r="A274" s="142"/>
    </row>
    <row r="275" spans="1:1">
      <c r="A275" s="142"/>
    </row>
    <row r="276" spans="1:1">
      <c r="A276" s="142"/>
    </row>
    <row r="277" spans="1:1">
      <c r="A277" s="142"/>
    </row>
    <row r="278" spans="1:1">
      <c r="A278" s="142"/>
    </row>
    <row r="279" spans="1:1">
      <c r="A279" s="142"/>
    </row>
    <row r="280" spans="1:1">
      <c r="A280" s="142"/>
    </row>
    <row r="281" spans="1:1">
      <c r="A281" s="142"/>
    </row>
    <row r="282" spans="1:1">
      <c r="A282" s="142"/>
    </row>
    <row r="283" spans="1:1">
      <c r="A283" s="142"/>
    </row>
    <row r="284" spans="1:1">
      <c r="A284" s="142"/>
    </row>
    <row r="285" spans="1:1">
      <c r="A285" s="142"/>
    </row>
    <row r="286" spans="1:1">
      <c r="A286" s="142"/>
    </row>
    <row r="287" spans="1:1">
      <c r="A287" s="142"/>
    </row>
    <row r="288" spans="1:1">
      <c r="A288" s="142"/>
    </row>
    <row r="289" spans="1:1">
      <c r="A289" s="142"/>
    </row>
    <row r="290" spans="1:1">
      <c r="A290" s="142"/>
    </row>
    <row r="291" spans="1:1">
      <c r="A291" s="142"/>
    </row>
    <row r="292" spans="1:1">
      <c r="A292" s="142"/>
    </row>
    <row r="293" spans="1:1">
      <c r="A293" s="142"/>
    </row>
    <row r="294" spans="1:1">
      <c r="A294" s="142"/>
    </row>
    <row r="295" spans="1:1">
      <c r="A295" s="142"/>
    </row>
    <row r="296" spans="1:1">
      <c r="A296" s="142"/>
    </row>
    <row r="297" spans="1:1">
      <c r="A297" s="142"/>
    </row>
    <row r="298" spans="1:1">
      <c r="A298" s="142"/>
    </row>
    <row r="299" spans="1:1">
      <c r="A299" s="142"/>
    </row>
    <row r="300" spans="1:1">
      <c r="A300" s="142"/>
    </row>
    <row r="301" spans="1:1">
      <c r="A301" s="142"/>
    </row>
    <row r="302" spans="1:1">
      <c r="A302" s="142"/>
    </row>
    <row r="303" spans="1:1">
      <c r="A303" s="142"/>
    </row>
    <row r="304" spans="1:1">
      <c r="A304" s="142"/>
    </row>
    <row r="305" spans="1:1">
      <c r="A305" s="142"/>
    </row>
    <row r="306" spans="1:1">
      <c r="A306" s="142"/>
    </row>
    <row r="307" spans="1:1">
      <c r="A307" s="142"/>
    </row>
    <row r="308" spans="1:1">
      <c r="A308" s="142"/>
    </row>
    <row r="309" spans="1:1">
      <c r="A309" s="142"/>
    </row>
    <row r="310" spans="1:1">
      <c r="A310" s="142"/>
    </row>
    <row r="311" spans="1:1">
      <c r="A311" s="142"/>
    </row>
    <row r="312" spans="1:1">
      <c r="A312" s="142"/>
    </row>
    <row r="313" spans="1:1">
      <c r="A313" s="142"/>
    </row>
    <row r="314" spans="1:1">
      <c r="A314" s="142"/>
    </row>
    <row r="315" spans="1:1">
      <c r="A315" s="142"/>
    </row>
    <row r="316" spans="1:1">
      <c r="A316" s="142"/>
    </row>
    <row r="317" spans="1:1">
      <c r="A317" s="142"/>
    </row>
    <row r="318" spans="1:1">
      <c r="A318" s="142"/>
    </row>
    <row r="319" spans="1:1">
      <c r="A319" s="142"/>
    </row>
    <row r="320" spans="1:1">
      <c r="A320" s="142"/>
    </row>
    <row r="321" spans="1:1">
      <c r="A321" s="142"/>
    </row>
    <row r="322" spans="1:1">
      <c r="A322" s="142"/>
    </row>
    <row r="323" spans="1:1">
      <c r="A323" s="142"/>
    </row>
    <row r="324" spans="1:1">
      <c r="A324" s="142"/>
    </row>
    <row r="325" spans="1:1">
      <c r="A325" s="142"/>
    </row>
    <row r="326" spans="1:1">
      <c r="A326" s="142"/>
    </row>
    <row r="327" spans="1:1">
      <c r="A327" s="142"/>
    </row>
    <row r="328" spans="1:1">
      <c r="A328" s="142"/>
    </row>
    <row r="329" spans="1:1">
      <c r="A329" s="142"/>
    </row>
    <row r="330" spans="1:1">
      <c r="A330" s="142"/>
    </row>
    <row r="331" spans="1:1">
      <c r="A331" s="142"/>
    </row>
    <row r="332" spans="1:1">
      <c r="A332" s="142"/>
    </row>
    <row r="333" spans="1:1">
      <c r="A333" s="142"/>
    </row>
    <row r="334" spans="1:1">
      <c r="A334" s="142"/>
    </row>
    <row r="335" spans="1:1">
      <c r="A335" s="142"/>
    </row>
    <row r="336" spans="1:1">
      <c r="A336" s="142"/>
    </row>
    <row r="337" spans="1:1">
      <c r="A337" s="142"/>
    </row>
    <row r="338" spans="1:1">
      <c r="A338" s="142"/>
    </row>
    <row r="339" spans="1:1">
      <c r="A339" s="142"/>
    </row>
    <row r="340" spans="1:1">
      <c r="A340" s="142"/>
    </row>
    <row r="341" spans="1:1">
      <c r="A341" s="142"/>
    </row>
    <row r="342" spans="1:1">
      <c r="A342" s="142"/>
    </row>
    <row r="343" spans="1:1">
      <c r="A343" s="142"/>
    </row>
    <row r="344" spans="1:1">
      <c r="A344" s="142"/>
    </row>
    <row r="345" spans="1:1">
      <c r="A345" s="142"/>
    </row>
    <row r="346" spans="1:1">
      <c r="A346" s="142"/>
    </row>
    <row r="347" spans="1:1">
      <c r="A347" s="142"/>
    </row>
    <row r="348" spans="1:1">
      <c r="A348" s="142"/>
    </row>
    <row r="349" spans="1:1">
      <c r="A349" s="142"/>
    </row>
    <row r="350" spans="1:1">
      <c r="A350" s="142"/>
    </row>
    <row r="351" spans="1:1">
      <c r="A351" s="142"/>
    </row>
    <row r="352" spans="1:1">
      <c r="A352" s="142"/>
    </row>
    <row r="353" spans="1:1">
      <c r="A353" s="142"/>
    </row>
    <row r="354" spans="1:1">
      <c r="A354" s="142"/>
    </row>
    <row r="355" spans="1:1">
      <c r="A355" s="142"/>
    </row>
    <row r="356" spans="1:1">
      <c r="A356" s="142"/>
    </row>
    <row r="357" spans="1:1">
      <c r="A357" s="142"/>
    </row>
    <row r="358" spans="1:1">
      <c r="A358" s="142"/>
    </row>
    <row r="359" spans="1:1">
      <c r="A359" s="142"/>
    </row>
    <row r="360" spans="1:1">
      <c r="A360" s="142"/>
    </row>
    <row r="361" spans="1:1">
      <c r="A361" s="142"/>
    </row>
    <row r="362" spans="1:1">
      <c r="A362" s="142"/>
    </row>
    <row r="363" spans="1:1">
      <c r="A363" s="142"/>
    </row>
    <row r="364" spans="1:1">
      <c r="A364" s="142"/>
    </row>
    <row r="365" spans="1:1">
      <c r="A365" s="142"/>
    </row>
    <row r="366" spans="1:1">
      <c r="A366" s="142"/>
    </row>
    <row r="367" spans="1:1">
      <c r="A367" s="142"/>
    </row>
    <row r="368" spans="1:1">
      <c r="A368" s="142"/>
    </row>
    <row r="369" spans="1:1">
      <c r="A369" s="142"/>
    </row>
    <row r="370" spans="1:1">
      <c r="A370" s="142"/>
    </row>
    <row r="371" spans="1:1">
      <c r="A371" s="142"/>
    </row>
    <row r="372" spans="1:1">
      <c r="A372" s="142"/>
    </row>
    <row r="373" spans="1:1">
      <c r="A373" s="142"/>
    </row>
    <row r="374" spans="1:1">
      <c r="A374" s="142"/>
    </row>
    <row r="375" spans="1:1">
      <c r="A375" s="142"/>
    </row>
    <row r="376" spans="1:1">
      <c r="A376" s="142"/>
    </row>
    <row r="377" spans="1:1">
      <c r="A377" s="142"/>
    </row>
    <row r="378" spans="1:1">
      <c r="A378" s="142"/>
    </row>
    <row r="379" spans="1:1">
      <c r="A379" s="142"/>
    </row>
    <row r="380" spans="1:1">
      <c r="A380" s="142"/>
    </row>
    <row r="381" spans="1:1">
      <c r="A381" s="142"/>
    </row>
    <row r="382" spans="1:1">
      <c r="A382" s="142"/>
    </row>
    <row r="383" spans="1:1">
      <c r="A383" s="142"/>
    </row>
    <row r="384" spans="1:1">
      <c r="A384" s="142"/>
    </row>
    <row r="385" spans="1:1">
      <c r="A385" s="142"/>
    </row>
    <row r="386" spans="1:1">
      <c r="A386" s="142"/>
    </row>
    <row r="387" spans="1:1">
      <c r="A387" s="142"/>
    </row>
    <row r="388" spans="1:1">
      <c r="A388" s="142"/>
    </row>
    <row r="389" spans="1:1">
      <c r="A389" s="142"/>
    </row>
    <row r="390" spans="1:1">
      <c r="A390" s="142"/>
    </row>
    <row r="391" spans="1:1">
      <c r="A391" s="142"/>
    </row>
    <row r="392" spans="1:1">
      <c r="A392" s="142"/>
    </row>
    <row r="393" spans="1:1">
      <c r="A393" s="142"/>
    </row>
    <row r="394" spans="1:1">
      <c r="A394" s="142"/>
    </row>
    <row r="395" spans="1:1">
      <c r="A395" s="142"/>
    </row>
    <row r="396" spans="1:1">
      <c r="A396" s="142"/>
    </row>
    <row r="397" spans="1:1">
      <c r="A397" s="142"/>
    </row>
    <row r="398" spans="1:1">
      <c r="A398" s="142"/>
    </row>
    <row r="399" spans="1:1">
      <c r="A399" s="142"/>
    </row>
    <row r="400" spans="1:1">
      <c r="A400" s="142"/>
    </row>
    <row r="401" spans="1:1">
      <c r="A401" s="142"/>
    </row>
    <row r="402" spans="1:1">
      <c r="A402" s="142"/>
    </row>
    <row r="403" spans="1:1">
      <c r="A403" s="142"/>
    </row>
    <row r="404" spans="1:1">
      <c r="A404" s="142"/>
    </row>
    <row r="405" spans="1:1">
      <c r="A405" s="142"/>
    </row>
    <row r="406" spans="1:1">
      <c r="A406" s="142"/>
    </row>
    <row r="407" spans="1:1">
      <c r="A407" s="142"/>
    </row>
    <row r="408" spans="1:1">
      <c r="A408" s="142"/>
    </row>
    <row r="409" spans="1:1">
      <c r="A409" s="142"/>
    </row>
    <row r="410" spans="1:1">
      <c r="A410" s="142"/>
    </row>
    <row r="411" spans="1:1">
      <c r="A411" s="142"/>
    </row>
    <row r="412" spans="1:1">
      <c r="A412" s="142"/>
    </row>
    <row r="413" spans="1:1">
      <c r="A413" s="142"/>
    </row>
    <row r="414" spans="1:1">
      <c r="A414" s="142"/>
    </row>
    <row r="415" spans="1:1">
      <c r="A415" s="142"/>
    </row>
    <row r="416" spans="1:1">
      <c r="A416" s="142"/>
    </row>
    <row r="417" spans="1:1">
      <c r="A417" s="142"/>
    </row>
    <row r="418" spans="1:1">
      <c r="A418" s="142"/>
    </row>
    <row r="419" spans="1:1">
      <c r="A419" s="142"/>
    </row>
    <row r="420" spans="1:1">
      <c r="A420" s="142"/>
    </row>
    <row r="421" spans="1:1">
      <c r="A421" s="142"/>
    </row>
    <row r="422" spans="1:1">
      <c r="A422" s="142"/>
    </row>
    <row r="423" spans="1:1">
      <c r="A423" s="142"/>
    </row>
    <row r="424" spans="1:1">
      <c r="A424" s="142"/>
    </row>
    <row r="425" spans="1:1">
      <c r="A425" s="142"/>
    </row>
    <row r="426" spans="1:1">
      <c r="A426" s="142"/>
    </row>
    <row r="427" spans="1:1">
      <c r="A427" s="142"/>
    </row>
    <row r="428" spans="1:1">
      <c r="A428" s="142"/>
    </row>
    <row r="429" spans="1:1">
      <c r="A429" s="142"/>
    </row>
    <row r="430" spans="1:1">
      <c r="A430" s="142"/>
    </row>
    <row r="431" spans="1:1">
      <c r="A431" s="142"/>
    </row>
    <row r="432" spans="1:1">
      <c r="A432" s="142"/>
    </row>
    <row r="433" spans="1:1">
      <c r="A433" s="142"/>
    </row>
    <row r="434" spans="1:1">
      <c r="A434" s="142"/>
    </row>
    <row r="435" spans="1:1">
      <c r="A435" s="142"/>
    </row>
    <row r="436" spans="1:1">
      <c r="A436" s="142"/>
    </row>
    <row r="437" spans="1:1">
      <c r="A437" s="142"/>
    </row>
    <row r="438" spans="1:1">
      <c r="A438" s="142"/>
    </row>
    <row r="439" spans="1:1">
      <c r="A439" s="142"/>
    </row>
    <row r="440" spans="1:1">
      <c r="A440" s="142"/>
    </row>
    <row r="441" spans="1:1">
      <c r="A441" s="142"/>
    </row>
    <row r="442" spans="1:1">
      <c r="A442" s="142"/>
    </row>
    <row r="443" spans="1:1">
      <c r="A443" s="142"/>
    </row>
    <row r="444" spans="1:1">
      <c r="A444" s="142"/>
    </row>
    <row r="445" spans="1:1">
      <c r="A445" s="142"/>
    </row>
    <row r="446" spans="1:1">
      <c r="A446" s="142"/>
    </row>
    <row r="447" spans="1:1">
      <c r="A447" s="142"/>
    </row>
    <row r="448" spans="1:1">
      <c r="A448" s="142"/>
    </row>
    <row r="449" spans="1:1">
      <c r="A449" s="142"/>
    </row>
    <row r="450" spans="1:1">
      <c r="A450" s="142"/>
    </row>
    <row r="451" spans="1:1">
      <c r="A451" s="142"/>
    </row>
    <row r="452" spans="1:1">
      <c r="A452" s="142"/>
    </row>
    <row r="453" spans="1:1">
      <c r="A453" s="142"/>
    </row>
    <row r="454" spans="1:1">
      <c r="A454" s="142"/>
    </row>
    <row r="455" spans="1:1">
      <c r="A455" s="142"/>
    </row>
    <row r="456" spans="1:1">
      <c r="A456" s="142"/>
    </row>
    <row r="457" spans="1:1">
      <c r="A457" s="142"/>
    </row>
    <row r="458" spans="1:1">
      <c r="A458" s="142"/>
    </row>
    <row r="459" spans="1:1">
      <c r="A459" s="142"/>
    </row>
    <row r="460" spans="1:1">
      <c r="A460" s="142"/>
    </row>
    <row r="461" spans="1:1">
      <c r="A461" s="142"/>
    </row>
    <row r="462" spans="1:1">
      <c r="A462" s="142"/>
    </row>
    <row r="463" spans="1:1">
      <c r="A463" s="142"/>
    </row>
    <row r="464" spans="1:1">
      <c r="A464" s="142"/>
    </row>
    <row r="465" spans="1:1">
      <c r="A465" s="142"/>
    </row>
    <row r="466" spans="1:1">
      <c r="A466" s="142"/>
    </row>
    <row r="467" spans="1:1">
      <c r="A467" s="142"/>
    </row>
    <row r="468" spans="1:1">
      <c r="A468" s="142"/>
    </row>
    <row r="469" spans="1:1">
      <c r="A469" s="142"/>
    </row>
    <row r="470" spans="1:1">
      <c r="A470" s="142"/>
    </row>
    <row r="471" spans="1:1">
      <c r="A471" s="142"/>
    </row>
    <row r="472" spans="1:1">
      <c r="A472" s="142"/>
    </row>
    <row r="473" spans="1:1">
      <c r="A473" s="142"/>
    </row>
    <row r="474" spans="1:1">
      <c r="A474" s="142"/>
    </row>
    <row r="475" spans="1:1">
      <c r="A475" s="142"/>
    </row>
    <row r="476" spans="1:1">
      <c r="A476" s="142"/>
    </row>
    <row r="477" spans="1:1">
      <c r="A477" s="142"/>
    </row>
    <row r="478" spans="1:1">
      <c r="A478" s="142"/>
    </row>
    <row r="479" spans="1:1">
      <c r="A479" s="142"/>
    </row>
    <row r="480" spans="1:1">
      <c r="A480" s="142"/>
    </row>
    <row r="481" spans="1:1">
      <c r="A481" s="142"/>
    </row>
    <row r="482" spans="1:1">
      <c r="A482" s="142"/>
    </row>
    <row r="483" spans="1:1">
      <c r="A483" s="142"/>
    </row>
    <row r="484" spans="1:1">
      <c r="A484" s="142"/>
    </row>
    <row r="485" spans="1:1">
      <c r="A485" s="142"/>
    </row>
    <row r="486" spans="1:1">
      <c r="A486" s="142"/>
    </row>
    <row r="487" spans="1:1">
      <c r="A487" s="142"/>
    </row>
    <row r="488" spans="1:1">
      <c r="A488" s="142"/>
    </row>
    <row r="489" spans="1:1">
      <c r="A489" s="142"/>
    </row>
    <row r="490" spans="1:1">
      <c r="A490" s="142"/>
    </row>
    <row r="491" spans="1:1">
      <c r="A491" s="142"/>
    </row>
    <row r="492" spans="1:1">
      <c r="A492" s="142"/>
    </row>
    <row r="493" spans="1:1">
      <c r="A493" s="142"/>
    </row>
    <row r="494" spans="1:1">
      <c r="A494" s="142"/>
    </row>
    <row r="495" spans="1:1">
      <c r="A495" s="142"/>
    </row>
    <row r="496" spans="1:1">
      <c r="A496" s="142"/>
    </row>
    <row r="497" spans="1:1">
      <c r="A497" s="142"/>
    </row>
    <row r="498" spans="1:1">
      <c r="A498" s="142"/>
    </row>
    <row r="499" spans="1:1">
      <c r="A499" s="142"/>
    </row>
    <row r="500" spans="1:1">
      <c r="A500" s="142"/>
    </row>
    <row r="501" spans="1:1">
      <c r="A501" s="142"/>
    </row>
    <row r="502" spans="1:1">
      <c r="A502" s="142"/>
    </row>
    <row r="503" spans="1:1">
      <c r="A503" s="142"/>
    </row>
    <row r="504" spans="1:1">
      <c r="A504" s="142"/>
    </row>
    <row r="505" spans="1:1">
      <c r="A505" s="142"/>
    </row>
    <row r="506" spans="1:1">
      <c r="A506" s="142"/>
    </row>
    <row r="507" spans="1:1">
      <c r="A507" s="142"/>
    </row>
    <row r="508" spans="1:1">
      <c r="A508" s="142"/>
    </row>
    <row r="509" spans="1:1">
      <c r="A509" s="142"/>
    </row>
    <row r="510" spans="1:1">
      <c r="A510" s="142"/>
    </row>
    <row r="511" spans="1:1">
      <c r="A511" s="142"/>
    </row>
    <row r="512" spans="1:1">
      <c r="A512" s="142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119"/>
  <sheetViews>
    <sheetView workbookViewId="0"/>
  </sheetViews>
  <sheetFormatPr defaultColWidth="9.140625" defaultRowHeight="12.75"/>
  <cols>
    <col min="1" max="1" width="9.140625" style="146"/>
    <col min="2" max="2" width="1.7109375" style="146" customWidth="1"/>
    <col min="3" max="4" width="9.140625" style="146"/>
    <col min="5" max="5" width="1.7109375" style="146" customWidth="1"/>
    <col min="6" max="7" width="9.140625" style="146"/>
    <col min="8" max="8" width="1.7109375" style="146" customWidth="1"/>
    <col min="9" max="10" width="9.140625" style="146"/>
    <col min="11" max="11" width="1.7109375" style="146" customWidth="1"/>
    <col min="12" max="16384" width="9.140625" style="146"/>
  </cols>
  <sheetData>
    <row r="1" spans="1:13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3" spans="1:13">
      <c r="A3" s="146" t="s">
        <v>133</v>
      </c>
      <c r="C3" s="147" t="s">
        <v>130</v>
      </c>
      <c r="D3" s="147" t="s">
        <v>131</v>
      </c>
      <c r="E3" s="148"/>
      <c r="F3" s="147" t="s">
        <v>130</v>
      </c>
      <c r="G3" s="147" t="s">
        <v>131</v>
      </c>
      <c r="H3" s="148"/>
      <c r="I3" s="147" t="s">
        <v>130</v>
      </c>
      <c r="J3" s="147" t="s">
        <v>131</v>
      </c>
      <c r="K3" s="148"/>
      <c r="L3" s="147" t="s">
        <v>130</v>
      </c>
      <c r="M3" s="147" t="s">
        <v>131</v>
      </c>
    </row>
    <row r="4" spans="1:13">
      <c r="A4" s="146">
        <v>-0.04</v>
      </c>
      <c r="C4" s="146">
        <v>0</v>
      </c>
      <c r="D4" s="149">
        <f t="shared" ref="D4:D67" si="0">$A$4*C4^3+$A$6*C4^2</f>
        <v>0</v>
      </c>
      <c r="F4" s="146">
        <v>20</v>
      </c>
      <c r="G4" s="146">
        <v>0</v>
      </c>
      <c r="I4" s="146">
        <v>60</v>
      </c>
      <c r="J4" s="146">
        <v>0</v>
      </c>
      <c r="L4" s="146">
        <v>100</v>
      </c>
      <c r="M4" s="146">
        <v>0</v>
      </c>
    </row>
    <row r="5" spans="1:13">
      <c r="A5" s="146" t="s">
        <v>134</v>
      </c>
      <c r="C5" s="146">
        <v>1</v>
      </c>
      <c r="D5" s="149">
        <f t="shared" si="0"/>
        <v>5.46</v>
      </c>
      <c r="F5" s="146">
        <v>20</v>
      </c>
      <c r="G5" s="146">
        <f>D24</f>
        <v>1880</v>
      </c>
      <c r="I5" s="146">
        <v>60</v>
      </c>
      <c r="J5" s="146">
        <f>D64</f>
        <v>11160</v>
      </c>
      <c r="L5" s="146">
        <v>100</v>
      </c>
      <c r="M5" s="149">
        <f>D104</f>
        <v>15000</v>
      </c>
    </row>
    <row r="6" spans="1:13">
      <c r="A6" s="146">
        <v>5.5</v>
      </c>
      <c r="C6" s="146">
        <v>2</v>
      </c>
      <c r="D6" s="149">
        <f t="shared" si="0"/>
        <v>21.68</v>
      </c>
    </row>
    <row r="7" spans="1:13">
      <c r="C7" s="146">
        <v>3</v>
      </c>
      <c r="D7" s="149">
        <f t="shared" si="0"/>
        <v>48.42</v>
      </c>
    </row>
    <row r="8" spans="1:13">
      <c r="C8" s="146">
        <v>4</v>
      </c>
      <c r="D8" s="149">
        <f t="shared" si="0"/>
        <v>85.44</v>
      </c>
    </row>
    <row r="9" spans="1:13">
      <c r="C9" s="146">
        <v>5</v>
      </c>
      <c r="D9" s="149">
        <f t="shared" si="0"/>
        <v>132.5</v>
      </c>
    </row>
    <row r="10" spans="1:13">
      <c r="C10" s="146">
        <v>6</v>
      </c>
      <c r="D10" s="149">
        <f t="shared" si="0"/>
        <v>189.36</v>
      </c>
    </row>
    <row r="11" spans="1:13">
      <c r="C11" s="146">
        <v>7</v>
      </c>
      <c r="D11" s="149">
        <f t="shared" si="0"/>
        <v>255.78</v>
      </c>
    </row>
    <row r="12" spans="1:13">
      <c r="C12" s="146">
        <v>8</v>
      </c>
      <c r="D12" s="149">
        <f t="shared" si="0"/>
        <v>331.52</v>
      </c>
    </row>
    <row r="13" spans="1:13">
      <c r="C13" s="146">
        <v>9</v>
      </c>
      <c r="D13" s="149">
        <f t="shared" si="0"/>
        <v>416.34</v>
      </c>
    </row>
    <row r="14" spans="1:13">
      <c r="C14" s="146">
        <v>10</v>
      </c>
      <c r="D14" s="149">
        <f t="shared" si="0"/>
        <v>510</v>
      </c>
    </row>
    <row r="15" spans="1:13">
      <c r="C15" s="146">
        <v>11</v>
      </c>
      <c r="D15" s="149">
        <f t="shared" si="0"/>
        <v>612.26</v>
      </c>
    </row>
    <row r="16" spans="1:13">
      <c r="C16" s="146">
        <v>12</v>
      </c>
      <c r="D16" s="149">
        <f t="shared" si="0"/>
        <v>722.88</v>
      </c>
    </row>
    <row r="17" spans="3:4">
      <c r="C17" s="146">
        <v>13</v>
      </c>
      <c r="D17" s="149">
        <f t="shared" si="0"/>
        <v>841.62</v>
      </c>
    </row>
    <row r="18" spans="3:4">
      <c r="C18" s="146">
        <v>14</v>
      </c>
      <c r="D18" s="149">
        <f t="shared" si="0"/>
        <v>968.24</v>
      </c>
    </row>
    <row r="19" spans="3:4">
      <c r="C19" s="146">
        <v>15</v>
      </c>
      <c r="D19" s="149">
        <f t="shared" si="0"/>
        <v>1102.5</v>
      </c>
    </row>
    <row r="20" spans="3:4">
      <c r="C20" s="146">
        <v>16</v>
      </c>
      <c r="D20" s="149">
        <f t="shared" si="0"/>
        <v>1244.1600000000001</v>
      </c>
    </row>
    <row r="21" spans="3:4">
      <c r="C21" s="146">
        <v>17</v>
      </c>
      <c r="D21" s="149">
        <f t="shared" si="0"/>
        <v>1392.98</v>
      </c>
    </row>
    <row r="22" spans="3:4">
      <c r="C22" s="146">
        <v>18</v>
      </c>
      <c r="D22" s="149">
        <f t="shared" si="0"/>
        <v>1548.72</v>
      </c>
    </row>
    <row r="23" spans="3:4">
      <c r="C23" s="146">
        <v>19</v>
      </c>
      <c r="D23" s="149">
        <f t="shared" si="0"/>
        <v>1711.1399999999999</v>
      </c>
    </row>
    <row r="24" spans="3:4">
      <c r="C24" s="146">
        <v>20</v>
      </c>
      <c r="D24" s="149">
        <f t="shared" si="0"/>
        <v>1880</v>
      </c>
    </row>
    <row r="25" spans="3:4">
      <c r="C25" s="146">
        <v>21</v>
      </c>
      <c r="D25" s="149">
        <f t="shared" si="0"/>
        <v>2055.06</v>
      </c>
    </row>
    <row r="26" spans="3:4">
      <c r="C26" s="146">
        <v>22</v>
      </c>
      <c r="D26" s="149">
        <f t="shared" si="0"/>
        <v>2236.08</v>
      </c>
    </row>
    <row r="27" spans="3:4">
      <c r="C27" s="146">
        <v>23</v>
      </c>
      <c r="D27" s="149">
        <f t="shared" si="0"/>
        <v>2422.8200000000002</v>
      </c>
    </row>
    <row r="28" spans="3:4">
      <c r="C28" s="146">
        <v>24</v>
      </c>
      <c r="D28" s="149">
        <f t="shared" si="0"/>
        <v>2615.04</v>
      </c>
    </row>
    <row r="29" spans="3:4">
      <c r="C29" s="146">
        <v>25</v>
      </c>
      <c r="D29" s="149">
        <f t="shared" si="0"/>
        <v>2812.5</v>
      </c>
    </row>
    <row r="30" spans="3:4">
      <c r="C30" s="146">
        <v>26</v>
      </c>
      <c r="D30" s="149">
        <f t="shared" si="0"/>
        <v>3014.96</v>
      </c>
    </row>
    <row r="31" spans="3:4">
      <c r="C31" s="146">
        <v>27</v>
      </c>
      <c r="D31" s="149">
        <f t="shared" si="0"/>
        <v>3222.18</v>
      </c>
    </row>
    <row r="32" spans="3:4">
      <c r="C32" s="146">
        <v>28</v>
      </c>
      <c r="D32" s="149">
        <f t="shared" si="0"/>
        <v>3433.92</v>
      </c>
    </row>
    <row r="33" spans="3:4">
      <c r="C33" s="146">
        <v>29</v>
      </c>
      <c r="D33" s="149">
        <f t="shared" si="0"/>
        <v>3649.94</v>
      </c>
    </row>
    <row r="34" spans="3:4">
      <c r="C34" s="146">
        <v>30</v>
      </c>
      <c r="D34" s="149">
        <f t="shared" si="0"/>
        <v>3870</v>
      </c>
    </row>
    <row r="35" spans="3:4">
      <c r="C35" s="146">
        <v>31</v>
      </c>
      <c r="D35" s="149">
        <f t="shared" si="0"/>
        <v>4093.8599999999997</v>
      </c>
    </row>
    <row r="36" spans="3:4">
      <c r="C36" s="146">
        <v>32</v>
      </c>
      <c r="D36" s="149">
        <f t="shared" si="0"/>
        <v>4321.28</v>
      </c>
    </row>
    <row r="37" spans="3:4">
      <c r="C37" s="146">
        <v>33</v>
      </c>
      <c r="D37" s="149">
        <f t="shared" si="0"/>
        <v>4552.0200000000004</v>
      </c>
    </row>
    <row r="38" spans="3:4">
      <c r="C38" s="146">
        <v>34</v>
      </c>
      <c r="D38" s="149">
        <f t="shared" si="0"/>
        <v>4785.84</v>
      </c>
    </row>
    <row r="39" spans="3:4">
      <c r="C39" s="146">
        <v>35</v>
      </c>
      <c r="D39" s="149">
        <f t="shared" si="0"/>
        <v>5022.5</v>
      </c>
    </row>
    <row r="40" spans="3:4">
      <c r="C40" s="146">
        <v>36</v>
      </c>
      <c r="D40" s="149">
        <f t="shared" si="0"/>
        <v>5261.76</v>
      </c>
    </row>
    <row r="41" spans="3:4">
      <c r="C41" s="146">
        <v>37</v>
      </c>
      <c r="D41" s="149">
        <f t="shared" si="0"/>
        <v>5503.38</v>
      </c>
    </row>
    <row r="42" spans="3:4">
      <c r="C42" s="146">
        <v>38</v>
      </c>
      <c r="D42" s="149">
        <f t="shared" si="0"/>
        <v>5747.12</v>
      </c>
    </row>
    <row r="43" spans="3:4">
      <c r="C43" s="146">
        <v>39</v>
      </c>
      <c r="D43" s="149">
        <f t="shared" si="0"/>
        <v>5992.74</v>
      </c>
    </row>
    <row r="44" spans="3:4">
      <c r="C44" s="146">
        <v>40</v>
      </c>
      <c r="D44" s="149">
        <f t="shared" si="0"/>
        <v>6240</v>
      </c>
    </row>
    <row r="45" spans="3:4">
      <c r="C45" s="146">
        <v>41</v>
      </c>
      <c r="D45" s="149">
        <f t="shared" si="0"/>
        <v>6488.66</v>
      </c>
    </row>
    <row r="46" spans="3:4">
      <c r="C46" s="146">
        <v>42</v>
      </c>
      <c r="D46" s="149">
        <f t="shared" si="0"/>
        <v>6738.48</v>
      </c>
    </row>
    <row r="47" spans="3:4">
      <c r="C47" s="146">
        <v>43</v>
      </c>
      <c r="D47" s="149">
        <f t="shared" si="0"/>
        <v>6989.2199999999993</v>
      </c>
    </row>
    <row r="48" spans="3:4">
      <c r="C48" s="146">
        <v>44</v>
      </c>
      <c r="D48" s="149">
        <f t="shared" si="0"/>
        <v>7240.6399999999994</v>
      </c>
    </row>
    <row r="49" spans="3:4">
      <c r="C49" s="146">
        <v>45</v>
      </c>
      <c r="D49" s="149">
        <f t="shared" si="0"/>
        <v>7492.5</v>
      </c>
    </row>
    <row r="50" spans="3:4">
      <c r="C50" s="146">
        <v>46</v>
      </c>
      <c r="D50" s="149">
        <f t="shared" si="0"/>
        <v>7744.5599999999995</v>
      </c>
    </row>
    <row r="51" spans="3:4">
      <c r="C51" s="146">
        <v>47</v>
      </c>
      <c r="D51" s="149">
        <f t="shared" si="0"/>
        <v>7996.58</v>
      </c>
    </row>
    <row r="52" spans="3:4">
      <c r="C52" s="146">
        <v>48</v>
      </c>
      <c r="D52" s="149">
        <f t="shared" si="0"/>
        <v>8248.32</v>
      </c>
    </row>
    <row r="53" spans="3:4">
      <c r="C53" s="146">
        <v>49</v>
      </c>
      <c r="D53" s="149">
        <f t="shared" si="0"/>
        <v>8499.5400000000009</v>
      </c>
    </row>
    <row r="54" spans="3:4">
      <c r="C54" s="146">
        <v>50</v>
      </c>
      <c r="D54" s="149">
        <f t="shared" si="0"/>
        <v>8750</v>
      </c>
    </row>
    <row r="55" spans="3:4">
      <c r="C55" s="146">
        <v>51</v>
      </c>
      <c r="D55" s="149">
        <f t="shared" si="0"/>
        <v>8999.4599999999991</v>
      </c>
    </row>
    <row r="56" spans="3:4">
      <c r="C56" s="146">
        <v>52</v>
      </c>
      <c r="D56" s="149">
        <f t="shared" si="0"/>
        <v>9247.68</v>
      </c>
    </row>
    <row r="57" spans="3:4">
      <c r="C57" s="146">
        <v>53</v>
      </c>
      <c r="D57" s="149">
        <f t="shared" si="0"/>
        <v>9494.42</v>
      </c>
    </row>
    <row r="58" spans="3:4">
      <c r="C58" s="146">
        <v>54</v>
      </c>
      <c r="D58" s="149">
        <f t="shared" si="0"/>
        <v>9739.4399999999987</v>
      </c>
    </row>
    <row r="59" spans="3:4">
      <c r="C59" s="146">
        <v>55</v>
      </c>
      <c r="D59" s="149">
        <f t="shared" si="0"/>
        <v>9982.5</v>
      </c>
    </row>
    <row r="60" spans="3:4">
      <c r="C60" s="146">
        <v>56</v>
      </c>
      <c r="D60" s="149">
        <f t="shared" si="0"/>
        <v>10223.36</v>
      </c>
    </row>
    <row r="61" spans="3:4">
      <c r="C61" s="146">
        <v>57</v>
      </c>
      <c r="D61" s="149">
        <f t="shared" si="0"/>
        <v>10461.779999999999</v>
      </c>
    </row>
    <row r="62" spans="3:4">
      <c r="C62" s="146">
        <v>58</v>
      </c>
      <c r="D62" s="149">
        <f t="shared" si="0"/>
        <v>10697.52</v>
      </c>
    </row>
    <row r="63" spans="3:4">
      <c r="C63" s="146">
        <v>59</v>
      </c>
      <c r="D63" s="149">
        <f t="shared" si="0"/>
        <v>10930.34</v>
      </c>
    </row>
    <row r="64" spans="3:4">
      <c r="C64" s="146">
        <v>60</v>
      </c>
      <c r="D64" s="149">
        <f t="shared" si="0"/>
        <v>11160</v>
      </c>
    </row>
    <row r="65" spans="3:4">
      <c r="C65" s="146">
        <v>61</v>
      </c>
      <c r="D65" s="149">
        <f t="shared" si="0"/>
        <v>11386.26</v>
      </c>
    </row>
    <row r="66" spans="3:4">
      <c r="C66" s="146">
        <v>62</v>
      </c>
      <c r="D66" s="149">
        <f t="shared" si="0"/>
        <v>11608.88</v>
      </c>
    </row>
    <row r="67" spans="3:4">
      <c r="C67" s="146">
        <v>63</v>
      </c>
      <c r="D67" s="149">
        <f t="shared" si="0"/>
        <v>11827.619999999999</v>
      </c>
    </row>
    <row r="68" spans="3:4">
      <c r="C68" s="146">
        <v>64</v>
      </c>
      <c r="D68" s="149">
        <f t="shared" ref="D68:D99" si="1">$A$4*C68^3+$A$6*C68^2</f>
        <v>12042.24</v>
      </c>
    </row>
    <row r="69" spans="3:4">
      <c r="C69" s="146">
        <v>65</v>
      </c>
      <c r="D69" s="149">
        <f t="shared" si="1"/>
        <v>12252.5</v>
      </c>
    </row>
    <row r="70" spans="3:4">
      <c r="C70" s="146">
        <v>66</v>
      </c>
      <c r="D70" s="149">
        <f t="shared" si="1"/>
        <v>12458.16</v>
      </c>
    </row>
    <row r="71" spans="3:4">
      <c r="C71" s="146">
        <v>67</v>
      </c>
      <c r="D71" s="149">
        <f t="shared" si="1"/>
        <v>12658.98</v>
      </c>
    </row>
    <row r="72" spans="3:4">
      <c r="C72" s="146">
        <v>68</v>
      </c>
      <c r="D72" s="149">
        <f t="shared" si="1"/>
        <v>12854.72</v>
      </c>
    </row>
    <row r="73" spans="3:4">
      <c r="C73" s="146">
        <v>69</v>
      </c>
      <c r="D73" s="149">
        <f t="shared" si="1"/>
        <v>13045.14</v>
      </c>
    </row>
    <row r="74" spans="3:4">
      <c r="C74" s="146">
        <v>70</v>
      </c>
      <c r="D74" s="149">
        <f t="shared" si="1"/>
        <v>13230</v>
      </c>
    </row>
    <row r="75" spans="3:4">
      <c r="C75" s="146">
        <v>71</v>
      </c>
      <c r="D75" s="149">
        <f t="shared" si="1"/>
        <v>13409.06</v>
      </c>
    </row>
    <row r="76" spans="3:4">
      <c r="C76" s="146">
        <v>72</v>
      </c>
      <c r="D76" s="149">
        <f t="shared" si="1"/>
        <v>13582.08</v>
      </c>
    </row>
    <row r="77" spans="3:4">
      <c r="C77" s="146">
        <v>73</v>
      </c>
      <c r="D77" s="149">
        <f t="shared" si="1"/>
        <v>13748.82</v>
      </c>
    </row>
    <row r="78" spans="3:4">
      <c r="C78" s="146">
        <v>74</v>
      </c>
      <c r="D78" s="149">
        <f t="shared" si="1"/>
        <v>13909.039999999999</v>
      </c>
    </row>
    <row r="79" spans="3:4">
      <c r="C79" s="146">
        <v>75</v>
      </c>
      <c r="D79" s="149">
        <f t="shared" si="1"/>
        <v>14062.5</v>
      </c>
    </row>
    <row r="80" spans="3:4">
      <c r="C80" s="146">
        <v>76</v>
      </c>
      <c r="D80" s="149">
        <f t="shared" si="1"/>
        <v>14208.96</v>
      </c>
    </row>
    <row r="81" spans="3:4">
      <c r="C81" s="146">
        <v>77</v>
      </c>
      <c r="D81" s="149">
        <f t="shared" si="1"/>
        <v>14348.18</v>
      </c>
    </row>
    <row r="82" spans="3:4">
      <c r="C82" s="146">
        <v>78</v>
      </c>
      <c r="D82" s="149">
        <f t="shared" si="1"/>
        <v>14479.919999999998</v>
      </c>
    </row>
    <row r="83" spans="3:4">
      <c r="C83" s="146">
        <v>79</v>
      </c>
      <c r="D83" s="149">
        <f t="shared" si="1"/>
        <v>14603.939999999999</v>
      </c>
    </row>
    <row r="84" spans="3:4">
      <c r="C84" s="146">
        <v>80</v>
      </c>
      <c r="D84" s="149">
        <f t="shared" si="1"/>
        <v>14720</v>
      </c>
    </row>
    <row r="85" spans="3:4">
      <c r="C85" s="146">
        <v>81</v>
      </c>
      <c r="D85" s="149">
        <f t="shared" si="1"/>
        <v>14827.86</v>
      </c>
    </row>
    <row r="86" spans="3:4">
      <c r="C86" s="146">
        <v>82</v>
      </c>
      <c r="D86" s="149">
        <f t="shared" si="1"/>
        <v>14927.279999999999</v>
      </c>
    </row>
    <row r="87" spans="3:4">
      <c r="C87" s="146">
        <v>83</v>
      </c>
      <c r="D87" s="149">
        <f t="shared" si="1"/>
        <v>15018.02</v>
      </c>
    </row>
    <row r="88" spans="3:4">
      <c r="C88" s="146">
        <v>84</v>
      </c>
      <c r="D88" s="149">
        <f t="shared" si="1"/>
        <v>15099.84</v>
      </c>
    </row>
    <row r="89" spans="3:4">
      <c r="C89" s="146">
        <v>85</v>
      </c>
      <c r="D89" s="149">
        <f t="shared" si="1"/>
        <v>15172.5</v>
      </c>
    </row>
    <row r="90" spans="3:4">
      <c r="C90" s="146">
        <v>86</v>
      </c>
      <c r="D90" s="149">
        <f t="shared" si="1"/>
        <v>15235.759999999998</v>
      </c>
    </row>
    <row r="91" spans="3:4">
      <c r="C91" s="146">
        <v>87</v>
      </c>
      <c r="D91" s="149">
        <f t="shared" si="1"/>
        <v>15289.380000000001</v>
      </c>
    </row>
    <row r="92" spans="3:4">
      <c r="C92" s="146">
        <v>88</v>
      </c>
      <c r="D92" s="149">
        <f t="shared" si="1"/>
        <v>15333.119999999999</v>
      </c>
    </row>
    <row r="93" spans="3:4">
      <c r="C93" s="146">
        <v>89</v>
      </c>
      <c r="D93" s="149">
        <f t="shared" si="1"/>
        <v>15366.739999999998</v>
      </c>
    </row>
    <row r="94" spans="3:4">
      <c r="C94" s="146">
        <v>90</v>
      </c>
      <c r="D94" s="149">
        <f t="shared" si="1"/>
        <v>15390</v>
      </c>
    </row>
    <row r="95" spans="3:4">
      <c r="C95" s="146">
        <v>91</v>
      </c>
      <c r="D95" s="149">
        <f t="shared" si="1"/>
        <v>15402.66</v>
      </c>
    </row>
    <row r="96" spans="3:4">
      <c r="C96" s="146">
        <v>92</v>
      </c>
      <c r="D96" s="149">
        <f t="shared" si="1"/>
        <v>15404.48</v>
      </c>
    </row>
    <row r="97" spans="3:4">
      <c r="C97" s="146">
        <v>93</v>
      </c>
      <c r="D97" s="149">
        <f t="shared" si="1"/>
        <v>15395.219999999998</v>
      </c>
    </row>
    <row r="98" spans="3:4">
      <c r="C98" s="146">
        <v>94</v>
      </c>
      <c r="D98" s="149">
        <f t="shared" si="1"/>
        <v>15374.64</v>
      </c>
    </row>
    <row r="99" spans="3:4">
      <c r="C99" s="146">
        <v>95</v>
      </c>
      <c r="D99" s="149">
        <f t="shared" si="1"/>
        <v>15342.5</v>
      </c>
    </row>
    <row r="100" spans="3:4">
      <c r="C100" s="146">
        <v>96</v>
      </c>
      <c r="D100" s="149">
        <f>$A$4*C100^3+$A$6*C100^2</f>
        <v>15298.559999999998</v>
      </c>
    </row>
    <row r="101" spans="3:4">
      <c r="C101" s="146">
        <v>97</v>
      </c>
      <c r="D101" s="149">
        <f>$A$4*C101^3+$A$6*C101^2</f>
        <v>15242.580000000002</v>
      </c>
    </row>
    <row r="102" spans="3:4">
      <c r="C102" s="146">
        <v>98</v>
      </c>
      <c r="D102" s="149">
        <f>$A$4*C102^3+$A$6*C102^2</f>
        <v>15174.32</v>
      </c>
    </row>
    <row r="103" spans="3:4">
      <c r="C103" s="146">
        <v>99</v>
      </c>
      <c r="D103" s="149">
        <f>$A$4*C103^3+$A$6*C103^2</f>
        <v>15093.54</v>
      </c>
    </row>
    <row r="104" spans="3:4">
      <c r="C104" s="146">
        <v>100</v>
      </c>
      <c r="D104" s="149">
        <f>$A$4*C104^3+$A$6*C104^2</f>
        <v>15000</v>
      </c>
    </row>
    <row r="105" spans="3:4">
      <c r="C105" s="146">
        <v>101</v>
      </c>
      <c r="D105" s="149">
        <f t="shared" ref="D105:D119" si="2">$A$4*C105^3+$A$6*C105^2</f>
        <v>14893.46</v>
      </c>
    </row>
    <row r="106" spans="3:4">
      <c r="C106" s="146">
        <v>102</v>
      </c>
      <c r="D106" s="149">
        <f t="shared" si="2"/>
        <v>14773.68</v>
      </c>
    </row>
    <row r="107" spans="3:4">
      <c r="C107" s="146">
        <v>103</v>
      </c>
      <c r="D107" s="149">
        <f t="shared" si="2"/>
        <v>14640.419999999998</v>
      </c>
    </row>
    <row r="108" spans="3:4">
      <c r="C108" s="146">
        <v>104</v>
      </c>
      <c r="D108" s="149">
        <f t="shared" si="2"/>
        <v>14493.440000000002</v>
      </c>
    </row>
    <row r="109" spans="3:4">
      <c r="C109" s="146">
        <v>105</v>
      </c>
      <c r="D109" s="149">
        <f t="shared" si="2"/>
        <v>14332.5</v>
      </c>
    </row>
    <row r="110" spans="3:4">
      <c r="C110" s="146">
        <v>106</v>
      </c>
      <c r="D110" s="149">
        <f t="shared" si="2"/>
        <v>14157.36</v>
      </c>
    </row>
    <row r="111" spans="3:4">
      <c r="C111" s="146">
        <v>107</v>
      </c>
      <c r="D111" s="149">
        <f t="shared" si="2"/>
        <v>13967.779999999999</v>
      </c>
    </row>
    <row r="112" spans="3:4">
      <c r="C112" s="146">
        <v>108</v>
      </c>
      <c r="D112" s="149">
        <f>$A$4*C112^3+$A$6*C112^2</f>
        <v>13763.519999999997</v>
      </c>
    </row>
    <row r="113" spans="3:4">
      <c r="C113" s="146">
        <v>109</v>
      </c>
      <c r="D113" s="149">
        <f t="shared" si="2"/>
        <v>13544.339999999997</v>
      </c>
    </row>
    <row r="114" spans="3:4">
      <c r="C114" s="146">
        <v>110</v>
      </c>
      <c r="D114" s="149">
        <f t="shared" si="2"/>
        <v>13310</v>
      </c>
    </row>
    <row r="115" spans="3:4">
      <c r="C115" s="146">
        <v>111</v>
      </c>
      <c r="D115" s="149">
        <f t="shared" si="2"/>
        <v>13060.260000000002</v>
      </c>
    </row>
    <row r="116" spans="3:4">
      <c r="C116" s="146">
        <v>112</v>
      </c>
      <c r="D116" s="149">
        <f t="shared" si="2"/>
        <v>12794.879999999997</v>
      </c>
    </row>
    <row r="117" spans="3:4">
      <c r="C117" s="146">
        <v>113</v>
      </c>
      <c r="D117" s="149">
        <f t="shared" si="2"/>
        <v>12513.619999999995</v>
      </c>
    </row>
    <row r="118" spans="3:4">
      <c r="C118" s="146">
        <v>114</v>
      </c>
      <c r="D118" s="149">
        <f t="shared" si="2"/>
        <v>12216.239999999998</v>
      </c>
    </row>
    <row r="119" spans="3:4">
      <c r="C119" s="146">
        <v>115</v>
      </c>
      <c r="D119" s="149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X49"/>
  <sheetViews>
    <sheetView topLeftCell="A7" zoomScale="55" zoomScaleNormal="55" workbookViewId="0">
      <selection activeCell="C13" sqref="C13"/>
    </sheetView>
  </sheetViews>
  <sheetFormatPr defaultRowHeight="15"/>
  <cols>
    <col min="1" max="1" width="20.28515625" customWidth="1"/>
    <col min="2" max="17" width="7.7109375" customWidth="1"/>
    <col min="18" max="22" width="7.7109375" style="167" customWidth="1"/>
    <col min="23" max="23" width="7.7109375" style="176" customWidth="1"/>
    <col min="24" max="25" width="7.7109375" customWidth="1"/>
    <col min="26" max="27" width="12.7109375" customWidth="1"/>
  </cols>
  <sheetData>
    <row r="1" spans="1:24" ht="18.7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168"/>
      <c r="S1" s="168"/>
      <c r="T1" s="168"/>
      <c r="U1" s="168"/>
      <c r="V1" s="168"/>
      <c r="W1" s="177"/>
      <c r="X1" s="46"/>
    </row>
    <row r="2" spans="1:2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9.899999999999999" customHeight="1">
      <c r="A3" s="1" t="s">
        <v>1</v>
      </c>
      <c r="B3" s="161" t="s">
        <v>11</v>
      </c>
      <c r="C3" s="161" t="str">
        <f>'10 Proxy Sum'!C7</f>
        <v>AQN</v>
      </c>
      <c r="D3" s="161" t="str">
        <f>'10 Proxy Sum'!C8</f>
        <v>AEE</v>
      </c>
      <c r="E3" s="161" t="str">
        <f>'10 Proxy Sum'!C9</f>
        <v>AGR</v>
      </c>
      <c r="F3" s="161" t="str">
        <f>'10 Proxy Sum'!C10</f>
        <v>AVA</v>
      </c>
      <c r="G3" s="161" t="str">
        <f>'10 Proxy Sum'!C11</f>
        <v>BKH</v>
      </c>
      <c r="H3" s="161" t="str">
        <f>'10 Proxy Sum'!C12</f>
        <v>CNP</v>
      </c>
      <c r="I3" s="161" t="str">
        <f>'10 Proxy Sum'!C13</f>
        <v>CMS</v>
      </c>
      <c r="J3" s="161" t="str">
        <f>'10 Proxy Sum'!C14</f>
        <v>D</v>
      </c>
      <c r="K3" s="161" t="str">
        <f>'10 Proxy Sum'!C15</f>
        <v>DTE</v>
      </c>
      <c r="L3" s="161" t="str">
        <f>'10 Proxy Sum'!C16</f>
        <v>EIX</v>
      </c>
      <c r="M3" s="161" t="str">
        <f>'10 Proxy Sum'!C17</f>
        <v>EE</v>
      </c>
      <c r="N3" s="161" t="str">
        <f>'10 Proxy Sum'!C18</f>
        <v>EMA</v>
      </c>
      <c r="O3" s="161" t="str">
        <f>'10 Proxy Sum'!C19</f>
        <v>ETR</v>
      </c>
      <c r="P3" s="161" t="str">
        <f>'10 Proxy Sum'!C20</f>
        <v>EXC</v>
      </c>
      <c r="Q3" s="161" t="str">
        <f>'10 Proxy Sum'!C21</f>
        <v>FE</v>
      </c>
      <c r="R3" s="161" t="str">
        <f>'10 Proxy Sum'!C22</f>
        <v>HE</v>
      </c>
      <c r="S3" s="161" t="str">
        <f>'10 Proxy Sum'!C23</f>
        <v>IDA</v>
      </c>
      <c r="T3" s="161" t="str">
        <f>'10 Proxy Sum'!C24</f>
        <v>NWE</v>
      </c>
      <c r="U3" s="161" t="str">
        <f>'10 Proxy Sum'!C25</f>
        <v>OGE</v>
      </c>
      <c r="V3" s="161" t="str">
        <f>'10 Proxy Sum'!C26</f>
        <v>OTTR</v>
      </c>
      <c r="W3" s="161" t="str">
        <f>'10 Proxy Sum'!C27</f>
        <v>PNM</v>
      </c>
      <c r="X3" s="161" t="str">
        <f>'10 Proxy Sum'!C28</f>
        <v>SRE</v>
      </c>
    </row>
    <row r="4" spans="1:24" ht="19.899999999999999" customHeight="1">
      <c r="C4" s="1"/>
      <c r="D4" s="1"/>
      <c r="E4" s="1"/>
    </row>
    <row r="5" spans="1:24" ht="19.899999999999999" customHeight="1">
      <c r="A5" s="2" t="s">
        <v>9</v>
      </c>
      <c r="B5" s="20">
        <f>AVERAGE(B8:B37)</f>
        <v>2955.9123372666672</v>
      </c>
      <c r="C5" s="19">
        <f t="shared" ref="C5:X5" si="0">AVERAGE(C8:C37)</f>
        <v>12.642666666666667</v>
      </c>
      <c r="D5" s="19">
        <f t="shared" si="0"/>
        <v>76.250333833333329</v>
      </c>
      <c r="E5" s="19">
        <f t="shared" si="0"/>
        <v>49.7269997</v>
      </c>
      <c r="F5" s="19">
        <f t="shared" si="0"/>
        <v>45.733333133333325</v>
      </c>
      <c r="G5" s="19">
        <f t="shared" si="0"/>
        <v>78.110228933333318</v>
      </c>
      <c r="H5" s="19">
        <f t="shared" si="0"/>
        <v>28.302004566666675</v>
      </c>
      <c r="I5" s="19">
        <f t="shared" si="0"/>
        <v>58.908006266666646</v>
      </c>
      <c r="J5" s="19">
        <f t="shared" si="0"/>
        <v>76.114000433333345</v>
      </c>
      <c r="K5" s="19">
        <f t="shared" si="0"/>
        <v>129.03466496666664</v>
      </c>
      <c r="L5" s="19">
        <f t="shared" si="0"/>
        <v>71.703332799999998</v>
      </c>
      <c r="M5" s="19">
        <f t="shared" si="0"/>
        <v>66.288999666666669</v>
      </c>
      <c r="N5" s="19">
        <f>AVERAGE(N8:N37)</f>
        <v>54.56539268965517</v>
      </c>
      <c r="O5" s="19">
        <f t="shared" si="0"/>
        <v>105.30435126666664</v>
      </c>
      <c r="P5" s="19">
        <f t="shared" si="0"/>
        <v>46.079691866666664</v>
      </c>
      <c r="Q5" s="19">
        <f t="shared" si="0"/>
        <v>43.669189966666671</v>
      </c>
      <c r="R5" s="19">
        <f t="shared" si="0"/>
        <v>44.445333200000015</v>
      </c>
      <c r="S5" s="19">
        <f t="shared" si="0"/>
        <v>103.50603130000003</v>
      </c>
      <c r="T5" s="19">
        <f t="shared" si="0"/>
        <v>70.851332766666673</v>
      </c>
      <c r="U5" s="19">
        <f t="shared" si="0"/>
        <v>42.861333233333333</v>
      </c>
      <c r="V5" s="19">
        <f t="shared" si="0"/>
        <v>51.955408533333326</v>
      </c>
      <c r="W5" s="19">
        <f t="shared" ref="W5" si="1">AVERAGE(W8:W37)</f>
        <v>49.824767466666671</v>
      </c>
      <c r="X5" s="19">
        <f t="shared" si="0"/>
        <v>138.20233260000003</v>
      </c>
    </row>
    <row r="6" spans="1:24" ht="19.899999999999999" customHeight="1">
      <c r="A6" s="41" t="s">
        <v>8</v>
      </c>
      <c r="B6" s="42">
        <f>STDEV(B8:B37)</f>
        <v>58.870248292389874</v>
      </c>
      <c r="C6" s="43">
        <f t="shared" ref="C6:X6" si="2">STDEV(C8:C37)</f>
        <v>0.2094480979792524</v>
      </c>
      <c r="D6" s="43">
        <f t="shared" si="2"/>
        <v>0.56348946374460152</v>
      </c>
      <c r="E6" s="43">
        <f t="shared" si="2"/>
        <v>0.79595607542216695</v>
      </c>
      <c r="F6" s="43">
        <f t="shared" si="2"/>
        <v>0.44388825973201013</v>
      </c>
      <c r="G6" s="43">
        <f t="shared" si="2"/>
        <v>1.5124941230640778</v>
      </c>
      <c r="H6" s="43">
        <f t="shared" si="2"/>
        <v>0.48854045092433995</v>
      </c>
      <c r="I6" s="43">
        <f t="shared" si="2"/>
        <v>1.1170534584776253</v>
      </c>
      <c r="J6" s="43">
        <f t="shared" si="2"/>
        <v>1.3023045334324859</v>
      </c>
      <c r="K6" s="43">
        <f t="shared" si="2"/>
        <v>1.3915298321991918</v>
      </c>
      <c r="L6" s="43">
        <f t="shared" si="2"/>
        <v>1.743452148146758</v>
      </c>
      <c r="M6" s="43">
        <f t="shared" si="2"/>
        <v>0.1984137665698551</v>
      </c>
      <c r="N6" s="43">
        <f>STDEV(N8:N37)</f>
        <v>1.2108992305812627</v>
      </c>
      <c r="O6" s="43">
        <f t="shared" si="2"/>
        <v>2.0072612686120523</v>
      </c>
      <c r="P6" s="43">
        <f t="shared" si="2"/>
        <v>1.6753922911356431</v>
      </c>
      <c r="Q6" s="43">
        <f t="shared" si="2"/>
        <v>0.54944902429712961</v>
      </c>
      <c r="R6" s="43">
        <f t="shared" si="2"/>
        <v>0.35623241683837603</v>
      </c>
      <c r="S6" s="43">
        <f t="shared" si="2"/>
        <v>1.8364324041651716</v>
      </c>
      <c r="T6" s="43">
        <f t="shared" si="2"/>
        <v>1.6094605265816442</v>
      </c>
      <c r="U6" s="43">
        <f t="shared" si="2"/>
        <v>0.34891645945705529</v>
      </c>
      <c r="V6" s="43">
        <f t="shared" si="2"/>
        <v>0.72916660401512268</v>
      </c>
      <c r="W6" s="43">
        <f t="shared" ref="W6" si="3">STDEV(W8:W37)</f>
        <v>0.6057229283414437</v>
      </c>
      <c r="X6" s="43">
        <f t="shared" si="2"/>
        <v>2.2490790879366247</v>
      </c>
    </row>
    <row r="7" spans="1:24" ht="19.899999999999999" customHeight="1">
      <c r="A7" s="18"/>
      <c r="C7" s="1"/>
      <c r="D7" s="1"/>
      <c r="E7" s="1"/>
    </row>
    <row r="8" spans="1:24" ht="19.899999999999999" customHeight="1">
      <c r="A8" s="37">
        <v>43655</v>
      </c>
      <c r="B8" s="21">
        <v>2979.6298830000001</v>
      </c>
      <c r="C8" s="3">
        <v>12.35</v>
      </c>
      <c r="D8" s="3">
        <v>76.610000999999997</v>
      </c>
      <c r="E8" s="3">
        <v>50.799999</v>
      </c>
      <c r="F8" s="3">
        <v>44.889999000000003</v>
      </c>
      <c r="G8" s="3">
        <v>79.353438999999995</v>
      </c>
      <c r="H8" s="3">
        <v>28.790789</v>
      </c>
      <c r="I8" s="3">
        <v>58.492660999999998</v>
      </c>
      <c r="J8" s="3">
        <v>78.220000999999996</v>
      </c>
      <c r="K8" s="3">
        <v>131.220001</v>
      </c>
      <c r="L8" s="3">
        <v>69.720000999999996</v>
      </c>
      <c r="M8" s="3">
        <v>65.809997999999993</v>
      </c>
      <c r="N8" s="3">
        <v>53.793297000000003</v>
      </c>
      <c r="O8" s="3">
        <v>103.34973100000001</v>
      </c>
      <c r="P8" s="3">
        <v>48.589409000000003</v>
      </c>
      <c r="Q8" s="3">
        <v>43.159126000000001</v>
      </c>
      <c r="R8" s="3">
        <v>44.299999</v>
      </c>
      <c r="S8" s="3">
        <v>103.78537799999999</v>
      </c>
      <c r="T8" s="3">
        <v>73.180000000000007</v>
      </c>
      <c r="U8" s="3">
        <v>43.16</v>
      </c>
      <c r="V8" s="3">
        <v>52.621544</v>
      </c>
      <c r="W8" s="3">
        <v>50.361030999999997</v>
      </c>
      <c r="X8" s="3">
        <v>139.050003</v>
      </c>
    </row>
    <row r="9" spans="1:24" ht="19.899999999999999" customHeight="1">
      <c r="A9" s="37">
        <v>43656</v>
      </c>
      <c r="B9" s="21">
        <v>2993.070068</v>
      </c>
      <c r="C9" s="3">
        <v>12.41</v>
      </c>
      <c r="D9" s="3">
        <v>76.650002000000001</v>
      </c>
      <c r="E9" s="3">
        <v>51.200001</v>
      </c>
      <c r="F9" s="3">
        <v>44.869999</v>
      </c>
      <c r="G9" s="3">
        <v>79.681267000000005</v>
      </c>
      <c r="H9" s="3">
        <v>28.711611000000001</v>
      </c>
      <c r="I9" s="3">
        <v>58.532393999999996</v>
      </c>
      <c r="J9" s="3">
        <v>78.129997000000003</v>
      </c>
      <c r="K9" s="3">
        <v>131.55999800000001</v>
      </c>
      <c r="L9" s="3">
        <v>69.620002999999997</v>
      </c>
      <c r="M9" s="3">
        <v>66.029999000000004</v>
      </c>
      <c r="N9" s="3">
        <v>54.109844000000002</v>
      </c>
      <c r="O9" s="3">
        <v>103.776054</v>
      </c>
      <c r="P9" s="3">
        <v>48.976298999999997</v>
      </c>
      <c r="Q9" s="3">
        <v>43.109566000000001</v>
      </c>
      <c r="R9" s="3">
        <v>44.459999000000003</v>
      </c>
      <c r="S9" s="3">
        <v>103.44744900000001</v>
      </c>
      <c r="T9" s="3">
        <v>73.25</v>
      </c>
      <c r="U9" s="3">
        <v>43.049999</v>
      </c>
      <c r="V9" s="3">
        <v>52.512287000000001</v>
      </c>
      <c r="W9" s="3">
        <v>50.311324999999997</v>
      </c>
      <c r="X9" s="3">
        <v>139.66000399999999</v>
      </c>
    </row>
    <row r="10" spans="1:24" ht="19.899999999999999" customHeight="1">
      <c r="A10" s="37">
        <v>43657</v>
      </c>
      <c r="B10" s="21">
        <v>2999.9099120000001</v>
      </c>
      <c r="C10" s="3">
        <v>12.45</v>
      </c>
      <c r="D10" s="3">
        <v>76.680000000000007</v>
      </c>
      <c r="E10" s="3">
        <v>51.049999</v>
      </c>
      <c r="F10" s="3">
        <v>45.259998000000003</v>
      </c>
      <c r="G10" s="3">
        <v>80.048828</v>
      </c>
      <c r="H10" s="3">
        <v>28.761096999999999</v>
      </c>
      <c r="I10" s="3">
        <v>58.611870000000003</v>
      </c>
      <c r="J10" s="3">
        <v>77.910004000000001</v>
      </c>
      <c r="K10" s="3">
        <v>131.61999499999999</v>
      </c>
      <c r="L10" s="3">
        <v>69.949996999999996</v>
      </c>
      <c r="M10" s="3">
        <v>66.099997999999999</v>
      </c>
      <c r="N10" s="3">
        <v>54.030704</v>
      </c>
      <c r="O10" s="3">
        <v>103.55793799999999</v>
      </c>
      <c r="P10" s="3">
        <v>49.144942999999998</v>
      </c>
      <c r="Q10" s="3">
        <v>43.208686999999998</v>
      </c>
      <c r="R10" s="3">
        <v>44.619999</v>
      </c>
      <c r="S10" s="3">
        <v>103.755562</v>
      </c>
      <c r="T10" s="3">
        <v>73.290001000000004</v>
      </c>
      <c r="U10" s="3">
        <v>43.369999</v>
      </c>
      <c r="V10" s="3">
        <v>52.075263999999997</v>
      </c>
      <c r="W10" s="3">
        <v>50.102566000000003</v>
      </c>
      <c r="X10" s="3">
        <v>140.38999899999999</v>
      </c>
    </row>
    <row r="11" spans="1:24" ht="19.899999999999999" customHeight="1">
      <c r="A11" s="37">
        <v>43658</v>
      </c>
      <c r="B11" s="21">
        <v>3013.7700199999999</v>
      </c>
      <c r="C11" s="3">
        <v>12.46</v>
      </c>
      <c r="D11" s="3">
        <v>76.160004000000001</v>
      </c>
      <c r="E11" s="3">
        <v>49.93</v>
      </c>
      <c r="F11" s="3">
        <v>45.330002</v>
      </c>
      <c r="G11" s="3">
        <v>79.442847999999998</v>
      </c>
      <c r="H11" s="3">
        <v>28.573051</v>
      </c>
      <c r="I11" s="3">
        <v>58.194633000000003</v>
      </c>
      <c r="J11" s="3">
        <v>77.5</v>
      </c>
      <c r="K11" s="3">
        <v>130.39999399999999</v>
      </c>
      <c r="L11" s="3">
        <v>70.639999000000003</v>
      </c>
      <c r="M11" s="3">
        <v>66.050003000000004</v>
      </c>
      <c r="N11" s="3">
        <v>53.367935000000003</v>
      </c>
      <c r="O11" s="3">
        <v>102.982895</v>
      </c>
      <c r="P11" s="3">
        <v>48.668773999999999</v>
      </c>
      <c r="Q11" s="3">
        <v>43.030262</v>
      </c>
      <c r="R11" s="3">
        <v>44.580002</v>
      </c>
      <c r="S11" s="3">
        <v>103.059814</v>
      </c>
      <c r="T11" s="3">
        <v>72.690002000000007</v>
      </c>
      <c r="U11" s="3">
        <v>43.169998</v>
      </c>
      <c r="V11" s="3">
        <v>51.866683999999999</v>
      </c>
      <c r="W11" s="3">
        <v>49.217815000000002</v>
      </c>
      <c r="X11" s="3">
        <v>139.88999899999999</v>
      </c>
    </row>
    <row r="12" spans="1:24" ht="19.899999999999999" customHeight="1">
      <c r="A12" s="37">
        <v>43661</v>
      </c>
      <c r="B12" s="21">
        <v>3014.3000489999999</v>
      </c>
      <c r="C12" s="3">
        <v>12.4</v>
      </c>
      <c r="D12" s="3">
        <v>76.290001000000004</v>
      </c>
      <c r="E12" s="3">
        <v>49.599997999999999</v>
      </c>
      <c r="F12" s="3">
        <v>45.200001</v>
      </c>
      <c r="G12" s="3">
        <v>79.244163999999998</v>
      </c>
      <c r="H12" s="3">
        <v>28.691815999999999</v>
      </c>
      <c r="I12" s="3">
        <v>58.234366999999999</v>
      </c>
      <c r="J12" s="3">
        <v>78.089995999999999</v>
      </c>
      <c r="K12" s="3">
        <v>129.990005</v>
      </c>
      <c r="L12" s="3">
        <v>70.559997999999993</v>
      </c>
      <c r="M12" s="3">
        <v>66.050003000000004</v>
      </c>
      <c r="N12" s="3">
        <v>53.694374000000003</v>
      </c>
      <c r="O12" s="3">
        <v>103.944603</v>
      </c>
      <c r="P12" s="3">
        <v>48.490208000000003</v>
      </c>
      <c r="Q12" s="3">
        <v>43.476326</v>
      </c>
      <c r="R12" s="3">
        <v>44.57</v>
      </c>
      <c r="S12" s="3">
        <v>102.91072800000001</v>
      </c>
      <c r="T12" s="3">
        <v>72.529999000000004</v>
      </c>
      <c r="U12" s="3">
        <v>43.099997999999999</v>
      </c>
      <c r="V12" s="3">
        <v>51.717700999999998</v>
      </c>
      <c r="W12" s="3">
        <v>49.009056000000001</v>
      </c>
      <c r="X12" s="3">
        <v>139.990005</v>
      </c>
    </row>
    <row r="13" spans="1:24" ht="19.899999999999999" customHeight="1">
      <c r="A13" s="37">
        <v>43662</v>
      </c>
      <c r="B13" s="21">
        <v>3004.040039</v>
      </c>
      <c r="C13" s="3">
        <v>12.43</v>
      </c>
      <c r="D13" s="3">
        <v>76.230002999999996</v>
      </c>
      <c r="E13" s="3">
        <v>49.400002000000001</v>
      </c>
      <c r="F13" s="3">
        <v>45.57</v>
      </c>
      <c r="G13" s="3">
        <v>79.432914999999994</v>
      </c>
      <c r="H13" s="3">
        <v>28.602741000000002</v>
      </c>
      <c r="I13" s="3">
        <v>58.015816000000001</v>
      </c>
      <c r="J13" s="3">
        <v>77.480002999999996</v>
      </c>
      <c r="K13" s="3">
        <v>129.550003</v>
      </c>
      <c r="L13" s="3">
        <v>70.099997999999999</v>
      </c>
      <c r="M13" s="3">
        <v>66.199996999999996</v>
      </c>
      <c r="N13" s="3">
        <v>53.219551000000003</v>
      </c>
      <c r="O13" s="3">
        <v>103.984261</v>
      </c>
      <c r="P13" s="3">
        <v>48.014034000000002</v>
      </c>
      <c r="Q13" s="3">
        <v>43.169037000000003</v>
      </c>
      <c r="R13" s="3">
        <v>44.509998000000003</v>
      </c>
      <c r="S13" s="3">
        <v>103.79531900000001</v>
      </c>
      <c r="T13" s="3">
        <v>72.849997999999999</v>
      </c>
      <c r="U13" s="3">
        <v>43.029998999999997</v>
      </c>
      <c r="V13" s="3">
        <v>52.184520999999997</v>
      </c>
      <c r="W13" s="3">
        <v>49.118403999999998</v>
      </c>
      <c r="X13" s="3">
        <v>139.259995</v>
      </c>
    </row>
    <row r="14" spans="1:24" ht="19.899999999999999" customHeight="1">
      <c r="A14" s="37">
        <v>43663</v>
      </c>
      <c r="B14" s="21">
        <v>2984.419922</v>
      </c>
      <c r="C14" s="3">
        <v>12.54</v>
      </c>
      <c r="D14" s="3">
        <v>76.739998</v>
      </c>
      <c r="E14" s="3">
        <v>49.560001</v>
      </c>
      <c r="F14" s="3">
        <v>45.810001</v>
      </c>
      <c r="G14" s="3">
        <v>79.879951000000005</v>
      </c>
      <c r="H14" s="3">
        <v>28.711611000000001</v>
      </c>
      <c r="I14" s="3">
        <v>58.284039</v>
      </c>
      <c r="J14" s="3">
        <v>77.370002999999997</v>
      </c>
      <c r="K14" s="3">
        <v>130.08000200000001</v>
      </c>
      <c r="L14" s="3">
        <v>69.680000000000007</v>
      </c>
      <c r="M14" s="3">
        <v>66.150002000000001</v>
      </c>
      <c r="N14" s="3">
        <v>53.39761</v>
      </c>
      <c r="O14" s="3">
        <v>104.638626</v>
      </c>
      <c r="P14" s="3">
        <v>48.212437000000001</v>
      </c>
      <c r="Q14" s="3">
        <v>43.347462</v>
      </c>
      <c r="R14" s="3">
        <v>44.619999</v>
      </c>
      <c r="S14" s="3">
        <v>103.526962</v>
      </c>
      <c r="T14" s="3">
        <v>72.819999999999993</v>
      </c>
      <c r="U14" s="3">
        <v>43.130001</v>
      </c>
      <c r="V14" s="3">
        <v>52.114994000000003</v>
      </c>
      <c r="W14" s="3">
        <v>49.496166000000002</v>
      </c>
      <c r="X14" s="3">
        <v>139.949997</v>
      </c>
    </row>
    <row r="15" spans="1:24" ht="19.899999999999999" customHeight="1">
      <c r="A15" s="37">
        <v>43664</v>
      </c>
      <c r="B15" s="21">
        <v>2995.110107</v>
      </c>
      <c r="C15" s="3">
        <v>12.64</v>
      </c>
      <c r="D15" s="3">
        <v>77.160004000000001</v>
      </c>
      <c r="E15" s="3">
        <v>49.779998999999997</v>
      </c>
      <c r="F15" s="3">
        <v>46.459999000000003</v>
      </c>
      <c r="G15" s="3">
        <v>80.585273999999998</v>
      </c>
      <c r="H15" s="3">
        <v>28.949141999999998</v>
      </c>
      <c r="I15" s="3">
        <v>58.741013000000002</v>
      </c>
      <c r="J15" s="3">
        <v>77.419998000000007</v>
      </c>
      <c r="K15" s="3">
        <v>131.36000100000001</v>
      </c>
      <c r="L15" s="3">
        <v>70.779999000000004</v>
      </c>
      <c r="M15" s="3">
        <v>66.290001000000004</v>
      </c>
      <c r="N15" s="3">
        <v>53.605342999999998</v>
      </c>
      <c r="O15" s="3">
        <v>105.838295</v>
      </c>
      <c r="P15" s="3">
        <v>48.371161999999998</v>
      </c>
      <c r="Q15" s="3">
        <v>43.644835999999998</v>
      </c>
      <c r="R15" s="3">
        <v>45.080002</v>
      </c>
      <c r="S15" s="3">
        <v>103.95433800000001</v>
      </c>
      <c r="T15" s="3">
        <v>73.269997000000004</v>
      </c>
      <c r="U15" s="3">
        <v>43.540000999999997</v>
      </c>
      <c r="V15" s="3">
        <v>52.383167</v>
      </c>
      <c r="W15" s="3">
        <v>50.013095999999997</v>
      </c>
      <c r="X15" s="3">
        <v>141.16999799999999</v>
      </c>
    </row>
    <row r="16" spans="1:24" ht="19.899999999999999" customHeight="1">
      <c r="A16" s="37">
        <v>43665</v>
      </c>
      <c r="B16" s="21">
        <v>2976.610107</v>
      </c>
      <c r="C16" s="3">
        <v>12.54</v>
      </c>
      <c r="D16" s="3">
        <v>75.980002999999996</v>
      </c>
      <c r="E16" s="3">
        <v>49.169998</v>
      </c>
      <c r="F16" s="3">
        <v>45.830002</v>
      </c>
      <c r="G16" s="3">
        <v>79.035552999999993</v>
      </c>
      <c r="H16" s="3">
        <v>28.345414999999999</v>
      </c>
      <c r="I16" s="3">
        <v>57.876736000000001</v>
      </c>
      <c r="J16" s="3">
        <v>76.849997999999999</v>
      </c>
      <c r="K16" s="3">
        <v>128.78999300000001</v>
      </c>
      <c r="L16" s="3">
        <v>70.169998000000007</v>
      </c>
      <c r="M16" s="3">
        <v>66.319999999999993</v>
      </c>
      <c r="N16" s="3">
        <v>53.437179999999998</v>
      </c>
      <c r="O16" s="3">
        <v>104.69811199999999</v>
      </c>
      <c r="P16" s="3">
        <v>47.190651000000003</v>
      </c>
      <c r="Q16" s="3">
        <v>43.109566000000001</v>
      </c>
      <c r="R16" s="3">
        <v>44.310001</v>
      </c>
      <c r="S16" s="3">
        <v>101.877045</v>
      </c>
      <c r="T16" s="3">
        <v>71.589995999999999</v>
      </c>
      <c r="U16" s="3">
        <v>42.740001999999997</v>
      </c>
      <c r="V16" s="3">
        <v>51.568714</v>
      </c>
      <c r="W16" s="3">
        <v>49.327168</v>
      </c>
      <c r="X16" s="3">
        <v>140.050003</v>
      </c>
    </row>
    <row r="17" spans="1:24" ht="19.899999999999999" customHeight="1">
      <c r="A17" s="37">
        <v>43668</v>
      </c>
      <c r="B17" s="21">
        <v>2985.030029</v>
      </c>
      <c r="C17" s="3">
        <v>12.5</v>
      </c>
      <c r="D17" s="3">
        <v>76.279999000000004</v>
      </c>
      <c r="E17" s="3">
        <v>48.849997999999999</v>
      </c>
      <c r="F17" s="3">
        <v>45.68</v>
      </c>
      <c r="G17" s="3">
        <v>78.767334000000005</v>
      </c>
      <c r="H17" s="3">
        <v>28.385006000000001</v>
      </c>
      <c r="I17" s="3">
        <v>57.90654</v>
      </c>
      <c r="J17" s="3">
        <v>76.260002</v>
      </c>
      <c r="K17" s="3">
        <v>128.61000100000001</v>
      </c>
      <c r="L17" s="3">
        <v>69.680000000000007</v>
      </c>
      <c r="M17" s="3">
        <v>66.089995999999999</v>
      </c>
      <c r="N17" s="3">
        <v>53.239337999999996</v>
      </c>
      <c r="O17" s="3">
        <v>104.499825</v>
      </c>
      <c r="P17" s="3">
        <v>46.902965999999999</v>
      </c>
      <c r="Q17" s="3">
        <v>43.218597000000003</v>
      </c>
      <c r="R17" s="3">
        <v>44.259998000000003</v>
      </c>
      <c r="S17" s="3">
        <v>102.01619700000001</v>
      </c>
      <c r="T17" s="3">
        <v>71.129997000000003</v>
      </c>
      <c r="U17" s="3">
        <v>42.66</v>
      </c>
      <c r="V17" s="3">
        <v>51.330337999999998</v>
      </c>
      <c r="W17" s="3">
        <v>49.456398</v>
      </c>
      <c r="X17" s="3">
        <v>140.570007</v>
      </c>
    </row>
    <row r="18" spans="1:24" ht="19.899999999999999" customHeight="1">
      <c r="A18" s="37">
        <v>43669</v>
      </c>
      <c r="B18" s="21">
        <v>3005.469971</v>
      </c>
      <c r="C18" s="3">
        <v>12.5</v>
      </c>
      <c r="D18" s="3">
        <v>76.230002999999996</v>
      </c>
      <c r="E18" s="3">
        <v>48.5</v>
      </c>
      <c r="F18" s="3">
        <v>45.880001</v>
      </c>
      <c r="G18" s="3">
        <v>78.220955000000004</v>
      </c>
      <c r="H18" s="3">
        <v>28.394902999999999</v>
      </c>
      <c r="I18" s="3">
        <v>57.886668999999998</v>
      </c>
      <c r="J18" s="3">
        <v>75.430000000000007</v>
      </c>
      <c r="K18" s="3">
        <v>128.16999799999999</v>
      </c>
      <c r="L18" s="3">
        <v>70.269997000000004</v>
      </c>
      <c r="M18" s="3">
        <v>66.089995999999999</v>
      </c>
      <c r="N18" s="3">
        <v>53.377827000000003</v>
      </c>
      <c r="O18" s="3">
        <v>103.964439</v>
      </c>
      <c r="P18" s="3">
        <v>45.990302999999997</v>
      </c>
      <c r="Q18" s="3">
        <v>42.941048000000002</v>
      </c>
      <c r="R18" s="3">
        <v>44.150002000000001</v>
      </c>
      <c r="S18" s="3">
        <v>101.966499</v>
      </c>
      <c r="T18" s="3">
        <v>70.809997999999993</v>
      </c>
      <c r="U18" s="3">
        <v>42.57</v>
      </c>
      <c r="V18" s="3">
        <v>51.469391000000002</v>
      </c>
      <c r="W18" s="3">
        <v>49.645274999999998</v>
      </c>
      <c r="X18" s="3">
        <v>138.949997</v>
      </c>
    </row>
    <row r="19" spans="1:24" ht="19.899999999999999" customHeight="1">
      <c r="A19" s="37">
        <v>43670</v>
      </c>
      <c r="B19" s="21">
        <v>3019.5600589999999</v>
      </c>
      <c r="C19" s="3">
        <v>12.43</v>
      </c>
      <c r="D19" s="3">
        <v>76.430000000000007</v>
      </c>
      <c r="E19" s="3">
        <v>48.59</v>
      </c>
      <c r="F19" s="3">
        <v>45.619999</v>
      </c>
      <c r="G19" s="3">
        <v>77.763985000000005</v>
      </c>
      <c r="H19" s="3">
        <v>28.137577</v>
      </c>
      <c r="I19" s="3">
        <v>57.62838</v>
      </c>
      <c r="J19" s="3">
        <v>75.180000000000007</v>
      </c>
      <c r="K19" s="3">
        <v>127.709999</v>
      </c>
      <c r="L19" s="3">
        <v>71.019997000000004</v>
      </c>
      <c r="M19" s="3">
        <v>66.120002999999997</v>
      </c>
      <c r="N19" s="3">
        <v>53.298690999999998</v>
      </c>
      <c r="O19" s="3">
        <v>103.766144</v>
      </c>
      <c r="P19" s="3">
        <v>45.117317</v>
      </c>
      <c r="Q19" s="3">
        <v>43.238425999999997</v>
      </c>
      <c r="R19" s="3">
        <v>44.389999000000003</v>
      </c>
      <c r="S19" s="3">
        <v>101.519234</v>
      </c>
      <c r="T19" s="3">
        <v>71.300003000000004</v>
      </c>
      <c r="U19" s="3">
        <v>42.650002000000001</v>
      </c>
      <c r="V19" s="3">
        <v>52.035533999999998</v>
      </c>
      <c r="W19" s="3">
        <v>49.873919999999998</v>
      </c>
      <c r="X19" s="3">
        <v>139.759995</v>
      </c>
    </row>
    <row r="20" spans="1:24" ht="19.899999999999999" customHeight="1">
      <c r="A20" s="37">
        <v>43671</v>
      </c>
      <c r="B20" s="21">
        <v>3003.669922</v>
      </c>
      <c r="C20" s="3">
        <v>12.46</v>
      </c>
      <c r="D20" s="3">
        <v>76.25</v>
      </c>
      <c r="E20" s="3">
        <v>48.98</v>
      </c>
      <c r="F20" s="3">
        <v>45.459999000000003</v>
      </c>
      <c r="G20" s="3">
        <v>77.952736000000002</v>
      </c>
      <c r="H20" s="3">
        <v>28.256342</v>
      </c>
      <c r="I20" s="3">
        <v>57.578709000000003</v>
      </c>
      <c r="J20" s="3">
        <v>74.860000999999997</v>
      </c>
      <c r="K20" s="3">
        <v>128.05999800000001</v>
      </c>
      <c r="L20" s="3">
        <v>70.029999000000004</v>
      </c>
      <c r="M20" s="3">
        <v>66.099997999999999</v>
      </c>
      <c r="N20" s="3">
        <v>53.486640999999999</v>
      </c>
      <c r="O20" s="3">
        <v>103.131607</v>
      </c>
      <c r="P20" s="3">
        <v>45.762138</v>
      </c>
      <c r="Q20" s="3">
        <v>43.486237000000003</v>
      </c>
      <c r="R20" s="3">
        <v>44.349997999999999</v>
      </c>
      <c r="S20" s="3">
        <v>100.85330999999999</v>
      </c>
      <c r="T20" s="3">
        <v>70.709998999999996</v>
      </c>
      <c r="U20" s="3">
        <v>42.310001</v>
      </c>
      <c r="V20" s="3">
        <v>51.916347999999999</v>
      </c>
      <c r="W20" s="3">
        <v>49.714863000000001</v>
      </c>
      <c r="X20" s="3">
        <v>140.46000699999999</v>
      </c>
    </row>
    <row r="21" spans="1:24" ht="19.899999999999999" customHeight="1">
      <c r="A21" s="37">
        <v>43672</v>
      </c>
      <c r="B21" s="21">
        <v>3025.860107</v>
      </c>
      <c r="C21" s="3">
        <v>12.51</v>
      </c>
      <c r="D21" s="3">
        <v>76.589995999999999</v>
      </c>
      <c r="E21" s="3">
        <v>48.970001000000003</v>
      </c>
      <c r="F21" s="3">
        <v>45.73</v>
      </c>
      <c r="G21" s="3">
        <v>78.995811000000003</v>
      </c>
      <c r="H21" s="3">
        <v>28.503771</v>
      </c>
      <c r="I21" s="3">
        <v>58.303905</v>
      </c>
      <c r="J21" s="3">
        <v>75.150002000000001</v>
      </c>
      <c r="K21" s="3">
        <v>129.36999499999999</v>
      </c>
      <c r="L21" s="3">
        <v>70.949996999999996</v>
      </c>
      <c r="M21" s="3">
        <v>66.309997999999993</v>
      </c>
      <c r="N21" s="3">
        <v>53.565776999999997</v>
      </c>
      <c r="O21" s="3">
        <v>102.804428</v>
      </c>
      <c r="P21" s="3">
        <v>45.454608999999998</v>
      </c>
      <c r="Q21" s="3">
        <v>43.674579999999999</v>
      </c>
      <c r="R21" s="3">
        <v>44.560001</v>
      </c>
      <c r="S21" s="3">
        <v>101.648445</v>
      </c>
      <c r="T21" s="3">
        <v>71.169998000000007</v>
      </c>
      <c r="U21" s="3">
        <v>42.560001</v>
      </c>
      <c r="V21" s="3">
        <v>52.849986999999999</v>
      </c>
      <c r="W21" s="3">
        <v>50.201973000000002</v>
      </c>
      <c r="X21" s="3">
        <v>140.259995</v>
      </c>
    </row>
    <row r="22" spans="1:24" ht="19.899999999999999" customHeight="1">
      <c r="A22" s="37">
        <v>43675</v>
      </c>
      <c r="B22" s="21">
        <v>3020.969971</v>
      </c>
      <c r="C22" s="3">
        <v>12.58</v>
      </c>
      <c r="D22" s="3">
        <v>76.849997999999999</v>
      </c>
      <c r="E22" s="3">
        <v>49.619999</v>
      </c>
      <c r="F22" s="3">
        <v>45.68</v>
      </c>
      <c r="G22" s="3">
        <v>79.581924000000001</v>
      </c>
      <c r="H22" s="3">
        <v>28.464182000000001</v>
      </c>
      <c r="I22" s="3">
        <v>58.790683999999999</v>
      </c>
      <c r="J22" s="3">
        <v>75.050003000000004</v>
      </c>
      <c r="K22" s="3">
        <v>128.979996</v>
      </c>
      <c r="L22" s="3">
        <v>70.599997999999999</v>
      </c>
      <c r="M22" s="3">
        <v>66.209998999999996</v>
      </c>
      <c r="N22" s="3">
        <v>54.070273999999998</v>
      </c>
      <c r="O22" s="3">
        <v>104.043755</v>
      </c>
      <c r="P22" s="3">
        <v>45.682774000000002</v>
      </c>
      <c r="Q22" s="3">
        <v>44.08099</v>
      </c>
      <c r="R22" s="3">
        <v>44.959999000000003</v>
      </c>
      <c r="S22" s="3">
        <v>102.01619700000001</v>
      </c>
      <c r="T22" s="3">
        <v>70.989998</v>
      </c>
      <c r="U22" s="3">
        <v>43.049999</v>
      </c>
      <c r="V22" s="3">
        <v>52.879784000000001</v>
      </c>
      <c r="W22" s="3">
        <v>50.211914</v>
      </c>
      <c r="X22" s="3">
        <v>139.5</v>
      </c>
    </row>
    <row r="23" spans="1:24" ht="19.899999999999999" customHeight="1">
      <c r="A23" s="37">
        <v>43676</v>
      </c>
      <c r="B23" s="21">
        <v>3013.179932</v>
      </c>
      <c r="C23" s="3">
        <v>12.54</v>
      </c>
      <c r="D23" s="3">
        <v>76.209998999999996</v>
      </c>
      <c r="E23" s="3">
        <v>50.310001</v>
      </c>
      <c r="F23" s="3">
        <v>46.02</v>
      </c>
      <c r="G23" s="3">
        <v>78.717658999999998</v>
      </c>
      <c r="H23" s="3">
        <v>28.54336</v>
      </c>
      <c r="I23" s="3">
        <v>58.174762999999999</v>
      </c>
      <c r="J23" s="3">
        <v>75.029999000000004</v>
      </c>
      <c r="K23" s="3">
        <v>127.949997</v>
      </c>
      <c r="L23" s="3">
        <v>70.269997000000004</v>
      </c>
      <c r="M23" s="3">
        <v>66.430000000000007</v>
      </c>
      <c r="N23" s="3">
        <v>53.912002999999999</v>
      </c>
      <c r="O23" s="3">
        <v>102.992805</v>
      </c>
      <c r="P23" s="3">
        <v>45.682774000000002</v>
      </c>
      <c r="Q23" s="3">
        <v>44.090899999999998</v>
      </c>
      <c r="R23" s="3">
        <v>44.73</v>
      </c>
      <c r="S23" s="3">
        <v>101.598747</v>
      </c>
      <c r="T23" s="3">
        <v>70.190002000000007</v>
      </c>
      <c r="U23" s="3">
        <v>43.009998000000003</v>
      </c>
      <c r="V23" s="3">
        <v>53.147953000000001</v>
      </c>
      <c r="W23" s="3">
        <v>50.023037000000002</v>
      </c>
      <c r="X23" s="3">
        <v>136.470001</v>
      </c>
    </row>
    <row r="24" spans="1:24" ht="19.899999999999999" customHeight="1">
      <c r="A24" s="37">
        <v>43677</v>
      </c>
      <c r="B24" s="21">
        <v>2980.3798830000001</v>
      </c>
      <c r="C24" s="3">
        <v>12.45</v>
      </c>
      <c r="D24" s="3">
        <v>75.690002000000007</v>
      </c>
      <c r="E24" s="3">
        <v>50.549999</v>
      </c>
      <c r="F24" s="3">
        <v>46.029998999999997</v>
      </c>
      <c r="G24" s="3">
        <v>78.628258000000002</v>
      </c>
      <c r="H24" s="3">
        <v>28.711611000000001</v>
      </c>
      <c r="I24" s="3">
        <v>57.837001999999998</v>
      </c>
      <c r="J24" s="3">
        <v>74.290001000000004</v>
      </c>
      <c r="K24" s="3">
        <v>127.110001</v>
      </c>
      <c r="L24" s="3">
        <v>74.540001000000004</v>
      </c>
      <c r="M24" s="3">
        <v>66.260002</v>
      </c>
      <c r="N24" s="3">
        <v>54.799999</v>
      </c>
      <c r="O24" s="3">
        <v>104.717949</v>
      </c>
      <c r="P24" s="3">
        <v>44.700668</v>
      </c>
      <c r="Q24" s="3">
        <v>43.585365000000003</v>
      </c>
      <c r="R24" s="3">
        <v>44.799999</v>
      </c>
      <c r="S24" s="3">
        <v>101.43971999999999</v>
      </c>
      <c r="T24" s="3">
        <v>69.919998000000007</v>
      </c>
      <c r="U24" s="3">
        <v>42.950001</v>
      </c>
      <c r="V24" s="3">
        <v>53.018836999999998</v>
      </c>
      <c r="W24" s="3">
        <v>49.376868999999999</v>
      </c>
      <c r="X24" s="3">
        <v>135.429993</v>
      </c>
    </row>
    <row r="25" spans="1:24" ht="19.899999999999999" customHeight="1">
      <c r="A25" s="37">
        <v>43678</v>
      </c>
      <c r="B25" s="21">
        <v>2953.5600589999999</v>
      </c>
      <c r="C25" s="3">
        <v>12.63</v>
      </c>
      <c r="D25" s="3">
        <v>76.639999000000003</v>
      </c>
      <c r="E25" s="3">
        <v>51.02</v>
      </c>
      <c r="F25" s="3">
        <v>46.139999000000003</v>
      </c>
      <c r="G25" s="3">
        <v>79.403114000000002</v>
      </c>
      <c r="H25" s="3">
        <v>28.790789</v>
      </c>
      <c r="I25" s="3">
        <v>58.990001999999997</v>
      </c>
      <c r="J25" s="3">
        <v>75.910004000000001</v>
      </c>
      <c r="K25" s="3">
        <v>129.050003</v>
      </c>
      <c r="L25" s="3">
        <v>73.879997000000003</v>
      </c>
      <c r="M25" s="3">
        <v>66.599997999999999</v>
      </c>
      <c r="N25" s="3">
        <v>54.75</v>
      </c>
      <c r="O25" s="3">
        <v>106.04650100000001</v>
      </c>
      <c r="P25" s="3">
        <v>44.045932999999998</v>
      </c>
      <c r="Q25" s="3">
        <v>43.991779000000001</v>
      </c>
      <c r="R25" s="3">
        <v>44.610000999999997</v>
      </c>
      <c r="S25" s="3">
        <v>103.029999</v>
      </c>
      <c r="T25" s="3">
        <v>69.919998000000007</v>
      </c>
      <c r="U25" s="3">
        <v>43.16</v>
      </c>
      <c r="V25" s="3">
        <v>53.147953000000001</v>
      </c>
      <c r="W25" s="3">
        <v>50.172153000000002</v>
      </c>
      <c r="X25" s="3">
        <v>135.679993</v>
      </c>
    </row>
    <row r="26" spans="1:24" ht="19.899999999999999" customHeight="1">
      <c r="A26" s="37">
        <v>43679</v>
      </c>
      <c r="B26" s="21">
        <v>2932.0500489999999</v>
      </c>
      <c r="C26" s="3">
        <v>12.76</v>
      </c>
      <c r="D26" s="3">
        <v>75.739998</v>
      </c>
      <c r="E26" s="3">
        <v>50.169998</v>
      </c>
      <c r="F26" s="3">
        <v>45.490001999999997</v>
      </c>
      <c r="G26" s="3">
        <v>78.071944999999999</v>
      </c>
      <c r="H26" s="3">
        <v>29.028317999999999</v>
      </c>
      <c r="I26" s="3">
        <v>58.700001</v>
      </c>
      <c r="J26" s="3">
        <v>76.019997000000004</v>
      </c>
      <c r="K26" s="3">
        <v>128.66000399999999</v>
      </c>
      <c r="L26" s="3">
        <v>73.75</v>
      </c>
      <c r="M26" s="3">
        <v>66.559997999999993</v>
      </c>
      <c r="N26" s="3">
        <v>54.959999000000003</v>
      </c>
      <c r="O26" s="3">
        <v>105.808548</v>
      </c>
      <c r="P26" s="3">
        <v>44.393143000000002</v>
      </c>
      <c r="Q26" s="3">
        <v>43.862915000000001</v>
      </c>
      <c r="R26" s="3">
        <v>44.360000999999997</v>
      </c>
      <c r="S26" s="3">
        <v>102.839996</v>
      </c>
      <c r="T26" s="3">
        <v>69.459998999999996</v>
      </c>
      <c r="U26" s="3">
        <v>43.099997999999999</v>
      </c>
      <c r="V26" s="3">
        <v>52.671204000000003</v>
      </c>
      <c r="W26" s="3">
        <v>48.849997999999999</v>
      </c>
      <c r="X26" s="3">
        <v>135.679993</v>
      </c>
    </row>
    <row r="27" spans="1:24" ht="19.899999999999999" customHeight="1">
      <c r="A27" s="37">
        <v>43682</v>
      </c>
      <c r="B27" s="21">
        <v>2844.73999</v>
      </c>
      <c r="C27" s="3">
        <v>12.61</v>
      </c>
      <c r="D27" s="3">
        <v>75.050003000000004</v>
      </c>
      <c r="E27" s="3">
        <v>49.220001000000003</v>
      </c>
      <c r="F27" s="3">
        <v>45.18</v>
      </c>
      <c r="G27" s="3">
        <v>76.571899000000002</v>
      </c>
      <c r="H27" s="3">
        <v>28.256342</v>
      </c>
      <c r="I27" s="3">
        <v>58.220001000000003</v>
      </c>
      <c r="J27" s="3">
        <v>74.669998000000007</v>
      </c>
      <c r="K27" s="3">
        <v>126.91999800000001</v>
      </c>
      <c r="L27" s="3">
        <v>72.510002</v>
      </c>
      <c r="M27" s="3">
        <v>66.540001000000004</v>
      </c>
      <c r="N27" s="178" t="s">
        <v>214</v>
      </c>
      <c r="O27" s="3">
        <v>104.014015</v>
      </c>
      <c r="P27" s="3">
        <v>44.065769000000003</v>
      </c>
      <c r="Q27" s="3">
        <v>43.059998</v>
      </c>
      <c r="R27" s="3">
        <v>43.32</v>
      </c>
      <c r="S27" s="3">
        <v>102.18</v>
      </c>
      <c r="T27" s="3">
        <v>68.209998999999996</v>
      </c>
      <c r="U27" s="3">
        <v>41.959999000000003</v>
      </c>
      <c r="V27" s="3">
        <v>50.933044000000002</v>
      </c>
      <c r="W27" s="3">
        <v>48.619999</v>
      </c>
      <c r="X27" s="3">
        <v>132.11999499999999</v>
      </c>
    </row>
    <row r="28" spans="1:24" ht="19.899999999999999" customHeight="1">
      <c r="A28" s="37">
        <v>43683</v>
      </c>
      <c r="B28" s="21">
        <v>2881.7700199999999</v>
      </c>
      <c r="C28" s="3">
        <v>12.8</v>
      </c>
      <c r="D28" s="3">
        <v>75</v>
      </c>
      <c r="E28" s="3">
        <v>50.369999</v>
      </c>
      <c r="F28" s="3">
        <v>45.099997999999999</v>
      </c>
      <c r="G28" s="3">
        <v>76.164603999999997</v>
      </c>
      <c r="H28" s="3">
        <v>28.563154000000001</v>
      </c>
      <c r="I28" s="3">
        <v>58.900002000000001</v>
      </c>
      <c r="J28" s="3">
        <v>75.220000999999996</v>
      </c>
      <c r="K28" s="3">
        <v>127.82</v>
      </c>
      <c r="L28" s="3">
        <v>73.370002999999997</v>
      </c>
      <c r="M28" s="3">
        <v>66.419998000000007</v>
      </c>
      <c r="N28" s="3">
        <v>55.34</v>
      </c>
      <c r="O28" s="3">
        <v>105.640007</v>
      </c>
      <c r="P28" s="3">
        <v>44.849471999999999</v>
      </c>
      <c r="Q28" s="3">
        <v>43.419998</v>
      </c>
      <c r="R28" s="3">
        <v>43.779998999999997</v>
      </c>
      <c r="S28" s="3">
        <v>103.33000199999999</v>
      </c>
      <c r="T28" s="3">
        <v>68.440002000000007</v>
      </c>
      <c r="U28" s="3">
        <v>42.490001999999997</v>
      </c>
      <c r="V28" s="3">
        <v>51.320404000000003</v>
      </c>
      <c r="W28" s="3">
        <v>49.040000999999997</v>
      </c>
      <c r="X28" s="3">
        <v>133.929993</v>
      </c>
    </row>
    <row r="29" spans="1:24" ht="19.899999999999999" customHeight="1">
      <c r="A29" s="37">
        <v>43684</v>
      </c>
      <c r="B29" s="21">
        <v>2883.9799800000001</v>
      </c>
      <c r="C29" s="3">
        <v>12.88</v>
      </c>
      <c r="D29" s="3">
        <v>75.220000999999996</v>
      </c>
      <c r="E29" s="3">
        <v>50.080002</v>
      </c>
      <c r="F29" s="3">
        <v>45.68</v>
      </c>
      <c r="G29" s="3">
        <v>76.840118000000004</v>
      </c>
      <c r="H29" s="3">
        <v>27.771381000000002</v>
      </c>
      <c r="I29" s="3">
        <v>59.110000999999997</v>
      </c>
      <c r="J29" s="3">
        <v>74.430000000000007</v>
      </c>
      <c r="K29" s="3">
        <v>128.179993</v>
      </c>
      <c r="L29" s="3">
        <v>74.190002000000007</v>
      </c>
      <c r="M29" s="3">
        <v>66.529999000000004</v>
      </c>
      <c r="N29" s="3">
        <v>55.25</v>
      </c>
      <c r="O29" s="3">
        <v>105.91999800000001</v>
      </c>
      <c r="P29" s="3">
        <v>44.651066</v>
      </c>
      <c r="Q29" s="3">
        <v>43.57</v>
      </c>
      <c r="R29" s="3">
        <v>44.060001</v>
      </c>
      <c r="S29" s="3">
        <v>103.629997</v>
      </c>
      <c r="T29" s="3">
        <v>68.959998999999996</v>
      </c>
      <c r="U29" s="3">
        <v>42.360000999999997</v>
      </c>
      <c r="V29" s="3">
        <v>51.787224000000002</v>
      </c>
      <c r="W29" s="3">
        <v>49.52</v>
      </c>
      <c r="X29" s="3">
        <v>135.16000399999999</v>
      </c>
    </row>
    <row r="30" spans="1:24" ht="19.899999999999999" customHeight="1">
      <c r="A30" s="37">
        <v>43685</v>
      </c>
      <c r="B30" s="21">
        <v>2938.0900879999999</v>
      </c>
      <c r="C30" s="3">
        <v>12.94</v>
      </c>
      <c r="D30" s="3">
        <v>76.319999999999993</v>
      </c>
      <c r="E30" s="3">
        <v>50.790000999999997</v>
      </c>
      <c r="F30" s="3">
        <v>46.25</v>
      </c>
      <c r="G30" s="3">
        <v>77.515632999999994</v>
      </c>
      <c r="H30" s="3">
        <v>27.543748999999998</v>
      </c>
      <c r="I30" s="3">
        <v>60.07</v>
      </c>
      <c r="J30" s="3">
        <v>75.330001999999993</v>
      </c>
      <c r="K30" s="3">
        <v>129.28999300000001</v>
      </c>
      <c r="L30" s="3">
        <v>75.120002999999997</v>
      </c>
      <c r="M30" s="3">
        <v>66.580001999999993</v>
      </c>
      <c r="N30" s="3">
        <v>55.82</v>
      </c>
      <c r="O30" s="3">
        <v>107.040001</v>
      </c>
      <c r="P30" s="3">
        <v>45.057796000000003</v>
      </c>
      <c r="Q30" s="3">
        <v>44.25</v>
      </c>
      <c r="R30" s="3">
        <v>45.049999</v>
      </c>
      <c r="S30" s="3">
        <v>105.699997</v>
      </c>
      <c r="T30" s="3">
        <v>69.830001999999993</v>
      </c>
      <c r="U30" s="3">
        <v>42.990001999999997</v>
      </c>
      <c r="V30" s="3">
        <v>52.631476999999997</v>
      </c>
      <c r="W30" s="3">
        <v>50.529998999999997</v>
      </c>
      <c r="X30" s="3">
        <v>136.71000699999999</v>
      </c>
    </row>
    <row r="31" spans="1:24" ht="19.899999999999999" customHeight="1">
      <c r="A31" s="37">
        <v>43686</v>
      </c>
      <c r="B31" s="21">
        <v>2918.6499020000001</v>
      </c>
      <c r="C31" s="3">
        <v>12.97</v>
      </c>
      <c r="D31" s="3">
        <v>76.690002000000007</v>
      </c>
      <c r="E31" s="3">
        <v>50.369999</v>
      </c>
      <c r="F31" s="3">
        <v>46.130001</v>
      </c>
      <c r="G31" s="3">
        <v>75.896384999999995</v>
      </c>
      <c r="H31" s="3">
        <v>27.335909000000001</v>
      </c>
      <c r="I31" s="3">
        <v>60.32</v>
      </c>
      <c r="J31" s="3">
        <v>74.839995999999999</v>
      </c>
      <c r="K31" s="3">
        <v>129.36999499999999</v>
      </c>
      <c r="L31" s="3">
        <v>74.379997000000003</v>
      </c>
      <c r="M31" s="3">
        <v>66.470000999999996</v>
      </c>
      <c r="N31" s="3">
        <v>55.529998999999997</v>
      </c>
      <c r="O31" s="3">
        <v>107.43</v>
      </c>
      <c r="P31" s="3">
        <v>44.839554</v>
      </c>
      <c r="Q31" s="3">
        <v>44.200001</v>
      </c>
      <c r="R31" s="3">
        <v>44.400002000000001</v>
      </c>
      <c r="S31" s="3">
        <v>104.32</v>
      </c>
      <c r="T31" s="3">
        <v>69.389999000000003</v>
      </c>
      <c r="U31" s="3">
        <v>42.869999</v>
      </c>
      <c r="V31" s="3">
        <v>52.224251000000002</v>
      </c>
      <c r="W31" s="3">
        <v>50.459999000000003</v>
      </c>
      <c r="X31" s="3">
        <v>137.679993</v>
      </c>
    </row>
    <row r="32" spans="1:24" ht="19.899999999999999" customHeight="1">
      <c r="A32" s="37">
        <v>43689</v>
      </c>
      <c r="B32" s="21">
        <v>2882.6999510000001</v>
      </c>
      <c r="C32" s="3">
        <v>12.9</v>
      </c>
      <c r="D32" s="3">
        <v>76.639999000000003</v>
      </c>
      <c r="E32" s="3">
        <v>49.529998999999997</v>
      </c>
      <c r="F32" s="3">
        <v>46.110000999999997</v>
      </c>
      <c r="G32" s="3">
        <v>75.588425000000001</v>
      </c>
      <c r="H32" s="3">
        <v>27.474468000000002</v>
      </c>
      <c r="I32" s="3">
        <v>59.939999</v>
      </c>
      <c r="J32" s="3">
        <v>74.370002999999997</v>
      </c>
      <c r="K32" s="3">
        <v>128.08999600000001</v>
      </c>
      <c r="L32" s="3">
        <v>73.069999999999993</v>
      </c>
      <c r="M32" s="3">
        <v>66.339995999999999</v>
      </c>
      <c r="N32" s="3">
        <v>55.939999</v>
      </c>
      <c r="O32" s="3">
        <v>107.739998</v>
      </c>
      <c r="P32" s="3">
        <v>44.839554</v>
      </c>
      <c r="Q32" s="3">
        <v>44.509998000000003</v>
      </c>
      <c r="R32" s="3">
        <v>44.150002000000001</v>
      </c>
      <c r="S32" s="3">
        <v>104.110001</v>
      </c>
      <c r="T32" s="3">
        <v>68.790001000000004</v>
      </c>
      <c r="U32" s="3">
        <v>42.689999</v>
      </c>
      <c r="V32" s="3">
        <v>50.843651000000001</v>
      </c>
      <c r="W32" s="3">
        <v>50.459999000000003</v>
      </c>
      <c r="X32" s="3">
        <v>137.13999899999999</v>
      </c>
    </row>
    <row r="33" spans="1:24" ht="19.899999999999999" customHeight="1">
      <c r="A33" s="37">
        <v>43690</v>
      </c>
      <c r="B33" s="21">
        <v>2926.320068</v>
      </c>
      <c r="C33" s="3">
        <v>12.98</v>
      </c>
      <c r="D33" s="3">
        <v>76.510002</v>
      </c>
      <c r="E33" s="3">
        <v>49.360000999999997</v>
      </c>
      <c r="F33" s="3">
        <v>46.259998000000003</v>
      </c>
      <c r="G33" s="3">
        <v>76.02552</v>
      </c>
      <c r="H33" s="3">
        <v>27.712</v>
      </c>
      <c r="I33" s="3">
        <v>60.09</v>
      </c>
      <c r="J33" s="3">
        <v>75.379997000000003</v>
      </c>
      <c r="K33" s="3">
        <v>128.229996</v>
      </c>
      <c r="L33" s="3">
        <v>73.209998999999996</v>
      </c>
      <c r="M33" s="3">
        <v>66.389999000000003</v>
      </c>
      <c r="N33" s="3">
        <v>56.150002000000001</v>
      </c>
      <c r="O33" s="3">
        <v>107.82</v>
      </c>
      <c r="P33" s="3">
        <v>45.157001000000001</v>
      </c>
      <c r="Q33" s="3">
        <v>44.18</v>
      </c>
      <c r="R33" s="3">
        <v>44.310001</v>
      </c>
      <c r="S33" s="3">
        <v>105.150002</v>
      </c>
      <c r="T33" s="3">
        <v>69.150002000000001</v>
      </c>
      <c r="U33" s="3">
        <v>42.889999000000003</v>
      </c>
      <c r="V33" s="3">
        <v>51.380001</v>
      </c>
      <c r="W33" s="3">
        <v>50.380001</v>
      </c>
      <c r="X33" s="3">
        <v>137.35000600000001</v>
      </c>
    </row>
    <row r="34" spans="1:24" ht="19.899999999999999" customHeight="1">
      <c r="A34" s="37">
        <v>43691</v>
      </c>
      <c r="B34" s="21">
        <v>2840.6000979999999</v>
      </c>
      <c r="C34" s="3">
        <v>12.91</v>
      </c>
      <c r="D34" s="3">
        <v>75.25</v>
      </c>
      <c r="E34" s="3">
        <v>48.419998</v>
      </c>
      <c r="F34" s="3">
        <v>45.669998</v>
      </c>
      <c r="G34" s="3">
        <v>75.151329000000004</v>
      </c>
      <c r="H34" s="3">
        <v>27.5</v>
      </c>
      <c r="I34" s="3">
        <v>59.77</v>
      </c>
      <c r="J34" s="3">
        <v>75.330001999999993</v>
      </c>
      <c r="K34" s="3">
        <v>126.160004</v>
      </c>
      <c r="L34" s="3">
        <v>71.819999999999993</v>
      </c>
      <c r="M34" s="3">
        <v>66.410004000000001</v>
      </c>
      <c r="N34" s="3">
        <v>56.150002000000001</v>
      </c>
      <c r="O34" s="3">
        <v>107</v>
      </c>
      <c r="P34" s="3">
        <v>44.48</v>
      </c>
      <c r="Q34" s="3">
        <v>43.529998999999997</v>
      </c>
      <c r="R34" s="3">
        <v>44.259998000000003</v>
      </c>
      <c r="S34" s="3">
        <v>104.949997</v>
      </c>
      <c r="T34" s="3">
        <v>68.599997999999999</v>
      </c>
      <c r="U34" s="3">
        <v>42.490001999999997</v>
      </c>
      <c r="V34" s="3">
        <v>50.669998</v>
      </c>
      <c r="W34" s="3">
        <v>49.299999</v>
      </c>
      <c r="X34" s="3">
        <v>136.75</v>
      </c>
    </row>
    <row r="35" spans="1:24" ht="19.899999999999999" customHeight="1">
      <c r="A35" s="37">
        <v>43692</v>
      </c>
      <c r="B35" s="21">
        <v>2847.6000979999999</v>
      </c>
      <c r="C35" s="3">
        <v>12.9</v>
      </c>
      <c r="D35" s="3">
        <v>75.809997999999993</v>
      </c>
      <c r="E35" s="3">
        <v>48.889999000000003</v>
      </c>
      <c r="F35" s="3">
        <v>45.84</v>
      </c>
      <c r="G35" s="3">
        <v>76.104996</v>
      </c>
      <c r="H35" s="3">
        <v>27.57</v>
      </c>
      <c r="I35" s="3">
        <v>61.27</v>
      </c>
      <c r="J35" s="3">
        <v>77.050003000000004</v>
      </c>
      <c r="K35" s="3">
        <v>128.66000399999999</v>
      </c>
      <c r="L35" s="3">
        <v>72.069999999999993</v>
      </c>
      <c r="M35" s="3">
        <v>66.379997000000003</v>
      </c>
      <c r="N35" s="3">
        <v>56.32</v>
      </c>
      <c r="O35" s="3">
        <v>109</v>
      </c>
      <c r="P35" s="3">
        <v>44.650002000000001</v>
      </c>
      <c r="Q35" s="3">
        <v>44.119999</v>
      </c>
      <c r="R35" s="3">
        <v>44.43</v>
      </c>
      <c r="S35" s="3">
        <v>106.480003</v>
      </c>
      <c r="T35" s="3">
        <v>70.25</v>
      </c>
      <c r="U35" s="3">
        <v>42.529998999999997</v>
      </c>
      <c r="V35" s="3">
        <v>50.889999000000003</v>
      </c>
      <c r="W35" s="3">
        <v>50.310001</v>
      </c>
      <c r="X35" s="3">
        <v>138.53999300000001</v>
      </c>
    </row>
    <row r="36" spans="1:24" ht="19.899999999999999" customHeight="1">
      <c r="A36" s="37">
        <v>43693</v>
      </c>
      <c r="B36" s="21">
        <v>2888.679932</v>
      </c>
      <c r="C36" s="3">
        <v>12.88</v>
      </c>
      <c r="D36" s="3">
        <v>76.639999000000003</v>
      </c>
      <c r="E36" s="3">
        <v>49.27</v>
      </c>
      <c r="F36" s="3">
        <v>46.48</v>
      </c>
      <c r="G36" s="3">
        <v>77.169998000000007</v>
      </c>
      <c r="H36" s="3">
        <v>27.870000999999998</v>
      </c>
      <c r="I36" s="3">
        <v>61.200001</v>
      </c>
      <c r="J36" s="3">
        <v>76.860000999999997</v>
      </c>
      <c r="K36" s="3">
        <v>129.28999300000001</v>
      </c>
      <c r="L36" s="3">
        <v>72.5</v>
      </c>
      <c r="M36" s="3">
        <v>66.410004000000001</v>
      </c>
      <c r="N36" s="3">
        <v>56.59</v>
      </c>
      <c r="O36" s="3">
        <v>109.19000200000001</v>
      </c>
      <c r="P36" s="3">
        <v>45.130001</v>
      </c>
      <c r="Q36" s="3">
        <v>44.68</v>
      </c>
      <c r="R36" s="3">
        <v>44.709999000000003</v>
      </c>
      <c r="S36" s="3">
        <v>108.029999</v>
      </c>
      <c r="T36" s="3">
        <v>71.089995999999999</v>
      </c>
      <c r="U36" s="3">
        <v>43.099997999999999</v>
      </c>
      <c r="V36" s="3">
        <v>51.23</v>
      </c>
      <c r="W36" s="3">
        <v>51</v>
      </c>
      <c r="X36" s="3">
        <v>138.88000500000001</v>
      </c>
    </row>
    <row r="37" spans="1:24" ht="19.899999999999999" customHeight="1">
      <c r="A37" s="37">
        <v>43696</v>
      </c>
      <c r="B37" s="21">
        <v>2923.6499020000001</v>
      </c>
      <c r="C37" s="3">
        <v>12.93</v>
      </c>
      <c r="D37" s="3">
        <v>76.970000999999996</v>
      </c>
      <c r="E37" s="3">
        <v>49.459999000000003</v>
      </c>
      <c r="F37" s="3">
        <v>46.349997999999999</v>
      </c>
      <c r="G37" s="3">
        <v>77.470000999999996</v>
      </c>
      <c r="H37" s="3">
        <v>28.110001</v>
      </c>
      <c r="I37" s="3">
        <v>61.57</v>
      </c>
      <c r="J37" s="3">
        <v>77.790001000000004</v>
      </c>
      <c r="K37" s="3">
        <v>130.78999300000001</v>
      </c>
      <c r="L37" s="3">
        <v>72.650002000000001</v>
      </c>
      <c r="M37" s="3">
        <v>66.430000000000007</v>
      </c>
      <c r="N37" s="3">
        <v>57.189999</v>
      </c>
      <c r="O37" s="3">
        <v>109.790001</v>
      </c>
      <c r="P37" s="3">
        <v>45.279998999999997</v>
      </c>
      <c r="Q37" s="3">
        <v>45.130001</v>
      </c>
      <c r="R37" s="3">
        <v>44.669998</v>
      </c>
      <c r="S37" s="3">
        <v>108.260002</v>
      </c>
      <c r="T37" s="3">
        <v>71.760002</v>
      </c>
      <c r="U37" s="3">
        <v>43.16</v>
      </c>
      <c r="V37" s="3">
        <v>51.240001999999997</v>
      </c>
      <c r="W37" s="3">
        <v>50.639999000000003</v>
      </c>
      <c r="X37" s="3">
        <v>139.63999899999999</v>
      </c>
    </row>
    <row r="38" spans="1:24">
      <c r="A38" s="50"/>
      <c r="B38" s="50"/>
      <c r="C38" s="19"/>
      <c r="D38" s="2"/>
      <c r="E38" s="1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>
      <c r="A39" s="51"/>
      <c r="B39" s="51"/>
      <c r="C39" s="3"/>
      <c r="D39" s="1"/>
      <c r="E39" s="3"/>
    </row>
    <row r="40" spans="1:24">
      <c r="A40" s="6"/>
      <c r="B40" s="6"/>
    </row>
    <row r="41" spans="1:24" s="52" customFormat="1" ht="14.45" customHeight="1">
      <c r="A41" s="255" t="s">
        <v>92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</row>
    <row r="42" spans="1:24">
      <c r="A42" s="6"/>
      <c r="B42" s="6"/>
    </row>
    <row r="43" spans="1:24">
      <c r="A43" s="6"/>
      <c r="B43" s="6"/>
    </row>
    <row r="44" spans="1:24">
      <c r="A44" s="6"/>
      <c r="B44" s="6"/>
    </row>
    <row r="45" spans="1:24">
      <c r="A45" s="6"/>
      <c r="B45" s="6"/>
    </row>
    <row r="46" spans="1:24">
      <c r="A46" s="6"/>
      <c r="B46" s="6"/>
    </row>
    <row r="47" spans="1:24">
      <c r="A47" s="6"/>
      <c r="B47" s="6"/>
    </row>
    <row r="48" spans="1:24">
      <c r="A48" s="6"/>
      <c r="B48" s="6"/>
    </row>
    <row r="49" spans="1:2">
      <c r="A49" s="6"/>
      <c r="B49" s="6"/>
    </row>
  </sheetData>
  <mergeCells count="1">
    <mergeCell ref="A41:X41"/>
  </mergeCells>
  <printOptions horizontalCentered="1" headings="1" gridLines="1"/>
  <pageMargins left="0.45" right="0.7" top="1" bottom="0.5" header="0.3" footer="0.3"/>
  <pageSetup scale="62" orientation="landscape" r:id="rId1"/>
  <headerFooter scaleWithDoc="0">
    <oddHeader xml:space="preserve">&amp;C&amp;"-,Bold"&amp;14DCF Stock and Index Prices&amp;RUE-190334 and UG-190335,
 UE-190222 (Consolidated)
 Exh. DJG-14 
&amp;P of &amp;N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130</v>
      </c>
      <c r="B1" t="s">
        <v>131</v>
      </c>
      <c r="C1" s="265" t="s">
        <v>135</v>
      </c>
      <c r="D1" s="265"/>
      <c r="E1" t="s">
        <v>136</v>
      </c>
      <c r="F1" t="s">
        <v>137</v>
      </c>
      <c r="G1" s="265" t="s">
        <v>138</v>
      </c>
      <c r="H1" s="265"/>
      <c r="I1" s="265" t="s">
        <v>139</v>
      </c>
      <c r="J1" s="265"/>
    </row>
    <row r="2" spans="1:10">
      <c r="A2" s="24">
        <v>1</v>
      </c>
      <c r="B2" s="24">
        <v>100</v>
      </c>
      <c r="C2" s="24">
        <v>0</v>
      </c>
      <c r="D2" s="24">
        <v>100</v>
      </c>
      <c r="E2" s="24">
        <v>0</v>
      </c>
      <c r="F2" s="24">
        <v>-40</v>
      </c>
      <c r="G2" s="24">
        <v>22</v>
      </c>
      <c r="H2" s="24">
        <v>10</v>
      </c>
      <c r="I2" s="24">
        <v>22</v>
      </c>
      <c r="J2" s="24">
        <v>-5</v>
      </c>
    </row>
    <row r="3" spans="1:10">
      <c r="A3" s="24">
        <v>2</v>
      </c>
      <c r="B3" s="24">
        <v>75</v>
      </c>
      <c r="C3" s="24">
        <v>1</v>
      </c>
      <c r="D3" s="24">
        <v>100</v>
      </c>
      <c r="E3" s="24">
        <v>0</v>
      </c>
      <c r="F3" s="24">
        <v>-40</v>
      </c>
      <c r="G3" s="24">
        <v>22</v>
      </c>
      <c r="H3" s="24">
        <v>90</v>
      </c>
      <c r="I3" s="24">
        <v>22</v>
      </c>
      <c r="J3" s="24">
        <v>-35</v>
      </c>
    </row>
    <row r="4" spans="1:10">
      <c r="A4" s="24">
        <v>3</v>
      </c>
      <c r="B4" s="24">
        <v>55</v>
      </c>
      <c r="C4" s="24">
        <v>2</v>
      </c>
      <c r="D4" s="24">
        <v>100</v>
      </c>
      <c r="E4" s="24">
        <v>0</v>
      </c>
      <c r="F4" s="24">
        <v>-40</v>
      </c>
      <c r="G4" s="24"/>
      <c r="H4" s="24"/>
      <c r="I4" s="24"/>
    </row>
    <row r="5" spans="1:10">
      <c r="A5" s="24">
        <v>4</v>
      </c>
      <c r="B5" s="24">
        <v>37</v>
      </c>
      <c r="C5" s="24">
        <v>3</v>
      </c>
      <c r="D5" s="24">
        <v>100</v>
      </c>
      <c r="E5" s="24">
        <v>0</v>
      </c>
      <c r="F5" s="24">
        <v>-40</v>
      </c>
      <c r="G5" s="24"/>
      <c r="H5" s="24"/>
      <c r="I5" s="24"/>
    </row>
    <row r="6" spans="1:10">
      <c r="A6" s="24">
        <v>5</v>
      </c>
      <c r="B6" s="24">
        <v>25</v>
      </c>
      <c r="C6" s="24">
        <v>4</v>
      </c>
      <c r="D6" s="24">
        <v>100</v>
      </c>
      <c r="E6" s="24">
        <v>0</v>
      </c>
      <c r="F6" s="24">
        <v>-40</v>
      </c>
      <c r="G6" s="24"/>
      <c r="H6" s="24"/>
      <c r="I6" s="24"/>
    </row>
    <row r="7" spans="1:10">
      <c r="A7" s="24">
        <v>6</v>
      </c>
      <c r="B7" s="24">
        <v>17</v>
      </c>
      <c r="C7" s="24">
        <v>5</v>
      </c>
      <c r="D7" s="24">
        <v>100</v>
      </c>
      <c r="E7" s="24">
        <v>0</v>
      </c>
      <c r="F7" s="24">
        <v>-40</v>
      </c>
      <c r="G7" s="24"/>
      <c r="H7" s="24"/>
      <c r="I7" s="24"/>
    </row>
    <row r="8" spans="1:10">
      <c r="A8" s="24">
        <v>7</v>
      </c>
      <c r="B8" s="24">
        <v>12</v>
      </c>
      <c r="C8" s="24">
        <v>6</v>
      </c>
      <c r="D8" s="24">
        <v>100</v>
      </c>
      <c r="E8" s="24">
        <v>0</v>
      </c>
      <c r="F8" s="24">
        <v>-40</v>
      </c>
      <c r="G8" s="24"/>
      <c r="H8" s="24"/>
      <c r="I8" s="24"/>
    </row>
    <row r="9" spans="1:10">
      <c r="A9" s="24">
        <v>8</v>
      </c>
      <c r="B9" s="24">
        <v>8.25</v>
      </c>
      <c r="C9" s="24">
        <v>7</v>
      </c>
      <c r="D9" s="24">
        <v>100</v>
      </c>
      <c r="E9" s="24">
        <v>0</v>
      </c>
      <c r="F9" s="24">
        <v>-40</v>
      </c>
      <c r="G9" s="24"/>
      <c r="H9" s="24"/>
      <c r="I9" s="24"/>
    </row>
    <row r="10" spans="1:10">
      <c r="A10" s="24">
        <v>9</v>
      </c>
      <c r="B10" s="24">
        <v>5.5</v>
      </c>
      <c r="C10" s="24">
        <v>8</v>
      </c>
      <c r="D10" s="24">
        <v>100</v>
      </c>
      <c r="E10" s="24">
        <v>0</v>
      </c>
      <c r="F10" s="24">
        <v>-40</v>
      </c>
      <c r="G10" s="24"/>
      <c r="H10" s="24"/>
      <c r="I10" s="24"/>
    </row>
    <row r="11" spans="1:10">
      <c r="A11" s="24">
        <v>10</v>
      </c>
      <c r="B11" s="24">
        <v>4</v>
      </c>
      <c r="C11" s="24">
        <v>9</v>
      </c>
      <c r="D11" s="24">
        <v>100</v>
      </c>
      <c r="E11" s="24">
        <v>0</v>
      </c>
      <c r="F11" s="24">
        <v>-40</v>
      </c>
      <c r="G11" s="24"/>
      <c r="H11" s="24"/>
      <c r="I11" s="24"/>
    </row>
    <row r="12" spans="1:10">
      <c r="A12" s="24">
        <v>11</v>
      </c>
      <c r="B12" s="24">
        <v>3.2</v>
      </c>
      <c r="C12" s="24">
        <v>10</v>
      </c>
      <c r="D12" s="24">
        <v>100</v>
      </c>
      <c r="E12" s="24">
        <v>0</v>
      </c>
      <c r="F12" s="24">
        <v>-40</v>
      </c>
      <c r="G12" s="24"/>
      <c r="H12" s="24"/>
      <c r="I12" s="24"/>
    </row>
    <row r="13" spans="1:10">
      <c r="A13" s="24">
        <v>12</v>
      </c>
      <c r="B13" s="24">
        <v>2.7</v>
      </c>
      <c r="C13" s="24">
        <v>11</v>
      </c>
      <c r="D13" s="24">
        <v>100</v>
      </c>
      <c r="E13" s="24">
        <v>0</v>
      </c>
      <c r="F13" s="24">
        <v>-40</v>
      </c>
      <c r="G13" s="24"/>
      <c r="H13" s="24"/>
      <c r="I13" s="24"/>
    </row>
    <row r="14" spans="1:10">
      <c r="A14" s="24">
        <v>13</v>
      </c>
      <c r="B14" s="24">
        <v>2.2999999999999998</v>
      </c>
      <c r="C14" s="24">
        <v>12</v>
      </c>
      <c r="D14" s="24">
        <v>100</v>
      </c>
      <c r="E14" s="24">
        <v>0</v>
      </c>
      <c r="F14" s="24">
        <v>-40</v>
      </c>
      <c r="G14" s="24"/>
      <c r="H14" s="24"/>
      <c r="I14" s="24"/>
    </row>
    <row r="15" spans="1:10">
      <c r="A15" s="24">
        <v>14</v>
      </c>
      <c r="B15" s="24">
        <v>1.9</v>
      </c>
      <c r="C15" s="24">
        <v>13</v>
      </c>
      <c r="D15" s="24">
        <v>100</v>
      </c>
      <c r="E15" s="24">
        <v>0</v>
      </c>
      <c r="F15" s="24">
        <v>-40</v>
      </c>
      <c r="G15" s="24"/>
      <c r="H15" s="24"/>
      <c r="I15" s="24"/>
    </row>
    <row r="16" spans="1:10">
      <c r="A16" s="24">
        <v>15</v>
      </c>
      <c r="B16" s="24">
        <v>1.7</v>
      </c>
      <c r="C16" s="24">
        <v>14</v>
      </c>
      <c r="D16" s="24">
        <v>100</v>
      </c>
      <c r="E16" s="24">
        <v>0</v>
      </c>
      <c r="F16" s="24">
        <v>-40</v>
      </c>
      <c r="G16" s="24"/>
      <c r="H16" s="24"/>
      <c r="I16" s="24"/>
    </row>
    <row r="17" spans="1:9">
      <c r="A17" s="24">
        <v>16</v>
      </c>
      <c r="B17" s="24">
        <v>1.5</v>
      </c>
      <c r="C17" s="24">
        <v>15</v>
      </c>
      <c r="D17" s="24">
        <v>100</v>
      </c>
      <c r="E17" s="24">
        <v>0</v>
      </c>
      <c r="F17" s="24">
        <v>-40</v>
      </c>
      <c r="G17" s="24"/>
      <c r="H17" s="24"/>
      <c r="I17" s="24"/>
    </row>
    <row r="18" spans="1:9">
      <c r="A18" s="24">
        <v>17</v>
      </c>
      <c r="B18" s="24">
        <v>1.3</v>
      </c>
      <c r="C18" s="24">
        <v>16</v>
      </c>
      <c r="D18" s="24">
        <v>100</v>
      </c>
      <c r="E18" s="24">
        <v>0</v>
      </c>
      <c r="F18" s="24">
        <v>-40</v>
      </c>
      <c r="G18" s="24"/>
      <c r="H18" s="24"/>
      <c r="I18" s="24"/>
    </row>
    <row r="19" spans="1:9">
      <c r="A19" s="24">
        <v>18</v>
      </c>
      <c r="B19" s="24">
        <v>1.2</v>
      </c>
      <c r="C19" s="24">
        <v>17</v>
      </c>
      <c r="D19" s="24">
        <v>100</v>
      </c>
      <c r="E19" s="24">
        <v>0</v>
      </c>
      <c r="F19" s="24">
        <v>-40</v>
      </c>
      <c r="G19" s="24"/>
      <c r="H19" s="24"/>
      <c r="I19" s="24"/>
    </row>
    <row r="20" spans="1:9">
      <c r="A20" s="24">
        <v>19</v>
      </c>
      <c r="B20" s="24">
        <v>1.1000000000000001</v>
      </c>
      <c r="C20" s="24">
        <v>18</v>
      </c>
      <c r="D20" s="24">
        <v>100</v>
      </c>
      <c r="E20" s="24">
        <v>0</v>
      </c>
      <c r="F20" s="24">
        <v>-40</v>
      </c>
      <c r="G20" s="24"/>
      <c r="H20" s="24"/>
      <c r="I20" s="24"/>
    </row>
    <row r="21" spans="1:9">
      <c r="A21" s="24">
        <v>20</v>
      </c>
      <c r="B21" s="24">
        <v>1</v>
      </c>
      <c r="C21" s="24">
        <v>19</v>
      </c>
      <c r="D21" s="24">
        <v>100</v>
      </c>
      <c r="E21" s="24">
        <v>0</v>
      </c>
      <c r="F21" s="24">
        <v>-40</v>
      </c>
      <c r="G21" s="24"/>
      <c r="H21" s="24"/>
      <c r="I21" s="24"/>
    </row>
    <row r="22" spans="1:9">
      <c r="A22" s="24"/>
      <c r="B22" s="24"/>
      <c r="C22" s="24">
        <v>20</v>
      </c>
      <c r="D22" s="24">
        <v>100</v>
      </c>
      <c r="E22" s="24">
        <v>0</v>
      </c>
      <c r="F22" s="24">
        <v>-40</v>
      </c>
      <c r="G22" s="24"/>
      <c r="H22" s="24"/>
      <c r="I22" s="24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38"/>
  <sheetViews>
    <sheetView zoomScaleNormal="100" workbookViewId="0">
      <selection sqref="A1:I1"/>
    </sheetView>
  </sheetViews>
  <sheetFormatPr defaultColWidth="8.85546875"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10" ht="18.75">
      <c r="A1" s="257"/>
      <c r="B1" s="257"/>
      <c r="C1" s="257"/>
      <c r="D1" s="257"/>
      <c r="E1" s="257"/>
      <c r="F1" s="257"/>
      <c r="G1" s="257"/>
      <c r="H1" s="257"/>
      <c r="I1" s="257"/>
    </row>
    <row r="3" spans="1:10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0" ht="19.899999999999999" customHeight="1">
      <c r="E4" s="1"/>
      <c r="F4" s="1"/>
      <c r="G4" s="1"/>
      <c r="H4" s="1"/>
      <c r="I4" s="1"/>
    </row>
    <row r="5" spans="1:10" ht="19.899999999999999" customHeight="1">
      <c r="C5" s="1"/>
      <c r="D5" s="1"/>
      <c r="E5" s="1"/>
      <c r="F5" s="1"/>
      <c r="G5" s="1" t="s">
        <v>96</v>
      </c>
      <c r="H5" s="1"/>
      <c r="I5" s="1" t="s">
        <v>57</v>
      </c>
    </row>
    <row r="6" spans="1:10" ht="19.899999999999999" customHeight="1">
      <c r="A6" s="2" t="s">
        <v>0</v>
      </c>
      <c r="B6" s="1"/>
      <c r="C6" s="2" t="s">
        <v>1</v>
      </c>
      <c r="D6" s="1"/>
      <c r="E6" s="155" t="s">
        <v>57</v>
      </c>
      <c r="F6" s="5"/>
      <c r="G6" s="155" t="s">
        <v>2</v>
      </c>
      <c r="H6" s="5"/>
      <c r="I6" s="155" t="s">
        <v>95</v>
      </c>
    </row>
    <row r="7" spans="1:10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0" ht="19.899999999999999" customHeight="1">
      <c r="A8" t="str">
        <f>'10 Proxy Sum'!A7</f>
        <v>Algonquin Pwr &amp; Util</v>
      </c>
      <c r="C8" s="38" t="str">
        <f>'10 Proxy Sum'!C7</f>
        <v>AQN</v>
      </c>
      <c r="D8" s="1"/>
      <c r="E8" s="89">
        <v>0.14099999999999999</v>
      </c>
      <c r="F8" s="70"/>
      <c r="G8" s="69">
        <f>'14 Stock Price'!C5</f>
        <v>12.642666666666667</v>
      </c>
      <c r="H8" s="8"/>
      <c r="I8" s="22">
        <f>E8/G8</f>
        <v>1.1152710398650073E-2</v>
      </c>
    </row>
    <row r="9" spans="1:10" ht="19.899999999999999" customHeight="1">
      <c r="A9" t="str">
        <f>'10 Proxy Sum'!A8</f>
        <v>Ameren Corp.</v>
      </c>
      <c r="C9" s="38" t="str">
        <f>'10 Proxy Sum'!C8</f>
        <v>AEE</v>
      </c>
      <c r="D9" s="1"/>
      <c r="E9" s="90">
        <v>0.47499999999999998</v>
      </c>
      <c r="F9" s="71"/>
      <c r="G9" s="69">
        <f>'14 Stock Price'!D5</f>
        <v>76.250333833333329</v>
      </c>
      <c r="H9" s="8"/>
      <c r="I9" s="22">
        <f t="shared" ref="I9:I22" si="0">E9/G9</f>
        <v>6.229480923168767E-3</v>
      </c>
    </row>
    <row r="10" spans="1:10" ht="19.899999999999999" customHeight="1">
      <c r="A10" t="str">
        <f>'10 Proxy Sum'!A9</f>
        <v>Avangrid, Inc.</v>
      </c>
      <c r="C10" s="38" t="str">
        <f>'10 Proxy Sum'!C9</f>
        <v>AGR</v>
      </c>
      <c r="D10" s="1"/>
      <c r="E10" s="89">
        <v>0.44</v>
      </c>
      <c r="F10" s="70"/>
      <c r="G10" s="69">
        <f>'14 Stock Price'!E5</f>
        <v>49.7269997</v>
      </c>
      <c r="H10" s="8"/>
      <c r="I10" s="22">
        <f t="shared" si="0"/>
        <v>8.8483118357128628E-3</v>
      </c>
    </row>
    <row r="11" spans="1:10" ht="19.899999999999999" customHeight="1">
      <c r="A11" t="str">
        <f>'10 Proxy Sum'!A10</f>
        <v>Avista Corp.</v>
      </c>
      <c r="C11" s="38" t="str">
        <f>'10 Proxy Sum'!C10</f>
        <v>AVA</v>
      </c>
      <c r="D11" s="1"/>
      <c r="E11" s="89">
        <v>0.38700000000000001</v>
      </c>
      <c r="F11" s="70"/>
      <c r="G11" s="69">
        <f>'14 Stock Price'!F5</f>
        <v>45.733333133333325</v>
      </c>
      <c r="H11" s="8"/>
      <c r="I11" s="22">
        <f t="shared" si="0"/>
        <v>8.4620991623706975E-3</v>
      </c>
      <c r="J11" s="27"/>
    </row>
    <row r="12" spans="1:10" ht="19.899999999999999" customHeight="1">
      <c r="A12" t="str">
        <f>'10 Proxy Sum'!A11</f>
        <v>Black Hills Corp.</v>
      </c>
      <c r="C12" s="38" t="str">
        <f>'10 Proxy Sum'!C11</f>
        <v>BKH</v>
      </c>
      <c r="D12" s="1"/>
      <c r="E12" s="89">
        <v>0.505</v>
      </c>
      <c r="F12" s="70"/>
      <c r="G12" s="69">
        <f>'14 Stock Price'!G5</f>
        <v>78.110228933333318</v>
      </c>
      <c r="H12" s="8"/>
      <c r="I12" s="22">
        <f t="shared" si="0"/>
        <v>6.4652223773536107E-3</v>
      </c>
    </row>
    <row r="13" spans="1:10" ht="19.899999999999999" customHeight="1">
      <c r="A13" t="str">
        <f>'10 Proxy Sum'!A12</f>
        <v>CenterPoint Energy</v>
      </c>
      <c r="C13" s="38" t="str">
        <f>'10 Proxy Sum'!C12</f>
        <v>CNP</v>
      </c>
      <c r="D13" s="1"/>
      <c r="E13" s="89">
        <v>0.28699999999999998</v>
      </c>
      <c r="F13" s="70"/>
      <c r="G13" s="69">
        <f>'14 Stock Price'!H5</f>
        <v>28.302004566666675</v>
      </c>
      <c r="H13" s="8"/>
      <c r="I13" s="22">
        <f t="shared" si="0"/>
        <v>1.0140624467922696E-2</v>
      </c>
    </row>
    <row r="14" spans="1:10" ht="19.899999999999999" customHeight="1">
      <c r="A14" t="str">
        <f>'10 Proxy Sum'!A13</f>
        <v>CMS Energy Corp.</v>
      </c>
      <c r="C14" s="38" t="str">
        <f>'10 Proxy Sum'!C13</f>
        <v>CMS</v>
      </c>
      <c r="D14" s="1"/>
      <c r="E14" s="89">
        <v>0.38200000000000001</v>
      </c>
      <c r="F14" s="70"/>
      <c r="G14" s="69">
        <f>'14 Stock Price'!I5</f>
        <v>58.908006266666646</v>
      </c>
      <c r="H14" s="8"/>
      <c r="I14" s="22">
        <f t="shared" si="0"/>
        <v>6.4846872982044276E-3</v>
      </c>
    </row>
    <row r="15" spans="1:10" ht="19.899999999999999" customHeight="1">
      <c r="A15" t="str">
        <f>'10 Proxy Sum'!A14</f>
        <v>Dominion Energy</v>
      </c>
      <c r="C15" s="38" t="str">
        <f>'10 Proxy Sum'!C14</f>
        <v>D</v>
      </c>
      <c r="D15" s="1"/>
      <c r="E15" s="89">
        <v>0.91800000000000004</v>
      </c>
      <c r="F15" s="70"/>
      <c r="G15" s="69">
        <f>'14 Stock Price'!J5</f>
        <v>76.114000433333345</v>
      </c>
      <c r="H15" s="8"/>
      <c r="I15" s="22">
        <f t="shared" si="0"/>
        <v>1.2060856015629569E-2</v>
      </c>
    </row>
    <row r="16" spans="1:10" ht="19.899999999999999" customHeight="1">
      <c r="A16" t="str">
        <f>'10 Proxy Sum'!A15</f>
        <v>DTE Energy Co.</v>
      </c>
      <c r="C16" s="38" t="str">
        <f>'10 Proxy Sum'!C15</f>
        <v>DTE</v>
      </c>
      <c r="D16" s="1"/>
      <c r="E16" s="89">
        <v>0.94499999999999995</v>
      </c>
      <c r="F16" s="70"/>
      <c r="G16" s="69">
        <f>'14 Stock Price'!K5</f>
        <v>129.03466496666664</v>
      </c>
      <c r="H16" s="8"/>
      <c r="I16" s="22">
        <f t="shared" si="0"/>
        <v>7.3236133890386785E-3</v>
      </c>
    </row>
    <row r="17" spans="1:9" ht="19.899999999999999" customHeight="1">
      <c r="A17" t="str">
        <f>'10 Proxy Sum'!A16</f>
        <v>Edison International</v>
      </c>
      <c r="C17" s="38" t="str">
        <f>'10 Proxy Sum'!C16</f>
        <v>EIX</v>
      </c>
      <c r="D17" s="1"/>
      <c r="E17" s="89">
        <v>0.61299999999999999</v>
      </c>
      <c r="F17" s="70"/>
      <c r="G17" s="69">
        <f>'14 Stock Price'!L5</f>
        <v>71.703332799999998</v>
      </c>
      <c r="H17" s="8"/>
      <c r="I17" s="22">
        <f t="shared" si="0"/>
        <v>8.5491144701714625E-3</v>
      </c>
    </row>
    <row r="18" spans="1:9" ht="19.899999999999999" customHeight="1">
      <c r="A18" t="str">
        <f>'10 Proxy Sum'!A17</f>
        <v>El Paso Electric Co.</v>
      </c>
      <c r="C18" s="38" t="str">
        <f>'10 Proxy Sum'!C17</f>
        <v>EE</v>
      </c>
      <c r="D18" s="1"/>
      <c r="E18" s="89">
        <v>0.38500000000000001</v>
      </c>
      <c r="F18" s="70"/>
      <c r="G18" s="69">
        <f>'14 Stock Price'!M5</f>
        <v>66.288999666666669</v>
      </c>
      <c r="H18" s="8"/>
      <c r="I18" s="22">
        <f t="shared" si="0"/>
        <v>5.8079017926951264E-3</v>
      </c>
    </row>
    <row r="19" spans="1:9" ht="19.899999999999999" customHeight="1">
      <c r="A19" t="str">
        <f>'10 Proxy Sum'!A18</f>
        <v>Emera Inc.</v>
      </c>
      <c r="C19" s="38" t="str">
        <f>'10 Proxy Sum'!C18</f>
        <v>EMA</v>
      </c>
      <c r="D19" s="1"/>
      <c r="E19" s="183">
        <v>0.58750000000000002</v>
      </c>
      <c r="F19" s="70"/>
      <c r="G19" s="69">
        <f>'14 Stock Price'!N5</f>
        <v>54.56539268965517</v>
      </c>
      <c r="H19" s="8"/>
      <c r="I19" s="22">
        <f t="shared" si="0"/>
        <v>1.0766897680759873E-2</v>
      </c>
    </row>
    <row r="20" spans="1:9" ht="19.899999999999999" customHeight="1">
      <c r="A20" t="str">
        <f>'10 Proxy Sum'!A19</f>
        <v>Entergy Corp.</v>
      </c>
      <c r="C20" s="38" t="str">
        <f>'10 Proxy Sum'!C19</f>
        <v>ETR</v>
      </c>
      <c r="D20" s="1"/>
      <c r="E20" s="89">
        <v>0.91</v>
      </c>
      <c r="F20" s="70"/>
      <c r="G20" s="69">
        <f>'14 Stock Price'!O5</f>
        <v>105.30435126666664</v>
      </c>
      <c r="H20" s="8"/>
      <c r="I20" s="22">
        <f t="shared" si="0"/>
        <v>8.6416182147646368E-3</v>
      </c>
    </row>
    <row r="21" spans="1:9" ht="19.899999999999999" customHeight="1">
      <c r="A21" t="str">
        <f>'10 Proxy Sum'!A20</f>
        <v>Exelon Corp.</v>
      </c>
      <c r="C21" s="38" t="str">
        <f>'10 Proxy Sum'!C20</f>
        <v>EXC</v>
      </c>
      <c r="D21" s="1"/>
      <c r="E21" s="89">
        <v>0.36299999999999999</v>
      </c>
      <c r="F21" s="70"/>
      <c r="G21" s="69">
        <f>'14 Stock Price'!P5</f>
        <v>46.079691866666664</v>
      </c>
      <c r="H21" s="8"/>
      <c r="I21" s="22">
        <f t="shared" si="0"/>
        <v>7.8776568439379822E-3</v>
      </c>
    </row>
    <row r="22" spans="1:9" ht="19.899999999999999" customHeight="1">
      <c r="A22" t="str">
        <f>'10 Proxy Sum'!A21</f>
        <v>FirstEnergy Corp.</v>
      </c>
      <c r="C22" s="38" t="str">
        <f>'10 Proxy Sum'!C21</f>
        <v>FE</v>
      </c>
      <c r="D22" s="1"/>
      <c r="E22" s="89">
        <v>0.38</v>
      </c>
      <c r="F22" s="70"/>
      <c r="G22" s="69">
        <f>'14 Stock Price'!Q5</f>
        <v>43.669189966666671</v>
      </c>
      <c r="H22" s="8"/>
      <c r="I22" s="22">
        <f t="shared" si="0"/>
        <v>8.7017872392425762E-3</v>
      </c>
    </row>
    <row r="23" spans="1:9" s="167" customFormat="1" ht="19.899999999999999" customHeight="1">
      <c r="A23" s="167" t="str">
        <f>'10 Proxy Sum'!A22</f>
        <v>Hawaiian Elec.</v>
      </c>
      <c r="C23" s="38" t="str">
        <f>'10 Proxy Sum'!C22</f>
        <v>HE</v>
      </c>
      <c r="D23" s="166"/>
      <c r="E23" s="89">
        <v>0.32</v>
      </c>
      <c r="F23" s="70"/>
      <c r="G23" s="69">
        <f>'14 Stock Price'!R5</f>
        <v>44.445333200000015</v>
      </c>
      <c r="H23" s="8"/>
      <c r="I23" s="164">
        <f t="shared" ref="I23:I29" si="1">E23/G23</f>
        <v>7.199856024479076E-3</v>
      </c>
    </row>
    <row r="24" spans="1:9" s="167" customFormat="1" ht="19.899999999999999" customHeight="1">
      <c r="A24" s="167" t="str">
        <f>'10 Proxy Sum'!A23</f>
        <v>IDACORP, Inc.</v>
      </c>
      <c r="C24" s="38" t="str">
        <f>'10 Proxy Sum'!C23</f>
        <v>IDA</v>
      </c>
      <c r="D24" s="166"/>
      <c r="E24" s="89">
        <v>0.63</v>
      </c>
      <c r="F24" s="70"/>
      <c r="G24" s="69">
        <f>'14 Stock Price'!S5</f>
        <v>103.50603130000003</v>
      </c>
      <c r="H24" s="8"/>
      <c r="I24" s="164">
        <f t="shared" si="1"/>
        <v>6.0866018345734777E-3</v>
      </c>
    </row>
    <row r="25" spans="1:9" s="167" customFormat="1" ht="19.899999999999999" customHeight="1">
      <c r="A25" s="167" t="str">
        <f>'10 Proxy Sum'!A24</f>
        <v>NorthWestern Corp.</v>
      </c>
      <c r="C25" s="38" t="str">
        <f>'10 Proxy Sum'!C24</f>
        <v>NWE</v>
      </c>
      <c r="D25" s="166"/>
      <c r="E25" s="89">
        <v>0.57499999999999996</v>
      </c>
      <c r="F25" s="70"/>
      <c r="G25" s="69">
        <f>'14 Stock Price'!T5</f>
        <v>70.851332766666673</v>
      </c>
      <c r="H25" s="8"/>
      <c r="I25" s="164">
        <f t="shared" si="1"/>
        <v>8.1155848104316735E-3</v>
      </c>
    </row>
    <row r="26" spans="1:9" s="167" customFormat="1" ht="19.899999999999999" customHeight="1">
      <c r="A26" s="167" t="str">
        <f>'10 Proxy Sum'!A25</f>
        <v>OGE Energy Corp.</v>
      </c>
      <c r="C26" s="38" t="str">
        <f>'10 Proxy Sum'!C25</f>
        <v>OGE</v>
      </c>
      <c r="D26" s="166"/>
      <c r="E26" s="89">
        <v>0.36499999999999999</v>
      </c>
      <c r="F26" s="70"/>
      <c r="G26" s="69">
        <f>'14 Stock Price'!U5</f>
        <v>42.861333233333333</v>
      </c>
      <c r="H26" s="8"/>
      <c r="I26" s="164">
        <f t="shared" si="1"/>
        <v>8.5158340272098402E-3</v>
      </c>
    </row>
    <row r="27" spans="1:9" s="167" customFormat="1" ht="19.899999999999999" customHeight="1">
      <c r="A27" s="167" t="str">
        <f>'10 Proxy Sum'!A26</f>
        <v>Otter Tail Corp.</v>
      </c>
      <c r="C27" s="38" t="str">
        <f>'10 Proxy Sum'!C26</f>
        <v>OTTR</v>
      </c>
      <c r="D27" s="166"/>
      <c r="E27" s="89">
        <v>0.35</v>
      </c>
      <c r="F27" s="70"/>
      <c r="G27" s="69">
        <f>'14 Stock Price'!V5</f>
        <v>51.955408533333326</v>
      </c>
      <c r="H27" s="8"/>
      <c r="I27" s="164">
        <f t="shared" si="1"/>
        <v>6.7365460089770729E-3</v>
      </c>
    </row>
    <row r="28" spans="1:9" s="176" customFormat="1" ht="19.899999999999999" customHeight="1">
      <c r="A28" s="176" t="str">
        <f>'10 Proxy Sum'!A27</f>
        <v>PNM Resources</v>
      </c>
      <c r="C28" s="38" t="str">
        <f>'10 Proxy Sum'!C27</f>
        <v>PNM</v>
      </c>
      <c r="D28" s="178"/>
      <c r="E28" s="89">
        <v>0.28999999999999998</v>
      </c>
      <c r="F28" s="70"/>
      <c r="G28" s="69">
        <f>'14 Stock Price'!V6</f>
        <v>0.72916660401512268</v>
      </c>
      <c r="H28" s="8"/>
      <c r="I28" s="164">
        <f t="shared" ref="I28" si="2">E28/G28</f>
        <v>0.39771431988674222</v>
      </c>
    </row>
    <row r="29" spans="1:9" ht="19.899999999999999" customHeight="1">
      <c r="A29" s="15" t="str">
        <f>'10 Proxy Sum'!A28</f>
        <v>Sempra Energy</v>
      </c>
      <c r="C29" s="38" t="str">
        <f>'10 Proxy Sum'!C28</f>
        <v>SRE</v>
      </c>
      <c r="D29" s="1"/>
      <c r="E29" s="91">
        <v>0.96699999999999997</v>
      </c>
      <c r="F29" s="70"/>
      <c r="G29" s="74">
        <f>'14 Stock Price'!X5</f>
        <v>138.20233260000003</v>
      </c>
      <c r="H29" s="8"/>
      <c r="I29" s="17">
        <f t="shared" si="1"/>
        <v>6.9969875457803936E-3</v>
      </c>
    </row>
    <row r="30" spans="1:9" ht="19.899999999999999" customHeight="1">
      <c r="C30" s="1"/>
      <c r="D30" s="1"/>
      <c r="E30" s="68"/>
      <c r="F30" s="70"/>
      <c r="G30" s="69"/>
      <c r="H30" s="8"/>
      <c r="I30" s="9"/>
    </row>
    <row r="31" spans="1:9">
      <c r="A31" s="13" t="s">
        <v>65</v>
      </c>
      <c r="B31" s="13"/>
      <c r="C31" s="1"/>
      <c r="D31" s="1"/>
      <c r="E31" s="75">
        <f>AVERAGE(E8:E29)</f>
        <v>0.5097954545454545</v>
      </c>
      <c r="F31" s="72"/>
      <c r="G31" s="75">
        <f>AVERAGE(G8:G29)</f>
        <v>63.408369772439571</v>
      </c>
      <c r="H31" s="72"/>
      <c r="I31" s="26">
        <f>AVERAGE(I8:I29)</f>
        <v>2.5858105102173491E-2</v>
      </c>
    </row>
    <row r="32" spans="1:9">
      <c r="A32" s="47"/>
      <c r="B32" s="47"/>
      <c r="C32" s="2"/>
      <c r="D32" s="2"/>
      <c r="E32" s="53"/>
      <c r="F32" s="53"/>
      <c r="G32" s="54"/>
      <c r="H32" s="54"/>
      <c r="I32" s="55"/>
    </row>
    <row r="33" spans="1:9">
      <c r="A33" s="13"/>
      <c r="B33" s="13"/>
      <c r="C33" s="1"/>
      <c r="D33" s="1"/>
      <c r="E33" s="7"/>
      <c r="F33" s="7"/>
      <c r="G33" s="8"/>
      <c r="H33" s="8"/>
      <c r="I33" s="9"/>
    </row>
    <row r="34" spans="1:9" s="52" customFormat="1" ht="14.45" customHeight="1">
      <c r="A34"/>
      <c r="B34"/>
      <c r="C34"/>
      <c r="D34"/>
      <c r="E34"/>
      <c r="F34"/>
      <c r="G34"/>
      <c r="H34"/>
      <c r="I34"/>
    </row>
    <row r="35" spans="1:9" s="52" customFormat="1" ht="14.45" customHeight="1">
      <c r="A35" s="253" t="s">
        <v>158</v>
      </c>
      <c r="B35" s="253"/>
      <c r="C35" s="253"/>
      <c r="D35" s="253"/>
      <c r="E35" s="253"/>
      <c r="F35" s="253"/>
      <c r="G35" s="253"/>
      <c r="H35" s="253"/>
      <c r="I35" s="253"/>
    </row>
    <row r="36" spans="1:9" s="52" customFormat="1" ht="14.45" customHeight="1">
      <c r="A36" s="253" t="s">
        <v>112</v>
      </c>
      <c r="B36" s="253"/>
      <c r="C36" s="253"/>
      <c r="D36" s="253"/>
      <c r="E36" s="253"/>
      <c r="F36" s="253"/>
      <c r="G36" s="253"/>
      <c r="H36" s="253"/>
      <c r="I36" s="253"/>
    </row>
    <row r="37" spans="1:9">
      <c r="A37" s="253" t="s">
        <v>159</v>
      </c>
      <c r="B37" s="253"/>
      <c r="C37" s="253"/>
      <c r="D37" s="253"/>
      <c r="E37" s="253"/>
      <c r="F37" s="253"/>
      <c r="G37" s="253"/>
      <c r="H37" s="253"/>
      <c r="I37" s="253"/>
    </row>
    <row r="38" spans="1:9">
      <c r="A38" s="256"/>
      <c r="B38" s="256"/>
      <c r="C38" s="256"/>
      <c r="D38" s="256"/>
      <c r="E38" s="256"/>
      <c r="F38" s="256"/>
      <c r="G38" s="256"/>
      <c r="H38" s="256"/>
      <c r="I38" s="256"/>
    </row>
  </sheetData>
  <sortState ref="A8:O33">
    <sortCondition ref="A8"/>
  </sortState>
  <mergeCells count="5">
    <mergeCell ref="A38:I38"/>
    <mergeCell ref="A1:I1"/>
    <mergeCell ref="A35:I35"/>
    <mergeCell ref="A36:I36"/>
    <mergeCell ref="A37:I37"/>
  </mergeCells>
  <printOptions horizontalCentered="1" headings="1" gridLines="1"/>
  <pageMargins left="0.7" right="0.7" top="1" bottom="0.5" header="0.3" footer="0.3"/>
  <pageSetup scale="97" orientation="portrait" r:id="rId1"/>
  <headerFooter scaleWithDoc="0">
    <oddHeader xml:space="preserve">&amp;C&amp;"-,Bold"&amp;14DCF Dividend Yields&amp;RUE-190334 and UG-190335,
 UE-190222 (Consolidated)
 Exh. DJG-16 
&amp;P of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F35"/>
  <sheetViews>
    <sheetView topLeftCell="A7" workbookViewId="0"/>
  </sheetViews>
  <sheetFormatPr defaultRowHeight="15"/>
  <cols>
    <col min="1" max="1" width="30.85546875" bestFit="1" customWidth="1"/>
    <col min="2" max="2" width="2.7109375" customWidth="1"/>
    <col min="3" max="3" width="12.7109375" customWidth="1"/>
    <col min="4" max="4" width="4.7109375" customWidth="1"/>
  </cols>
  <sheetData>
    <row r="1" spans="1:6">
      <c r="A1" s="15"/>
      <c r="B1" s="15"/>
      <c r="C1" s="15"/>
    </row>
    <row r="3" spans="1:6">
      <c r="A3" s="47" t="s">
        <v>161</v>
      </c>
      <c r="B3" s="1"/>
      <c r="C3" s="47" t="s">
        <v>18</v>
      </c>
    </row>
    <row r="5" spans="1:6">
      <c r="A5" t="s">
        <v>94</v>
      </c>
      <c r="B5" s="1"/>
      <c r="C5" s="16">
        <v>3.9E-2</v>
      </c>
      <c r="D5" s="1" t="s">
        <v>3</v>
      </c>
    </row>
    <row r="6" spans="1:6">
      <c r="B6" s="1"/>
      <c r="C6" s="16"/>
      <c r="D6" s="1"/>
    </row>
    <row r="7" spans="1:6">
      <c r="A7" t="s">
        <v>97</v>
      </c>
      <c r="B7" s="1"/>
      <c r="C7" s="16">
        <v>0.02</v>
      </c>
      <c r="D7" s="1" t="s">
        <v>4</v>
      </c>
    </row>
    <row r="8" spans="1:6" s="171" customFormat="1">
      <c r="B8" s="172"/>
      <c r="C8" s="16"/>
      <c r="D8" s="172"/>
    </row>
    <row r="9" spans="1:6">
      <c r="A9" s="15" t="s">
        <v>71</v>
      </c>
      <c r="B9" s="1"/>
      <c r="C9" s="92">
        <f>'21 Risk Free Rate'!E33</f>
        <v>2.0799999999999999E-2</v>
      </c>
      <c r="D9" s="1" t="s">
        <v>5</v>
      </c>
    </row>
    <row r="10" spans="1:6">
      <c r="C10" s="162"/>
    </row>
    <row r="11" spans="1:6">
      <c r="A11" s="13" t="s">
        <v>125</v>
      </c>
      <c r="C11" s="163">
        <f>MAX(C5:C9)</f>
        <v>3.9E-2</v>
      </c>
    </row>
    <row r="12" spans="1:6">
      <c r="A12" s="15"/>
      <c r="B12" s="15"/>
      <c r="C12" s="15"/>
    </row>
    <row r="13" spans="1:6">
      <c r="E13" s="52"/>
      <c r="F13" s="52"/>
    </row>
    <row r="14" spans="1:6">
      <c r="A14" s="253" t="s">
        <v>170</v>
      </c>
      <c r="B14" s="253"/>
      <c r="C14" s="253"/>
      <c r="D14" s="253"/>
      <c r="E14" s="52"/>
      <c r="F14" s="52"/>
    </row>
    <row r="15" spans="1:6" s="171" customFormat="1">
      <c r="A15" s="253" t="s">
        <v>181</v>
      </c>
      <c r="B15" s="253"/>
      <c r="C15" s="253"/>
      <c r="D15" s="253"/>
      <c r="E15" s="170"/>
      <c r="F15" s="170"/>
    </row>
    <row r="16" spans="1:6">
      <c r="A16" s="253" t="s">
        <v>160</v>
      </c>
      <c r="B16" s="253"/>
      <c r="C16" s="253"/>
      <c r="D16" s="253"/>
    </row>
    <row r="18" spans="1:4" ht="15.75" thickBot="1">
      <c r="A18" s="252"/>
      <c r="B18" s="252"/>
      <c r="C18" s="252"/>
      <c r="D18" s="252"/>
    </row>
    <row r="19" spans="1:4" s="190" customFormat="1">
      <c r="A19" s="251"/>
      <c r="B19" s="251"/>
      <c r="C19" s="251"/>
      <c r="D19" s="251"/>
    </row>
    <row r="21" spans="1:4">
      <c r="A21" s="250" t="s">
        <v>371</v>
      </c>
    </row>
    <row r="22" spans="1:4">
      <c r="A22" s="211" t="s">
        <v>372</v>
      </c>
      <c r="B22" s="191"/>
      <c r="C22" s="211" t="s">
        <v>18</v>
      </c>
      <c r="D22" s="190"/>
    </row>
    <row r="23" spans="1:4">
      <c r="A23" s="190"/>
      <c r="B23" s="190"/>
      <c r="C23" s="190"/>
      <c r="D23" s="190"/>
    </row>
    <row r="24" spans="1:4">
      <c r="A24" s="190" t="s">
        <v>374</v>
      </c>
      <c r="B24" s="191"/>
      <c r="C24" s="16">
        <v>8.0000000000000002E-3</v>
      </c>
      <c r="D24" s="191" t="s">
        <v>6</v>
      </c>
    </row>
    <row r="25" spans="1:4">
      <c r="A25" s="190"/>
      <c r="B25" s="191"/>
      <c r="C25" s="16"/>
      <c r="D25" s="191"/>
    </row>
    <row r="26" spans="1:4">
      <c r="A26" s="190" t="s">
        <v>373</v>
      </c>
      <c r="B26" s="191"/>
      <c r="C26" s="16">
        <v>1.2E-2</v>
      </c>
      <c r="D26" s="191" t="s">
        <v>7</v>
      </c>
    </row>
    <row r="27" spans="1:4">
      <c r="A27" s="190"/>
      <c r="B27" s="191"/>
      <c r="C27" s="16"/>
      <c r="D27" s="191"/>
    </row>
    <row r="28" spans="1:4">
      <c r="A28" s="15" t="s">
        <v>375</v>
      </c>
      <c r="B28" s="191"/>
      <c r="C28" s="92">
        <v>1.0999999999999999E-2</v>
      </c>
      <c r="D28" s="191" t="s">
        <v>14</v>
      </c>
    </row>
    <row r="29" spans="1:4">
      <c r="A29" s="190"/>
      <c r="B29" s="190"/>
      <c r="C29" s="162"/>
      <c r="D29" s="190"/>
    </row>
    <row r="30" spans="1:4">
      <c r="A30" s="198" t="s">
        <v>65</v>
      </c>
      <c r="B30" s="190"/>
      <c r="C30" s="163">
        <f>AVERAGE(C24,C26,C28)</f>
        <v>1.0333333333333333E-2</v>
      </c>
      <c r="D30" s="190"/>
    </row>
    <row r="31" spans="1:4">
      <c r="A31" s="15"/>
      <c r="B31" s="15"/>
      <c r="C31" s="15"/>
    </row>
    <row r="33" spans="1:4">
      <c r="A33" s="258" t="s">
        <v>377</v>
      </c>
      <c r="B33" s="258"/>
      <c r="C33" s="258"/>
      <c r="D33" s="258"/>
    </row>
    <row r="34" spans="1:4">
      <c r="A34" s="258" t="s">
        <v>378</v>
      </c>
      <c r="B34" s="258"/>
      <c r="C34" s="258"/>
      <c r="D34" s="258"/>
    </row>
    <row r="35" spans="1:4">
      <c r="A35" s="253" t="s">
        <v>376</v>
      </c>
      <c r="B35" s="253"/>
      <c r="C35" s="253"/>
      <c r="D35" s="253"/>
    </row>
  </sheetData>
  <mergeCells count="6">
    <mergeCell ref="A35:D35"/>
    <mergeCell ref="A14:D14"/>
    <mergeCell ref="A16:D16"/>
    <mergeCell ref="A15:D15"/>
    <mergeCell ref="A33:D33"/>
    <mergeCell ref="A34:D34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&amp;C&amp;"-,Bold"&amp;14DCF Terminal Growth Rate Determinants&amp;RUE-190334 and UG-190335,
 UE-190222 (Consolidated)
 Exh. DJG-17 
&amp;P of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14"/>
  <sheetViews>
    <sheetView workbookViewId="0">
      <selection activeCell="B1" sqref="B1"/>
    </sheetView>
  </sheetViews>
  <sheetFormatPr defaultRowHeight="15"/>
  <cols>
    <col min="1" max="1" width="11.7109375" customWidth="1"/>
    <col min="2" max="2" width="2.7109375" customWidth="1"/>
    <col min="3" max="3" width="11.7109375" customWidth="1"/>
    <col min="4" max="4" width="2.7109375" customWidth="1"/>
    <col min="5" max="5" width="13" customWidth="1"/>
    <col min="6" max="7" width="2.7109375" customWidth="1"/>
    <col min="8" max="8" width="11.7109375" customWidth="1"/>
  </cols>
  <sheetData>
    <row r="1" spans="1:12">
      <c r="A1" s="15"/>
      <c r="B1" s="15"/>
      <c r="C1" s="15"/>
      <c r="D1" s="15"/>
      <c r="E1" s="15"/>
      <c r="F1" s="15"/>
      <c r="G1" s="15"/>
      <c r="H1" s="15"/>
    </row>
    <row r="3" spans="1:12">
      <c r="A3" s="1" t="s">
        <v>3</v>
      </c>
      <c r="C3" s="1" t="s">
        <v>4</v>
      </c>
      <c r="D3" s="1"/>
      <c r="E3" s="1" t="s">
        <v>5</v>
      </c>
      <c r="F3" s="1"/>
      <c r="G3" s="1"/>
      <c r="H3" s="1" t="s">
        <v>6</v>
      </c>
    </row>
    <row r="5" spans="1:12">
      <c r="A5" s="1" t="s">
        <v>57</v>
      </c>
      <c r="B5" s="1"/>
      <c r="C5" s="1" t="s">
        <v>58</v>
      </c>
      <c r="D5" s="1"/>
      <c r="E5" s="1" t="s">
        <v>29</v>
      </c>
      <c r="F5" s="39"/>
      <c r="G5" s="1"/>
      <c r="H5" s="13" t="s">
        <v>87</v>
      </c>
    </row>
    <row r="6" spans="1:12" ht="18">
      <c r="A6" s="4" t="s">
        <v>59</v>
      </c>
      <c r="B6" s="5"/>
      <c r="C6" s="4" t="s">
        <v>60</v>
      </c>
      <c r="D6" s="5"/>
      <c r="E6" s="4" t="s">
        <v>61</v>
      </c>
      <c r="F6" s="25"/>
      <c r="G6" s="5"/>
      <c r="H6" s="76" t="s">
        <v>84</v>
      </c>
    </row>
    <row r="7" spans="1:12">
      <c r="A7" s="5"/>
      <c r="B7" s="5"/>
      <c r="C7" s="5"/>
      <c r="D7" s="5"/>
      <c r="E7" s="5"/>
      <c r="F7" s="25"/>
      <c r="G7" s="5"/>
      <c r="H7" s="5"/>
    </row>
    <row r="8" spans="1:12">
      <c r="A8" s="77">
        <f>'16 Div Yields'!E31</f>
        <v>0.5097954545454545</v>
      </c>
      <c r="B8" s="70"/>
      <c r="C8" s="77">
        <f>'16 Div Yields'!G31</f>
        <v>63.408369772439571</v>
      </c>
      <c r="D8" s="78"/>
      <c r="E8" s="28">
        <f>'17 Growth Determinants'!C11</f>
        <v>3.9E-2</v>
      </c>
      <c r="F8" s="73"/>
      <c r="G8" s="36"/>
      <c r="H8" s="84">
        <f t="shared" ref="H8" si="0">(A8*(1+E8)^0.25/C8+(1+E8)^0.25)^4-1</f>
        <v>7.2818853777211867E-2</v>
      </c>
    </row>
    <row r="9" spans="1:12">
      <c r="A9" s="15"/>
      <c r="B9" s="15"/>
      <c r="C9" s="15"/>
      <c r="D9" s="15"/>
      <c r="E9" s="15"/>
      <c r="F9" s="15"/>
      <c r="G9" s="15"/>
      <c r="H9" s="15"/>
    </row>
    <row r="11" spans="1:12">
      <c r="A11" s="253" t="s">
        <v>113</v>
      </c>
      <c r="B11" s="253"/>
      <c r="C11" s="253"/>
      <c r="D11" s="253"/>
      <c r="E11" s="253"/>
      <c r="F11" s="253"/>
      <c r="G11" s="253"/>
      <c r="H11" s="253"/>
    </row>
    <row r="12" spans="1:12">
      <c r="A12" s="253" t="s">
        <v>114</v>
      </c>
      <c r="B12" s="253"/>
      <c r="C12" s="253"/>
      <c r="D12" s="253"/>
      <c r="E12" s="253"/>
      <c r="F12" s="253"/>
      <c r="G12" s="253"/>
      <c r="H12" s="253"/>
    </row>
    <row r="13" spans="1:12">
      <c r="A13" s="253" t="s">
        <v>115</v>
      </c>
      <c r="B13" s="253"/>
      <c r="C13" s="253"/>
      <c r="D13" s="253"/>
      <c r="E13" s="253"/>
      <c r="F13" s="253"/>
      <c r="G13" s="253"/>
      <c r="H13" s="253"/>
    </row>
    <row r="14" spans="1:12">
      <c r="A14" s="253" t="s">
        <v>116</v>
      </c>
      <c r="B14" s="253"/>
      <c r="C14" s="253"/>
      <c r="D14" s="253"/>
      <c r="E14" s="253"/>
      <c r="F14" s="253"/>
      <c r="G14" s="253"/>
      <c r="H14" s="253"/>
      <c r="I14" s="52"/>
      <c r="J14" s="52"/>
      <c r="K14" s="52"/>
      <c r="L14" s="52"/>
    </row>
  </sheetData>
  <mergeCells count="4">
    <mergeCell ref="A11:H11"/>
    <mergeCell ref="A12:H12"/>
    <mergeCell ref="A13:H13"/>
    <mergeCell ref="A14:H14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&amp;C&amp;"-,Bold"&amp;14DCF Final Results&amp;RUE-190334 and UG-190335,
 UE-190222 (Consolidated)
 Exh. DJG-18 
&amp;P of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  <col min="7" max="7" width="10.7109375" bestFit="1" customWidth="1"/>
  </cols>
  <sheetData>
    <row r="1" spans="1:8">
      <c r="A1" s="15"/>
      <c r="B1" s="15"/>
      <c r="C1" s="15"/>
      <c r="D1" s="15"/>
      <c r="E1" s="15"/>
      <c r="F1" s="15"/>
      <c r="G1" s="15"/>
    </row>
    <row r="3" spans="1:8">
      <c r="C3" s="234" t="s">
        <v>10</v>
      </c>
      <c r="D3" s="1"/>
      <c r="E3" s="234" t="s">
        <v>18</v>
      </c>
    </row>
    <row r="4" spans="1:8">
      <c r="C4" s="37">
        <v>43655</v>
      </c>
      <c r="D4" s="37"/>
      <c r="E4" s="22">
        <v>2.5399999999999999E-2</v>
      </c>
      <c r="G4" s="37"/>
      <c r="H4" s="37"/>
    </row>
    <row r="5" spans="1:8">
      <c r="C5" s="37">
        <v>43656</v>
      </c>
      <c r="D5" s="37"/>
      <c r="E5" s="159">
        <v>2.5699999999999997E-2</v>
      </c>
      <c r="G5" s="37"/>
      <c r="H5" s="37"/>
    </row>
    <row r="6" spans="1:8">
      <c r="C6" s="37">
        <v>43657</v>
      </c>
      <c r="D6" s="37"/>
      <c r="E6" s="159">
        <v>2.6499999999999999E-2</v>
      </c>
      <c r="G6" s="37"/>
      <c r="H6" s="37"/>
    </row>
    <row r="7" spans="1:8">
      <c r="C7" s="37">
        <v>43658</v>
      </c>
      <c r="D7" s="37"/>
      <c r="E7" s="159">
        <v>2.64E-2</v>
      </c>
      <c r="G7" s="37"/>
      <c r="H7" s="37"/>
    </row>
    <row r="8" spans="1:8">
      <c r="C8" s="37">
        <v>43661</v>
      </c>
      <c r="D8" s="37"/>
      <c r="E8" s="159">
        <v>2.6099999999999998E-2</v>
      </c>
      <c r="G8" s="37"/>
      <c r="H8" s="37"/>
    </row>
    <row r="9" spans="1:8">
      <c r="C9" s="37">
        <v>43662</v>
      </c>
      <c r="D9" s="37"/>
      <c r="E9" s="159">
        <v>2.63E-2</v>
      </c>
      <c r="G9" s="37"/>
      <c r="H9" s="37"/>
    </row>
    <row r="10" spans="1:8">
      <c r="C10" s="37">
        <v>43663</v>
      </c>
      <c r="D10" s="37"/>
      <c r="E10" s="159">
        <v>2.5699999999999997E-2</v>
      </c>
      <c r="G10" s="37"/>
      <c r="H10" s="37"/>
    </row>
    <row r="11" spans="1:8">
      <c r="C11" s="37">
        <v>43664</v>
      </c>
      <c r="D11" s="37"/>
      <c r="E11" s="159">
        <v>2.5600000000000001E-2</v>
      </c>
      <c r="G11" s="37"/>
      <c r="H11" s="37"/>
    </row>
    <row r="12" spans="1:8">
      <c r="C12" s="37">
        <v>43665</v>
      </c>
      <c r="D12" s="37"/>
      <c r="E12" s="159">
        <v>2.5699999999999997E-2</v>
      </c>
      <c r="G12" s="37"/>
      <c r="H12" s="37"/>
    </row>
    <row r="13" spans="1:8">
      <c r="C13" s="37">
        <v>43668</v>
      </c>
      <c r="D13" s="37"/>
      <c r="E13" s="159">
        <v>2.58E-2</v>
      </c>
      <c r="G13" s="37"/>
      <c r="H13" s="37"/>
    </row>
    <row r="14" spans="1:8">
      <c r="C14" s="37">
        <v>43669</v>
      </c>
      <c r="D14" s="37"/>
      <c r="E14" s="159">
        <v>2.6099999999999998E-2</v>
      </c>
      <c r="G14" s="37"/>
      <c r="H14" s="37"/>
    </row>
    <row r="15" spans="1:8">
      <c r="C15" s="37">
        <v>43670</v>
      </c>
      <c r="D15" s="37"/>
      <c r="E15" s="159">
        <v>2.58E-2</v>
      </c>
      <c r="G15" s="37"/>
      <c r="H15" s="37"/>
    </row>
    <row r="16" spans="1:8">
      <c r="C16" s="37">
        <v>43671</v>
      </c>
      <c r="D16" s="37"/>
      <c r="E16" s="159">
        <v>2.6000000000000002E-2</v>
      </c>
      <c r="G16" s="37"/>
      <c r="H16" s="37"/>
    </row>
    <row r="17" spans="3:8">
      <c r="C17" s="37">
        <v>43672</v>
      </c>
      <c r="D17" s="37"/>
      <c r="E17" s="159">
        <v>2.5899999999999999E-2</v>
      </c>
      <c r="G17" s="37"/>
      <c r="H17" s="37"/>
    </row>
    <row r="18" spans="3:8">
      <c r="C18" s="37">
        <v>43675</v>
      </c>
      <c r="D18" s="37"/>
      <c r="E18" s="159">
        <v>2.5899999999999999E-2</v>
      </c>
      <c r="G18" s="37"/>
      <c r="H18" s="37"/>
    </row>
    <row r="19" spans="3:8">
      <c r="C19" s="37">
        <v>43676</v>
      </c>
      <c r="D19" s="37"/>
      <c r="E19" s="159">
        <v>2.58E-2</v>
      </c>
      <c r="G19" s="37"/>
      <c r="H19" s="37"/>
    </row>
    <row r="20" spans="3:8">
      <c r="C20" s="37">
        <v>43677</v>
      </c>
      <c r="D20" s="37"/>
      <c r="E20" s="159">
        <v>2.53E-2</v>
      </c>
      <c r="G20" s="37"/>
      <c r="H20" s="37"/>
    </row>
    <row r="21" spans="3:8">
      <c r="C21" s="37">
        <v>43678</v>
      </c>
      <c r="D21" s="37"/>
      <c r="E21" s="159">
        <v>2.4399999999999998E-2</v>
      </c>
      <c r="G21" s="37"/>
      <c r="H21" s="37"/>
    </row>
    <row r="22" spans="3:8">
      <c r="C22" s="37">
        <v>43679</v>
      </c>
      <c r="D22" s="37"/>
      <c r="E22" s="159">
        <v>2.3900000000000001E-2</v>
      </c>
      <c r="G22" s="37"/>
      <c r="H22" s="37"/>
    </row>
    <row r="23" spans="3:8">
      <c r="C23" s="37">
        <v>43682</v>
      </c>
      <c r="D23" s="37"/>
      <c r="E23" s="159">
        <v>2.3E-2</v>
      </c>
      <c r="G23" s="37"/>
      <c r="H23" s="37"/>
    </row>
    <row r="24" spans="3:8">
      <c r="C24" s="37">
        <v>43683</v>
      </c>
      <c r="D24" s="37"/>
      <c r="E24" s="159">
        <v>2.2499999999999999E-2</v>
      </c>
      <c r="G24" s="37"/>
      <c r="H24" s="37"/>
    </row>
    <row r="25" spans="3:8">
      <c r="C25" s="37">
        <v>43684</v>
      </c>
      <c r="D25" s="37"/>
      <c r="E25" s="159">
        <v>2.2200000000000001E-2</v>
      </c>
      <c r="G25" s="37"/>
      <c r="H25" s="37"/>
    </row>
    <row r="26" spans="3:8">
      <c r="C26" s="37">
        <v>43685</v>
      </c>
      <c r="D26" s="37"/>
      <c r="E26" s="159">
        <v>2.2499999999999999E-2</v>
      </c>
      <c r="G26" s="37"/>
      <c r="H26" s="37"/>
    </row>
    <row r="27" spans="3:8">
      <c r="C27" s="37">
        <v>43686</v>
      </c>
      <c r="D27" s="37"/>
      <c r="E27" s="159">
        <v>2.2599999999999999E-2</v>
      </c>
      <c r="G27" s="37"/>
      <c r="H27" s="37"/>
    </row>
    <row r="28" spans="3:8">
      <c r="C28" s="37">
        <v>43689</v>
      </c>
      <c r="D28" s="37"/>
      <c r="E28" s="159">
        <v>2.1400000000000002E-2</v>
      </c>
      <c r="G28" s="37"/>
      <c r="H28" s="37"/>
    </row>
    <row r="29" spans="3:8">
      <c r="C29" s="37">
        <v>43690</v>
      </c>
      <c r="D29" s="37"/>
      <c r="E29" s="159">
        <v>2.1499999999999998E-2</v>
      </c>
      <c r="G29" s="37"/>
      <c r="H29" s="37"/>
    </row>
    <row r="30" spans="3:8">
      <c r="C30" s="37">
        <v>43691</v>
      </c>
      <c r="D30" s="37"/>
      <c r="E30" s="159">
        <v>2.0299999999999999E-2</v>
      </c>
      <c r="G30" s="37"/>
      <c r="H30" s="37"/>
    </row>
    <row r="31" spans="3:8">
      <c r="C31" s="37">
        <v>43692</v>
      </c>
      <c r="D31" s="37"/>
      <c r="E31" s="159">
        <v>1.9799999999999998E-2</v>
      </c>
      <c r="G31" s="37"/>
      <c r="H31" s="37"/>
    </row>
    <row r="32" spans="3:8">
      <c r="C32" s="37">
        <v>43693</v>
      </c>
      <c r="D32" s="37"/>
      <c r="E32" s="159">
        <v>2.0099999999999996E-2</v>
      </c>
      <c r="G32" s="37"/>
      <c r="H32" s="37"/>
    </row>
    <row r="33" spans="1:8">
      <c r="C33" s="44">
        <v>43696</v>
      </c>
      <c r="D33" s="37"/>
      <c r="E33" s="17">
        <v>2.0799999999999999E-2</v>
      </c>
      <c r="G33" s="37"/>
      <c r="H33" s="37"/>
    </row>
    <row r="34" spans="1:8">
      <c r="E34" s="1"/>
    </row>
    <row r="35" spans="1:8">
      <c r="C35" s="13" t="s">
        <v>65</v>
      </c>
      <c r="D35" s="13"/>
      <c r="E35" s="26">
        <f>AVERAGE(E4:E33)</f>
        <v>2.4166666666666659E-2</v>
      </c>
    </row>
    <row r="36" spans="1:8">
      <c r="A36" s="15"/>
      <c r="B36" s="15"/>
      <c r="C36" s="47"/>
      <c r="D36" s="47"/>
      <c r="E36" s="56"/>
      <c r="F36" s="15"/>
      <c r="G36" s="15"/>
    </row>
    <row r="39" spans="1:8" s="52" customFormat="1" ht="28.15" customHeight="1">
      <c r="A39" s="259" t="s">
        <v>100</v>
      </c>
      <c r="B39" s="259"/>
      <c r="C39" s="259"/>
      <c r="D39" s="259"/>
      <c r="E39" s="259"/>
      <c r="F39" s="259"/>
      <c r="G39" s="259"/>
    </row>
    <row r="40" spans="1:8">
      <c r="A40" s="259"/>
      <c r="B40" s="259"/>
      <c r="C40" s="259"/>
      <c r="D40" s="259"/>
      <c r="E40" s="259"/>
      <c r="F40" s="259"/>
      <c r="G40" s="259"/>
    </row>
  </sheetData>
  <sortState ref="H4:H33">
    <sortCondition ref="H4"/>
  </sortState>
  <mergeCells count="1">
    <mergeCell ref="A39:G40"/>
  </mergeCells>
  <printOptions horizontalCentered="1" headings="1" gridLines="1"/>
  <pageMargins left="0.7" right="0.7" top="0.75" bottom="0.75" header="0.3" footer="0.3"/>
  <pageSetup orientation="portrait" horizontalDpi="1200" verticalDpi="1200" r:id="rId1"/>
  <headerFooter scaleWithDoc="0">
    <oddHeader xml:space="preserve">&amp;C&amp;"-,Bold"&amp;14CAPM Risk-Free Rate&amp;RUE-190334 and UG-190335,
 UE-190222 (Consolidated)
 Exh. DJG-21 
&amp;P of &amp;N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33"/>
  <sheetViews>
    <sheetView zoomScaleNormal="100" workbookViewId="0">
      <selection activeCell="I5" sqref="I5"/>
    </sheetView>
  </sheetViews>
  <sheetFormatPr defaultRowHeight="15"/>
  <cols>
    <col min="1" max="1" width="36.140625" bestFit="1" customWidth="1"/>
    <col min="2" max="2" width="2.7109375" customWidth="1"/>
    <col min="3" max="3" width="6.7109375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899999999999999" customHeight="1"/>
    <row r="3" spans="1:5" ht="19.899999999999999" customHeight="1">
      <c r="A3" s="2" t="s">
        <v>0</v>
      </c>
      <c r="B3" s="1"/>
      <c r="C3" s="2" t="s">
        <v>1</v>
      </c>
      <c r="D3" s="1"/>
      <c r="E3" s="155" t="s">
        <v>52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'10 Proxy Sum'!A7</f>
        <v>Algonquin Pwr &amp; Util</v>
      </c>
      <c r="C5" s="38" t="str">
        <f>'10 Proxy Sum'!C7</f>
        <v>AQN</v>
      </c>
      <c r="D5" s="1"/>
      <c r="E5" s="66" t="s">
        <v>214</v>
      </c>
    </row>
    <row r="6" spans="1:5" ht="19.899999999999999" customHeight="1">
      <c r="A6" t="str">
        <f>'10 Proxy Sum'!A8</f>
        <v>Ameren Corp.</v>
      </c>
      <c r="C6" s="38" t="str">
        <f>'10 Proxy Sum'!C8</f>
        <v>AEE</v>
      </c>
      <c r="D6" s="1"/>
      <c r="E6" s="67">
        <v>0.6</v>
      </c>
    </row>
    <row r="7" spans="1:5" ht="19.899999999999999" customHeight="1">
      <c r="A7" t="str">
        <f>'10 Proxy Sum'!A9</f>
        <v>Avangrid, Inc.</v>
      </c>
      <c r="C7" s="38" t="str">
        <f>'10 Proxy Sum'!C9</f>
        <v>AGR</v>
      </c>
      <c r="D7" s="1"/>
      <c r="E7" s="66">
        <v>0.4</v>
      </c>
    </row>
    <row r="8" spans="1:5" ht="19.899999999999999" customHeight="1">
      <c r="A8" t="str">
        <f>'10 Proxy Sum'!A10</f>
        <v>Avista Corp.</v>
      </c>
      <c r="C8" s="38" t="str">
        <f>'10 Proxy Sum'!C10</f>
        <v>AVA</v>
      </c>
      <c r="D8" s="1"/>
      <c r="E8" s="66">
        <v>0.6</v>
      </c>
    </row>
    <row r="9" spans="1:5" ht="19.899999999999999" customHeight="1">
      <c r="A9" t="str">
        <f>'10 Proxy Sum'!A11</f>
        <v>Black Hills Corp.</v>
      </c>
      <c r="C9" s="38" t="str">
        <f>'10 Proxy Sum'!C11</f>
        <v>BKH</v>
      </c>
      <c r="D9" s="1"/>
      <c r="E9" s="67">
        <v>0.75</v>
      </c>
    </row>
    <row r="10" spans="1:5" ht="19.899999999999999" customHeight="1">
      <c r="A10" t="str">
        <f>'10 Proxy Sum'!A12</f>
        <v>CenterPoint Energy</v>
      </c>
      <c r="C10" s="38" t="str">
        <f>'10 Proxy Sum'!C12</f>
        <v>CNP</v>
      </c>
      <c r="D10" s="1"/>
      <c r="E10" s="66">
        <v>0.8</v>
      </c>
    </row>
    <row r="11" spans="1:5" ht="19.899999999999999" customHeight="1">
      <c r="A11" t="str">
        <f>'10 Proxy Sum'!A13</f>
        <v>CMS Energy Corp.</v>
      </c>
      <c r="C11" s="38" t="str">
        <f>'10 Proxy Sum'!C13</f>
        <v>CMS</v>
      </c>
      <c r="D11" s="1"/>
      <c r="E11" s="67">
        <v>0.55000000000000004</v>
      </c>
    </row>
    <row r="12" spans="1:5" ht="19.899999999999999" customHeight="1">
      <c r="A12" t="str">
        <f>'10 Proxy Sum'!A14</f>
        <v>Dominion Energy</v>
      </c>
      <c r="C12" s="38" t="str">
        <f>'10 Proxy Sum'!C14</f>
        <v>D</v>
      </c>
      <c r="D12" s="1"/>
      <c r="E12" s="67">
        <v>0.55000000000000004</v>
      </c>
    </row>
    <row r="13" spans="1:5" ht="19.899999999999999" customHeight="1">
      <c r="A13" t="str">
        <f>'10 Proxy Sum'!A15</f>
        <v>DTE Energy Co.</v>
      </c>
      <c r="C13" s="38" t="str">
        <f>'10 Proxy Sum'!C15</f>
        <v>DTE</v>
      </c>
      <c r="D13" s="1"/>
      <c r="E13" s="67">
        <v>0.55000000000000004</v>
      </c>
    </row>
    <row r="14" spans="1:5" ht="19.899999999999999" customHeight="1">
      <c r="A14" t="str">
        <f>'10 Proxy Sum'!A16</f>
        <v>Edison International</v>
      </c>
      <c r="C14" s="38" t="str">
        <f>'10 Proxy Sum'!C16</f>
        <v>EIX</v>
      </c>
      <c r="D14" s="1"/>
      <c r="E14" s="173">
        <v>0.6</v>
      </c>
    </row>
    <row r="15" spans="1:5" ht="19.899999999999999" customHeight="1">
      <c r="A15" t="str">
        <f>'10 Proxy Sum'!A17</f>
        <v>El Paso Electric Co.</v>
      </c>
      <c r="C15" s="38" t="str">
        <f>'10 Proxy Sum'!C17</f>
        <v>EE</v>
      </c>
      <c r="D15" s="1"/>
      <c r="E15" s="67">
        <v>0.7</v>
      </c>
    </row>
    <row r="16" spans="1:5" ht="19.899999999999999" customHeight="1">
      <c r="A16" t="str">
        <f>'10 Proxy Sum'!A18</f>
        <v>Emera Inc.</v>
      </c>
      <c r="C16" s="38" t="str">
        <f>'10 Proxy Sum'!C18</f>
        <v>EMA</v>
      </c>
      <c r="D16" s="1"/>
      <c r="E16" s="67">
        <v>0.55000000000000004</v>
      </c>
    </row>
    <row r="17" spans="1:5" ht="19.899999999999999" customHeight="1">
      <c r="A17" t="str">
        <f>'10 Proxy Sum'!A19</f>
        <v>Entergy Corp.</v>
      </c>
      <c r="C17" s="38" t="str">
        <f>'10 Proxy Sum'!C19</f>
        <v>ETR</v>
      </c>
      <c r="D17" s="1"/>
      <c r="E17" s="67">
        <v>0.6</v>
      </c>
    </row>
    <row r="18" spans="1:5" ht="19.899999999999999" customHeight="1">
      <c r="A18" t="str">
        <f>'10 Proxy Sum'!A20</f>
        <v>Exelon Corp.</v>
      </c>
      <c r="C18" s="38" t="str">
        <f>'10 Proxy Sum'!C20</f>
        <v>EXC</v>
      </c>
      <c r="D18" s="1"/>
      <c r="E18" s="67">
        <v>0.7</v>
      </c>
    </row>
    <row r="19" spans="1:5" ht="19.899999999999999" customHeight="1">
      <c r="A19" t="str">
        <f>'10 Proxy Sum'!A21</f>
        <v>FirstEnergy Corp.</v>
      </c>
      <c r="C19" s="38" t="str">
        <f>'10 Proxy Sum'!C21</f>
        <v>FE</v>
      </c>
      <c r="D19" s="1"/>
      <c r="E19" s="67">
        <v>0.6</v>
      </c>
    </row>
    <row r="20" spans="1:5" s="167" customFormat="1" ht="19.899999999999999" customHeight="1">
      <c r="A20" s="167" t="str">
        <f>'10 Proxy Sum'!A22</f>
        <v>Hawaiian Elec.</v>
      </c>
      <c r="C20" s="38" t="str">
        <f>'10 Proxy Sum'!C22</f>
        <v>HE</v>
      </c>
      <c r="D20" s="166"/>
      <c r="E20" s="67">
        <v>0.55000000000000004</v>
      </c>
    </row>
    <row r="21" spans="1:5" s="167" customFormat="1" ht="19.899999999999999" customHeight="1">
      <c r="A21" s="167" t="str">
        <f>'10 Proxy Sum'!A23</f>
        <v>IDACORP, Inc.</v>
      </c>
      <c r="C21" s="38" t="str">
        <f>'10 Proxy Sum'!C23</f>
        <v>IDA</v>
      </c>
      <c r="D21" s="166"/>
      <c r="E21" s="67">
        <v>0.6</v>
      </c>
    </row>
    <row r="22" spans="1:5" s="167" customFormat="1" ht="19.899999999999999" customHeight="1">
      <c r="A22" s="167" t="str">
        <f>'10 Proxy Sum'!A24</f>
        <v>NorthWestern Corp.</v>
      </c>
      <c r="C22" s="38" t="str">
        <f>'10 Proxy Sum'!C24</f>
        <v>NWE</v>
      </c>
      <c r="D22" s="166"/>
      <c r="E22" s="67">
        <v>0.6</v>
      </c>
    </row>
    <row r="23" spans="1:5" s="167" customFormat="1" ht="19.899999999999999" customHeight="1">
      <c r="A23" s="167" t="str">
        <f>'10 Proxy Sum'!A25</f>
        <v>OGE Energy Corp.</v>
      </c>
      <c r="C23" s="38" t="str">
        <f>'10 Proxy Sum'!C25</f>
        <v>OGE</v>
      </c>
      <c r="D23" s="166"/>
      <c r="E23" s="67">
        <v>0.8</v>
      </c>
    </row>
    <row r="24" spans="1:5" s="167" customFormat="1" ht="19.899999999999999" customHeight="1">
      <c r="A24" s="167" t="str">
        <f>'10 Proxy Sum'!A26</f>
        <v>Otter Tail Corp.</v>
      </c>
      <c r="C24" s="38" t="str">
        <f>'10 Proxy Sum'!C26</f>
        <v>OTTR</v>
      </c>
      <c r="D24" s="166"/>
      <c r="E24" s="67">
        <v>0.7</v>
      </c>
    </row>
    <row r="25" spans="1:5" s="176" customFormat="1" ht="19.899999999999999" customHeight="1">
      <c r="A25" s="176" t="str">
        <f>'10 Proxy Sum'!A27</f>
        <v>PNM Resources</v>
      </c>
      <c r="C25" s="38" t="str">
        <f>'10 Proxy Sum'!C27</f>
        <v>PNM</v>
      </c>
      <c r="D25" s="178"/>
      <c r="E25" s="67">
        <v>0.6</v>
      </c>
    </row>
    <row r="26" spans="1:5" ht="19.899999999999999" customHeight="1">
      <c r="A26" s="15" t="str">
        <f>'10 Proxy Sum'!A28</f>
        <v>Sempra Energy</v>
      </c>
      <c r="C26" s="38" t="str">
        <f>'10 Proxy Sum'!C28</f>
        <v>SRE</v>
      </c>
      <c r="D26" s="1"/>
      <c r="E26" s="79">
        <v>0.75</v>
      </c>
    </row>
    <row r="27" spans="1:5" ht="19.899999999999999" customHeight="1">
      <c r="C27" s="1"/>
      <c r="D27" s="1"/>
      <c r="E27" s="7"/>
    </row>
    <row r="28" spans="1:5">
      <c r="A28" s="1" t="s">
        <v>65</v>
      </c>
      <c r="B28" s="11"/>
      <c r="C28" s="1"/>
      <c r="D28" s="1"/>
      <c r="E28" s="67">
        <f>AVERAGE(E5:E26)</f>
        <v>0.62619047619047608</v>
      </c>
    </row>
    <row r="29" spans="1:5">
      <c r="A29" s="2"/>
      <c r="B29" s="15"/>
      <c r="C29" s="2"/>
      <c r="D29" s="2"/>
      <c r="E29" s="45"/>
    </row>
    <row r="30" spans="1:5">
      <c r="C30" s="1"/>
      <c r="D30" s="1"/>
      <c r="E30" s="7"/>
    </row>
    <row r="31" spans="1:5" s="52" customFormat="1" ht="14.45" customHeight="1">
      <c r="A31"/>
      <c r="B31"/>
      <c r="C31"/>
      <c r="D31"/>
      <c r="E31"/>
    </row>
    <row r="32" spans="1:5">
      <c r="A32" s="253" t="s">
        <v>175</v>
      </c>
      <c r="B32" s="253"/>
      <c r="C32" s="253"/>
      <c r="D32" s="253"/>
      <c r="E32" s="253"/>
    </row>
    <row r="33" spans="1:5">
      <c r="A33" s="253"/>
      <c r="B33" s="253"/>
      <c r="C33" s="253"/>
      <c r="D33" s="253"/>
      <c r="E33" s="253"/>
    </row>
  </sheetData>
  <mergeCells count="2">
    <mergeCell ref="A32:E32"/>
    <mergeCell ref="A33:E33"/>
  </mergeCells>
  <printOptions horizontalCentered="1" headings="1" gridLines="1"/>
  <pageMargins left="0.7" right="0.7" top="0.75" bottom="0.75" header="0.3" footer="0.3"/>
  <pageSetup orientation="portrait" r:id="rId1"/>
  <headerFooter scaleWithDoc="0">
    <oddHeader xml:space="preserve">&amp;C&amp;"-,Bold"&amp;14CAPM Beta Coefficient&amp;RUE-190334 and UG-190335,
 UE-190222 (Consolidated)
 Exh. DJG-22 
&amp;P of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Q144"/>
  <sheetViews>
    <sheetView zoomScaleNormal="10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14</v>
      </c>
      <c r="N3" s="1"/>
      <c r="O3" s="1" t="s">
        <v>15</v>
      </c>
      <c r="P3" s="1"/>
      <c r="Q3" s="1" t="s">
        <v>16</v>
      </c>
    </row>
    <row r="5" spans="1:17" ht="30">
      <c r="A5" s="2" t="s">
        <v>25</v>
      </c>
      <c r="B5" s="1"/>
      <c r="C5" s="4" t="s">
        <v>171</v>
      </c>
      <c r="D5" s="5"/>
      <c r="E5" s="4" t="s">
        <v>23</v>
      </c>
      <c r="F5" s="5"/>
      <c r="G5" s="4" t="s">
        <v>20</v>
      </c>
      <c r="H5" s="5"/>
      <c r="I5" s="4" t="s">
        <v>24</v>
      </c>
      <c r="J5" s="5"/>
      <c r="K5" s="4" t="s">
        <v>26</v>
      </c>
      <c r="L5" s="5"/>
      <c r="M5" s="4" t="s">
        <v>22</v>
      </c>
      <c r="N5" s="5"/>
      <c r="O5" s="4" t="s">
        <v>21</v>
      </c>
      <c r="P5" s="5"/>
      <c r="Q5" s="4" t="s">
        <v>27</v>
      </c>
    </row>
    <row r="6" spans="1:17">
      <c r="A6" s="1">
        <v>2013</v>
      </c>
      <c r="B6" s="1"/>
      <c r="C6" s="32">
        <v>16494.783083987797</v>
      </c>
      <c r="D6" s="32"/>
      <c r="E6" s="33">
        <v>956.00990460087269</v>
      </c>
      <c r="F6" s="33"/>
      <c r="G6" s="33">
        <v>311.77171051674964</v>
      </c>
      <c r="H6" s="33"/>
      <c r="I6" s="33">
        <v>475.58680400000003</v>
      </c>
      <c r="J6" s="33"/>
      <c r="K6" s="22">
        <f t="shared" ref="K6:K7" si="0">E6/C6</f>
        <v>5.7958319289988909E-2</v>
      </c>
      <c r="L6" s="22"/>
      <c r="M6" s="22">
        <f t="shared" ref="M6:M7" si="1">G6/C6</f>
        <v>1.890123131230504E-2</v>
      </c>
      <c r="N6" s="22"/>
      <c r="O6" s="22">
        <f t="shared" ref="O6:O7" si="2">I6/C6</f>
        <v>2.8832558850784333E-2</v>
      </c>
      <c r="P6" s="22"/>
      <c r="Q6" s="28">
        <f t="shared" ref="Q6:Q7" si="3">M6+O6</f>
        <v>4.7733790163089374E-2</v>
      </c>
    </row>
    <row r="7" spans="1:17">
      <c r="A7" s="1">
        <v>2014</v>
      </c>
      <c r="B7" s="1"/>
      <c r="C7" s="32">
        <v>18245.162915721601</v>
      </c>
      <c r="D7" s="32"/>
      <c r="E7" s="33">
        <v>1004.2233066862408</v>
      </c>
      <c r="F7" s="33"/>
      <c r="G7" s="33">
        <v>350.43209036038417</v>
      </c>
      <c r="H7" s="33"/>
      <c r="I7" s="33">
        <v>553.27531399999998</v>
      </c>
      <c r="J7" s="33"/>
      <c r="K7" s="22">
        <f t="shared" si="0"/>
        <v>5.5040522867620748E-2</v>
      </c>
      <c r="L7" s="22"/>
      <c r="M7" s="22">
        <f t="shared" si="1"/>
        <v>1.9206849068934415E-2</v>
      </c>
      <c r="N7" s="22"/>
      <c r="O7" s="22">
        <f t="shared" si="2"/>
        <v>3.0324492938522921E-2</v>
      </c>
      <c r="P7" s="22"/>
      <c r="Q7" s="28">
        <f t="shared" si="3"/>
        <v>4.9531342007457332E-2</v>
      </c>
    </row>
    <row r="8" spans="1:17">
      <c r="A8" s="166">
        <v>2015</v>
      </c>
      <c r="B8" s="1"/>
      <c r="C8" s="32">
        <v>17899.5562447142</v>
      </c>
      <c r="D8" s="32"/>
      <c r="E8" s="33">
        <v>885.38</v>
      </c>
      <c r="F8" s="33"/>
      <c r="G8" s="33">
        <v>382.32</v>
      </c>
      <c r="H8" s="33"/>
      <c r="I8" s="33">
        <v>572.16</v>
      </c>
      <c r="J8" s="33"/>
      <c r="K8" s="22">
        <f t="shared" ref="K8" si="4">E8/C8</f>
        <v>4.9463796079383573E-2</v>
      </c>
      <c r="L8" s="22"/>
      <c r="M8" s="22">
        <f t="shared" ref="M8" si="5">G8/C8</f>
        <v>2.1359188729212233E-2</v>
      </c>
      <c r="N8" s="22"/>
      <c r="O8" s="22">
        <f t="shared" ref="O8" si="6">I8/C8</f>
        <v>3.1965038248865013E-2</v>
      </c>
      <c r="P8" s="22"/>
      <c r="Q8" s="28">
        <f t="shared" ref="Q8" si="7">M8+O8</f>
        <v>5.3324226978077247E-2</v>
      </c>
    </row>
    <row r="9" spans="1:17">
      <c r="A9" s="166">
        <v>2016</v>
      </c>
      <c r="B9" s="1"/>
      <c r="C9" s="32">
        <v>19268</v>
      </c>
      <c r="D9" s="32"/>
      <c r="E9" s="33">
        <v>919.85</v>
      </c>
      <c r="F9" s="33"/>
      <c r="G9" s="33">
        <v>397.22</v>
      </c>
      <c r="H9" s="33"/>
      <c r="I9" s="33">
        <v>536.38</v>
      </c>
      <c r="J9" s="33"/>
      <c r="K9" s="22">
        <f t="shared" ref="K9:K10" si="8">E9/C9</f>
        <v>4.7739775794062696E-2</v>
      </c>
      <c r="L9" s="22"/>
      <c r="M9" s="22">
        <f t="shared" ref="M9:M10" si="9">G9/C9</f>
        <v>2.06155283371393E-2</v>
      </c>
      <c r="N9" s="22"/>
      <c r="O9" s="22">
        <f t="shared" ref="O9:O10" si="10">I9/C9</f>
        <v>2.7837865891633798E-2</v>
      </c>
      <c r="P9" s="22"/>
      <c r="Q9" s="28">
        <f t="shared" ref="Q9:Q10" si="11">M9+O9</f>
        <v>4.8453394228773095E-2</v>
      </c>
    </row>
    <row r="10" spans="1:17" s="167" customFormat="1">
      <c r="A10" s="166">
        <v>2017</v>
      </c>
      <c r="B10" s="166"/>
      <c r="C10" s="32">
        <v>22821.240334090373</v>
      </c>
      <c r="D10" s="32"/>
      <c r="E10" s="33">
        <v>1065.995204191086</v>
      </c>
      <c r="F10" s="33"/>
      <c r="G10" s="33">
        <v>419.77</v>
      </c>
      <c r="H10" s="33"/>
      <c r="I10" s="33">
        <v>519.4</v>
      </c>
      <c r="J10" s="33"/>
      <c r="K10" s="164">
        <f t="shared" si="8"/>
        <v>4.671066027023528E-2</v>
      </c>
      <c r="L10" s="164"/>
      <c r="M10" s="164">
        <f t="shared" si="9"/>
        <v>1.8393829338581018E-2</v>
      </c>
      <c r="N10" s="164"/>
      <c r="O10" s="164">
        <f t="shared" si="10"/>
        <v>2.2759499150627679E-2</v>
      </c>
      <c r="P10" s="164"/>
      <c r="Q10" s="165">
        <f t="shared" si="11"/>
        <v>4.1153328489208697E-2</v>
      </c>
    </row>
    <row r="11" spans="1:17" s="160" customFormat="1">
      <c r="A11" s="166">
        <v>2018</v>
      </c>
      <c r="B11" s="158"/>
      <c r="C11" s="32">
        <v>21033</v>
      </c>
      <c r="D11" s="32"/>
      <c r="E11" s="33">
        <v>1281.83</v>
      </c>
      <c r="F11" s="33"/>
      <c r="G11" s="33">
        <v>456.31</v>
      </c>
      <c r="H11" s="33"/>
      <c r="I11" s="33">
        <v>806.41</v>
      </c>
      <c r="J11" s="33"/>
      <c r="K11" s="159">
        <f t="shared" ref="K11" si="12">E11/C11</f>
        <v>6.0943755051585599E-2</v>
      </c>
      <c r="L11" s="159"/>
      <c r="M11" s="159">
        <f t="shared" ref="M11" si="13">G11/C11</f>
        <v>2.1694955546046689E-2</v>
      </c>
      <c r="N11" s="159"/>
      <c r="O11" s="159">
        <f t="shared" ref="O11" si="14">I11/C11</f>
        <v>3.8340227261921739E-2</v>
      </c>
      <c r="P11" s="159"/>
      <c r="Q11" s="157">
        <f t="shared" ref="Q11" si="15">M11+O11</f>
        <v>6.0035182807968428E-2</v>
      </c>
    </row>
    <row r="12" spans="1:1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>
      <c r="A13" s="13"/>
      <c r="B13" s="13"/>
      <c r="Q13" s="30"/>
    </row>
    <row r="14" spans="1:17">
      <c r="A14" s="24" t="s">
        <v>28</v>
      </c>
      <c r="B14" s="24"/>
      <c r="C14" s="28">
        <f>AVERAGE(Q6:Q9)</f>
        <v>4.9760688344349262E-2</v>
      </c>
      <c r="D14" s="12"/>
      <c r="E14" s="1" t="s">
        <v>19</v>
      </c>
      <c r="Q14" s="30"/>
    </row>
    <row r="15" spans="1:17">
      <c r="A15" s="24" t="s">
        <v>29</v>
      </c>
      <c r="B15" s="24"/>
      <c r="C15" s="22">
        <f>(E11/E6)^(1/5)-1</f>
        <v>6.0409495449662121E-2</v>
      </c>
      <c r="D15" s="27"/>
      <c r="E15" s="1" t="s">
        <v>30</v>
      </c>
      <c r="Q15" s="30"/>
    </row>
    <row r="16" spans="1:17">
      <c r="A16" s="24" t="s">
        <v>31</v>
      </c>
      <c r="B16" s="24"/>
      <c r="C16" s="22">
        <f>'21 Risk Free Rate'!E35</f>
        <v>2.4166666666666659E-2</v>
      </c>
      <c r="E16" s="1" t="s">
        <v>32</v>
      </c>
      <c r="Q16" s="30"/>
    </row>
    <row r="17" spans="1:17">
      <c r="A17" s="24" t="s">
        <v>33</v>
      </c>
      <c r="B17" s="24"/>
      <c r="C17" s="184">
        <f>'14 Stock Price'!B5</f>
        <v>2955.9123372666672</v>
      </c>
      <c r="E17" s="1" t="s">
        <v>38</v>
      </c>
      <c r="Q17" s="30"/>
    </row>
    <row r="18" spans="1:17">
      <c r="A18" s="34"/>
      <c r="B18" s="3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5"/>
    </row>
    <row r="19" spans="1:17">
      <c r="A19" s="24"/>
      <c r="B19" s="24"/>
      <c r="Q19" s="30"/>
    </row>
    <row r="20" spans="1:17">
      <c r="A20" s="24"/>
      <c r="B20" s="24"/>
      <c r="C20" s="1" t="s">
        <v>39</v>
      </c>
      <c r="D20" s="1"/>
      <c r="E20" s="1" t="s">
        <v>40</v>
      </c>
      <c r="F20" s="1"/>
      <c r="G20" s="1" t="s">
        <v>41</v>
      </c>
      <c r="H20" s="1"/>
      <c r="I20" s="1" t="s">
        <v>42</v>
      </c>
      <c r="J20" s="1"/>
      <c r="K20" s="1" t="s">
        <v>43</v>
      </c>
      <c r="Q20" s="30"/>
    </row>
    <row r="21" spans="1:17">
      <c r="A21" s="24"/>
      <c r="B21" s="24"/>
      <c r="C21" s="1"/>
      <c r="D21" s="1"/>
      <c r="E21" s="1"/>
      <c r="F21" s="1"/>
      <c r="G21" s="1"/>
      <c r="H21" s="1"/>
      <c r="I21" s="1"/>
      <c r="J21" s="1"/>
      <c r="K21" s="1"/>
      <c r="Q21" s="30"/>
    </row>
    <row r="22" spans="1:17">
      <c r="A22" s="2" t="s">
        <v>25</v>
      </c>
      <c r="B22" s="24"/>
      <c r="C22" s="2">
        <v>1</v>
      </c>
      <c r="D22" s="1"/>
      <c r="E22" s="2">
        <v>2</v>
      </c>
      <c r="F22" s="1"/>
      <c r="G22" s="2">
        <v>3</v>
      </c>
      <c r="H22" s="1"/>
      <c r="I22" s="2">
        <v>4</v>
      </c>
      <c r="J22" s="1"/>
      <c r="K22" s="2">
        <v>5</v>
      </c>
      <c r="Q22" s="30"/>
    </row>
    <row r="23" spans="1:17">
      <c r="A23" s="24"/>
      <c r="B23" s="13"/>
      <c r="Q23" s="30"/>
    </row>
    <row r="24" spans="1:17">
      <c r="A24" s="24" t="s">
        <v>34</v>
      </c>
      <c r="B24" s="13"/>
      <c r="C24" s="21">
        <f>$C$14*$C$17*(1+$C$15)^C22</f>
        <v>155.97375850516386</v>
      </c>
      <c r="D24" s="21"/>
      <c r="E24" s="21">
        <f t="shared" ref="E24:K24" si="16">$C$14*$C$17*(1+$C$15)^E22</f>
        <v>165.39605455984827</v>
      </c>
      <c r="F24" s="21"/>
      <c r="G24" s="21">
        <f t="shared" si="16"/>
        <v>175.38754676517348</v>
      </c>
      <c r="H24" s="21"/>
      <c r="I24" s="21">
        <f t="shared" si="16"/>
        <v>185.98261997341166</v>
      </c>
      <c r="J24" s="21"/>
      <c r="K24" s="85">
        <f t="shared" si="16"/>
        <v>197.21773620841171</v>
      </c>
      <c r="Q24" s="30"/>
    </row>
    <row r="25" spans="1:17">
      <c r="A25" s="24" t="s">
        <v>35</v>
      </c>
      <c r="B25" s="13"/>
      <c r="C25" s="86"/>
      <c r="D25" s="86"/>
      <c r="E25" s="86"/>
      <c r="F25" s="86"/>
      <c r="G25" s="86"/>
      <c r="H25" s="86"/>
      <c r="I25" s="86"/>
      <c r="J25" s="86"/>
      <c r="K25" s="87">
        <f>K24*(1+C16)/C32</f>
        <v>3389.0790605216444</v>
      </c>
      <c r="Q25" s="30"/>
    </row>
    <row r="26" spans="1:17">
      <c r="A26" s="24" t="s">
        <v>36</v>
      </c>
      <c r="B26" s="13"/>
      <c r="C26" s="20">
        <f>C24/(1+$C$16+$C$32)^C22</f>
        <v>143.91841670444657</v>
      </c>
      <c r="D26" s="21"/>
      <c r="E26" s="20">
        <f t="shared" ref="E26:I26" si="17">E24/(1+$C$16+$C$32)^E22</f>
        <v>140.81691174262207</v>
      </c>
      <c r="F26" s="21"/>
      <c r="G26" s="20">
        <f t="shared" si="17"/>
        <v>137.78224557216626</v>
      </c>
      <c r="H26" s="21"/>
      <c r="I26" s="20">
        <f t="shared" si="17"/>
        <v>134.81297778782863</v>
      </c>
      <c r="J26" s="21"/>
      <c r="K26" s="87">
        <f>(K24+K25)/(1+$C$16+C32)^K22</f>
        <v>2398.6694481680497</v>
      </c>
      <c r="Q26" s="30"/>
    </row>
    <row r="27" spans="1:17">
      <c r="A27" s="24"/>
      <c r="B27" s="13"/>
      <c r="Q27" s="30"/>
    </row>
    <row r="28" spans="1:17">
      <c r="A28" s="24" t="s">
        <v>37</v>
      </c>
      <c r="B28" s="13"/>
      <c r="C28" s="20">
        <f>SUM(C26,E26,G26,I26,K26)</f>
        <v>2955.9999999751135</v>
      </c>
      <c r="E28" s="1" t="s">
        <v>50</v>
      </c>
      <c r="Q28" s="30"/>
    </row>
    <row r="29" spans="1:17">
      <c r="A29" s="24"/>
      <c r="B29" s="13"/>
      <c r="C29" s="21"/>
      <c r="E29" s="1"/>
      <c r="Q29" s="30"/>
    </row>
    <row r="30" spans="1:17">
      <c r="A30" s="24" t="s">
        <v>63</v>
      </c>
      <c r="B30" s="13"/>
      <c r="C30" s="28">
        <f>C32+C16</f>
        <v>8.3765108571714986E-2</v>
      </c>
      <c r="E30" s="1" t="s">
        <v>51</v>
      </c>
      <c r="Q30" s="30"/>
    </row>
    <row r="31" spans="1:17" ht="15.75" thickBot="1">
      <c r="A31" s="24"/>
      <c r="B31" s="13"/>
      <c r="Q31" s="30"/>
    </row>
    <row r="32" spans="1:17" ht="15.75" thickBot="1">
      <c r="A32" s="31" t="s">
        <v>44</v>
      </c>
      <c r="B32" s="13"/>
      <c r="C32" s="185">
        <v>5.959844190504833E-2</v>
      </c>
      <c r="E32" s="1" t="s">
        <v>64</v>
      </c>
      <c r="Q32" s="30"/>
    </row>
    <row r="33" spans="1:17">
      <c r="A33" s="34"/>
      <c r="B33" s="4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35"/>
    </row>
    <row r="34" spans="1:17">
      <c r="Q34" s="30"/>
    </row>
    <row r="35" spans="1:17">
      <c r="A35" s="24"/>
    </row>
    <row r="36" spans="1:17" s="60" customFormat="1" ht="14.45" customHeight="1">
      <c r="A36" s="260" t="s">
        <v>124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</row>
    <row r="37" spans="1:17" s="60" customFormat="1" ht="14.45" customHeight="1">
      <c r="A37" s="260" t="s">
        <v>69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</row>
    <row r="38" spans="1:17" s="60" customFormat="1" ht="14.45" customHeight="1">
      <c r="A38" s="260" t="s">
        <v>45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</row>
    <row r="39" spans="1:17" s="60" customFormat="1" ht="14.45" customHeight="1">
      <c r="A39" s="260" t="s">
        <v>46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</row>
    <row r="40" spans="1:17" s="60" customFormat="1" ht="14.45" customHeight="1">
      <c r="A40" s="260" t="s">
        <v>47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</row>
    <row r="41" spans="1:17" s="60" customFormat="1" ht="14.45" customHeight="1">
      <c r="A41" s="260" t="s">
        <v>48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</row>
    <row r="42" spans="1:17" s="60" customFormat="1" ht="14.45" customHeight="1">
      <c r="A42" s="260" t="s">
        <v>49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</row>
    <row r="43" spans="1:17" s="60" customFormat="1" ht="14.45" customHeight="1">
      <c r="A43" s="260" t="s">
        <v>93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</row>
    <row r="44" spans="1:17" s="60" customFormat="1" ht="14.45" customHeight="1">
      <c r="A44" s="260" t="s">
        <v>117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</row>
    <row r="45" spans="1:17" s="60" customFormat="1" ht="14.45" customHeight="1">
      <c r="A45" s="260" t="s">
        <v>118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</row>
    <row r="46" spans="1:17" s="60" customFormat="1" ht="14.45" customHeight="1">
      <c r="A46" s="260" t="s">
        <v>72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</row>
    <row r="47" spans="1:17" s="60" customFormat="1" ht="14.45" customHeight="1">
      <c r="A47" s="260" t="s">
        <v>73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</row>
    <row r="48" spans="1:17" s="60" customFormat="1" ht="14.45" customHeight="1">
      <c r="A48" s="260" t="s">
        <v>74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</row>
    <row r="49" spans="1:17" s="60" customFormat="1" ht="14.45" customHeight="1">
      <c r="A49" s="260" t="s">
        <v>68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</row>
    <row r="50" spans="1:17" s="60" customFormat="1" ht="14.45" customHeight="1">
      <c r="A50" s="260" t="s">
        <v>75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</row>
    <row r="51" spans="1:17">
      <c r="A51" s="24"/>
    </row>
    <row r="52" spans="1:17">
      <c r="A52" s="24"/>
    </row>
    <row r="53" spans="1:17">
      <c r="A53" s="24"/>
    </row>
    <row r="54" spans="1:17">
      <c r="A54" s="24"/>
    </row>
    <row r="55" spans="1:17">
      <c r="A55" s="24"/>
    </row>
    <row r="56" spans="1:17">
      <c r="A56" s="24"/>
    </row>
    <row r="57" spans="1:17">
      <c r="A57" s="24"/>
    </row>
    <row r="58" spans="1:17">
      <c r="A58" s="24"/>
    </row>
    <row r="59" spans="1:17">
      <c r="A59" s="24"/>
    </row>
    <row r="60" spans="1:17">
      <c r="A60" s="24"/>
    </row>
    <row r="61" spans="1:17">
      <c r="A61" s="24"/>
    </row>
    <row r="62" spans="1:17">
      <c r="A62" s="24"/>
    </row>
    <row r="63" spans="1:17">
      <c r="A63" s="24"/>
    </row>
    <row r="64" spans="1:17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</sheetData>
  <mergeCells count="15">
    <mergeCell ref="A48:Q48"/>
    <mergeCell ref="A50:Q50"/>
    <mergeCell ref="A42:Q42"/>
    <mergeCell ref="A43:Q43"/>
    <mergeCell ref="A44:Q44"/>
    <mergeCell ref="A45:Q45"/>
    <mergeCell ref="A46:Q46"/>
    <mergeCell ref="A47:Q47"/>
    <mergeCell ref="A49:Q49"/>
    <mergeCell ref="A41:Q41"/>
    <mergeCell ref="A36:Q36"/>
    <mergeCell ref="A38:Q38"/>
    <mergeCell ref="A39:Q39"/>
    <mergeCell ref="A40:Q40"/>
    <mergeCell ref="A37:Q37"/>
  </mergeCells>
  <printOptions horizontalCentered="1" headings="1" gridLines="1"/>
  <pageMargins left="0.7" right="0.7" top="0.75" bottom="0.75" header="0.3" footer="0.3"/>
  <pageSetup scale="67" orientation="landscape" r:id="rId1"/>
  <headerFooter scaleWithDoc="0">
    <oddHeader xml:space="preserve">&amp;C&amp;"-,Bold"&amp;14CAPM Implied Equity Risk Premium Estimate&amp;RUE-190334 and UG-190335,
 UE-190222 (Consolidated)
 Exh. DJG-27 
&amp;P of &amp;N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44"/>
  <sheetViews>
    <sheetView topLeftCell="A7" zoomScale="55" zoomScaleNormal="55" workbookViewId="0">
      <selection activeCell="I22" sqref="H22:I22"/>
    </sheetView>
  </sheetViews>
  <sheetFormatPr defaultRowHeight="15"/>
  <cols>
    <col min="1" max="1" width="29.7109375" style="95" customWidth="1"/>
    <col min="2" max="2" width="2.7109375" style="95" customWidth="1"/>
    <col min="3" max="3" width="10.7109375" style="95" customWidth="1"/>
    <col min="4" max="4" width="2.7109375" style="95" customWidth="1"/>
    <col min="5" max="5" width="3.28515625" style="95" customWidth="1"/>
    <col min="6" max="7" width="9.140625" style="95"/>
    <col min="8" max="8" width="17.85546875" style="95" customWidth="1"/>
    <col min="9" max="16384" width="9.140625" style="95"/>
  </cols>
  <sheetData>
    <row r="1" spans="1:10">
      <c r="A1" s="94"/>
      <c r="B1" s="94"/>
      <c r="C1" s="94"/>
      <c r="D1" s="94"/>
      <c r="E1" s="94"/>
    </row>
    <row r="3" spans="1:10">
      <c r="A3" s="96"/>
      <c r="C3" s="97"/>
      <c r="D3" s="97"/>
      <c r="E3" s="98"/>
      <c r="H3" s="95" t="s">
        <v>83</v>
      </c>
      <c r="I3" s="136">
        <v>0.10100000000000001</v>
      </c>
    </row>
    <row r="4" spans="1:10">
      <c r="A4" s="96" t="s">
        <v>106</v>
      </c>
      <c r="C4" s="100">
        <v>5.6000000000000001E-2</v>
      </c>
      <c r="D4" s="101"/>
      <c r="E4" s="98" t="s">
        <v>3</v>
      </c>
      <c r="I4" s="27" t="s">
        <v>368</v>
      </c>
      <c r="J4" s="99"/>
    </row>
    <row r="5" spans="1:10">
      <c r="A5" s="102"/>
      <c r="C5" s="100"/>
      <c r="D5" s="101"/>
      <c r="E5" s="98"/>
      <c r="I5" s="99"/>
      <c r="J5" s="99"/>
    </row>
    <row r="6" spans="1:10">
      <c r="A6" s="96" t="s">
        <v>107</v>
      </c>
      <c r="C6" s="100">
        <v>4.4200000000000003E-2</v>
      </c>
      <c r="D6" s="101"/>
      <c r="E6" s="98" t="s">
        <v>4</v>
      </c>
      <c r="I6" s="103"/>
    </row>
    <row r="7" spans="1:10">
      <c r="C7" s="100"/>
      <c r="E7" s="98"/>
      <c r="I7" s="99"/>
    </row>
    <row r="8" spans="1:10">
      <c r="A8" s="95" t="s">
        <v>108</v>
      </c>
      <c r="C8" s="100">
        <v>5.5E-2</v>
      </c>
      <c r="E8" s="98" t="s">
        <v>5</v>
      </c>
      <c r="I8" s="99"/>
    </row>
    <row r="9" spans="1:10">
      <c r="A9" s="104"/>
      <c r="C9" s="100"/>
      <c r="E9" s="98"/>
      <c r="I9" s="99"/>
    </row>
    <row r="10" spans="1:10">
      <c r="A10" s="96" t="s">
        <v>76</v>
      </c>
      <c r="C10" s="174">
        <f>AVERAGE(0.0532,0.0575,0.0537,0.054,0.0368)</f>
        <v>5.1039999999999995E-2</v>
      </c>
      <c r="D10" s="101"/>
      <c r="E10" s="98" t="s">
        <v>6</v>
      </c>
      <c r="I10" s="99"/>
    </row>
    <row r="11" spans="1:10">
      <c r="A11" s="96"/>
      <c r="C11" s="100"/>
      <c r="D11" s="101"/>
      <c r="E11" s="98"/>
      <c r="I11" s="99"/>
    </row>
    <row r="12" spans="1:10">
      <c r="A12" s="96" t="s">
        <v>98</v>
      </c>
      <c r="C12" s="105">
        <f>'27 Implied ERP'!C32</f>
        <v>5.959844190504833E-2</v>
      </c>
      <c r="D12" s="101"/>
      <c r="E12" s="98" t="s">
        <v>7</v>
      </c>
      <c r="I12" s="99"/>
    </row>
    <row r="13" spans="1:10">
      <c r="C13" s="106"/>
      <c r="D13" s="97"/>
      <c r="E13" s="98"/>
      <c r="I13" s="99"/>
    </row>
    <row r="14" spans="1:10">
      <c r="A14" s="13" t="s">
        <v>65</v>
      </c>
      <c r="C14" s="107">
        <f>AVERAGE(C4:C12)</f>
        <v>5.3167688381009673E-2</v>
      </c>
      <c r="D14" s="97"/>
      <c r="E14" s="98"/>
      <c r="I14" s="99"/>
    </row>
    <row r="15" spans="1:10">
      <c r="C15" s="106"/>
      <c r="D15" s="97"/>
      <c r="E15" s="98"/>
    </row>
    <row r="16" spans="1:10">
      <c r="A16" s="13" t="s">
        <v>125</v>
      </c>
      <c r="C16" s="107">
        <f>MAX(C4:C12)</f>
        <v>5.959844190504833E-2</v>
      </c>
      <c r="D16" s="108"/>
      <c r="E16" s="98"/>
    </row>
    <row r="17" spans="1:14">
      <c r="A17" s="109"/>
      <c r="B17" s="94"/>
      <c r="C17" s="110"/>
      <c r="D17" s="110"/>
      <c r="E17" s="111"/>
      <c r="I17" s="103"/>
    </row>
    <row r="20" spans="1:14">
      <c r="A20" s="261" t="s">
        <v>173</v>
      </c>
      <c r="B20" s="262"/>
      <c r="C20" s="262"/>
      <c r="D20" s="262"/>
      <c r="E20" s="262"/>
    </row>
    <row r="21" spans="1:14">
      <c r="A21" s="261" t="s">
        <v>174</v>
      </c>
      <c r="B21" s="262"/>
      <c r="C21" s="262"/>
      <c r="D21" s="262"/>
      <c r="E21" s="262"/>
    </row>
    <row r="22" spans="1:14">
      <c r="A22" s="261" t="s">
        <v>172</v>
      </c>
      <c r="B22" s="262"/>
      <c r="C22" s="262"/>
      <c r="D22" s="262"/>
      <c r="E22" s="262"/>
    </row>
    <row r="23" spans="1:14" ht="14.25" customHeight="1">
      <c r="A23" s="261" t="s">
        <v>367</v>
      </c>
      <c r="B23" s="262"/>
      <c r="C23" s="262"/>
      <c r="D23" s="262"/>
      <c r="E23" s="262"/>
    </row>
    <row r="24" spans="1:14" s="112" customFormat="1" ht="14.25" customHeight="1">
      <c r="A24" s="262" t="s">
        <v>119</v>
      </c>
      <c r="B24" s="262"/>
      <c r="C24" s="262"/>
      <c r="D24" s="262"/>
      <c r="E24" s="262"/>
      <c r="H24" s="95"/>
      <c r="I24" s="95"/>
      <c r="J24" s="95"/>
      <c r="K24" s="95"/>
      <c r="L24" s="95"/>
      <c r="M24" s="95"/>
      <c r="N24" s="95"/>
    </row>
    <row r="25" spans="1:14" s="112" customFormat="1" ht="14.25" customHeight="1">
      <c r="A25" s="95"/>
      <c r="B25" s="95"/>
      <c r="C25" s="95"/>
      <c r="D25" s="95"/>
      <c r="E25" s="95"/>
      <c r="H25" s="95"/>
      <c r="I25" s="95"/>
      <c r="J25" s="95"/>
      <c r="K25" s="95"/>
      <c r="L25" s="95"/>
      <c r="M25" s="95"/>
      <c r="N25" s="95"/>
    </row>
    <row r="26" spans="1:14" s="112" customFormat="1" ht="14.25" customHeight="1">
      <c r="A26" s="95"/>
      <c r="B26" s="95"/>
      <c r="C26" s="95"/>
      <c r="D26" s="95"/>
      <c r="E26" s="95"/>
      <c r="H26" s="95"/>
      <c r="I26" s="95"/>
      <c r="J26" s="95"/>
      <c r="K26" s="95"/>
      <c r="L26" s="95"/>
      <c r="M26" s="95"/>
      <c r="N26" s="95"/>
    </row>
    <row r="27" spans="1:14" s="113" customFormat="1" ht="14.25" customHeight="1">
      <c r="A27" s="95"/>
      <c r="B27" s="95"/>
      <c r="C27" s="95"/>
      <c r="D27" s="95"/>
      <c r="E27" s="95"/>
      <c r="H27" s="95"/>
      <c r="I27" s="95"/>
      <c r="J27" s="95"/>
      <c r="K27" s="95"/>
      <c r="L27" s="95"/>
      <c r="M27" s="95"/>
      <c r="N27" s="95"/>
    </row>
    <row r="28" spans="1:14" s="113" customFormat="1" ht="14.25" customHeight="1">
      <c r="A28" s="95"/>
      <c r="B28" s="95"/>
      <c r="C28" s="95"/>
      <c r="D28" s="95"/>
      <c r="E28" s="95"/>
      <c r="H28" s="95"/>
      <c r="I28" s="95"/>
      <c r="J28" s="95"/>
      <c r="K28" s="95"/>
      <c r="L28" s="95"/>
      <c r="M28" s="95"/>
      <c r="N28" s="95"/>
    </row>
    <row r="29" spans="1:14" s="113" customFormat="1" ht="14.25" customHeight="1">
      <c r="A29" s="95"/>
      <c r="B29" s="95"/>
      <c r="C29" s="95"/>
      <c r="D29" s="95"/>
      <c r="E29" s="95"/>
      <c r="H29" s="95"/>
      <c r="I29" s="95"/>
      <c r="J29" s="95"/>
      <c r="K29" s="95"/>
      <c r="L29" s="95"/>
      <c r="M29" s="95"/>
      <c r="N29" s="95"/>
    </row>
    <row r="30" spans="1:14" s="113" customFormat="1" ht="14.25" customHeight="1">
      <c r="A30" s="95"/>
      <c r="B30" s="95"/>
      <c r="C30" s="95"/>
      <c r="D30" s="95"/>
      <c r="E30" s="95"/>
      <c r="H30" s="95"/>
      <c r="I30" s="95"/>
      <c r="J30" s="95"/>
      <c r="K30" s="95"/>
      <c r="L30" s="95"/>
      <c r="M30" s="95"/>
      <c r="N30" s="95"/>
    </row>
    <row r="31" spans="1:14" s="113" customFormat="1" ht="14.25" customHeight="1">
      <c r="A31" s="95"/>
      <c r="B31" s="95"/>
      <c r="C31" s="95"/>
      <c r="D31" s="95"/>
      <c r="E31" s="95"/>
      <c r="H31" s="95"/>
      <c r="I31" s="95"/>
      <c r="J31" s="95"/>
      <c r="K31" s="95"/>
      <c r="L31" s="95"/>
      <c r="M31" s="95"/>
      <c r="N31" s="95"/>
    </row>
    <row r="32" spans="1:14" s="113" customFormat="1" ht="14.25" customHeight="1">
      <c r="A32" s="95"/>
      <c r="B32" s="95"/>
      <c r="C32" s="95"/>
      <c r="D32" s="95"/>
      <c r="E32" s="95"/>
      <c r="H32" s="112"/>
      <c r="I32" s="112"/>
      <c r="J32" s="95"/>
      <c r="K32" s="95"/>
      <c r="L32" s="95"/>
      <c r="M32" s="95"/>
      <c r="N32" s="95"/>
    </row>
    <row r="33" spans="1:14" s="113" customFormat="1" ht="14.45" customHeight="1">
      <c r="A33" s="95"/>
      <c r="B33" s="95"/>
      <c r="C33" s="95"/>
      <c r="D33" s="95"/>
      <c r="E33" s="95"/>
      <c r="H33" s="112"/>
      <c r="I33" s="112"/>
      <c r="J33" s="112"/>
      <c r="K33" s="112"/>
      <c r="L33" s="112"/>
      <c r="M33" s="112"/>
      <c r="N33" s="112"/>
    </row>
    <row r="34" spans="1:14" s="113" customFormat="1" ht="14.45" customHeight="1">
      <c r="A34" s="95"/>
      <c r="B34" s="95"/>
      <c r="C34" s="95"/>
      <c r="D34" s="95"/>
      <c r="E34" s="95"/>
      <c r="I34" s="112"/>
      <c r="J34" s="112"/>
      <c r="K34" s="112"/>
      <c r="L34" s="112"/>
      <c r="M34" s="112"/>
      <c r="N34" s="112"/>
    </row>
    <row r="35" spans="1:14" s="113" customFormat="1" ht="14.45" customHeight="1">
      <c r="A35" s="95"/>
      <c r="B35" s="95"/>
      <c r="C35" s="95"/>
      <c r="D35" s="95"/>
      <c r="E35" s="95"/>
      <c r="J35" s="112"/>
      <c r="K35" s="112"/>
      <c r="L35" s="112"/>
      <c r="M35" s="112"/>
      <c r="N35" s="112"/>
    </row>
    <row r="36" spans="1:14">
      <c r="H36" s="113"/>
      <c r="I36" s="113"/>
      <c r="J36" s="113"/>
      <c r="K36" s="113"/>
      <c r="L36" s="113"/>
      <c r="M36" s="113"/>
      <c r="N36" s="113"/>
    </row>
    <row r="37" spans="1:14">
      <c r="H37" s="113"/>
      <c r="I37" s="113"/>
      <c r="J37" s="113"/>
      <c r="K37" s="113"/>
      <c r="L37" s="113"/>
      <c r="M37" s="113"/>
      <c r="N37" s="113"/>
    </row>
    <row r="38" spans="1:14">
      <c r="H38" s="113"/>
      <c r="I38" s="113"/>
      <c r="J38" s="113"/>
      <c r="K38" s="113"/>
      <c r="L38" s="113"/>
      <c r="M38" s="113"/>
      <c r="N38" s="113"/>
    </row>
    <row r="39" spans="1:14">
      <c r="H39" s="113"/>
      <c r="I39" s="113"/>
      <c r="J39" s="113"/>
      <c r="K39" s="113"/>
      <c r="L39" s="113"/>
      <c r="M39" s="113"/>
      <c r="N39" s="113"/>
    </row>
    <row r="40" spans="1:14">
      <c r="H40" s="113"/>
      <c r="I40" s="113"/>
      <c r="J40" s="113"/>
      <c r="K40" s="113"/>
      <c r="L40" s="113"/>
      <c r="M40" s="113"/>
      <c r="N40" s="113"/>
    </row>
    <row r="41" spans="1:14">
      <c r="H41" s="113"/>
      <c r="I41" s="113"/>
      <c r="J41" s="113"/>
      <c r="K41" s="113"/>
      <c r="L41" s="113"/>
      <c r="M41" s="113"/>
      <c r="N41" s="113"/>
    </row>
    <row r="42" spans="1:14">
      <c r="H42" s="113"/>
      <c r="I42" s="113"/>
      <c r="J42" s="113"/>
      <c r="K42" s="113"/>
      <c r="L42" s="113"/>
      <c r="M42" s="113"/>
      <c r="N42" s="113"/>
    </row>
    <row r="43" spans="1:14">
      <c r="I43" s="113"/>
      <c r="J43" s="113"/>
      <c r="K43" s="113"/>
      <c r="L43" s="113"/>
      <c r="M43" s="113"/>
      <c r="N43" s="113"/>
    </row>
    <row r="44" spans="1:14">
      <c r="J44" s="113"/>
      <c r="K44" s="113"/>
      <c r="L44" s="113"/>
      <c r="M44" s="113"/>
      <c r="N44" s="113"/>
    </row>
  </sheetData>
  <mergeCells count="5">
    <mergeCell ref="A20:E20"/>
    <mergeCell ref="A21:E21"/>
    <mergeCell ref="A22:E22"/>
    <mergeCell ref="A23:E23"/>
    <mergeCell ref="A24:E24"/>
  </mergeCells>
  <printOptions horizontalCentered="1" verticalCentered="1" headings="1" gridLines="1"/>
  <pageMargins left="0.7" right="0.7" top="0.75" bottom="0.75" header="0.3" footer="0.3"/>
  <pageSetup scale="39" orientation="portrait" r:id="rId1"/>
  <headerFooter scaleWithDoc="0">
    <oddHeader xml:space="preserve">&amp;C&amp;"-,Bold"&amp;14CAPM Equity Risk Premium Results&amp;RUE-190334 and UG-190335,
 UE-190222 (Consolidated)
 Exh. DJG-28 
&amp;P of &amp;N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8A015-0D12-4DE8-AE09-3ADBC328700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dc463f71-b30c-4ab2-9473-d307f9d35888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31B45A-CA97-4B69-B38D-CBAF07F90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EBDF6-28F2-4106-A23E-8564FFD1D1A7}"/>
</file>

<file path=customXml/itemProps4.xml><?xml version="1.0" encoding="utf-8"?>
<ds:datastoreItem xmlns:ds="http://schemas.openxmlformats.org/officeDocument/2006/customXml" ds:itemID="{13561DB1-822E-448D-A4C9-98BB1425E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10 Proxy Sum</vt:lpstr>
      <vt:lpstr>14 Stock Price</vt:lpstr>
      <vt:lpstr>16 Div Yields</vt:lpstr>
      <vt:lpstr>17 Growth Determinants</vt:lpstr>
      <vt:lpstr>18 DCF Result</vt:lpstr>
      <vt:lpstr>21 Risk Free Rate</vt:lpstr>
      <vt:lpstr>22 Beta</vt:lpstr>
      <vt:lpstr>27 Implied ERP</vt:lpstr>
      <vt:lpstr>28 ERP Result</vt:lpstr>
      <vt:lpstr>29 CAPM Result</vt:lpstr>
      <vt:lpstr>33 COE Summary</vt:lpstr>
      <vt:lpstr>34 Market COE</vt:lpstr>
      <vt:lpstr>6 Historic Trends</vt:lpstr>
      <vt:lpstr>35 Optimal Cap Structure</vt:lpstr>
      <vt:lpstr>36 Competitive Debt Ratios</vt:lpstr>
      <vt:lpstr>37 Proxy Debt Ratios</vt:lpstr>
      <vt:lpstr>Fig Industry Betas</vt:lpstr>
      <vt:lpstr>Fig CAPM Graph</vt:lpstr>
      <vt:lpstr>Fig Bus Cycle</vt:lpstr>
      <vt:lpstr>Fig Diversify</vt:lpstr>
      <vt:lpstr>'28 ERP Result'!Print_Area</vt:lpstr>
      <vt:lpstr>'35 Optimal Cap Structure'!Print_Area</vt:lpstr>
      <vt:lpstr>'36 Competitive Debt Ratios'!Print_Area</vt:lpstr>
      <vt:lpstr>'6 Historic Trends'!Print_Area</vt:lpstr>
      <vt:lpstr>'Fig Bus Cycle'!Print_Area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2020-04-06T21:13:00Z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374415957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0x0101006E56B4D1795A2E4DB2F0B01679ED314A0061243B25525BDE4A81B4D2D45BCBDDC8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