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style2.xml" ContentType="application/vnd.ms-office.chartstyle+xml"/>
  <Override PartName="/xl/charts/colors1.xml" ContentType="application/vnd.ms-office.chartcolorstyle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g.wa.lcl\atg\DIV\PCC\ACTIVE\Cases\UG\UG_230393_PSE_LNG_Tracker_Tariff_Filing\1_Filings\Testimony_Direct_Response\PC\01 Drafts\Robert_Testimony_Exhibits_Workpapers\Robert_Workpapers_(C)\"/>
    </mc:Choice>
  </mc:AlternateContent>
  <bookViews>
    <workbookView xWindow="60570" yWindow="-380" windowWidth="21600" windowHeight="11240" tabRatio="776" firstSheet="2" activeTab="7"/>
  </bookViews>
  <sheets>
    <sheet name="RLE-WP1_Benefits of 52 HDD" sheetId="8" r:id="rId1"/>
    <sheet name="RLE-WP2 Winter Season Min Temp" sheetId="2" r:id="rId2"/>
    <sheet name="RLE-WP3_Cal of HDD-Scenarios" sheetId="9" r:id="rId3"/>
    <sheet name="RLE-7 Vaporization Comparison" sheetId="1" r:id="rId4"/>
    <sheet name="RLE-WP4_Stored Winter 2022-2023" sheetId="4" r:id="rId5"/>
    <sheet name="RLE-WP5_Chi Squared" sheetId="7" r:id="rId6"/>
    <sheet name="RLE-13 Legal Fees" sheetId="10" r:id="rId7"/>
    <sheet name="RLE-14 Pipeline Allocation" sheetId="3" r:id="rId8"/>
  </sheets>
  <externalReferences>
    <externalReference r:id="rId9"/>
    <externalReference r:id="rId10"/>
  </externalReferences>
  <definedNames>
    <definedName name="_xlnm._FilterDatabase" localSheetId="1" hidden="1">'RLE-WP2 Winter Season Min Temp'!$A$1:$B$1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0" l="1"/>
  <c r="K11" i="9"/>
  <c r="B16" i="10"/>
  <c r="B6" i="10"/>
  <c r="D58" i="9" l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D88" i="9" s="1"/>
  <c r="D89" i="9" s="1"/>
  <c r="D90" i="9" s="1"/>
  <c r="D91" i="9" s="1"/>
  <c r="D92" i="9" s="1"/>
  <c r="D93" i="9" s="1"/>
  <c r="D94" i="9" s="1"/>
  <c r="D95" i="9" s="1"/>
  <c r="D96" i="9" s="1"/>
  <c r="K14" i="9"/>
  <c r="K8" i="9"/>
  <c r="D8" i="9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K7" i="9"/>
  <c r="G2" i="2" l="1"/>
  <c r="B16" i="8"/>
  <c r="B22" i="8" s="1"/>
  <c r="C68" i="7" l="1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E13" i="7" l="1"/>
  <c r="G13" i="7" s="1"/>
  <c r="E5" i="7"/>
  <c r="G5" i="7" s="1"/>
  <c r="E9" i="7"/>
  <c r="G9" i="7" s="1"/>
  <c r="E12" i="7"/>
  <c r="G12" i="7" s="1"/>
  <c r="E10" i="7"/>
  <c r="G10" i="7" s="1"/>
  <c r="E11" i="7"/>
  <c r="G11" i="7" s="1"/>
  <c r="E7" i="7"/>
  <c r="G7" i="7" s="1"/>
  <c r="E8" i="7"/>
  <c r="G8" i="7" s="1"/>
  <c r="E6" i="7"/>
  <c r="G6" i="7" s="1"/>
  <c r="E4" i="7"/>
  <c r="G4" i="7" s="1"/>
  <c r="I3" i="7" l="1"/>
  <c r="D3" i="4" l="1"/>
  <c r="D4" i="4" s="1"/>
  <c r="A22" i="3"/>
  <c r="C11" i="3"/>
  <c r="C9" i="3"/>
  <c r="D4" i="3"/>
  <c r="H2" i="3"/>
  <c r="H3" i="3" l="1"/>
  <c r="H5" i="3" s="1"/>
  <c r="H6" i="3" s="1"/>
  <c r="H7" i="3" s="1"/>
  <c r="C13" i="3" s="1"/>
  <c r="C14" i="3" s="1"/>
  <c r="C15" i="3" s="1"/>
  <c r="P15" i="1" l="1"/>
  <c r="P14" i="1"/>
  <c r="P13" i="1"/>
  <c r="P6" i="1"/>
  <c r="P7" i="1"/>
  <c r="P8" i="1"/>
  <c r="P9" i="1"/>
  <c r="P10" i="1"/>
  <c r="P11" i="1"/>
  <c r="P12" i="1"/>
  <c r="P5" i="1"/>
  <c r="M11" i="1"/>
  <c r="M6" i="1"/>
  <c r="M7" i="1"/>
  <c r="M8" i="1"/>
  <c r="M9" i="1"/>
  <c r="M10" i="1"/>
  <c r="M12" i="1"/>
  <c r="M5" i="1"/>
  <c r="L15" i="1"/>
  <c r="L14" i="1"/>
  <c r="J15" i="1"/>
  <c r="J14" i="1"/>
  <c r="L6" i="1"/>
  <c r="L7" i="1"/>
  <c r="L8" i="1"/>
  <c r="L9" i="1"/>
  <c r="L10" i="1"/>
  <c r="L11" i="1"/>
  <c r="L12" i="1"/>
  <c r="L5" i="1"/>
  <c r="L13" i="1" s="1"/>
  <c r="J6" i="1"/>
  <c r="J7" i="1"/>
  <c r="J13" i="1" s="1"/>
  <c r="J8" i="1"/>
  <c r="J9" i="1"/>
  <c r="J10" i="1"/>
  <c r="J11" i="1"/>
  <c r="J12" i="1"/>
  <c r="J5" i="1"/>
  <c r="H6" i="1"/>
  <c r="H7" i="1"/>
  <c r="H8" i="1"/>
  <c r="H9" i="1"/>
  <c r="H10" i="1"/>
  <c r="H11" i="1"/>
  <c r="H12" i="1"/>
  <c r="H5" i="1"/>
  <c r="H15" i="1" l="1"/>
  <c r="H14" i="1"/>
  <c r="H13" i="1"/>
</calcChain>
</file>

<file path=xl/sharedStrings.xml><?xml version="1.0" encoding="utf-8"?>
<sst xmlns="http://schemas.openxmlformats.org/spreadsheetml/2006/main" count="201" uniqueCount="150">
  <si>
    <t>Date</t>
  </si>
  <si>
    <t>Volume (Dth)</t>
  </si>
  <si>
    <t>Reason</t>
  </si>
  <si>
    <r>
      <rPr>
        <sz val="11"/>
        <color rgb="FF231F20"/>
        <rFont val="Calibri"/>
        <family val="2"/>
        <scheme val="minor"/>
      </rPr>
      <t>Cold Weather Action Plan</t>
    </r>
  </si>
  <si>
    <r>
      <rPr>
        <sz val="11"/>
        <color rgb="FF231F20"/>
        <rFont val="Calibri"/>
        <family val="2"/>
        <scheme val="minor"/>
      </rPr>
      <t>B.C. Pipeline Curtailment</t>
    </r>
  </si>
  <si>
    <t>Table 8. Vaporizer Use at the Tacoma LNG Facility*</t>
  </si>
  <si>
    <t>* Exh. RJR-1T at 40:8</t>
  </si>
  <si>
    <t>** Source: PSE Response to Public Counsel DR No. 23. Attachment C</t>
  </si>
  <si>
    <t>Gas Demand**</t>
  </si>
  <si>
    <t>Resources Available before Tacoma LNG***</t>
  </si>
  <si>
    <t>Gas Demand as % of pre-TLNG resources</t>
  </si>
  <si>
    <t>average</t>
  </si>
  <si>
    <t>Predicted Winter Peak 2022-2023****</t>
  </si>
  <si>
    <t>Gas Demand as % of Predicted Peak</t>
  </si>
  <si>
    <t>Seasonal Max*****</t>
  </si>
  <si>
    <t>***** Source: PSE Response to Public Counsel DR No. 23. Attachment C</t>
  </si>
  <si>
    <t>Gas Demand as % of Actual Peak</t>
  </si>
  <si>
    <t>max</t>
  </si>
  <si>
    <t>min</t>
  </si>
  <si>
    <t>Injection as % of Gas Demand</t>
  </si>
  <si>
    <t>Maximum Injection</t>
  </si>
  <si>
    <t>Injection as a % of Max Injection</t>
  </si>
  <si>
    <t>**** Source: 220066-67 PC Exh. RLE-7 - PSE Resp PC DR 106 Attach A-07-08-2022</t>
  </si>
  <si>
    <t>*** Source: 220066-67 PC Exh. RLE-7 - PSE Resp PC DR 106 Attach A-07-08-2022</t>
  </si>
  <si>
    <t>Season</t>
  </si>
  <si>
    <t>Min Temp</t>
  </si>
  <si>
    <t xml:space="preserve">1950 to 2015 season </t>
  </si>
  <si>
    <t>1 in 50 daily temperature</t>
  </si>
  <si>
    <t>Allocation of $23.3 to PSE ratepayers</t>
  </si>
  <si>
    <t>Maximum days delivery</t>
  </si>
  <si>
    <t>(a)</t>
  </si>
  <si>
    <t>Delivery to distribution system</t>
  </si>
  <si>
    <t>of the time</t>
  </si>
  <si>
    <t>(d)</t>
  </si>
  <si>
    <t>Days in a year</t>
  </si>
  <si>
    <t>(b)</t>
  </si>
  <si>
    <t>Delivery to Tacoma LNG Facility</t>
  </si>
  <si>
    <t>(e) = 100% - (d)</t>
  </si>
  <si>
    <t>Percent time delivery</t>
  </si>
  <si>
    <t>(c)  = (a)/(b)</t>
  </si>
  <si>
    <t>Percent of Delivery to Tacoma LNG Facility</t>
  </si>
  <si>
    <t>(f)</t>
  </si>
  <si>
    <t>Delivery to Tacoma LNG Facility on behalf of PSE Ratepayers</t>
  </si>
  <si>
    <t>(g) = (e)*(f)</t>
  </si>
  <si>
    <t>PSE Ratepayer Share</t>
  </si>
  <si>
    <t>(h) = (d) + (g)</t>
  </si>
  <si>
    <t>PSE Ratepayer Amount</t>
  </si>
  <si>
    <t>million</t>
  </si>
  <si>
    <t>(i) = (e) *$23.3 million</t>
  </si>
  <si>
    <t>Allocation of Pipeline Cost to PSE</t>
  </si>
  <si>
    <t>12-inch pipe cost</t>
  </si>
  <si>
    <t>$ million</t>
  </si>
  <si>
    <t>(j)</t>
  </si>
  <si>
    <t>`</t>
  </si>
  <si>
    <t>Upgrade to 16-inch pipe</t>
  </si>
  <si>
    <t>(k)</t>
  </si>
  <si>
    <t>Total pipe cost</t>
  </si>
  <si>
    <t>(l) = (j)+(k)</t>
  </si>
  <si>
    <t>(m) = (i)+(k)</t>
  </si>
  <si>
    <t>(n) = (m)/(l)</t>
  </si>
  <si>
    <t>Puget LNG Share</t>
  </si>
  <si>
    <t>(o) = 100%-(n)</t>
  </si>
  <si>
    <t>Amount driven around the track</t>
  </si>
  <si>
    <t>times by your friend going forward</t>
  </si>
  <si>
    <t>time by you going forward</t>
  </si>
  <si>
    <t>times by you in reverse</t>
  </si>
  <si>
    <t>total amount driven on the track</t>
  </si>
  <si>
    <t>PSE share of tank capacity</t>
  </si>
  <si>
    <t>Dth</t>
  </si>
  <si>
    <t>% of tank capacity used</t>
  </si>
  <si>
    <t>Winter max stored by PSE*</t>
  </si>
  <si>
    <t xml:space="preserve">from </t>
  </si>
  <si>
    <t>million gallons</t>
  </si>
  <si>
    <t>times</t>
  </si>
  <si>
    <t>per</t>
  </si>
  <si>
    <t>Dth**</t>
  </si>
  <si>
    <t>gallons**</t>
  </si>
  <si>
    <t>** PSE Resp WUTC DR 026</t>
  </si>
  <si>
    <t>* PSE Resp PC DR 023</t>
  </si>
  <si>
    <t>last digit</t>
  </si>
  <si>
    <t>last digit count</t>
  </si>
  <si>
    <t>Chi-squared</t>
  </si>
  <si>
    <t>Exp val</t>
  </si>
  <si>
    <r>
      <rPr>
        <b/>
        <sz val="10"/>
        <color rgb="FF231F20"/>
        <rFont val="Arial"/>
        <family val="2"/>
      </rPr>
      <t>Planning Standard</t>
    </r>
  </si>
  <si>
    <r>
      <rPr>
        <b/>
        <sz val="10"/>
        <color rgb="FF231F20"/>
        <rFont val="Arial"/>
        <family val="2"/>
      </rPr>
      <t>Incremental Benefit</t>
    </r>
  </si>
  <si>
    <r>
      <rPr>
        <b/>
        <sz val="10"/>
        <color rgb="FF231F20"/>
        <rFont val="Arial"/>
        <family val="2"/>
      </rPr>
      <t>Incremental Cost</t>
    </r>
  </si>
  <si>
    <r>
      <rPr>
        <b/>
        <sz val="10"/>
        <color rgb="FF231F20"/>
        <rFont val="Arial"/>
        <family val="2"/>
      </rPr>
      <t>Benefit/Cost Ratio</t>
    </r>
  </si>
  <si>
    <r>
      <rPr>
        <sz val="10"/>
        <color rgb="FF231F20"/>
        <rFont val="Arial"/>
        <family val="2"/>
      </rPr>
      <t>48 HDD (17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</si>
  <si>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49 HDD (16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</si>
  <si>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50 HDD (15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</si>
  <si>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51 HDD (14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</si>
  <si>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52 HDD (13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</si>
  <si>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53 HDD (12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</si>
  <si>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54 HDD (11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</si>
  <si>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r>
      <rPr>
        <sz val="10"/>
        <color rgb="FF231F20"/>
        <rFont val="Arial"/>
        <family val="2"/>
      </rPr>
      <t>$               -</t>
    </r>
  </si>
  <si>
    <r>
      <rPr>
        <sz val="10"/>
        <color rgb="FF231F20"/>
        <rFont val="Arial"/>
        <family val="2"/>
      </rPr>
      <t>-</t>
    </r>
  </si>
  <si>
    <r>
      <rPr>
        <sz val="10"/>
        <color rgb="FF231F20"/>
        <rFont val="Arial"/>
        <family val="2"/>
      </rPr>
      <t>55 HDD (10</t>
    </r>
    <r>
      <rPr>
        <vertAlign val="superscript"/>
        <sz val="10"/>
        <color rgb="FF231F20"/>
        <rFont val="Arial"/>
        <family val="2"/>
      </rPr>
      <t>o</t>
    </r>
    <r>
      <rPr>
        <sz val="10"/>
        <color rgb="FF231F20"/>
        <rFont val="Arial"/>
        <family val="2"/>
      </rPr>
      <t xml:space="preserve"> F)</t>
    </r>
  </si>
  <si>
    <t>Exhibit I-4 from 2005 Least Cost Plan Appendix I - Gas Planning Standard</t>
  </si>
  <si>
    <t>Incremental benefit of 52 HHD over 47 HDD</t>
  </si>
  <si>
    <t>2005 CPI-U</t>
  </si>
  <si>
    <t>2016 CPI-U</t>
  </si>
  <si>
    <t>from https://www.minneapolisfed.org/about-us/monetary-policy/inflation-calculator/consumer-price-index-1913-</t>
  </si>
  <si>
    <t>Benefits in 2016 dollars</t>
  </si>
  <si>
    <t>Internal Legal Costs</t>
  </si>
  <si>
    <t>Cost data from TLNG Legal Costs from PSE Resp PC DR No. 26 Attachment</t>
  </si>
  <si>
    <t>Source: https://www.ncei.noaa.gov/</t>
  </si>
  <si>
    <t>Data from PSE Resp PC DR 40 Attach A unless otherwise noted</t>
  </si>
  <si>
    <t>Current 2023 Gas Utility IRP methodology</t>
  </si>
  <si>
    <t>Previous IRP  methodology</t>
  </si>
  <si>
    <t>Actual SeaTac Observations and Modeled SeaTac Projections</t>
  </si>
  <si>
    <t>Actual SeaTac Observations</t>
  </si>
  <si>
    <t>Coldest average daily temperature</t>
  </si>
  <si>
    <t>CanESM*</t>
  </si>
  <si>
    <t>CCSM*</t>
  </si>
  <si>
    <t>CNRM*</t>
  </si>
  <si>
    <t>Using all 3 scenarios</t>
  </si>
  <si>
    <t>Year</t>
  </si>
  <si>
    <t>Temperature (F)</t>
  </si>
  <si>
    <t>Data Set</t>
  </si>
  <si>
    <t>Years Used</t>
  </si>
  <si>
    <t>1-in-50 Daily Temperatures (F)</t>
  </si>
  <si>
    <t>Previous IRP</t>
  </si>
  <si>
    <t>1950-2019</t>
  </si>
  <si>
    <t>Current 2023 Gas Utility IRP (Includes Climate Change)</t>
  </si>
  <si>
    <t>2010-2049</t>
  </si>
  <si>
    <t>Using first 2 scenarios</t>
  </si>
  <si>
    <t>Using all 3 scenarios but replacing 2020-2022 data with actuals</t>
  </si>
  <si>
    <t>*CanESM, CCSM and CNRM are names of global climate models.  Actual SeaTac data was used for years 2010-2019 and global climate model data was used for years 2020-2049.</t>
  </si>
  <si>
    <t>Replacing 2020 through 2022 with actuals from https://www.ncei.noaa.gov/</t>
  </si>
  <si>
    <t xml:space="preserve">million </t>
  </si>
  <si>
    <t>per year</t>
  </si>
  <si>
    <t>years</t>
  </si>
  <si>
    <t>(2013-2016)</t>
  </si>
  <si>
    <t>amount that should have been allocated to Puget LNG</t>
  </si>
  <si>
    <t>ratepayer refund</t>
  </si>
  <si>
    <t>(c) = (a) x (b)</t>
  </si>
  <si>
    <t>(e) = (c) x (d)</t>
  </si>
  <si>
    <t>Ratepayer refund for 2013 - 2016</t>
  </si>
  <si>
    <t>Three month gap with no internal legal costs</t>
  </si>
  <si>
    <t>Month</t>
  </si>
  <si>
    <t>External Legal Costs</t>
  </si>
  <si>
    <t>Total</t>
  </si>
  <si>
    <t>Data from PSE Resp. to PC DR 26, Attachment A</t>
  </si>
  <si>
    <t>Internal Legal Costs vs. External Legal Costs</t>
  </si>
  <si>
    <t>Internal legal costs as a percent of external legal costs</t>
  </si>
  <si>
    <t>RLE-WP1</t>
  </si>
  <si>
    <t>RLE-WP2</t>
  </si>
  <si>
    <t>RLE-WP3</t>
  </si>
  <si>
    <t>RLE-WP4</t>
  </si>
  <si>
    <t>RLE-WP5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</si>
</sst>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d/yyyy;@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\$\ #,##0"/>
    <numFmt numFmtId="169" formatCode="\$#,##0"/>
    <numFmt numFmtId="170" formatCode="0.0"/>
    <numFmt numFmtId="171" formatCode="[$-409]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31F20"/>
      <name val="Calibri"/>
      <family val="2"/>
      <scheme val="minor"/>
    </font>
    <font>
      <sz val="11"/>
      <name val="Calibri"/>
      <family val="2"/>
      <scheme val="minor"/>
    </font>
    <font>
      <sz val="11"/>
      <color rgb="FF231F2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</font>
    <font>
      <b/>
      <sz val="10"/>
      <color rgb="FF231F20"/>
      <name val="Arial"/>
      <family val="2"/>
    </font>
    <font>
      <sz val="10"/>
      <name val="Arial"/>
    </font>
    <font>
      <sz val="10"/>
      <color rgb="FF231F20"/>
      <name val="Arial"/>
      <family val="2"/>
    </font>
    <font>
      <vertAlign val="superscript"/>
      <sz val="10"/>
      <color rgb="FF231F2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F1F2"/>
      </patternFill>
    </fill>
    <fill>
      <patternFill patternType="solid">
        <fgColor rgb="FFFCF9CE"/>
      </patternFill>
    </fill>
  </fills>
  <borders count="37">
    <border>
      <left/>
      <right/>
      <top/>
      <bottom/>
      <diagonal/>
    </border>
    <border>
      <left/>
      <right style="thin">
        <color rgb="FF929597"/>
      </right>
      <top/>
      <bottom/>
      <diagonal/>
    </border>
    <border>
      <left/>
      <right/>
      <top style="thin">
        <color rgb="FF929597"/>
      </top>
      <bottom style="thin">
        <color indexed="64"/>
      </bottom>
      <diagonal/>
    </border>
    <border>
      <left/>
      <right style="thin">
        <color rgb="FF929597"/>
      </right>
      <top style="thin">
        <color rgb="FF929597"/>
      </top>
      <bottom style="thin">
        <color indexed="64"/>
      </bottom>
      <diagonal/>
    </border>
    <border>
      <left style="thin">
        <color rgb="FF929597"/>
      </left>
      <right/>
      <top style="thin">
        <color rgb="FF929597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 vertical="top"/>
    </xf>
    <xf numFmtId="165" fontId="0" fillId="0" borderId="0" xfId="1" applyNumberFormat="1" applyFont="1"/>
    <xf numFmtId="1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vertical="top"/>
    </xf>
    <xf numFmtId="0" fontId="0" fillId="0" borderId="2" xfId="0" applyBorder="1" applyAlignment="1">
      <alignment horizontal="center" wrapText="1"/>
    </xf>
    <xf numFmtId="165" fontId="3" fillId="2" borderId="0" xfId="1" applyNumberFormat="1" applyFont="1" applyFill="1" applyAlignment="1">
      <alignment horizontal="left" vertical="top" wrapText="1" indent="3"/>
    </xf>
    <xf numFmtId="0" fontId="3" fillId="2" borderId="0" xfId="0" applyFont="1" applyFill="1" applyAlignment="1">
      <alignment horizontal="left" vertical="top" wrapText="1" indent="3"/>
    </xf>
    <xf numFmtId="0" fontId="3" fillId="0" borderId="0" xfId="0" applyFont="1" applyAlignment="1">
      <alignment horizontal="left" vertical="top" wrapText="1" indent="3"/>
    </xf>
    <xf numFmtId="0" fontId="0" fillId="0" borderId="4" xfId="0" applyBorder="1" applyAlignment="1">
      <alignment horizontal="center" wrapText="1"/>
    </xf>
    <xf numFmtId="9" fontId="0" fillId="0" borderId="0" xfId="2" applyFont="1"/>
    <xf numFmtId="9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/>
    <xf numFmtId="10" fontId="0" fillId="0" borderId="0" xfId="2" applyNumberFormat="1" applyFont="1"/>
    <xf numFmtId="0" fontId="0" fillId="0" borderId="0" xfId="0" applyAlignment="1">
      <alignment horizontal="left"/>
    </xf>
    <xf numFmtId="1" fontId="0" fillId="0" borderId="0" xfId="0" applyNumberFormat="1"/>
    <xf numFmtId="0" fontId="5" fillId="0" borderId="0" xfId="0" applyFont="1"/>
    <xf numFmtId="0" fontId="0" fillId="0" borderId="0" xfId="0" quotePrefix="1" applyAlignment="1">
      <alignment horizontal="center"/>
    </xf>
    <xf numFmtId="166" fontId="0" fillId="0" borderId="0" xfId="2" applyNumberFormat="1" applyFont="1"/>
    <xf numFmtId="167" fontId="0" fillId="0" borderId="0" xfId="3" applyNumberFormat="1" applyFont="1"/>
    <xf numFmtId="0" fontId="0" fillId="0" borderId="5" xfId="0" applyBorder="1"/>
    <xf numFmtId="0" fontId="0" fillId="0" borderId="6" xfId="0" applyBorder="1"/>
    <xf numFmtId="167" fontId="0" fillId="0" borderId="0" xfId="0" applyNumberFormat="1"/>
    <xf numFmtId="0" fontId="6" fillId="0" borderId="0" xfId="4" applyAlignment="1">
      <alignment vertical="top"/>
    </xf>
    <xf numFmtId="43" fontId="7" fillId="0" borderId="0" xfId="5" applyFont="1" applyAlignment="1">
      <alignment vertical="top"/>
    </xf>
    <xf numFmtId="44" fontId="7" fillId="0" borderId="0" xfId="3" applyFont="1" applyAlignment="1">
      <alignment vertical="top"/>
    </xf>
    <xf numFmtId="44" fontId="6" fillId="0" borderId="0" xfId="3" applyFont="1" applyAlignment="1">
      <alignment horizontal="right" vertical="top"/>
    </xf>
    <xf numFmtId="168" fontId="11" fillId="0" borderId="9" xfId="0" applyNumberFormat="1" applyFont="1" applyBorder="1" applyAlignment="1">
      <alignment horizontal="center" vertical="top" shrinkToFit="1"/>
    </xf>
    <xf numFmtId="169" fontId="11" fillId="0" borderId="9" xfId="0" applyNumberFormat="1" applyFont="1" applyBorder="1" applyAlignment="1">
      <alignment horizontal="center" vertical="top" shrinkToFit="1"/>
    </xf>
    <xf numFmtId="170" fontId="11" fillId="0" borderId="9" xfId="0" applyNumberFormat="1" applyFont="1" applyBorder="1" applyAlignment="1">
      <alignment horizontal="left" vertical="top" indent="3" shrinkToFit="1"/>
    </xf>
    <xf numFmtId="170" fontId="11" fillId="0" borderId="9" xfId="0" applyNumberFormat="1" applyFont="1" applyBorder="1" applyAlignment="1">
      <alignment horizontal="left" vertical="top" indent="4" shrinkToFit="1"/>
    </xf>
    <xf numFmtId="0" fontId="10" fillId="0" borderId="9" xfId="0" applyFont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168" fontId="0" fillId="0" borderId="0" xfId="0" applyNumberFormat="1"/>
    <xf numFmtId="43" fontId="0" fillId="0" borderId="0" xfId="1" applyFont="1"/>
    <xf numFmtId="0" fontId="5" fillId="0" borderId="13" xfId="0" applyFont="1" applyBorder="1"/>
    <xf numFmtId="0" fontId="5" fillId="0" borderId="15" xfId="0" applyFont="1" applyBorder="1" applyAlignment="1">
      <alignment horizontal="center" wrapText="1"/>
    </xf>
    <xf numFmtId="0" fontId="0" fillId="0" borderId="13" xfId="0" applyBorder="1"/>
    <xf numFmtId="0" fontId="5" fillId="0" borderId="16" xfId="0" applyFont="1" applyBorder="1"/>
    <xf numFmtId="0" fontId="0" fillId="0" borderId="16" xfId="0" applyBorder="1"/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1" xfId="0" applyFont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/>
    <xf numFmtId="43" fontId="0" fillId="0" borderId="28" xfId="1" applyFont="1" applyBorder="1"/>
    <xf numFmtId="43" fontId="0" fillId="0" borderId="29" xfId="1" applyFont="1" applyBorder="1"/>
    <xf numFmtId="0" fontId="0" fillId="0" borderId="29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30" xfId="0" applyBorder="1"/>
    <xf numFmtId="43" fontId="0" fillId="0" borderId="18" xfId="1" applyFont="1" applyBorder="1"/>
    <xf numFmtId="43" fontId="0" fillId="0" borderId="17" xfId="1" applyFont="1" applyBorder="1"/>
    <xf numFmtId="0" fontId="0" fillId="0" borderId="31" xfId="0" applyBorder="1"/>
    <xf numFmtId="0" fontId="0" fillId="0" borderId="3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  <xf numFmtId="43" fontId="0" fillId="0" borderId="32" xfId="1" applyFont="1" applyBorder="1"/>
    <xf numFmtId="43" fontId="0" fillId="0" borderId="33" xfId="1" applyFont="1" applyBorder="1"/>
    <xf numFmtId="0" fontId="0" fillId="0" borderId="34" xfId="0" applyBorder="1"/>
    <xf numFmtId="0" fontId="0" fillId="0" borderId="35" xfId="0" applyBorder="1" applyAlignment="1">
      <alignment horizontal="center"/>
    </xf>
    <xf numFmtId="1" fontId="0" fillId="0" borderId="36" xfId="0" applyNumberFormat="1" applyBorder="1" applyAlignment="1">
      <alignment horizontal="center"/>
    </xf>
    <xf numFmtId="44" fontId="0" fillId="0" borderId="0" xfId="3" applyFont="1"/>
    <xf numFmtId="44" fontId="0" fillId="0" borderId="0" xfId="0" applyNumberFormat="1"/>
    <xf numFmtId="44" fontId="6" fillId="0" borderId="0" xfId="3" applyFont="1" applyAlignment="1">
      <alignment vertical="top"/>
    </xf>
    <xf numFmtId="44" fontId="6" fillId="0" borderId="5" xfId="3" applyFont="1" applyBorder="1" applyAlignment="1">
      <alignment vertical="top"/>
    </xf>
    <xf numFmtId="0" fontId="13" fillId="0" borderId="0" xfId="0" applyFont="1"/>
    <xf numFmtId="44" fontId="5" fillId="0" borderId="0" xfId="0" applyNumberFormat="1" applyFont="1"/>
    <xf numFmtId="171" fontId="0" fillId="0" borderId="0" xfId="0" applyNumberFormat="1" applyAlignment="1">
      <alignment horizontal="center"/>
    </xf>
    <xf numFmtId="17" fontId="6" fillId="0" borderId="0" xfId="4" applyNumberFormat="1" applyAlignment="1">
      <alignment horizontal="center" vertical="top"/>
    </xf>
    <xf numFmtId="17" fontId="6" fillId="0" borderId="5" xfId="4" applyNumberForma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 indent="3"/>
    </xf>
    <xf numFmtId="0" fontId="8" fillId="3" borderId="8" xfId="0" applyFont="1" applyFill="1" applyBorder="1" applyAlignment="1">
      <alignment horizontal="left" vertical="top" wrapText="1" indent="3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64" fontId="2" fillId="0" borderId="0" xfId="0" applyNumberFormat="1" applyFont="1" applyAlignment="1">
      <alignment horizontal="left" vertical="top" shrinkToFit="1"/>
    </xf>
    <xf numFmtId="164" fontId="2" fillId="0" borderId="1" xfId="0" applyNumberFormat="1" applyFont="1" applyBorder="1" applyAlignment="1">
      <alignment horizontal="left" vertical="top" shrinkToFi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2" fillId="2" borderId="0" xfId="0" applyNumberFormat="1" applyFont="1" applyFill="1" applyAlignment="1">
      <alignment horizontal="left" vertical="top" shrinkToFit="1"/>
    </xf>
    <xf numFmtId="164" fontId="2" fillId="2" borderId="1" xfId="0" applyNumberFormat="1" applyFont="1" applyFill="1" applyBorder="1" applyAlignment="1">
      <alignment horizontal="left" vertical="top" shrinkToFit="1"/>
    </xf>
  </cellXfs>
  <cellStyles count="7">
    <cellStyle name="Comma" xfId="1" builtinId="3"/>
    <cellStyle name="Comma 2" xfId="5"/>
    <cellStyle name="Comma 3" xfId="6"/>
    <cellStyle name="Currency" xfId="3" builtinId="4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'[1]Figure for Testimony'!$A$2:$A$67</c:f>
              <c:numCache>
                <c:formatCode>General</c:formatCode>
                <c:ptCount val="66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</c:numCache>
            </c:numRef>
          </c:xVal>
          <c:yVal>
            <c:numRef>
              <c:f>'[1]Figure for Testimony'!$B$2:$B$67</c:f>
              <c:numCache>
                <c:formatCode>General</c:formatCode>
                <c:ptCount val="66"/>
                <c:pt idx="0">
                  <c:v>21</c:v>
                </c:pt>
                <c:pt idx="1">
                  <c:v>19</c:v>
                </c:pt>
                <c:pt idx="2">
                  <c:v>26</c:v>
                </c:pt>
                <c:pt idx="3">
                  <c:v>22</c:v>
                </c:pt>
                <c:pt idx="4">
                  <c:v>20</c:v>
                </c:pt>
                <c:pt idx="5">
                  <c:v>15</c:v>
                </c:pt>
                <c:pt idx="6">
                  <c:v>18.5</c:v>
                </c:pt>
                <c:pt idx="7">
                  <c:v>34</c:v>
                </c:pt>
                <c:pt idx="8">
                  <c:v>19.5</c:v>
                </c:pt>
                <c:pt idx="9">
                  <c:v>30</c:v>
                </c:pt>
                <c:pt idx="10">
                  <c:v>30</c:v>
                </c:pt>
                <c:pt idx="11">
                  <c:v>22</c:v>
                </c:pt>
                <c:pt idx="12">
                  <c:v>18</c:v>
                </c:pt>
                <c:pt idx="13">
                  <c:v>32</c:v>
                </c:pt>
                <c:pt idx="14">
                  <c:v>15</c:v>
                </c:pt>
                <c:pt idx="15">
                  <c:v>31.5</c:v>
                </c:pt>
                <c:pt idx="16">
                  <c:v>33.5</c:v>
                </c:pt>
                <c:pt idx="17">
                  <c:v>30.5</c:v>
                </c:pt>
                <c:pt idx="18">
                  <c:v>12</c:v>
                </c:pt>
                <c:pt idx="19">
                  <c:v>34.5</c:v>
                </c:pt>
                <c:pt idx="20">
                  <c:v>28</c:v>
                </c:pt>
                <c:pt idx="21">
                  <c:v>20.5</c:v>
                </c:pt>
                <c:pt idx="22">
                  <c:v>19</c:v>
                </c:pt>
                <c:pt idx="23">
                  <c:v>24</c:v>
                </c:pt>
                <c:pt idx="24">
                  <c:v>29.5</c:v>
                </c:pt>
                <c:pt idx="25">
                  <c:v>27.5</c:v>
                </c:pt>
                <c:pt idx="26">
                  <c:v>29.5</c:v>
                </c:pt>
                <c:pt idx="27">
                  <c:v>28.5</c:v>
                </c:pt>
                <c:pt idx="28">
                  <c:v>18.5</c:v>
                </c:pt>
                <c:pt idx="29">
                  <c:v>23</c:v>
                </c:pt>
                <c:pt idx="30">
                  <c:v>27.5</c:v>
                </c:pt>
                <c:pt idx="31">
                  <c:v>19.5</c:v>
                </c:pt>
                <c:pt idx="32">
                  <c:v>30.5</c:v>
                </c:pt>
                <c:pt idx="33">
                  <c:v>17</c:v>
                </c:pt>
                <c:pt idx="34">
                  <c:v>25.5</c:v>
                </c:pt>
                <c:pt idx="35">
                  <c:v>18</c:v>
                </c:pt>
                <c:pt idx="36">
                  <c:v>31</c:v>
                </c:pt>
                <c:pt idx="37">
                  <c:v>30</c:v>
                </c:pt>
                <c:pt idx="38">
                  <c:v>14.5</c:v>
                </c:pt>
                <c:pt idx="39">
                  <c:v>27.5</c:v>
                </c:pt>
                <c:pt idx="40">
                  <c:v>16</c:v>
                </c:pt>
                <c:pt idx="41">
                  <c:v>33</c:v>
                </c:pt>
                <c:pt idx="42">
                  <c:v>28</c:v>
                </c:pt>
                <c:pt idx="43">
                  <c:v>27</c:v>
                </c:pt>
                <c:pt idx="44">
                  <c:v>28</c:v>
                </c:pt>
                <c:pt idx="45">
                  <c:v>22.5</c:v>
                </c:pt>
                <c:pt idx="46">
                  <c:v>28</c:v>
                </c:pt>
                <c:pt idx="47">
                  <c:v>26</c:v>
                </c:pt>
                <c:pt idx="48">
                  <c:v>19.5</c:v>
                </c:pt>
                <c:pt idx="49">
                  <c:v>34</c:v>
                </c:pt>
                <c:pt idx="50">
                  <c:v>32.5</c:v>
                </c:pt>
                <c:pt idx="51">
                  <c:v>29.5</c:v>
                </c:pt>
                <c:pt idx="52">
                  <c:v>35</c:v>
                </c:pt>
                <c:pt idx="53">
                  <c:v>23</c:v>
                </c:pt>
                <c:pt idx="54">
                  <c:v>31</c:v>
                </c:pt>
                <c:pt idx="55">
                  <c:v>32</c:v>
                </c:pt>
                <c:pt idx="56">
                  <c:v>22.5</c:v>
                </c:pt>
                <c:pt idx="57">
                  <c:v>32</c:v>
                </c:pt>
                <c:pt idx="58">
                  <c:v>20</c:v>
                </c:pt>
                <c:pt idx="59">
                  <c:v>25</c:v>
                </c:pt>
                <c:pt idx="60">
                  <c:v>20.5</c:v>
                </c:pt>
                <c:pt idx="61">
                  <c:v>28.5</c:v>
                </c:pt>
                <c:pt idx="62">
                  <c:v>30</c:v>
                </c:pt>
                <c:pt idx="63">
                  <c:v>25</c:v>
                </c:pt>
                <c:pt idx="64">
                  <c:v>30</c:v>
                </c:pt>
                <c:pt idx="65">
                  <c:v>31.5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EE-4264-9E3B-3C199B9D7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454544"/>
        <c:axId val="1639826432"/>
      </c:scatterChart>
      <c:valAx>
        <c:axId val="1709454544"/>
        <c:scaling>
          <c:orientation val="minMax"/>
          <c:max val="2015"/>
          <c:min val="19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826432"/>
        <c:crosses val="autoZero"/>
        <c:crossBetween val="midCat"/>
      </c:valAx>
      <c:valAx>
        <c:axId val="1639826432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9454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'[2]Chi-Squared'!$E$2:$E$11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'[2]Chi-Squared'!$F$2:$F$11</c:f>
              <c:numCache>
                <c:formatCode>General</c:formatCode>
                <c:ptCount val="10"/>
                <c:pt idx="0">
                  <c:v>17</c:v>
                </c:pt>
                <c:pt idx="1">
                  <c:v>1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6">
                  <c:v>7</c:v>
                </c:pt>
                <c:pt idx="7">
                  <c:v>1</c:v>
                </c:pt>
                <c:pt idx="8">
                  <c:v>13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1CC-8401-7DF004769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42256"/>
        <c:axId val="1538617456"/>
      </c:barChart>
      <c:catAx>
        <c:axId val="58534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Last DIgit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617456"/>
        <c:crosses val="autoZero"/>
        <c:auto val="1"/>
        <c:lblAlgn val="ctr"/>
        <c:lblOffset val="100"/>
        <c:noMultiLvlLbl val="0"/>
      </c:catAx>
      <c:valAx>
        <c:axId val="153861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Last Digit Count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342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6666</xdr:colOff>
      <xdr:row>6</xdr:row>
      <xdr:rowOff>19050</xdr:rowOff>
    </xdr:from>
    <xdr:to>
      <xdr:col>14</xdr:col>
      <xdr:colOff>140970</xdr:colOff>
      <xdr:row>32</xdr:row>
      <xdr:rowOff>58102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516387-B77F-4B7C-A041-8E0DCFB79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606741</xdr:colOff>
      <xdr:row>17</xdr:row>
      <xdr:rowOff>117157</xdr:rowOff>
    </xdr:from>
    <xdr:to>
      <xdr:col>20</xdr:col>
      <xdr:colOff>137159</xdr:colOff>
      <xdr:row>38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A696441-2DE4-4E91-913F-E31B65540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!alea/projects/WATG/archive/PSE%202022%20GRC/PSE%20LNG%202023/topics/design%20day/projection%20analysis/temperature%20data/SEATAC%20temps%203083094%20-%20marku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!alea/projects/WATG/archive/PSE%202022%20GRC/PSE%20LNG%202023/topics/legal%20expenses/Chi-Squa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irical CDF (2)"/>
      <sheetName val="empirical CDF"/>
      <sheetName val="increasing mins"/>
      <sheetName val="winter minima"/>
      <sheetName val="winter data"/>
      <sheetName val="filter dates"/>
      <sheetName val="orig data"/>
      <sheetName val="filter dates 23"/>
      <sheetName val="winter data 23"/>
      <sheetName val="winter mins 23"/>
      <sheetName val="Figure for Testimony"/>
      <sheetName val="HDD maxes"/>
      <sheetName val="HDD maxes 1950 on"/>
      <sheetName val="HDD CDF"/>
      <sheetName val="HDD CDF 1950 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1950</v>
          </cell>
          <cell r="B2">
            <v>21</v>
          </cell>
        </row>
        <row r="3">
          <cell r="A3">
            <v>1951</v>
          </cell>
          <cell r="B3">
            <v>19</v>
          </cell>
        </row>
        <row r="4">
          <cell r="A4">
            <v>1952</v>
          </cell>
          <cell r="B4">
            <v>26</v>
          </cell>
        </row>
        <row r="5">
          <cell r="A5">
            <v>1953</v>
          </cell>
          <cell r="B5">
            <v>22</v>
          </cell>
        </row>
        <row r="6">
          <cell r="A6">
            <v>1954</v>
          </cell>
          <cell r="B6">
            <v>20</v>
          </cell>
        </row>
        <row r="7">
          <cell r="A7">
            <v>1955</v>
          </cell>
          <cell r="B7">
            <v>15</v>
          </cell>
        </row>
        <row r="8">
          <cell r="A8">
            <v>1956</v>
          </cell>
          <cell r="B8">
            <v>18.5</v>
          </cell>
        </row>
        <row r="9">
          <cell r="A9">
            <v>1957</v>
          </cell>
          <cell r="B9">
            <v>34</v>
          </cell>
        </row>
        <row r="10">
          <cell r="A10">
            <v>1958</v>
          </cell>
          <cell r="B10">
            <v>19.5</v>
          </cell>
        </row>
        <row r="11">
          <cell r="A11">
            <v>1959</v>
          </cell>
          <cell r="B11">
            <v>30</v>
          </cell>
        </row>
        <row r="12">
          <cell r="A12">
            <v>1960</v>
          </cell>
          <cell r="B12">
            <v>30</v>
          </cell>
        </row>
        <row r="13">
          <cell r="A13">
            <v>1961</v>
          </cell>
          <cell r="B13">
            <v>22</v>
          </cell>
        </row>
        <row r="14">
          <cell r="A14">
            <v>1962</v>
          </cell>
          <cell r="B14">
            <v>18</v>
          </cell>
        </row>
        <row r="15">
          <cell r="A15">
            <v>1963</v>
          </cell>
          <cell r="B15">
            <v>32</v>
          </cell>
        </row>
        <row r="16">
          <cell r="A16">
            <v>1964</v>
          </cell>
          <cell r="B16">
            <v>15</v>
          </cell>
        </row>
        <row r="17">
          <cell r="A17">
            <v>1965</v>
          </cell>
          <cell r="B17">
            <v>31.5</v>
          </cell>
        </row>
        <row r="18">
          <cell r="A18">
            <v>1966</v>
          </cell>
          <cell r="B18">
            <v>33.5</v>
          </cell>
        </row>
        <row r="19">
          <cell r="A19">
            <v>1967</v>
          </cell>
          <cell r="B19">
            <v>30.5</v>
          </cell>
        </row>
        <row r="20">
          <cell r="A20">
            <v>1968</v>
          </cell>
          <cell r="B20">
            <v>12</v>
          </cell>
        </row>
        <row r="21">
          <cell r="A21">
            <v>1969</v>
          </cell>
          <cell r="B21">
            <v>34.5</v>
          </cell>
        </row>
        <row r="22">
          <cell r="A22">
            <v>1970</v>
          </cell>
          <cell r="B22">
            <v>28</v>
          </cell>
        </row>
        <row r="23">
          <cell r="A23">
            <v>1971</v>
          </cell>
          <cell r="B23">
            <v>20.5</v>
          </cell>
        </row>
        <row r="24">
          <cell r="A24">
            <v>1972</v>
          </cell>
          <cell r="B24">
            <v>19</v>
          </cell>
        </row>
        <row r="25">
          <cell r="A25">
            <v>1973</v>
          </cell>
          <cell r="B25">
            <v>24</v>
          </cell>
        </row>
        <row r="26">
          <cell r="A26">
            <v>1974</v>
          </cell>
          <cell r="B26">
            <v>29.5</v>
          </cell>
        </row>
        <row r="27">
          <cell r="A27">
            <v>1975</v>
          </cell>
          <cell r="B27">
            <v>27.5</v>
          </cell>
        </row>
        <row r="28">
          <cell r="A28">
            <v>1976</v>
          </cell>
          <cell r="B28">
            <v>29.5</v>
          </cell>
        </row>
        <row r="29">
          <cell r="A29">
            <v>1977</v>
          </cell>
          <cell r="B29">
            <v>28.5</v>
          </cell>
        </row>
        <row r="30">
          <cell r="A30">
            <v>1978</v>
          </cell>
          <cell r="B30">
            <v>18.5</v>
          </cell>
        </row>
        <row r="31">
          <cell r="A31">
            <v>1979</v>
          </cell>
          <cell r="B31">
            <v>23</v>
          </cell>
        </row>
        <row r="32">
          <cell r="A32">
            <v>1980</v>
          </cell>
          <cell r="B32">
            <v>27.5</v>
          </cell>
        </row>
        <row r="33">
          <cell r="A33">
            <v>1981</v>
          </cell>
          <cell r="B33">
            <v>19.5</v>
          </cell>
        </row>
        <row r="34">
          <cell r="A34">
            <v>1982</v>
          </cell>
          <cell r="B34">
            <v>30.5</v>
          </cell>
        </row>
        <row r="35">
          <cell r="A35">
            <v>1983</v>
          </cell>
          <cell r="B35">
            <v>17</v>
          </cell>
        </row>
        <row r="36">
          <cell r="A36">
            <v>1984</v>
          </cell>
          <cell r="B36">
            <v>25.5</v>
          </cell>
        </row>
        <row r="37">
          <cell r="A37">
            <v>1985</v>
          </cell>
          <cell r="B37">
            <v>18</v>
          </cell>
        </row>
        <row r="38">
          <cell r="A38">
            <v>1986</v>
          </cell>
          <cell r="B38">
            <v>31</v>
          </cell>
        </row>
        <row r="39">
          <cell r="A39">
            <v>1987</v>
          </cell>
          <cell r="B39">
            <v>30</v>
          </cell>
        </row>
        <row r="40">
          <cell r="A40">
            <v>1988</v>
          </cell>
          <cell r="B40">
            <v>14.5</v>
          </cell>
        </row>
        <row r="41">
          <cell r="A41">
            <v>1989</v>
          </cell>
          <cell r="B41">
            <v>27.5</v>
          </cell>
        </row>
        <row r="42">
          <cell r="A42">
            <v>1990</v>
          </cell>
          <cell r="B42">
            <v>16</v>
          </cell>
        </row>
        <row r="43">
          <cell r="A43">
            <v>1991</v>
          </cell>
          <cell r="B43">
            <v>33</v>
          </cell>
        </row>
        <row r="44">
          <cell r="A44">
            <v>1992</v>
          </cell>
          <cell r="B44">
            <v>28</v>
          </cell>
        </row>
        <row r="45">
          <cell r="A45">
            <v>1993</v>
          </cell>
          <cell r="B45">
            <v>27</v>
          </cell>
        </row>
        <row r="46">
          <cell r="A46">
            <v>1994</v>
          </cell>
          <cell r="B46">
            <v>28</v>
          </cell>
        </row>
        <row r="47">
          <cell r="A47">
            <v>1995</v>
          </cell>
          <cell r="B47">
            <v>22.5</v>
          </cell>
        </row>
        <row r="48">
          <cell r="A48">
            <v>1996</v>
          </cell>
          <cell r="B48">
            <v>28</v>
          </cell>
        </row>
        <row r="49">
          <cell r="A49">
            <v>1997</v>
          </cell>
          <cell r="B49">
            <v>26</v>
          </cell>
        </row>
        <row r="50">
          <cell r="A50">
            <v>1998</v>
          </cell>
          <cell r="B50">
            <v>19.5</v>
          </cell>
        </row>
        <row r="51">
          <cell r="A51">
            <v>1999</v>
          </cell>
          <cell r="B51">
            <v>34</v>
          </cell>
        </row>
        <row r="52">
          <cell r="A52">
            <v>2000</v>
          </cell>
          <cell r="B52">
            <v>32.5</v>
          </cell>
        </row>
        <row r="53">
          <cell r="A53">
            <v>2001</v>
          </cell>
          <cell r="B53">
            <v>29.5</v>
          </cell>
        </row>
        <row r="54">
          <cell r="A54">
            <v>2002</v>
          </cell>
          <cell r="B54">
            <v>35</v>
          </cell>
        </row>
        <row r="55">
          <cell r="A55">
            <v>2003</v>
          </cell>
          <cell r="B55">
            <v>23</v>
          </cell>
        </row>
        <row r="56">
          <cell r="A56">
            <v>2004</v>
          </cell>
          <cell r="B56">
            <v>31</v>
          </cell>
        </row>
        <row r="57">
          <cell r="A57">
            <v>2005</v>
          </cell>
          <cell r="B57">
            <v>32</v>
          </cell>
        </row>
        <row r="58">
          <cell r="A58">
            <v>2006</v>
          </cell>
          <cell r="B58">
            <v>22.5</v>
          </cell>
        </row>
        <row r="59">
          <cell r="A59">
            <v>2007</v>
          </cell>
          <cell r="B59">
            <v>32</v>
          </cell>
        </row>
        <row r="60">
          <cell r="A60">
            <v>2008</v>
          </cell>
          <cell r="B60">
            <v>20</v>
          </cell>
        </row>
        <row r="61">
          <cell r="A61">
            <v>2009</v>
          </cell>
          <cell r="B61">
            <v>25</v>
          </cell>
        </row>
        <row r="62">
          <cell r="A62">
            <v>2010</v>
          </cell>
          <cell r="B62">
            <v>20.5</v>
          </cell>
        </row>
        <row r="63">
          <cell r="A63">
            <v>2011</v>
          </cell>
          <cell r="B63">
            <v>28.5</v>
          </cell>
        </row>
        <row r="64">
          <cell r="A64">
            <v>2012</v>
          </cell>
          <cell r="B64">
            <v>30</v>
          </cell>
        </row>
        <row r="65">
          <cell r="A65">
            <v>2013</v>
          </cell>
          <cell r="B65">
            <v>25</v>
          </cell>
        </row>
        <row r="66">
          <cell r="A66">
            <v>2014</v>
          </cell>
          <cell r="B66">
            <v>30</v>
          </cell>
        </row>
        <row r="67">
          <cell r="A67">
            <v>2015</v>
          </cell>
          <cell r="B67">
            <v>31.5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NG Legal Costs"/>
      <sheetName val="Chi-Squared"/>
      <sheetName val="t-test"/>
    </sheetNames>
    <sheetDataSet>
      <sheetData sheetId="0"/>
      <sheetData sheetId="1">
        <row r="2">
          <cell r="E2">
            <v>0</v>
          </cell>
          <cell r="F2">
            <v>17</v>
          </cell>
        </row>
        <row r="3">
          <cell r="E3">
            <v>1</v>
          </cell>
          <cell r="F3">
            <v>1</v>
          </cell>
        </row>
        <row r="4">
          <cell r="E4">
            <v>2</v>
          </cell>
          <cell r="F4">
            <v>8</v>
          </cell>
        </row>
        <row r="5">
          <cell r="E5">
            <v>3</v>
          </cell>
          <cell r="F5">
            <v>6</v>
          </cell>
        </row>
        <row r="6">
          <cell r="E6">
            <v>4</v>
          </cell>
          <cell r="F6">
            <v>8</v>
          </cell>
        </row>
        <row r="7">
          <cell r="E7">
            <v>5</v>
          </cell>
          <cell r="F7">
            <v>2</v>
          </cell>
        </row>
        <row r="8">
          <cell r="E8">
            <v>6</v>
          </cell>
          <cell r="F8">
            <v>7</v>
          </cell>
        </row>
        <row r="9">
          <cell r="E9">
            <v>7</v>
          </cell>
          <cell r="F9">
            <v>1</v>
          </cell>
        </row>
        <row r="10">
          <cell r="E10">
            <v>8</v>
          </cell>
          <cell r="F10">
            <v>13</v>
          </cell>
        </row>
        <row r="11">
          <cell r="E11">
            <v>9</v>
          </cell>
          <cell r="F11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workbookViewId="0">
      <selection activeCell="H1" sqref="H1"/>
    </sheetView>
  </sheetViews>
  <sheetFormatPr defaultRowHeight="14.5" x14ac:dyDescent="0.35"/>
  <cols>
    <col min="2" max="2" width="13.90625" bestFit="1" customWidth="1"/>
    <col min="4" max="4" width="14.1796875" customWidth="1"/>
    <col min="5" max="5" width="12.81640625" customWidth="1"/>
    <col min="6" max="6" width="14.453125" customWidth="1"/>
  </cols>
  <sheetData>
    <row r="1" spans="2:8" x14ac:dyDescent="0.35">
      <c r="H1" t="s">
        <v>145</v>
      </c>
    </row>
    <row r="3" spans="2:8" x14ac:dyDescent="0.35">
      <c r="B3" t="s">
        <v>97</v>
      </c>
    </row>
    <row r="4" spans="2:8" ht="26" x14ac:dyDescent="0.35">
      <c r="B4" s="82" t="s">
        <v>83</v>
      </c>
      <c r="C4" s="83"/>
      <c r="D4" s="34" t="s">
        <v>84</v>
      </c>
      <c r="E4" s="34" t="s">
        <v>85</v>
      </c>
      <c r="F4" s="34" t="s">
        <v>86</v>
      </c>
    </row>
    <row r="5" spans="2:8" x14ac:dyDescent="0.35">
      <c r="B5" s="80" t="s">
        <v>87</v>
      </c>
      <c r="C5" s="81"/>
      <c r="D5" s="29">
        <v>5195876</v>
      </c>
      <c r="E5" s="30">
        <v>238645</v>
      </c>
      <c r="F5" s="31">
        <v>21.8</v>
      </c>
    </row>
    <row r="6" spans="2:8" x14ac:dyDescent="0.35">
      <c r="B6" s="80" t="s">
        <v>88</v>
      </c>
      <c r="C6" s="81"/>
      <c r="D6" s="29">
        <v>3332322</v>
      </c>
      <c r="E6" s="30">
        <v>260798</v>
      </c>
      <c r="F6" s="31">
        <v>12.8</v>
      </c>
    </row>
    <row r="7" spans="2:8" x14ac:dyDescent="0.35">
      <c r="B7" s="80" t="s">
        <v>89</v>
      </c>
      <c r="C7" s="81"/>
      <c r="D7" s="29">
        <v>2026693</v>
      </c>
      <c r="E7" s="30">
        <v>423036</v>
      </c>
      <c r="F7" s="32">
        <v>4.8</v>
      </c>
    </row>
    <row r="8" spans="2:8" x14ac:dyDescent="0.35">
      <c r="B8" s="80" t="s">
        <v>90</v>
      </c>
      <c r="C8" s="81"/>
      <c r="D8" s="29">
        <v>1169251</v>
      </c>
      <c r="E8" s="30">
        <v>209789</v>
      </c>
      <c r="F8" s="32">
        <v>5.6</v>
      </c>
    </row>
    <row r="9" spans="2:8" x14ac:dyDescent="0.35">
      <c r="B9" s="80" t="s">
        <v>91</v>
      </c>
      <c r="C9" s="81"/>
      <c r="D9" s="29">
        <v>535076</v>
      </c>
      <c r="E9" s="30">
        <v>455153</v>
      </c>
      <c r="F9" s="32">
        <v>1.2</v>
      </c>
    </row>
    <row r="10" spans="2:8" x14ac:dyDescent="0.35">
      <c r="B10" s="80" t="s">
        <v>92</v>
      </c>
      <c r="C10" s="81"/>
      <c r="D10" s="29">
        <v>145373</v>
      </c>
      <c r="E10" s="30">
        <v>1684778</v>
      </c>
      <c r="F10" s="32">
        <v>0.1</v>
      </c>
    </row>
    <row r="11" spans="2:8" x14ac:dyDescent="0.35">
      <c r="B11" s="80" t="s">
        <v>93</v>
      </c>
      <c r="C11" s="81"/>
      <c r="D11" s="33" t="s">
        <v>94</v>
      </c>
      <c r="E11" s="30">
        <v>2531502</v>
      </c>
      <c r="F11" s="33" t="s">
        <v>95</v>
      </c>
    </row>
    <row r="12" spans="2:8" x14ac:dyDescent="0.35">
      <c r="B12" s="80" t="s">
        <v>96</v>
      </c>
      <c r="C12" s="81"/>
      <c r="D12" s="33" t="s">
        <v>94</v>
      </c>
      <c r="E12" s="30">
        <v>2831158</v>
      </c>
      <c r="F12" s="33" t="s">
        <v>95</v>
      </c>
    </row>
    <row r="15" spans="2:8" x14ac:dyDescent="0.35">
      <c r="B15" t="s">
        <v>98</v>
      </c>
    </row>
    <row r="16" spans="2:8" x14ac:dyDescent="0.35">
      <c r="B16" s="35">
        <f>SUM(D5:D9)</f>
        <v>12259218</v>
      </c>
    </row>
    <row r="17" spans="2:3" x14ac:dyDescent="0.35">
      <c r="B17" t="s">
        <v>101</v>
      </c>
    </row>
    <row r="18" spans="2:3" x14ac:dyDescent="0.35">
      <c r="B18" t="s">
        <v>99</v>
      </c>
      <c r="C18">
        <v>195.3</v>
      </c>
    </row>
    <row r="19" spans="2:3" x14ac:dyDescent="0.35">
      <c r="B19" t="s">
        <v>100</v>
      </c>
      <c r="C19">
        <v>240</v>
      </c>
    </row>
    <row r="21" spans="2:3" x14ac:dyDescent="0.35">
      <c r="B21" t="s">
        <v>102</v>
      </c>
    </row>
    <row r="22" spans="2:3" x14ac:dyDescent="0.35">
      <c r="B22" s="36">
        <f>(C19/C18)*B16</f>
        <v>15065091.24423963</v>
      </c>
    </row>
  </sheetData>
  <mergeCells count="9">
    <mergeCell ref="B10:C10"/>
    <mergeCell ref="B11:C11"/>
    <mergeCell ref="B12:C12"/>
    <mergeCell ref="B4:C4"/>
    <mergeCell ref="B5:C5"/>
    <mergeCell ref="B6:C6"/>
    <mergeCell ref="B7:C7"/>
    <mergeCell ref="B8:C8"/>
    <mergeCell ref="B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P1" sqref="P1"/>
    </sheetView>
  </sheetViews>
  <sheetFormatPr defaultRowHeight="14.5" x14ac:dyDescent="0.35"/>
  <sheetData>
    <row r="1" spans="1:16" x14ac:dyDescent="0.35">
      <c r="A1" t="s">
        <v>24</v>
      </c>
      <c r="B1" t="s">
        <v>25</v>
      </c>
      <c r="P1" t="s">
        <v>146</v>
      </c>
    </row>
    <row r="2" spans="1:16" x14ac:dyDescent="0.35">
      <c r="A2" s="16">
        <v>1950</v>
      </c>
      <c r="B2">
        <v>21</v>
      </c>
      <c r="G2" s="17">
        <f>PERCENTILE(B2:B67, 1/50)</f>
        <v>14.65</v>
      </c>
      <c r="H2" t="s">
        <v>26</v>
      </c>
      <c r="J2" t="s">
        <v>27</v>
      </c>
    </row>
    <row r="3" spans="1:16" x14ac:dyDescent="0.35">
      <c r="A3" s="16">
        <v>1951</v>
      </c>
      <c r="B3">
        <v>19</v>
      </c>
    </row>
    <row r="4" spans="1:16" x14ac:dyDescent="0.35">
      <c r="A4" s="16">
        <v>1952</v>
      </c>
      <c r="B4">
        <v>26</v>
      </c>
    </row>
    <row r="5" spans="1:16" x14ac:dyDescent="0.35">
      <c r="A5" s="16">
        <v>1953</v>
      </c>
      <c r="B5">
        <v>22</v>
      </c>
    </row>
    <row r="6" spans="1:16" x14ac:dyDescent="0.35">
      <c r="A6" s="16">
        <v>1954</v>
      </c>
      <c r="B6">
        <v>20</v>
      </c>
    </row>
    <row r="7" spans="1:16" x14ac:dyDescent="0.35">
      <c r="A7" s="16">
        <v>1955</v>
      </c>
      <c r="B7">
        <v>15</v>
      </c>
    </row>
    <row r="8" spans="1:16" x14ac:dyDescent="0.35">
      <c r="A8" s="16">
        <v>1956</v>
      </c>
      <c r="B8">
        <v>18.5</v>
      </c>
    </row>
    <row r="9" spans="1:16" x14ac:dyDescent="0.35">
      <c r="A9" s="16">
        <v>1957</v>
      </c>
      <c r="B9">
        <v>34</v>
      </c>
    </row>
    <row r="10" spans="1:16" x14ac:dyDescent="0.35">
      <c r="A10" s="16">
        <v>1958</v>
      </c>
      <c r="B10">
        <v>19.5</v>
      </c>
    </row>
    <row r="11" spans="1:16" x14ac:dyDescent="0.35">
      <c r="A11" s="16">
        <v>1959</v>
      </c>
      <c r="B11">
        <v>30</v>
      </c>
    </row>
    <row r="12" spans="1:16" x14ac:dyDescent="0.35">
      <c r="A12" s="16">
        <v>1960</v>
      </c>
      <c r="B12">
        <v>30</v>
      </c>
    </row>
    <row r="13" spans="1:16" x14ac:dyDescent="0.35">
      <c r="A13" s="16">
        <v>1961</v>
      </c>
      <c r="B13">
        <v>22</v>
      </c>
    </row>
    <row r="14" spans="1:16" x14ac:dyDescent="0.35">
      <c r="A14" s="16">
        <v>1962</v>
      </c>
      <c r="B14">
        <v>18</v>
      </c>
    </row>
    <row r="15" spans="1:16" x14ac:dyDescent="0.35">
      <c r="A15" s="16">
        <v>1963</v>
      </c>
      <c r="B15">
        <v>32</v>
      </c>
    </row>
    <row r="16" spans="1:16" x14ac:dyDescent="0.35">
      <c r="A16" s="16">
        <v>1964</v>
      </c>
      <c r="B16">
        <v>15</v>
      </c>
    </row>
    <row r="17" spans="1:2" x14ac:dyDescent="0.35">
      <c r="A17" s="16">
        <v>1965</v>
      </c>
      <c r="B17">
        <v>31.5</v>
      </c>
    </row>
    <row r="18" spans="1:2" x14ac:dyDescent="0.35">
      <c r="A18" s="16">
        <v>1966</v>
      </c>
      <c r="B18">
        <v>33.5</v>
      </c>
    </row>
    <row r="19" spans="1:2" x14ac:dyDescent="0.35">
      <c r="A19" s="16">
        <v>1967</v>
      </c>
      <c r="B19">
        <v>30.5</v>
      </c>
    </row>
    <row r="20" spans="1:2" x14ac:dyDescent="0.35">
      <c r="A20" s="16">
        <v>1968</v>
      </c>
      <c r="B20">
        <v>12</v>
      </c>
    </row>
    <row r="21" spans="1:2" x14ac:dyDescent="0.35">
      <c r="A21" s="16">
        <v>1969</v>
      </c>
      <c r="B21">
        <v>34.5</v>
      </c>
    </row>
    <row r="22" spans="1:2" x14ac:dyDescent="0.35">
      <c r="A22" s="16">
        <v>1970</v>
      </c>
      <c r="B22">
        <v>28</v>
      </c>
    </row>
    <row r="23" spans="1:2" x14ac:dyDescent="0.35">
      <c r="A23" s="16">
        <v>1971</v>
      </c>
      <c r="B23">
        <v>20.5</v>
      </c>
    </row>
    <row r="24" spans="1:2" x14ac:dyDescent="0.35">
      <c r="A24" s="16">
        <v>1972</v>
      </c>
      <c r="B24">
        <v>19</v>
      </c>
    </row>
    <row r="25" spans="1:2" x14ac:dyDescent="0.35">
      <c r="A25" s="16">
        <v>1973</v>
      </c>
      <c r="B25">
        <v>24</v>
      </c>
    </row>
    <row r="26" spans="1:2" x14ac:dyDescent="0.35">
      <c r="A26" s="16">
        <v>1974</v>
      </c>
      <c r="B26">
        <v>29.5</v>
      </c>
    </row>
    <row r="27" spans="1:2" x14ac:dyDescent="0.35">
      <c r="A27" s="16">
        <v>1975</v>
      </c>
      <c r="B27">
        <v>27.5</v>
      </c>
    </row>
    <row r="28" spans="1:2" x14ac:dyDescent="0.35">
      <c r="A28" s="16">
        <v>1976</v>
      </c>
      <c r="B28">
        <v>29.5</v>
      </c>
    </row>
    <row r="29" spans="1:2" x14ac:dyDescent="0.35">
      <c r="A29" s="16">
        <v>1977</v>
      </c>
      <c r="B29">
        <v>28.5</v>
      </c>
    </row>
    <row r="30" spans="1:2" x14ac:dyDescent="0.35">
      <c r="A30" s="16">
        <v>1978</v>
      </c>
      <c r="B30">
        <v>18.5</v>
      </c>
    </row>
    <row r="31" spans="1:2" x14ac:dyDescent="0.35">
      <c r="A31" s="16">
        <v>1979</v>
      </c>
      <c r="B31">
        <v>23</v>
      </c>
    </row>
    <row r="32" spans="1:2" x14ac:dyDescent="0.35">
      <c r="A32" s="16">
        <v>1980</v>
      </c>
      <c r="B32">
        <v>27.5</v>
      </c>
    </row>
    <row r="33" spans="1:2" x14ac:dyDescent="0.35">
      <c r="A33" s="16">
        <v>1981</v>
      </c>
      <c r="B33">
        <v>19.5</v>
      </c>
    </row>
    <row r="34" spans="1:2" x14ac:dyDescent="0.35">
      <c r="A34" s="16">
        <v>1982</v>
      </c>
      <c r="B34">
        <v>30.5</v>
      </c>
    </row>
    <row r="35" spans="1:2" x14ac:dyDescent="0.35">
      <c r="A35" s="16">
        <v>1983</v>
      </c>
      <c r="B35">
        <v>17</v>
      </c>
    </row>
    <row r="36" spans="1:2" x14ac:dyDescent="0.35">
      <c r="A36" s="16">
        <v>1984</v>
      </c>
      <c r="B36">
        <v>25.5</v>
      </c>
    </row>
    <row r="37" spans="1:2" x14ac:dyDescent="0.35">
      <c r="A37" s="16">
        <v>1985</v>
      </c>
      <c r="B37">
        <v>18</v>
      </c>
    </row>
    <row r="38" spans="1:2" x14ac:dyDescent="0.35">
      <c r="A38" s="16">
        <v>1986</v>
      </c>
      <c r="B38">
        <v>31</v>
      </c>
    </row>
    <row r="39" spans="1:2" x14ac:dyDescent="0.35">
      <c r="A39" s="16">
        <v>1987</v>
      </c>
      <c r="B39">
        <v>30</v>
      </c>
    </row>
    <row r="40" spans="1:2" x14ac:dyDescent="0.35">
      <c r="A40" s="16">
        <v>1988</v>
      </c>
      <c r="B40">
        <v>14.5</v>
      </c>
    </row>
    <row r="41" spans="1:2" x14ac:dyDescent="0.35">
      <c r="A41" s="16">
        <v>1989</v>
      </c>
      <c r="B41">
        <v>27.5</v>
      </c>
    </row>
    <row r="42" spans="1:2" x14ac:dyDescent="0.35">
      <c r="A42" s="16">
        <v>1990</v>
      </c>
      <c r="B42">
        <v>16</v>
      </c>
    </row>
    <row r="43" spans="1:2" x14ac:dyDescent="0.35">
      <c r="A43" s="16">
        <v>1991</v>
      </c>
      <c r="B43">
        <v>33</v>
      </c>
    </row>
    <row r="44" spans="1:2" x14ac:dyDescent="0.35">
      <c r="A44" s="16">
        <v>1992</v>
      </c>
      <c r="B44">
        <v>28</v>
      </c>
    </row>
    <row r="45" spans="1:2" x14ac:dyDescent="0.35">
      <c r="A45" s="16">
        <v>1993</v>
      </c>
      <c r="B45">
        <v>27</v>
      </c>
    </row>
    <row r="46" spans="1:2" x14ac:dyDescent="0.35">
      <c r="A46" s="16">
        <v>1994</v>
      </c>
      <c r="B46">
        <v>28</v>
      </c>
    </row>
    <row r="47" spans="1:2" x14ac:dyDescent="0.35">
      <c r="A47" s="16">
        <v>1995</v>
      </c>
      <c r="B47">
        <v>22.5</v>
      </c>
    </row>
    <row r="48" spans="1:2" x14ac:dyDescent="0.35">
      <c r="A48" s="16">
        <v>1996</v>
      </c>
      <c r="B48">
        <v>28</v>
      </c>
    </row>
    <row r="49" spans="1:2" x14ac:dyDescent="0.35">
      <c r="A49" s="16">
        <v>1997</v>
      </c>
      <c r="B49">
        <v>26</v>
      </c>
    </row>
    <row r="50" spans="1:2" x14ac:dyDescent="0.35">
      <c r="A50" s="16">
        <v>1998</v>
      </c>
      <c r="B50">
        <v>19.5</v>
      </c>
    </row>
    <row r="51" spans="1:2" x14ac:dyDescent="0.35">
      <c r="A51" s="16">
        <v>1999</v>
      </c>
      <c r="B51">
        <v>34</v>
      </c>
    </row>
    <row r="52" spans="1:2" x14ac:dyDescent="0.35">
      <c r="A52" s="16">
        <v>2000</v>
      </c>
      <c r="B52">
        <v>32.5</v>
      </c>
    </row>
    <row r="53" spans="1:2" x14ac:dyDescent="0.35">
      <c r="A53" s="16">
        <v>2001</v>
      </c>
      <c r="B53">
        <v>29.5</v>
      </c>
    </row>
    <row r="54" spans="1:2" x14ac:dyDescent="0.35">
      <c r="A54" s="16">
        <v>2002</v>
      </c>
      <c r="B54">
        <v>35</v>
      </c>
    </row>
    <row r="55" spans="1:2" x14ac:dyDescent="0.35">
      <c r="A55" s="16">
        <v>2003</v>
      </c>
      <c r="B55">
        <v>23</v>
      </c>
    </row>
    <row r="56" spans="1:2" x14ac:dyDescent="0.35">
      <c r="A56" s="16">
        <v>2004</v>
      </c>
      <c r="B56">
        <v>31</v>
      </c>
    </row>
    <row r="57" spans="1:2" x14ac:dyDescent="0.35">
      <c r="A57" s="16">
        <v>2005</v>
      </c>
      <c r="B57">
        <v>32</v>
      </c>
    </row>
    <row r="58" spans="1:2" x14ac:dyDescent="0.35">
      <c r="A58" s="16">
        <v>2006</v>
      </c>
      <c r="B58">
        <v>22.5</v>
      </c>
    </row>
    <row r="59" spans="1:2" x14ac:dyDescent="0.35">
      <c r="A59" s="16">
        <v>2007</v>
      </c>
      <c r="B59">
        <v>32</v>
      </c>
    </row>
    <row r="60" spans="1:2" x14ac:dyDescent="0.35">
      <c r="A60" s="16">
        <v>2008</v>
      </c>
      <c r="B60">
        <v>20</v>
      </c>
    </row>
    <row r="61" spans="1:2" x14ac:dyDescent="0.35">
      <c r="A61" s="16">
        <v>2009</v>
      </c>
      <c r="B61">
        <v>25</v>
      </c>
    </row>
    <row r="62" spans="1:2" x14ac:dyDescent="0.35">
      <c r="A62" s="16">
        <v>2010</v>
      </c>
      <c r="B62">
        <v>20.5</v>
      </c>
    </row>
    <row r="63" spans="1:2" x14ac:dyDescent="0.35">
      <c r="A63" s="16">
        <v>2011</v>
      </c>
      <c r="B63">
        <v>28.5</v>
      </c>
    </row>
    <row r="64" spans="1:2" x14ac:dyDescent="0.35">
      <c r="A64" s="16">
        <v>2012</v>
      </c>
      <c r="B64">
        <v>30</v>
      </c>
    </row>
    <row r="65" spans="1:2" x14ac:dyDescent="0.35">
      <c r="A65" s="16">
        <v>2013</v>
      </c>
      <c r="B65">
        <v>25</v>
      </c>
    </row>
    <row r="66" spans="1:2" x14ac:dyDescent="0.35">
      <c r="A66" s="16">
        <v>2014</v>
      </c>
      <c r="B66">
        <v>30</v>
      </c>
    </row>
    <row r="67" spans="1:2" x14ac:dyDescent="0.35">
      <c r="A67" s="16">
        <v>2015</v>
      </c>
      <c r="B67">
        <v>31.5</v>
      </c>
    </row>
    <row r="68" spans="1:2" x14ac:dyDescent="0.35">
      <c r="A68" s="16">
        <v>2016</v>
      </c>
      <c r="B68">
        <v>27</v>
      </c>
    </row>
    <row r="69" spans="1:2" x14ac:dyDescent="0.35">
      <c r="A69" s="16">
        <v>2017</v>
      </c>
      <c r="B69">
        <v>30</v>
      </c>
    </row>
    <row r="70" spans="1:2" x14ac:dyDescent="0.35">
      <c r="A70" s="16">
        <v>2018</v>
      </c>
      <c r="B70">
        <v>27</v>
      </c>
    </row>
    <row r="71" spans="1:2" x14ac:dyDescent="0.35">
      <c r="A71" s="16">
        <v>2019</v>
      </c>
      <c r="B71">
        <v>32</v>
      </c>
    </row>
    <row r="72" spans="1:2" x14ac:dyDescent="0.35">
      <c r="A72" s="16">
        <v>2020</v>
      </c>
      <c r="B72">
        <v>28</v>
      </c>
    </row>
    <row r="73" spans="1:2" x14ac:dyDescent="0.35">
      <c r="A73" s="16">
        <v>2021</v>
      </c>
      <c r="B73">
        <v>22</v>
      </c>
    </row>
    <row r="74" spans="1:2" x14ac:dyDescent="0.35">
      <c r="A74" t="s">
        <v>105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C1" workbookViewId="0">
      <selection activeCell="M2" sqref="M2"/>
    </sheetView>
  </sheetViews>
  <sheetFormatPr defaultRowHeight="14.5" x14ac:dyDescent="0.35"/>
  <cols>
    <col min="2" max="2" width="30" customWidth="1"/>
    <col min="3" max="3" width="3.08984375" customWidth="1"/>
    <col min="4" max="4" width="15.54296875" bestFit="1" customWidth="1"/>
    <col min="5" max="7" width="15.08984375" customWidth="1"/>
    <col min="9" max="9" width="50.453125" bestFit="1" customWidth="1"/>
    <col min="10" max="10" width="12.08984375" customWidth="1"/>
    <col min="11" max="11" width="28.36328125" bestFit="1" customWidth="1"/>
  </cols>
  <sheetData>
    <row r="1" spans="1:13" ht="15" thickBot="1" x14ac:dyDescent="0.4">
      <c r="A1" t="s">
        <v>106</v>
      </c>
    </row>
    <row r="2" spans="1:13" ht="15" thickBot="1" x14ac:dyDescent="0.4">
      <c r="D2" s="86" t="s">
        <v>107</v>
      </c>
      <c r="E2" s="87"/>
      <c r="F2" s="87"/>
      <c r="G2" s="88"/>
      <c r="M2" t="s">
        <v>147</v>
      </c>
    </row>
    <row r="3" spans="1:13" ht="15" thickBot="1" x14ac:dyDescent="0.4">
      <c r="A3" s="89" t="s">
        <v>108</v>
      </c>
      <c r="B3" s="90"/>
      <c r="D3" s="37"/>
      <c r="E3" s="91" t="s">
        <v>109</v>
      </c>
      <c r="F3" s="91"/>
      <c r="G3" s="92"/>
    </row>
    <row r="4" spans="1:13" x14ac:dyDescent="0.35">
      <c r="A4" s="39"/>
      <c r="B4" s="38" t="s">
        <v>110</v>
      </c>
      <c r="D4" s="40"/>
      <c r="E4" s="84" t="s">
        <v>111</v>
      </c>
      <c r="F4" s="84"/>
      <c r="G4" s="85"/>
    </row>
    <row r="5" spans="1:13" ht="29.5" thickBot="1" x14ac:dyDescent="0.4">
      <c r="A5" s="41"/>
      <c r="B5" s="42" t="s">
        <v>111</v>
      </c>
      <c r="D5" s="40"/>
      <c r="E5" s="43" t="s">
        <v>112</v>
      </c>
      <c r="F5" s="43" t="s">
        <v>113</v>
      </c>
      <c r="G5" s="44" t="s">
        <v>114</v>
      </c>
      <c r="I5" s="45" t="s">
        <v>115</v>
      </c>
    </row>
    <row r="6" spans="1:13" ht="15" thickBot="1" x14ac:dyDescent="0.4">
      <c r="A6" s="46" t="s">
        <v>116</v>
      </c>
      <c r="B6" s="47" t="s">
        <v>117</v>
      </c>
      <c r="D6" s="46" t="s">
        <v>116</v>
      </c>
      <c r="E6" s="48" t="s">
        <v>117</v>
      </c>
      <c r="F6" s="48" t="s">
        <v>117</v>
      </c>
      <c r="G6" s="49" t="s">
        <v>117</v>
      </c>
      <c r="I6" s="50" t="s">
        <v>118</v>
      </c>
      <c r="J6" s="51" t="s">
        <v>119</v>
      </c>
      <c r="K6" s="52" t="s">
        <v>120</v>
      </c>
    </row>
    <row r="7" spans="1:13" ht="15" thickTop="1" x14ac:dyDescent="0.35">
      <c r="A7" s="53">
        <v>1950</v>
      </c>
      <c r="B7" s="54">
        <v>12.041666666666666</v>
      </c>
      <c r="C7" s="36"/>
      <c r="D7" s="53">
        <v>2010</v>
      </c>
      <c r="E7" s="55">
        <v>20.875</v>
      </c>
      <c r="F7" s="55">
        <v>20.875</v>
      </c>
      <c r="G7" s="54">
        <v>20.875</v>
      </c>
      <c r="I7" s="53" t="s">
        <v>121</v>
      </c>
      <c r="J7" s="56" t="s">
        <v>122</v>
      </c>
      <c r="K7" s="57">
        <f>PERCENTILE(B7:B76, 1/50)</f>
        <v>12.705833333333333</v>
      </c>
    </row>
    <row r="8" spans="1:13" ht="15" thickBot="1" x14ac:dyDescent="0.4">
      <c r="A8" s="58">
        <f>A7+1</f>
        <v>1951</v>
      </c>
      <c r="B8" s="59">
        <v>20.708333333333332</v>
      </c>
      <c r="C8" s="36"/>
      <c r="D8" s="58">
        <f>D7+1</f>
        <v>2011</v>
      </c>
      <c r="E8" s="60">
        <v>25.791666666666668</v>
      </c>
      <c r="F8" s="60">
        <v>25.791666666666668</v>
      </c>
      <c r="G8" s="59">
        <v>25.791666666666668</v>
      </c>
      <c r="I8" s="61" t="s">
        <v>123</v>
      </c>
      <c r="J8" s="62" t="s">
        <v>124</v>
      </c>
      <c r="K8" s="63">
        <f>PERCENTILE(E7:G46, 1/50)</f>
        <v>13.492582307692279</v>
      </c>
    </row>
    <row r="9" spans="1:13" x14ac:dyDescent="0.35">
      <c r="A9" s="58">
        <f t="shared" ref="A9:A72" si="0">A8+1</f>
        <v>1952</v>
      </c>
      <c r="B9" s="59">
        <v>22.083333333333332</v>
      </c>
      <c r="C9" s="36"/>
      <c r="D9" s="58">
        <f t="shared" ref="D9:D46" si="1">D8+1</f>
        <v>2012</v>
      </c>
      <c r="E9" s="60">
        <v>28.208333333333332</v>
      </c>
      <c r="F9" s="60">
        <v>28.208333333333332</v>
      </c>
      <c r="G9" s="59">
        <v>28.208333333333332</v>
      </c>
    </row>
    <row r="10" spans="1:13" ht="15" thickBot="1" x14ac:dyDescent="0.4">
      <c r="A10" s="58">
        <f t="shared" si="0"/>
        <v>1953</v>
      </c>
      <c r="B10" s="59">
        <v>33.708333333333336</v>
      </c>
      <c r="C10" s="36"/>
      <c r="D10" s="58">
        <f t="shared" si="1"/>
        <v>2013</v>
      </c>
      <c r="E10" s="60">
        <v>25.333333333333332</v>
      </c>
      <c r="F10" s="60">
        <v>25.333333333333332</v>
      </c>
      <c r="G10" s="59">
        <v>25.333333333333332</v>
      </c>
      <c r="I10" s="18" t="s">
        <v>125</v>
      </c>
    </row>
    <row r="11" spans="1:13" ht="15" thickBot="1" x14ac:dyDescent="0.4">
      <c r="A11" s="58">
        <f t="shared" si="0"/>
        <v>1954</v>
      </c>
      <c r="B11" s="59">
        <v>23.25</v>
      </c>
      <c r="C11" s="36"/>
      <c r="D11" s="58">
        <f t="shared" si="1"/>
        <v>2014</v>
      </c>
      <c r="E11" s="60">
        <v>25.166666666666668</v>
      </c>
      <c r="F11" s="60">
        <v>25.166666666666668</v>
      </c>
      <c r="G11" s="59">
        <v>25.166666666666668</v>
      </c>
      <c r="I11" s="68" t="s">
        <v>123</v>
      </c>
      <c r="J11" s="69" t="s">
        <v>124</v>
      </c>
      <c r="K11" s="70">
        <f>PERCENTILE(E7:F46, 1/50)</f>
        <v>21.868374285714253</v>
      </c>
    </row>
    <row r="12" spans="1:13" x14ac:dyDescent="0.35">
      <c r="A12" s="58">
        <f t="shared" si="0"/>
        <v>1955</v>
      </c>
      <c r="B12" s="59">
        <v>15.541666666666666</v>
      </c>
      <c r="C12" s="36"/>
      <c r="D12" s="58">
        <f t="shared" si="1"/>
        <v>2015</v>
      </c>
      <c r="E12" s="60">
        <v>32.416666666666664</v>
      </c>
      <c r="F12" s="60">
        <v>32.416666666666664</v>
      </c>
      <c r="G12" s="59">
        <v>32.416666666666664</v>
      </c>
    </row>
    <row r="13" spans="1:13" ht="15" thickBot="1" x14ac:dyDescent="0.4">
      <c r="A13" s="58">
        <f t="shared" si="0"/>
        <v>1956</v>
      </c>
      <c r="B13" s="59">
        <v>17.833333333333332</v>
      </c>
      <c r="C13" s="36"/>
      <c r="D13" s="58">
        <f t="shared" si="1"/>
        <v>2016</v>
      </c>
      <c r="E13" s="60">
        <v>28.333333333333332</v>
      </c>
      <c r="F13" s="60">
        <v>28.333333333333332</v>
      </c>
      <c r="G13" s="59">
        <v>28.333333333333332</v>
      </c>
      <c r="I13" s="18" t="s">
        <v>126</v>
      </c>
    </row>
    <row r="14" spans="1:13" ht="15" thickBot="1" x14ac:dyDescent="0.4">
      <c r="A14" s="58">
        <f t="shared" si="0"/>
        <v>1957</v>
      </c>
      <c r="B14" s="59">
        <v>19.791666666666668</v>
      </c>
      <c r="C14" s="36"/>
      <c r="D14" s="58">
        <f t="shared" si="1"/>
        <v>2017</v>
      </c>
      <c r="E14" s="60">
        <v>27.041666666666668</v>
      </c>
      <c r="F14" s="60">
        <v>27.041666666666668</v>
      </c>
      <c r="G14" s="59">
        <v>27.041666666666668</v>
      </c>
      <c r="I14" s="68" t="s">
        <v>123</v>
      </c>
      <c r="J14" s="69" t="s">
        <v>124</v>
      </c>
      <c r="K14" s="70">
        <f>PERCENTILE(E57:G96, 1/50)</f>
        <v>16.092921909090887</v>
      </c>
    </row>
    <row r="15" spans="1:13" x14ac:dyDescent="0.35">
      <c r="A15" s="58">
        <f t="shared" si="0"/>
        <v>1958</v>
      </c>
      <c r="B15" s="59">
        <v>32.25</v>
      </c>
      <c r="C15" s="36"/>
      <c r="D15" s="58">
        <f t="shared" si="1"/>
        <v>2018</v>
      </c>
      <c r="E15" s="60">
        <v>30.333333333333332</v>
      </c>
      <c r="F15" s="60">
        <v>30.333333333333332</v>
      </c>
      <c r="G15" s="59">
        <v>30.333333333333332</v>
      </c>
    </row>
    <row r="16" spans="1:13" x14ac:dyDescent="0.35">
      <c r="A16" s="58">
        <f t="shared" si="0"/>
        <v>1959</v>
      </c>
      <c r="B16" s="59">
        <v>19.083333333333332</v>
      </c>
      <c r="C16" s="36"/>
      <c r="D16" s="58">
        <f t="shared" si="1"/>
        <v>2019</v>
      </c>
      <c r="E16" s="60">
        <v>26.625</v>
      </c>
      <c r="F16" s="60">
        <v>26.625</v>
      </c>
      <c r="G16" s="59">
        <v>26.625</v>
      </c>
    </row>
    <row r="17" spans="1:17" x14ac:dyDescent="0.35">
      <c r="A17" s="58">
        <f t="shared" si="0"/>
        <v>1960</v>
      </c>
      <c r="B17" s="59">
        <v>28.541666666666668</v>
      </c>
      <c r="C17" s="36"/>
      <c r="D17" s="58">
        <f t="shared" si="1"/>
        <v>2020</v>
      </c>
      <c r="E17" s="60">
        <v>29.30724999999995</v>
      </c>
      <c r="F17" s="60">
        <v>29.158249999999963</v>
      </c>
      <c r="G17" s="59">
        <v>13.34455769230766</v>
      </c>
      <c r="H17" s="64"/>
      <c r="I17" s="64"/>
      <c r="J17" s="64"/>
      <c r="O17" s="65"/>
      <c r="P17" s="65"/>
      <c r="Q17" s="65"/>
    </row>
    <row r="18" spans="1:17" x14ac:dyDescent="0.35">
      <c r="A18" s="58">
        <f t="shared" si="0"/>
        <v>1961</v>
      </c>
      <c r="B18" s="59">
        <v>27.208333333333332</v>
      </c>
      <c r="C18" s="36"/>
      <c r="D18" s="58">
        <f t="shared" si="1"/>
        <v>2021</v>
      </c>
      <c r="E18" s="60">
        <v>26.862499999999923</v>
      </c>
      <c r="F18" s="60">
        <v>28.762249999999892</v>
      </c>
      <c r="G18" s="59">
        <v>15.079499999999951</v>
      </c>
      <c r="H18" s="64"/>
      <c r="I18" s="64"/>
      <c r="J18" s="64"/>
      <c r="O18" s="65"/>
      <c r="P18" s="65"/>
      <c r="Q18" s="65"/>
    </row>
    <row r="19" spans="1:17" x14ac:dyDescent="0.35">
      <c r="A19" s="58">
        <f t="shared" si="0"/>
        <v>1962</v>
      </c>
      <c r="B19" s="59">
        <v>22.083333333333332</v>
      </c>
      <c r="C19" s="36"/>
      <c r="D19" s="58">
        <f t="shared" si="1"/>
        <v>2022</v>
      </c>
      <c r="E19" s="60">
        <v>29.99299999999992</v>
      </c>
      <c r="F19" s="60">
        <v>35.279519230769196</v>
      </c>
      <c r="G19" s="59">
        <v>7.2157999999999722</v>
      </c>
      <c r="H19" s="64"/>
      <c r="I19" s="64"/>
      <c r="J19" s="64"/>
      <c r="O19" s="65"/>
      <c r="P19" s="65"/>
      <c r="Q19" s="65"/>
    </row>
    <row r="20" spans="1:17" x14ac:dyDescent="0.35">
      <c r="A20" s="58">
        <f t="shared" si="0"/>
        <v>1963</v>
      </c>
      <c r="B20" s="59">
        <v>17.208333333333332</v>
      </c>
      <c r="C20" s="36"/>
      <c r="D20" s="58">
        <f t="shared" si="1"/>
        <v>2023</v>
      </c>
      <c r="E20" s="60">
        <v>33.270588235294049</v>
      </c>
      <c r="F20" s="60">
        <v>34.312568750000004</v>
      </c>
      <c r="G20" s="59">
        <v>29.423749999999998</v>
      </c>
    </row>
    <row r="21" spans="1:17" x14ac:dyDescent="0.35">
      <c r="A21" s="58">
        <f t="shared" si="0"/>
        <v>1964</v>
      </c>
      <c r="B21" s="59">
        <v>13.041666666666666</v>
      </c>
      <c r="C21" s="36"/>
      <c r="D21" s="58">
        <f t="shared" si="1"/>
        <v>2024</v>
      </c>
      <c r="E21" s="60">
        <v>28.294312500000004</v>
      </c>
      <c r="F21" s="60">
        <v>33.526625000000003</v>
      </c>
      <c r="G21" s="59">
        <v>29.101142857142833</v>
      </c>
    </row>
    <row r="22" spans="1:17" x14ac:dyDescent="0.35">
      <c r="A22" s="58">
        <f t="shared" si="0"/>
        <v>1965</v>
      </c>
      <c r="B22" s="59">
        <v>31.833333333333332</v>
      </c>
      <c r="C22" s="36"/>
      <c r="D22" s="58">
        <f t="shared" si="1"/>
        <v>2025</v>
      </c>
      <c r="E22" s="60">
        <v>31.164249999999992</v>
      </c>
      <c r="F22" s="60">
        <v>35.224249999999934</v>
      </c>
      <c r="G22" s="59">
        <v>36.431937499999989</v>
      </c>
    </row>
    <row r="23" spans="1:17" x14ac:dyDescent="0.35">
      <c r="A23" s="58">
        <f t="shared" si="0"/>
        <v>1966</v>
      </c>
      <c r="B23" s="59">
        <v>33.458333333333336</v>
      </c>
      <c r="C23" s="36"/>
      <c r="D23" s="58">
        <f t="shared" si="1"/>
        <v>2026</v>
      </c>
      <c r="E23" s="60">
        <v>31.768999999999966</v>
      </c>
      <c r="F23" s="60">
        <v>30.022999999999957</v>
      </c>
      <c r="G23" s="59">
        <v>30.16742857142852</v>
      </c>
    </row>
    <row r="24" spans="1:17" x14ac:dyDescent="0.35">
      <c r="A24" s="58">
        <f t="shared" si="0"/>
        <v>1967</v>
      </c>
      <c r="B24" s="59">
        <v>30.958333333333332</v>
      </c>
      <c r="C24" s="36"/>
      <c r="D24" s="58">
        <f t="shared" si="1"/>
        <v>2027</v>
      </c>
      <c r="E24" s="60">
        <v>23.849214285714226</v>
      </c>
      <c r="F24" s="60">
        <v>22.913214285714222</v>
      </c>
      <c r="G24" s="59">
        <v>21.471218749999995</v>
      </c>
    </row>
    <row r="25" spans="1:17" x14ac:dyDescent="0.35">
      <c r="A25" s="58">
        <f t="shared" si="0"/>
        <v>1968</v>
      </c>
      <c r="B25" s="59">
        <v>12.5</v>
      </c>
      <c r="C25" s="36"/>
      <c r="D25" s="58">
        <f t="shared" si="1"/>
        <v>2028</v>
      </c>
      <c r="E25" s="60">
        <v>26.281400000000001</v>
      </c>
      <c r="F25" s="60">
        <v>31.68087499999994</v>
      </c>
      <c r="G25" s="59">
        <v>28.336357142857111</v>
      </c>
    </row>
    <row r="26" spans="1:17" x14ac:dyDescent="0.35">
      <c r="A26" s="58">
        <f t="shared" si="0"/>
        <v>1969</v>
      </c>
      <c r="B26" s="59">
        <v>19.333333333333332</v>
      </c>
      <c r="C26" s="36"/>
      <c r="D26" s="58">
        <f t="shared" si="1"/>
        <v>2029</v>
      </c>
      <c r="E26" s="60">
        <v>34.5164642857142</v>
      </c>
      <c r="F26" s="60">
        <v>34.362500000000011</v>
      </c>
      <c r="G26" s="59">
        <v>33.769999999999975</v>
      </c>
    </row>
    <row r="27" spans="1:17" x14ac:dyDescent="0.35">
      <c r="A27" s="58">
        <f t="shared" si="0"/>
        <v>1970</v>
      </c>
      <c r="B27" s="59">
        <v>31.833333333333332</v>
      </c>
      <c r="C27" s="36"/>
      <c r="D27" s="58">
        <f t="shared" si="1"/>
        <v>2030</v>
      </c>
      <c r="E27" s="60">
        <v>30.538849999999897</v>
      </c>
      <c r="F27" s="60">
        <v>29.566850000000013</v>
      </c>
      <c r="G27" s="59">
        <v>29.805285714285663</v>
      </c>
    </row>
    <row r="28" spans="1:17" x14ac:dyDescent="0.35">
      <c r="A28" s="58">
        <f t="shared" si="0"/>
        <v>1971</v>
      </c>
      <c r="B28" s="59">
        <v>28.75</v>
      </c>
      <c r="C28" s="36"/>
      <c r="D28" s="58">
        <f t="shared" si="1"/>
        <v>2031</v>
      </c>
      <c r="E28" s="60">
        <v>36.821535714285666</v>
      </c>
      <c r="F28" s="60">
        <v>25.751449999999995</v>
      </c>
      <c r="G28" s="59">
        <v>23.354749999999996</v>
      </c>
    </row>
    <row r="29" spans="1:17" x14ac:dyDescent="0.35">
      <c r="A29" s="58">
        <f t="shared" si="0"/>
        <v>1972</v>
      </c>
      <c r="B29" s="59">
        <v>19.291666666666668</v>
      </c>
      <c r="C29" s="36"/>
      <c r="D29" s="58">
        <f t="shared" si="1"/>
        <v>2032</v>
      </c>
      <c r="E29" s="60">
        <v>29.795499999999905</v>
      </c>
      <c r="F29" s="60">
        <v>26.154227272727226</v>
      </c>
      <c r="G29" s="59">
        <v>21.70309999999996</v>
      </c>
    </row>
    <row r="30" spans="1:17" x14ac:dyDescent="0.35">
      <c r="A30" s="58">
        <f t="shared" si="0"/>
        <v>1973</v>
      </c>
      <c r="B30" s="59">
        <v>22.541666666666668</v>
      </c>
      <c r="C30" s="36"/>
      <c r="D30" s="58">
        <f t="shared" si="1"/>
        <v>2033</v>
      </c>
      <c r="E30" s="60">
        <v>29.641625000000005</v>
      </c>
      <c r="F30" s="60">
        <v>34.424749999999911</v>
      </c>
      <c r="G30" s="59">
        <v>13.73409615384613</v>
      </c>
    </row>
    <row r="31" spans="1:17" x14ac:dyDescent="0.35">
      <c r="A31" s="58">
        <f t="shared" si="0"/>
        <v>1974</v>
      </c>
      <c r="B31" s="59">
        <v>26.208333333333332</v>
      </c>
      <c r="C31" s="36"/>
      <c r="D31" s="58">
        <f t="shared" si="1"/>
        <v>2034</v>
      </c>
      <c r="E31" s="60">
        <v>24.51028571428569</v>
      </c>
      <c r="F31" s="60">
        <v>23.556285714285689</v>
      </c>
      <c r="G31" s="59">
        <v>36.616062499999906</v>
      </c>
    </row>
    <row r="32" spans="1:17" x14ac:dyDescent="0.35">
      <c r="A32" s="58">
        <f t="shared" si="0"/>
        <v>1975</v>
      </c>
      <c r="B32" s="59">
        <v>30.125</v>
      </c>
      <c r="C32" s="36"/>
      <c r="D32" s="58">
        <f t="shared" si="1"/>
        <v>2035</v>
      </c>
      <c r="E32" s="60">
        <v>31.1535499999999</v>
      </c>
      <c r="F32" s="60">
        <v>27.407333333333327</v>
      </c>
      <c r="G32" s="59">
        <v>38.674785714285669</v>
      </c>
    </row>
    <row r="33" spans="1:8" x14ac:dyDescent="0.35">
      <c r="A33" s="58">
        <f t="shared" si="0"/>
        <v>1976</v>
      </c>
      <c r="B33" s="59">
        <v>30.833333333333332</v>
      </c>
      <c r="C33" s="36"/>
      <c r="D33" s="58">
        <f t="shared" si="1"/>
        <v>2036</v>
      </c>
      <c r="E33" s="60">
        <v>33.767749999999964</v>
      </c>
      <c r="F33" s="60">
        <v>34.541749999999929</v>
      </c>
      <c r="G33" s="59">
        <v>33.311074999999981</v>
      </c>
    </row>
    <row r="34" spans="1:8" x14ac:dyDescent="0.35">
      <c r="A34" s="58">
        <f t="shared" si="0"/>
        <v>1977</v>
      </c>
      <c r="B34" s="59">
        <v>27.791666666666668</v>
      </c>
      <c r="C34" s="36"/>
      <c r="D34" s="58">
        <f t="shared" si="1"/>
        <v>2037</v>
      </c>
      <c r="E34" s="60">
        <v>35.15779999999998</v>
      </c>
      <c r="F34" s="60">
        <v>25.671799999999905</v>
      </c>
      <c r="G34" s="59">
        <v>22.369999999999902</v>
      </c>
    </row>
    <row r="35" spans="1:8" x14ac:dyDescent="0.35">
      <c r="A35" s="58">
        <f t="shared" si="0"/>
        <v>1978</v>
      </c>
      <c r="B35" s="59">
        <v>18.75</v>
      </c>
      <c r="C35" s="36"/>
      <c r="D35" s="58">
        <f t="shared" si="1"/>
        <v>2038</v>
      </c>
      <c r="E35" s="60">
        <v>26.497062500000009</v>
      </c>
      <c r="F35" s="60">
        <v>23.239062499999903</v>
      </c>
      <c r="G35" s="59">
        <v>14.664227272727237</v>
      </c>
    </row>
    <row r="36" spans="1:8" x14ac:dyDescent="0.35">
      <c r="A36" s="58">
        <f t="shared" si="0"/>
        <v>1979</v>
      </c>
      <c r="B36" s="59">
        <v>25.541666666666668</v>
      </c>
      <c r="C36" s="36"/>
      <c r="D36" s="58">
        <f t="shared" si="1"/>
        <v>2039</v>
      </c>
      <c r="E36" s="60">
        <v>26.587062499999934</v>
      </c>
      <c r="F36" s="60">
        <v>25.453062499999913</v>
      </c>
      <c r="G36" s="59">
        <v>25.886428571428553</v>
      </c>
    </row>
    <row r="37" spans="1:8" x14ac:dyDescent="0.35">
      <c r="A37" s="58">
        <f t="shared" si="0"/>
        <v>1980</v>
      </c>
      <c r="B37" s="59">
        <v>23.5</v>
      </c>
      <c r="C37" s="36"/>
      <c r="D37" s="58">
        <f t="shared" si="1"/>
        <v>2040</v>
      </c>
      <c r="E37" s="60">
        <v>29.240149999999918</v>
      </c>
      <c r="F37" s="60">
        <v>28.268149999999903</v>
      </c>
      <c r="G37" s="59">
        <v>22.070599999999995</v>
      </c>
    </row>
    <row r="38" spans="1:8" x14ac:dyDescent="0.35">
      <c r="A38" s="58">
        <f t="shared" si="0"/>
        <v>1981</v>
      </c>
      <c r="B38" s="59">
        <v>32.583333333333336</v>
      </c>
      <c r="C38" s="36"/>
      <c r="D38" s="58">
        <f t="shared" si="1"/>
        <v>2041</v>
      </c>
      <c r="E38" s="60">
        <v>32.232333333333294</v>
      </c>
      <c r="F38" s="60">
        <v>33.656281249999957</v>
      </c>
      <c r="G38" s="59">
        <v>19.374846153846089</v>
      </c>
    </row>
    <row r="39" spans="1:8" x14ac:dyDescent="0.35">
      <c r="A39" s="58">
        <f t="shared" si="0"/>
        <v>1982</v>
      </c>
      <c r="B39" s="59">
        <v>20.333333333333332</v>
      </c>
      <c r="C39" s="36"/>
      <c r="D39" s="58">
        <f t="shared" si="1"/>
        <v>2042</v>
      </c>
      <c r="E39" s="60">
        <v>29.243299999999909</v>
      </c>
      <c r="F39" s="60">
        <v>28.019299999999919</v>
      </c>
      <c r="G39" s="59">
        <v>18.423949999999998</v>
      </c>
    </row>
    <row r="40" spans="1:8" x14ac:dyDescent="0.35">
      <c r="A40" s="58">
        <f t="shared" si="0"/>
        <v>1983</v>
      </c>
      <c r="B40" s="59">
        <v>16.958333333333332</v>
      </c>
      <c r="C40" s="36"/>
      <c r="D40" s="58">
        <f t="shared" si="1"/>
        <v>2043</v>
      </c>
      <c r="E40" s="60">
        <v>37.068124999999974</v>
      </c>
      <c r="F40" s="60">
        <v>36.505558823529377</v>
      </c>
      <c r="G40" s="59">
        <v>19.722312499999934</v>
      </c>
    </row>
    <row r="41" spans="1:8" x14ac:dyDescent="0.35">
      <c r="A41" s="58">
        <f t="shared" si="0"/>
        <v>1984</v>
      </c>
      <c r="B41" s="59">
        <v>26.625</v>
      </c>
      <c r="C41" s="36"/>
      <c r="D41" s="58">
        <f t="shared" si="1"/>
        <v>2044</v>
      </c>
      <c r="E41" s="60">
        <v>22.831249999999997</v>
      </c>
      <c r="F41" s="60">
        <v>27.289399999999997</v>
      </c>
      <c r="G41" s="59">
        <v>31.561142857142801</v>
      </c>
    </row>
    <row r="42" spans="1:8" x14ac:dyDescent="0.35">
      <c r="A42" s="58">
        <f t="shared" si="0"/>
        <v>1985</v>
      </c>
      <c r="B42" s="59">
        <v>19.416666666666668</v>
      </c>
      <c r="C42" s="36"/>
      <c r="D42" s="58">
        <f t="shared" si="1"/>
        <v>2045</v>
      </c>
      <c r="E42" s="60">
        <v>25.4452999999999</v>
      </c>
      <c r="F42" s="60">
        <v>24.446857142857098</v>
      </c>
      <c r="G42" s="59">
        <v>28.436999999999916</v>
      </c>
    </row>
    <row r="43" spans="1:8" x14ac:dyDescent="0.35">
      <c r="A43" s="58">
        <f t="shared" si="0"/>
        <v>1986</v>
      </c>
      <c r="B43" s="59">
        <v>28.875</v>
      </c>
      <c r="C43" s="36"/>
      <c r="D43" s="58">
        <f t="shared" si="1"/>
        <v>2046</v>
      </c>
      <c r="E43" s="60">
        <v>28.060999999999968</v>
      </c>
      <c r="F43" s="60">
        <v>31.926704545454474</v>
      </c>
      <c r="G43" s="59">
        <v>32.475249999999903</v>
      </c>
    </row>
    <row r="44" spans="1:8" x14ac:dyDescent="0.35">
      <c r="A44" s="58">
        <f t="shared" si="0"/>
        <v>1987</v>
      </c>
      <c r="B44" s="59">
        <v>30.958333333333332</v>
      </c>
      <c r="C44" s="36"/>
      <c r="D44" s="58">
        <f t="shared" si="1"/>
        <v>2047</v>
      </c>
      <c r="E44" s="60">
        <v>34.351999999999997</v>
      </c>
      <c r="F44" s="60">
        <v>32.559050000000006</v>
      </c>
      <c r="G44" s="59">
        <v>22.420117647058774</v>
      </c>
    </row>
    <row r="45" spans="1:8" x14ac:dyDescent="0.35">
      <c r="A45" s="58">
        <f t="shared" si="0"/>
        <v>1988</v>
      </c>
      <c r="B45" s="59">
        <v>31.333333333333332</v>
      </c>
      <c r="C45" s="36"/>
      <c r="D45" s="58">
        <f t="shared" si="1"/>
        <v>2048</v>
      </c>
      <c r="E45" s="60">
        <v>33.031399999999998</v>
      </c>
      <c r="F45" s="60">
        <v>28.755499999999913</v>
      </c>
      <c r="G45" s="59">
        <v>-1.1199999999999901</v>
      </c>
      <c r="H45" s="59"/>
    </row>
    <row r="46" spans="1:8" ht="15" thickBot="1" x14ac:dyDescent="0.4">
      <c r="A46" s="58">
        <f t="shared" si="0"/>
        <v>1989</v>
      </c>
      <c r="B46" s="59">
        <v>13.666666666666666</v>
      </c>
      <c r="C46" s="36"/>
      <c r="D46" s="61">
        <f t="shared" si="1"/>
        <v>2049</v>
      </c>
      <c r="E46" s="66">
        <v>31.480999999999952</v>
      </c>
      <c r="F46" s="66">
        <v>22.587714285714227</v>
      </c>
      <c r="G46" s="67">
        <v>18.712099999999996</v>
      </c>
    </row>
    <row r="47" spans="1:8" x14ac:dyDescent="0.35">
      <c r="A47" s="58">
        <f t="shared" si="0"/>
        <v>1990</v>
      </c>
      <c r="B47" s="59">
        <v>15.708333333333334</v>
      </c>
      <c r="C47" s="36"/>
    </row>
    <row r="48" spans="1:8" x14ac:dyDescent="0.35">
      <c r="A48" s="58">
        <f t="shared" si="0"/>
        <v>1991</v>
      </c>
      <c r="B48" s="59">
        <v>31.333333333333332</v>
      </c>
      <c r="C48" s="36"/>
      <c r="D48" t="s">
        <v>127</v>
      </c>
    </row>
    <row r="49" spans="1:7" x14ac:dyDescent="0.35">
      <c r="A49" s="58">
        <f t="shared" si="0"/>
        <v>1992</v>
      </c>
      <c r="B49" s="59">
        <v>29.5</v>
      </c>
      <c r="C49" s="36"/>
    </row>
    <row r="50" spans="1:7" ht="15" customHeight="1" x14ac:dyDescent="0.35">
      <c r="A50" s="58">
        <f t="shared" si="0"/>
        <v>1993</v>
      </c>
      <c r="B50" s="59">
        <v>26.208333333333332</v>
      </c>
      <c r="C50" s="36"/>
    </row>
    <row r="51" spans="1:7" ht="14.4" customHeight="1" thickBot="1" x14ac:dyDescent="0.4">
      <c r="A51" s="58">
        <f t="shared" si="0"/>
        <v>1994</v>
      </c>
      <c r="B51" s="59">
        <v>28.333333333333332</v>
      </c>
      <c r="C51" s="36"/>
      <c r="D51" t="s">
        <v>128</v>
      </c>
    </row>
    <row r="52" spans="1:7" ht="14.4" customHeight="1" thickBot="1" x14ac:dyDescent="0.4">
      <c r="A52" s="58">
        <f t="shared" si="0"/>
        <v>1995</v>
      </c>
      <c r="B52" s="59">
        <v>30.083333333333332</v>
      </c>
      <c r="C52" s="36"/>
      <c r="D52" s="86" t="s">
        <v>107</v>
      </c>
      <c r="E52" s="87"/>
      <c r="F52" s="87"/>
      <c r="G52" s="88"/>
    </row>
    <row r="53" spans="1:7" x14ac:dyDescent="0.35">
      <c r="A53" s="58">
        <f t="shared" si="0"/>
        <v>1996</v>
      </c>
      <c r="B53" s="59">
        <v>22.916666666666668</v>
      </c>
      <c r="C53" s="36"/>
      <c r="D53" s="37"/>
      <c r="E53" s="91" t="s">
        <v>109</v>
      </c>
      <c r="F53" s="91"/>
      <c r="G53" s="92"/>
    </row>
    <row r="54" spans="1:7" x14ac:dyDescent="0.35">
      <c r="A54" s="58">
        <f t="shared" si="0"/>
        <v>1997</v>
      </c>
      <c r="B54" s="59">
        <v>27.583333333333332</v>
      </c>
      <c r="C54" s="36"/>
      <c r="D54" s="40"/>
      <c r="E54" s="84" t="s">
        <v>111</v>
      </c>
      <c r="F54" s="84"/>
      <c r="G54" s="85"/>
    </row>
    <row r="55" spans="1:7" x14ac:dyDescent="0.35">
      <c r="A55" s="58">
        <f t="shared" si="0"/>
        <v>1998</v>
      </c>
      <c r="B55" s="59">
        <v>20.125</v>
      </c>
      <c r="C55" s="36"/>
      <c r="D55" s="40"/>
      <c r="E55" s="43" t="s">
        <v>112</v>
      </c>
      <c r="F55" s="43" t="s">
        <v>113</v>
      </c>
      <c r="G55" s="44" t="s">
        <v>114</v>
      </c>
    </row>
    <row r="56" spans="1:7" ht="15" thickBot="1" x14ac:dyDescent="0.4">
      <c r="A56" s="58">
        <f t="shared" si="0"/>
        <v>1999</v>
      </c>
      <c r="B56" s="59">
        <v>32.5</v>
      </c>
      <c r="C56" s="36"/>
      <c r="D56" s="46" t="s">
        <v>116</v>
      </c>
      <c r="E56" s="48" t="s">
        <v>117</v>
      </c>
      <c r="F56" s="48" t="s">
        <v>117</v>
      </c>
      <c r="G56" s="49" t="s">
        <v>117</v>
      </c>
    </row>
    <row r="57" spans="1:7" ht="15" thickTop="1" x14ac:dyDescent="0.35">
      <c r="A57" s="58">
        <f>A56+1</f>
        <v>2000</v>
      </c>
      <c r="B57" s="59">
        <v>32.208333333333336</v>
      </c>
      <c r="C57" s="36"/>
      <c r="D57" s="53">
        <v>2010</v>
      </c>
      <c r="E57" s="55">
        <v>20.875</v>
      </c>
      <c r="F57" s="55">
        <v>20.875</v>
      </c>
      <c r="G57" s="54">
        <v>20.875</v>
      </c>
    </row>
    <row r="58" spans="1:7" x14ac:dyDescent="0.35">
      <c r="A58" s="58">
        <f t="shared" si="0"/>
        <v>2001</v>
      </c>
      <c r="B58" s="59">
        <v>32.5</v>
      </c>
      <c r="C58" s="36"/>
      <c r="D58" s="58">
        <f>D57+1</f>
        <v>2011</v>
      </c>
      <c r="E58" s="60">
        <v>25.791666666666668</v>
      </c>
      <c r="F58" s="60">
        <v>25.791666666666668</v>
      </c>
      <c r="G58" s="59">
        <v>25.791666666666668</v>
      </c>
    </row>
    <row r="59" spans="1:7" x14ac:dyDescent="0.35">
      <c r="A59" s="58">
        <f t="shared" si="0"/>
        <v>2002</v>
      </c>
      <c r="B59" s="59">
        <v>31.583333333333332</v>
      </c>
      <c r="C59" s="36"/>
      <c r="D59" s="58">
        <f t="shared" ref="D59:D96" si="2">D58+1</f>
        <v>2012</v>
      </c>
      <c r="E59" s="60">
        <v>28.208333333333332</v>
      </c>
      <c r="F59" s="60">
        <v>28.208333333333332</v>
      </c>
      <c r="G59" s="59">
        <v>28.208333333333332</v>
      </c>
    </row>
    <row r="60" spans="1:7" x14ac:dyDescent="0.35">
      <c r="A60" s="58">
        <f t="shared" si="0"/>
        <v>2003</v>
      </c>
      <c r="B60" s="59">
        <v>30.25</v>
      </c>
      <c r="C60" s="36"/>
      <c r="D60" s="58">
        <f t="shared" si="2"/>
        <v>2013</v>
      </c>
      <c r="E60" s="60">
        <v>25.333333333333332</v>
      </c>
      <c r="F60" s="60">
        <v>25.333333333333332</v>
      </c>
      <c r="G60" s="59">
        <v>25.333333333333332</v>
      </c>
    </row>
    <row r="61" spans="1:7" x14ac:dyDescent="0.35">
      <c r="A61" s="58">
        <f t="shared" si="0"/>
        <v>2004</v>
      </c>
      <c r="B61" s="59">
        <v>22.875</v>
      </c>
      <c r="C61" s="36"/>
      <c r="D61" s="58">
        <f t="shared" si="2"/>
        <v>2014</v>
      </c>
      <c r="E61" s="60">
        <v>25.166666666666668</v>
      </c>
      <c r="F61" s="60">
        <v>25.166666666666668</v>
      </c>
      <c r="G61" s="59">
        <v>25.166666666666668</v>
      </c>
    </row>
    <row r="62" spans="1:7" x14ac:dyDescent="0.35">
      <c r="A62" s="58">
        <f t="shared" si="0"/>
        <v>2005</v>
      </c>
      <c r="B62" s="59">
        <v>31.375</v>
      </c>
      <c r="C62" s="36"/>
      <c r="D62" s="58">
        <f t="shared" si="2"/>
        <v>2015</v>
      </c>
      <c r="E62" s="60">
        <v>32.416666666666664</v>
      </c>
      <c r="F62" s="60">
        <v>32.416666666666664</v>
      </c>
      <c r="G62" s="59">
        <v>32.416666666666664</v>
      </c>
    </row>
    <row r="63" spans="1:7" x14ac:dyDescent="0.35">
      <c r="A63" s="58">
        <f t="shared" si="0"/>
        <v>2006</v>
      </c>
      <c r="B63" s="59">
        <v>23.916666666666668</v>
      </c>
      <c r="C63" s="36"/>
      <c r="D63" s="58">
        <f t="shared" si="2"/>
        <v>2016</v>
      </c>
      <c r="E63" s="60">
        <v>28.333333333333332</v>
      </c>
      <c r="F63" s="60">
        <v>28.333333333333332</v>
      </c>
      <c r="G63" s="59">
        <v>28.333333333333332</v>
      </c>
    </row>
    <row r="64" spans="1:7" x14ac:dyDescent="0.35">
      <c r="A64" s="58">
        <f t="shared" si="0"/>
        <v>2007</v>
      </c>
      <c r="B64" s="59">
        <v>24.541666666666668</v>
      </c>
      <c r="C64" s="36"/>
      <c r="D64" s="58">
        <f t="shared" si="2"/>
        <v>2017</v>
      </c>
      <c r="E64" s="60">
        <v>27.041666666666668</v>
      </c>
      <c r="F64" s="60">
        <v>27.041666666666668</v>
      </c>
      <c r="G64" s="59">
        <v>27.041666666666668</v>
      </c>
    </row>
    <row r="65" spans="1:7" x14ac:dyDescent="0.35">
      <c r="A65" s="58">
        <f t="shared" si="0"/>
        <v>2008</v>
      </c>
      <c r="B65" s="59">
        <v>21.708333333333332</v>
      </c>
      <c r="C65" s="36"/>
      <c r="D65" s="58">
        <f t="shared" si="2"/>
        <v>2018</v>
      </c>
      <c r="E65" s="60">
        <v>30.333333333333332</v>
      </c>
      <c r="F65" s="60">
        <v>30.333333333333332</v>
      </c>
      <c r="G65" s="59">
        <v>30.333333333333332</v>
      </c>
    </row>
    <row r="66" spans="1:7" x14ac:dyDescent="0.35">
      <c r="A66" s="58">
        <f t="shared" si="0"/>
        <v>2009</v>
      </c>
      <c r="B66" s="59">
        <v>24.166666666666668</v>
      </c>
      <c r="C66" s="36"/>
      <c r="D66" s="58">
        <f t="shared" si="2"/>
        <v>2019</v>
      </c>
      <c r="E66" s="60">
        <v>26.625</v>
      </c>
      <c r="F66" s="60">
        <v>26.625</v>
      </c>
      <c r="G66" s="59">
        <v>26.625</v>
      </c>
    </row>
    <row r="67" spans="1:7" x14ac:dyDescent="0.35">
      <c r="A67" s="58">
        <f t="shared" si="0"/>
        <v>2010</v>
      </c>
      <c r="B67" s="59">
        <v>20.875</v>
      </c>
      <c r="C67" s="36"/>
      <c r="D67" s="58">
        <f t="shared" si="2"/>
        <v>2020</v>
      </c>
      <c r="E67" s="60">
        <v>32</v>
      </c>
      <c r="F67" s="60">
        <v>32</v>
      </c>
      <c r="G67" s="59">
        <v>32</v>
      </c>
    </row>
    <row r="68" spans="1:7" x14ac:dyDescent="0.35">
      <c r="A68" s="58">
        <f t="shared" si="0"/>
        <v>2011</v>
      </c>
      <c r="B68" s="59">
        <v>25.791666666666668</v>
      </c>
      <c r="C68" s="36"/>
      <c r="D68" s="58">
        <f t="shared" si="2"/>
        <v>2021</v>
      </c>
      <c r="E68" s="60">
        <v>22</v>
      </c>
      <c r="F68" s="60">
        <v>22</v>
      </c>
      <c r="G68" s="59">
        <v>22</v>
      </c>
    </row>
    <row r="69" spans="1:7" x14ac:dyDescent="0.35">
      <c r="A69" s="58">
        <f t="shared" si="0"/>
        <v>2012</v>
      </c>
      <c r="B69" s="59">
        <v>28.208333333333332</v>
      </c>
      <c r="C69" s="36"/>
      <c r="D69" s="58">
        <f t="shared" si="2"/>
        <v>2022</v>
      </c>
      <c r="E69" s="60">
        <v>22</v>
      </c>
      <c r="F69" s="60">
        <v>22</v>
      </c>
      <c r="G69" s="59">
        <v>22</v>
      </c>
    </row>
    <row r="70" spans="1:7" x14ac:dyDescent="0.35">
      <c r="A70" s="58">
        <f t="shared" si="0"/>
        <v>2013</v>
      </c>
      <c r="B70" s="59">
        <v>25.333333333333332</v>
      </c>
      <c r="C70" s="36"/>
      <c r="D70" s="58">
        <f t="shared" si="2"/>
        <v>2023</v>
      </c>
      <c r="E70" s="60">
        <v>33.270588235294049</v>
      </c>
      <c r="F70" s="60">
        <v>34.312568750000004</v>
      </c>
      <c r="G70" s="59">
        <v>29.423749999999998</v>
      </c>
    </row>
    <row r="71" spans="1:7" x14ac:dyDescent="0.35">
      <c r="A71" s="58">
        <f t="shared" si="0"/>
        <v>2014</v>
      </c>
      <c r="B71" s="59">
        <v>25.166666666666668</v>
      </c>
      <c r="C71" s="36"/>
      <c r="D71" s="58">
        <f t="shared" si="2"/>
        <v>2024</v>
      </c>
      <c r="E71" s="60">
        <v>28.294312500000004</v>
      </c>
      <c r="F71" s="60">
        <v>33.526625000000003</v>
      </c>
      <c r="G71" s="59">
        <v>29.101142857142833</v>
      </c>
    </row>
    <row r="72" spans="1:7" x14ac:dyDescent="0.35">
      <c r="A72" s="58">
        <f t="shared" si="0"/>
        <v>2015</v>
      </c>
      <c r="B72" s="59">
        <v>32.416666666666664</v>
      </c>
      <c r="C72" s="36"/>
      <c r="D72" s="58">
        <f t="shared" si="2"/>
        <v>2025</v>
      </c>
      <c r="E72" s="60">
        <v>31.164249999999992</v>
      </c>
      <c r="F72" s="60">
        <v>35.224249999999934</v>
      </c>
      <c r="G72" s="59">
        <v>36.431937499999989</v>
      </c>
    </row>
    <row r="73" spans="1:7" x14ac:dyDescent="0.35">
      <c r="A73" s="58">
        <f t="shared" ref="A73:A76" si="3">A72+1</f>
        <v>2016</v>
      </c>
      <c r="B73" s="59">
        <v>28.333333333333332</v>
      </c>
      <c r="C73" s="36"/>
      <c r="D73" s="58">
        <f t="shared" si="2"/>
        <v>2026</v>
      </c>
      <c r="E73" s="60">
        <v>31.768999999999966</v>
      </c>
      <c r="F73" s="60">
        <v>30.022999999999957</v>
      </c>
      <c r="G73" s="59">
        <v>30.16742857142852</v>
      </c>
    </row>
    <row r="74" spans="1:7" x14ac:dyDescent="0.35">
      <c r="A74" s="58">
        <f t="shared" si="3"/>
        <v>2017</v>
      </c>
      <c r="B74" s="59">
        <v>27.041666666666668</v>
      </c>
      <c r="C74" s="36"/>
      <c r="D74" s="58">
        <f t="shared" si="2"/>
        <v>2027</v>
      </c>
      <c r="E74" s="60">
        <v>23.849214285714226</v>
      </c>
      <c r="F74" s="60">
        <v>22.913214285714222</v>
      </c>
      <c r="G74" s="59">
        <v>21.471218749999995</v>
      </c>
    </row>
    <row r="75" spans="1:7" x14ac:dyDescent="0.35">
      <c r="A75" s="58">
        <f t="shared" si="3"/>
        <v>2018</v>
      </c>
      <c r="B75" s="59">
        <v>30.333333333333332</v>
      </c>
      <c r="C75" s="36"/>
      <c r="D75" s="58">
        <f t="shared" si="2"/>
        <v>2028</v>
      </c>
      <c r="E75" s="60">
        <v>26.281400000000001</v>
      </c>
      <c r="F75" s="60">
        <v>31.68087499999994</v>
      </c>
      <c r="G75" s="59">
        <v>28.336357142857111</v>
      </c>
    </row>
    <row r="76" spans="1:7" ht="15" thickBot="1" x14ac:dyDescent="0.4">
      <c r="A76" s="61">
        <f t="shared" si="3"/>
        <v>2019</v>
      </c>
      <c r="B76" s="67">
        <v>26.625</v>
      </c>
      <c r="C76" s="36"/>
      <c r="D76" s="58">
        <f t="shared" si="2"/>
        <v>2029</v>
      </c>
      <c r="E76" s="60">
        <v>34.5164642857142</v>
      </c>
      <c r="F76" s="60">
        <v>34.362500000000011</v>
      </c>
      <c r="G76" s="59">
        <v>33.769999999999975</v>
      </c>
    </row>
    <row r="77" spans="1:7" x14ac:dyDescent="0.35">
      <c r="D77" s="58">
        <f t="shared" si="2"/>
        <v>2030</v>
      </c>
      <c r="E77" s="60">
        <v>30.538849999999897</v>
      </c>
      <c r="F77" s="60">
        <v>29.566850000000013</v>
      </c>
      <c r="G77" s="59">
        <v>29.805285714285663</v>
      </c>
    </row>
    <row r="78" spans="1:7" x14ac:dyDescent="0.35">
      <c r="D78" s="58">
        <f t="shared" si="2"/>
        <v>2031</v>
      </c>
      <c r="E78" s="60">
        <v>36.821535714285666</v>
      </c>
      <c r="F78" s="60">
        <v>25.751449999999995</v>
      </c>
      <c r="G78" s="59">
        <v>23.354749999999996</v>
      </c>
    </row>
    <row r="79" spans="1:7" x14ac:dyDescent="0.35">
      <c r="D79" s="58">
        <f t="shared" si="2"/>
        <v>2032</v>
      </c>
      <c r="E79" s="60">
        <v>29.795499999999905</v>
      </c>
      <c r="F79" s="60">
        <v>26.154227272727226</v>
      </c>
      <c r="G79" s="59">
        <v>21.70309999999996</v>
      </c>
    </row>
    <row r="80" spans="1:7" x14ac:dyDescent="0.35">
      <c r="D80" s="58">
        <f t="shared" si="2"/>
        <v>2033</v>
      </c>
      <c r="E80" s="60">
        <v>29.641625000000005</v>
      </c>
      <c r="F80" s="60">
        <v>34.424749999999911</v>
      </c>
      <c r="G80" s="59">
        <v>13.73409615384613</v>
      </c>
    </row>
    <row r="81" spans="4:7" x14ac:dyDescent="0.35">
      <c r="D81" s="58">
        <f t="shared" si="2"/>
        <v>2034</v>
      </c>
      <c r="E81" s="60">
        <v>24.51028571428569</v>
      </c>
      <c r="F81" s="60">
        <v>23.556285714285689</v>
      </c>
      <c r="G81" s="59">
        <v>36.616062499999906</v>
      </c>
    </row>
    <row r="82" spans="4:7" x14ac:dyDescent="0.35">
      <c r="D82" s="58">
        <f t="shared" si="2"/>
        <v>2035</v>
      </c>
      <c r="E82" s="60">
        <v>31.1535499999999</v>
      </c>
      <c r="F82" s="60">
        <v>27.407333333333327</v>
      </c>
      <c r="G82" s="59">
        <v>38.674785714285669</v>
      </c>
    </row>
    <row r="83" spans="4:7" x14ac:dyDescent="0.35">
      <c r="D83" s="58">
        <f t="shared" si="2"/>
        <v>2036</v>
      </c>
      <c r="E83" s="60">
        <v>33.767749999999964</v>
      </c>
      <c r="F83" s="60">
        <v>34.541749999999929</v>
      </c>
      <c r="G83" s="59">
        <v>33.311074999999981</v>
      </c>
    </row>
    <row r="84" spans="4:7" x14ac:dyDescent="0.35">
      <c r="D84" s="58">
        <f t="shared" si="2"/>
        <v>2037</v>
      </c>
      <c r="E84" s="60">
        <v>35.15779999999998</v>
      </c>
      <c r="F84" s="60">
        <v>25.671799999999905</v>
      </c>
      <c r="G84" s="59">
        <v>22.369999999999902</v>
      </c>
    </row>
    <row r="85" spans="4:7" x14ac:dyDescent="0.35">
      <c r="D85" s="58">
        <f t="shared" si="2"/>
        <v>2038</v>
      </c>
      <c r="E85" s="60">
        <v>26.497062500000009</v>
      </c>
      <c r="F85" s="60">
        <v>23.239062499999903</v>
      </c>
      <c r="G85" s="59">
        <v>14.664227272727237</v>
      </c>
    </row>
    <row r="86" spans="4:7" x14ac:dyDescent="0.35">
      <c r="D86" s="58">
        <f t="shared" si="2"/>
        <v>2039</v>
      </c>
      <c r="E86" s="60">
        <v>26.587062499999934</v>
      </c>
      <c r="F86" s="60">
        <v>25.453062499999913</v>
      </c>
      <c r="G86" s="59">
        <v>25.886428571428553</v>
      </c>
    </row>
    <row r="87" spans="4:7" x14ac:dyDescent="0.35">
      <c r="D87" s="58">
        <f t="shared" si="2"/>
        <v>2040</v>
      </c>
      <c r="E87" s="60">
        <v>29.240149999999918</v>
      </c>
      <c r="F87" s="60">
        <v>28.268149999999903</v>
      </c>
      <c r="G87" s="59">
        <v>22.070599999999995</v>
      </c>
    </row>
    <row r="88" spans="4:7" x14ac:dyDescent="0.35">
      <c r="D88" s="58">
        <f t="shared" si="2"/>
        <v>2041</v>
      </c>
      <c r="E88" s="60">
        <v>32.232333333333294</v>
      </c>
      <c r="F88" s="60">
        <v>33.656281249999957</v>
      </c>
      <c r="G88" s="59">
        <v>19.374846153846089</v>
      </c>
    </row>
    <row r="89" spans="4:7" x14ac:dyDescent="0.35">
      <c r="D89" s="58">
        <f t="shared" si="2"/>
        <v>2042</v>
      </c>
      <c r="E89" s="60">
        <v>29.243299999999909</v>
      </c>
      <c r="F89" s="60">
        <v>28.019299999999919</v>
      </c>
      <c r="G89" s="59">
        <v>18.423949999999998</v>
      </c>
    </row>
    <row r="90" spans="4:7" x14ac:dyDescent="0.35">
      <c r="D90" s="58">
        <f t="shared" si="2"/>
        <v>2043</v>
      </c>
      <c r="E90" s="60">
        <v>37.068124999999974</v>
      </c>
      <c r="F90" s="60">
        <v>36.505558823529377</v>
      </c>
      <c r="G90" s="59">
        <v>19.722312499999934</v>
      </c>
    </row>
    <row r="91" spans="4:7" x14ac:dyDescent="0.35">
      <c r="D91" s="58">
        <f t="shared" si="2"/>
        <v>2044</v>
      </c>
      <c r="E91" s="60">
        <v>22.831249999999997</v>
      </c>
      <c r="F91" s="60">
        <v>27.289399999999997</v>
      </c>
      <c r="G91" s="59">
        <v>31.561142857142801</v>
      </c>
    </row>
    <row r="92" spans="4:7" x14ac:dyDescent="0.35">
      <c r="D92" s="58">
        <f t="shared" si="2"/>
        <v>2045</v>
      </c>
      <c r="E92" s="60">
        <v>25.4452999999999</v>
      </c>
      <c r="F92" s="60">
        <v>24.446857142857098</v>
      </c>
      <c r="G92" s="59">
        <v>28.436999999999916</v>
      </c>
    </row>
    <row r="93" spans="4:7" x14ac:dyDescent="0.35">
      <c r="D93" s="58">
        <f t="shared" si="2"/>
        <v>2046</v>
      </c>
      <c r="E93" s="60">
        <v>28.060999999999968</v>
      </c>
      <c r="F93" s="60">
        <v>31.926704545454474</v>
      </c>
      <c r="G93" s="59">
        <v>32.475249999999903</v>
      </c>
    </row>
    <row r="94" spans="4:7" x14ac:dyDescent="0.35">
      <c r="D94" s="58">
        <f t="shared" si="2"/>
        <v>2047</v>
      </c>
      <c r="E94" s="60">
        <v>34.351999999999997</v>
      </c>
      <c r="F94" s="60">
        <v>32.559050000000006</v>
      </c>
      <c r="G94" s="59">
        <v>22.420117647058774</v>
      </c>
    </row>
    <row r="95" spans="4:7" x14ac:dyDescent="0.35">
      <c r="D95" s="58">
        <f t="shared" si="2"/>
        <v>2048</v>
      </c>
      <c r="E95" s="60">
        <v>33.031399999999998</v>
      </c>
      <c r="F95" s="60">
        <v>28.755499999999913</v>
      </c>
      <c r="G95" s="59">
        <v>-1.1199999999999901</v>
      </c>
    </row>
    <row r="96" spans="4:7" ht="15" thickBot="1" x14ac:dyDescent="0.4">
      <c r="D96" s="61">
        <f t="shared" si="2"/>
        <v>2049</v>
      </c>
      <c r="E96" s="66">
        <v>31.480999999999952</v>
      </c>
      <c r="F96" s="66">
        <v>22.587714285714227</v>
      </c>
      <c r="G96" s="67">
        <v>18.712099999999996</v>
      </c>
    </row>
  </sheetData>
  <mergeCells count="7">
    <mergeCell ref="E54:G54"/>
    <mergeCell ref="D2:G2"/>
    <mergeCell ref="A3:B3"/>
    <mergeCell ref="E3:G3"/>
    <mergeCell ref="E4:G4"/>
    <mergeCell ref="D52:G52"/>
    <mergeCell ref="E53:G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workbookViewId="0">
      <selection activeCell="D47" sqref="D47"/>
    </sheetView>
  </sheetViews>
  <sheetFormatPr defaultRowHeight="14.5" x14ac:dyDescent="0.35"/>
  <cols>
    <col min="1" max="1" width="12.1796875" bestFit="1" customWidth="1"/>
    <col min="3" max="3" width="15.54296875" customWidth="1"/>
    <col min="4" max="4" width="33.6328125" customWidth="1"/>
    <col min="5" max="5" width="11.6328125" bestFit="1" customWidth="1"/>
    <col min="6" max="6" width="13.54296875" customWidth="1"/>
    <col min="7" max="7" width="17.54296875" customWidth="1"/>
    <col min="8" max="8" width="16.81640625" customWidth="1"/>
    <col min="9" max="9" width="19.90625" customWidth="1"/>
    <col min="10" max="10" width="15.90625" customWidth="1"/>
    <col min="11" max="11" width="17.81640625" bestFit="1" customWidth="1"/>
    <col min="12" max="12" width="13.81640625" customWidth="1"/>
    <col min="13" max="13" width="8.54296875" bestFit="1" customWidth="1"/>
    <col min="15" max="15" width="11.81640625" customWidth="1"/>
  </cols>
  <sheetData>
    <row r="2" spans="1:16" ht="13.25" customHeight="1" x14ac:dyDescent="0.35"/>
    <row r="3" spans="1:16" hidden="1" x14ac:dyDescent="0.35">
      <c r="A3" s="5" t="s">
        <v>5</v>
      </c>
      <c r="B3" s="1"/>
      <c r="C3" s="1"/>
      <c r="D3" s="1"/>
      <c r="E3" s="1"/>
    </row>
    <row r="4" spans="1:16" ht="58" x14ac:dyDescent="0.35">
      <c r="A4" s="95" t="s">
        <v>0</v>
      </c>
      <c r="B4" s="96"/>
      <c r="C4" s="10" t="s">
        <v>1</v>
      </c>
      <c r="D4" s="6" t="s">
        <v>2</v>
      </c>
      <c r="F4" t="s">
        <v>8</v>
      </c>
      <c r="G4" s="13" t="s">
        <v>9</v>
      </c>
      <c r="H4" s="13" t="s">
        <v>10</v>
      </c>
      <c r="I4" s="13" t="s">
        <v>12</v>
      </c>
      <c r="J4" s="13" t="s">
        <v>13</v>
      </c>
      <c r="K4" s="13" t="s">
        <v>14</v>
      </c>
      <c r="L4" s="13" t="s">
        <v>16</v>
      </c>
      <c r="M4" s="13" t="s">
        <v>19</v>
      </c>
      <c r="O4" s="13" t="s">
        <v>20</v>
      </c>
      <c r="P4" s="13" t="s">
        <v>21</v>
      </c>
    </row>
    <row r="5" spans="1:16" x14ac:dyDescent="0.35">
      <c r="A5" s="97">
        <v>44953</v>
      </c>
      <c r="B5" s="98"/>
      <c r="C5" s="7">
        <v>11552</v>
      </c>
      <c r="D5" s="8" t="s">
        <v>3</v>
      </c>
      <c r="E5" s="1"/>
      <c r="F5" s="2">
        <v>383120</v>
      </c>
      <c r="G5" s="2">
        <v>973129</v>
      </c>
      <c r="H5" s="11">
        <f>F5/G5</f>
        <v>0.39369908819899518</v>
      </c>
      <c r="I5" s="2">
        <v>981760</v>
      </c>
      <c r="J5" s="11">
        <f>F5/I5</f>
        <v>0.39023794002607565</v>
      </c>
      <c r="K5" s="2">
        <v>823435</v>
      </c>
      <c r="L5" s="11">
        <f>F5/K5</f>
        <v>0.46527048279463468</v>
      </c>
      <c r="M5" s="15">
        <f>C5/F5</f>
        <v>3.0152432658174983E-2</v>
      </c>
      <c r="O5" s="2">
        <v>66000</v>
      </c>
      <c r="P5" s="11">
        <f>C5/O5</f>
        <v>0.17503030303030304</v>
      </c>
    </row>
    <row r="6" spans="1:16" x14ac:dyDescent="0.35">
      <c r="A6" s="93">
        <v>44954</v>
      </c>
      <c r="B6" s="94"/>
      <c r="C6" s="7">
        <v>2877</v>
      </c>
      <c r="D6" s="9" t="s">
        <v>3</v>
      </c>
      <c r="E6" s="1"/>
      <c r="F6" s="2">
        <v>485864</v>
      </c>
      <c r="G6" s="2">
        <v>973129</v>
      </c>
      <c r="H6" s="11">
        <f t="shared" ref="H6:H12" si="0">F6/G6</f>
        <v>0.49928015710147372</v>
      </c>
      <c r="I6" s="2">
        <v>981760</v>
      </c>
      <c r="J6" s="11">
        <f t="shared" ref="J6:J12" si="1">F6/I6</f>
        <v>0.49489080834419819</v>
      </c>
      <c r="K6" s="2">
        <v>823435</v>
      </c>
      <c r="L6" s="11">
        <f t="shared" ref="L6:L12" si="2">F6/K6</f>
        <v>0.59004535877148778</v>
      </c>
      <c r="M6" s="15">
        <f t="shared" ref="M6:M12" si="3">C6/F6</f>
        <v>5.9214101065318686E-3</v>
      </c>
      <c r="O6" s="2">
        <v>66000</v>
      </c>
      <c r="P6" s="11">
        <f t="shared" ref="P6:P12" si="4">C6/O6</f>
        <v>4.359090909090909E-2</v>
      </c>
    </row>
    <row r="7" spans="1:16" x14ac:dyDescent="0.35">
      <c r="A7" s="97">
        <v>44955</v>
      </c>
      <c r="B7" s="98"/>
      <c r="C7" s="7">
        <v>484</v>
      </c>
      <c r="D7" s="8" t="s">
        <v>3</v>
      </c>
      <c r="E7" s="1"/>
      <c r="F7" s="2">
        <v>615119</v>
      </c>
      <c r="G7" s="2">
        <v>973129</v>
      </c>
      <c r="H7" s="11">
        <f t="shared" si="0"/>
        <v>0.63210427394518098</v>
      </c>
      <c r="I7" s="2">
        <v>981760</v>
      </c>
      <c r="J7" s="11">
        <f t="shared" si="1"/>
        <v>0.62654722131681873</v>
      </c>
      <c r="K7" s="2">
        <v>823435</v>
      </c>
      <c r="L7" s="11">
        <f t="shared" si="2"/>
        <v>0.74701585431758422</v>
      </c>
      <c r="M7" s="15">
        <f t="shared" si="3"/>
        <v>7.8683961965083174E-4</v>
      </c>
      <c r="O7" s="2">
        <v>66000</v>
      </c>
      <c r="P7" s="11">
        <f t="shared" si="4"/>
        <v>7.3333333333333332E-3</v>
      </c>
    </row>
    <row r="8" spans="1:16" x14ac:dyDescent="0.35">
      <c r="A8" s="93">
        <v>44958</v>
      </c>
      <c r="B8" s="94"/>
      <c r="C8" s="7">
        <v>37098</v>
      </c>
      <c r="D8" s="9" t="s">
        <v>4</v>
      </c>
      <c r="E8" s="1"/>
      <c r="F8" s="2">
        <v>498119</v>
      </c>
      <c r="G8" s="2">
        <v>973129</v>
      </c>
      <c r="H8" s="11">
        <f t="shared" si="0"/>
        <v>0.51187355427697667</v>
      </c>
      <c r="I8" s="2">
        <v>981760</v>
      </c>
      <c r="J8" s="11">
        <f t="shared" si="1"/>
        <v>0.50737349250325947</v>
      </c>
      <c r="K8" s="2">
        <v>823435</v>
      </c>
      <c r="L8" s="11">
        <f t="shared" si="2"/>
        <v>0.60492813640420917</v>
      </c>
      <c r="M8" s="15">
        <f t="shared" si="3"/>
        <v>7.4476179386853344E-2</v>
      </c>
      <c r="O8" s="2">
        <v>66000</v>
      </c>
      <c r="P8" s="11">
        <f t="shared" si="4"/>
        <v>0.56209090909090909</v>
      </c>
    </row>
    <row r="9" spans="1:16" x14ac:dyDescent="0.35">
      <c r="A9" s="97">
        <v>44959</v>
      </c>
      <c r="B9" s="98"/>
      <c r="C9" s="7">
        <v>155</v>
      </c>
      <c r="D9" s="8" t="s">
        <v>4</v>
      </c>
      <c r="E9" s="1"/>
      <c r="F9" s="2">
        <v>439384</v>
      </c>
      <c r="G9" s="2">
        <v>973129</v>
      </c>
      <c r="H9" s="11">
        <f t="shared" si="0"/>
        <v>0.45151670539054944</v>
      </c>
      <c r="I9" s="2">
        <v>981760</v>
      </c>
      <c r="J9" s="11">
        <f t="shared" si="1"/>
        <v>0.44754726205997392</v>
      </c>
      <c r="K9" s="2">
        <v>823435</v>
      </c>
      <c r="L9" s="11">
        <f t="shared" si="2"/>
        <v>0.53359888758675544</v>
      </c>
      <c r="M9" s="15">
        <f t="shared" si="3"/>
        <v>3.5276660051344612E-4</v>
      </c>
      <c r="O9" s="2">
        <v>66000</v>
      </c>
      <c r="P9" s="11">
        <f t="shared" si="4"/>
        <v>2.3484848484848484E-3</v>
      </c>
    </row>
    <row r="10" spans="1:16" x14ac:dyDescent="0.35">
      <c r="A10" s="93">
        <v>44979</v>
      </c>
      <c r="B10" s="94"/>
      <c r="C10" s="7">
        <v>2714</v>
      </c>
      <c r="D10" s="9" t="s">
        <v>3</v>
      </c>
      <c r="E10" s="1"/>
      <c r="F10" s="2">
        <v>602615</v>
      </c>
      <c r="G10" s="2">
        <v>973129</v>
      </c>
      <c r="H10" s="11">
        <f t="shared" si="0"/>
        <v>0.61925500113551235</v>
      </c>
      <c r="I10" s="2">
        <v>981760</v>
      </c>
      <c r="J10" s="11">
        <f t="shared" si="1"/>
        <v>0.61381091101694918</v>
      </c>
      <c r="K10" s="2">
        <v>823435</v>
      </c>
      <c r="L10" s="11">
        <f t="shared" si="2"/>
        <v>0.73183068487494463</v>
      </c>
      <c r="M10" s="15">
        <f t="shared" si="3"/>
        <v>4.5037046870721768E-3</v>
      </c>
      <c r="O10" s="2">
        <v>66000</v>
      </c>
      <c r="P10" s="11">
        <f t="shared" si="4"/>
        <v>4.1121212121212121E-2</v>
      </c>
    </row>
    <row r="11" spans="1:16" x14ac:dyDescent="0.35">
      <c r="A11" s="97">
        <v>44980</v>
      </c>
      <c r="B11" s="98"/>
      <c r="C11" s="7">
        <v>38140</v>
      </c>
      <c r="D11" s="8" t="s">
        <v>3</v>
      </c>
      <c r="E11" s="1"/>
      <c r="F11" s="2">
        <v>688721</v>
      </c>
      <c r="G11" s="2">
        <v>973129</v>
      </c>
      <c r="H11" s="11">
        <f t="shared" si="0"/>
        <v>0.70773864513337903</v>
      </c>
      <c r="I11" s="2">
        <v>981760</v>
      </c>
      <c r="J11" s="11">
        <f t="shared" si="1"/>
        <v>0.70151666395045631</v>
      </c>
      <c r="K11" s="2">
        <v>823435</v>
      </c>
      <c r="L11" s="11">
        <f t="shared" si="2"/>
        <v>0.83639995870955208</v>
      </c>
      <c r="M11" s="15">
        <f>C11/F11</f>
        <v>5.5378012286542738E-2</v>
      </c>
      <c r="O11" s="2">
        <v>66000</v>
      </c>
      <c r="P11" s="11">
        <f t="shared" si="4"/>
        <v>0.57787878787878788</v>
      </c>
    </row>
    <row r="12" spans="1:16" x14ac:dyDescent="0.35">
      <c r="A12" s="93">
        <v>44981</v>
      </c>
      <c r="B12" s="94"/>
      <c r="C12" s="7">
        <v>7159</v>
      </c>
      <c r="D12" s="9" t="s">
        <v>3</v>
      </c>
      <c r="E12" s="1"/>
      <c r="F12" s="2">
        <v>638898</v>
      </c>
      <c r="G12" s="2">
        <v>973129</v>
      </c>
      <c r="H12" s="11">
        <f t="shared" si="0"/>
        <v>0.65653988320150769</v>
      </c>
      <c r="I12" s="2">
        <v>981760</v>
      </c>
      <c r="J12" s="11">
        <f t="shared" si="1"/>
        <v>0.65076800847457628</v>
      </c>
      <c r="K12" s="2">
        <v>823435</v>
      </c>
      <c r="L12" s="11">
        <f t="shared" si="2"/>
        <v>0.7758936649523035</v>
      </c>
      <c r="M12" s="15">
        <f t="shared" si="3"/>
        <v>1.1205231508002842E-2</v>
      </c>
      <c r="O12" s="2">
        <v>66000</v>
      </c>
      <c r="P12" s="11">
        <f t="shared" si="4"/>
        <v>0.10846969696969697</v>
      </c>
    </row>
    <row r="13" spans="1:16" x14ac:dyDescent="0.35">
      <c r="G13" t="s">
        <v>11</v>
      </c>
      <c r="H13" s="12">
        <f>AVERAGE(H5:H12)</f>
        <v>0.5590009135479469</v>
      </c>
      <c r="I13" s="2" t="s">
        <v>11</v>
      </c>
      <c r="J13" s="12">
        <f>AVERAGE(J5:J12)</f>
        <v>0.55408653846153844</v>
      </c>
      <c r="K13" t="s">
        <v>11</v>
      </c>
      <c r="L13" s="12">
        <f>AVERAGE(L5:L12)</f>
        <v>0.66062287855143398</v>
      </c>
      <c r="O13" t="s">
        <v>11</v>
      </c>
      <c r="P13" s="14">
        <f>AVERAGE(P5:P12)</f>
        <v>0.18973295454545452</v>
      </c>
    </row>
    <row r="14" spans="1:16" x14ac:dyDescent="0.35">
      <c r="G14" t="s">
        <v>18</v>
      </c>
      <c r="H14" s="12">
        <f>MIN(H5:H12)</f>
        <v>0.39369908819899518</v>
      </c>
      <c r="I14" t="s">
        <v>18</v>
      </c>
      <c r="J14" s="12">
        <f>MIN(J5:J12)</f>
        <v>0.39023794002607565</v>
      </c>
      <c r="K14" t="s">
        <v>18</v>
      </c>
      <c r="L14" s="12">
        <f>MIN(L5:L12)</f>
        <v>0.46527048279463468</v>
      </c>
      <c r="O14" t="s">
        <v>18</v>
      </c>
      <c r="P14" s="14">
        <f>MIN(P5:P12)</f>
        <v>2.3484848484848484E-3</v>
      </c>
    </row>
    <row r="15" spans="1:16" x14ac:dyDescent="0.35">
      <c r="G15" t="s">
        <v>17</v>
      </c>
      <c r="H15" s="12">
        <f>MAX(H5:H12)</f>
        <v>0.70773864513337903</v>
      </c>
      <c r="I15" t="s">
        <v>17</v>
      </c>
      <c r="J15" s="12">
        <f>MAX(J5:J12)</f>
        <v>0.70151666395045631</v>
      </c>
      <c r="K15" t="s">
        <v>17</v>
      </c>
      <c r="L15" s="12">
        <f>MAX(L5:L12)</f>
        <v>0.83639995870955208</v>
      </c>
      <c r="O15" t="s">
        <v>17</v>
      </c>
      <c r="P15" s="14">
        <f>MAX(P5:P12)</f>
        <v>0.57787878787878788</v>
      </c>
    </row>
    <row r="16" spans="1:16" x14ac:dyDescent="0.35">
      <c r="A16" s="2"/>
      <c r="D16" s="3"/>
    </row>
    <row r="17" spans="1:1" x14ac:dyDescent="0.35">
      <c r="A17" s="4"/>
    </row>
    <row r="19" spans="1:1" x14ac:dyDescent="0.35">
      <c r="A19" t="s">
        <v>6</v>
      </c>
    </row>
    <row r="20" spans="1:1" x14ac:dyDescent="0.35">
      <c r="A20" t="s">
        <v>7</v>
      </c>
    </row>
    <row r="21" spans="1:1" x14ac:dyDescent="0.35">
      <c r="A21" t="s">
        <v>23</v>
      </c>
    </row>
    <row r="22" spans="1:1" x14ac:dyDescent="0.35">
      <c r="A22" t="s">
        <v>22</v>
      </c>
    </row>
    <row r="23" spans="1:1" x14ac:dyDescent="0.35">
      <c r="A23" t="s">
        <v>15</v>
      </c>
    </row>
  </sheetData>
  <mergeCells count="9">
    <mergeCell ref="A12:B12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workbookViewId="0">
      <selection activeCell="Q2" sqref="Q2"/>
    </sheetView>
  </sheetViews>
  <sheetFormatPr defaultRowHeight="14.5" x14ac:dyDescent="0.35"/>
  <cols>
    <col min="4" max="4" width="11.1796875" bestFit="1" customWidth="1"/>
    <col min="11" max="11" width="11.1796875" bestFit="1" customWidth="1"/>
  </cols>
  <sheetData>
    <row r="2" spans="1:17" x14ac:dyDescent="0.35">
      <c r="A2" t="s">
        <v>70</v>
      </c>
      <c r="D2" s="2">
        <v>264034</v>
      </c>
      <c r="E2" t="s">
        <v>68</v>
      </c>
      <c r="Q2" t="s">
        <v>148</v>
      </c>
    </row>
    <row r="3" spans="1:17" x14ac:dyDescent="0.35">
      <c r="A3" t="s">
        <v>67</v>
      </c>
      <c r="D3" s="2">
        <f>G3*10^6*(K3/N3)</f>
        <v>551179.96792320209</v>
      </c>
      <c r="E3" t="s">
        <v>68</v>
      </c>
      <c r="F3" t="s">
        <v>71</v>
      </c>
      <c r="G3">
        <v>6.3</v>
      </c>
      <c r="H3" t="s">
        <v>72</v>
      </c>
      <c r="J3" t="s">
        <v>73</v>
      </c>
      <c r="K3" s="2">
        <v>22529</v>
      </c>
      <c r="L3" t="s">
        <v>75</v>
      </c>
      <c r="M3" t="s">
        <v>74</v>
      </c>
      <c r="N3" s="2">
        <v>257507</v>
      </c>
      <c r="O3" t="s">
        <v>76</v>
      </c>
    </row>
    <row r="4" spans="1:17" x14ac:dyDescent="0.35">
      <c r="A4" t="s">
        <v>69</v>
      </c>
      <c r="D4" s="20">
        <f>D2/D3</f>
        <v>0.47903410023201137</v>
      </c>
    </row>
    <row r="6" spans="1:17" x14ac:dyDescent="0.35">
      <c r="A6" t="s">
        <v>78</v>
      </c>
    </row>
    <row r="7" spans="1:17" x14ac:dyDescent="0.35">
      <c r="A7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68"/>
  <sheetViews>
    <sheetView workbookViewId="0">
      <selection activeCell="T3" sqref="T3"/>
    </sheetView>
  </sheetViews>
  <sheetFormatPr defaultRowHeight="14.5" x14ac:dyDescent="0.35"/>
  <cols>
    <col min="2" max="2" width="17.6328125" bestFit="1" customWidth="1"/>
  </cols>
  <sheetData>
    <row r="2" spans="1:20" x14ac:dyDescent="0.35">
      <c r="A2" t="s">
        <v>104</v>
      </c>
    </row>
    <row r="3" spans="1:20" x14ac:dyDescent="0.35">
      <c r="B3" t="s">
        <v>103</v>
      </c>
      <c r="C3" t="s">
        <v>79</v>
      </c>
      <c r="D3" t="s">
        <v>79</v>
      </c>
      <c r="E3" t="s">
        <v>80</v>
      </c>
      <c r="G3" t="s">
        <v>81</v>
      </c>
      <c r="I3">
        <f>SUM(G4:G13)</f>
        <v>39.769230769230774</v>
      </c>
      <c r="K3" t="s">
        <v>82</v>
      </c>
      <c r="L3">
        <v>6.5</v>
      </c>
      <c r="T3" t="s">
        <v>149</v>
      </c>
    </row>
    <row r="4" spans="1:20" x14ac:dyDescent="0.35">
      <c r="B4" s="27">
        <v>4134.6000000000004</v>
      </c>
      <c r="C4">
        <f>RIGHT(B4*100,1) +0</f>
        <v>0</v>
      </c>
      <c r="D4">
        <v>0</v>
      </c>
      <c r="E4">
        <f t="shared" ref="E4:E13" si="0">COUNTIF(C$4:C$78,D4)</f>
        <v>17</v>
      </c>
      <c r="G4">
        <f>((E4-$L$3)^2)/$L$3</f>
        <v>16.96153846153846</v>
      </c>
    </row>
    <row r="5" spans="1:20" x14ac:dyDescent="0.35">
      <c r="B5" s="27">
        <v>6431.6</v>
      </c>
      <c r="C5">
        <f t="shared" ref="C5:C68" si="1">RIGHT(B5*100,1) +0</f>
        <v>0</v>
      </c>
      <c r="D5">
        <v>1</v>
      </c>
      <c r="E5">
        <f t="shared" si="0"/>
        <v>1</v>
      </c>
      <c r="G5">
        <f t="shared" ref="G5:G13" si="2">((E5-$L$3)^2)/$L$3</f>
        <v>4.6538461538461542</v>
      </c>
    </row>
    <row r="6" spans="1:20" x14ac:dyDescent="0.35">
      <c r="B6" s="27">
        <v>3583.3199999999997</v>
      </c>
      <c r="C6">
        <f t="shared" si="1"/>
        <v>2</v>
      </c>
      <c r="D6">
        <v>2</v>
      </c>
      <c r="E6">
        <f t="shared" si="0"/>
        <v>8</v>
      </c>
      <c r="G6">
        <f t="shared" si="2"/>
        <v>0.34615384615384615</v>
      </c>
    </row>
    <row r="7" spans="1:20" x14ac:dyDescent="0.35">
      <c r="B7" s="27">
        <v>722.04</v>
      </c>
      <c r="C7">
        <f t="shared" si="1"/>
        <v>4</v>
      </c>
      <c r="D7">
        <v>3</v>
      </c>
      <c r="E7">
        <f t="shared" si="0"/>
        <v>6</v>
      </c>
      <c r="G7">
        <f t="shared" si="2"/>
        <v>3.8461538461538464E-2</v>
      </c>
    </row>
    <row r="8" spans="1:20" x14ac:dyDescent="0.35">
      <c r="B8" s="27">
        <v>2067.2999999999997</v>
      </c>
      <c r="C8">
        <f t="shared" si="1"/>
        <v>0</v>
      </c>
      <c r="D8">
        <v>4</v>
      </c>
      <c r="E8">
        <f t="shared" si="0"/>
        <v>8</v>
      </c>
      <c r="G8">
        <f t="shared" si="2"/>
        <v>0.34615384615384615</v>
      </c>
    </row>
    <row r="9" spans="1:20" x14ac:dyDescent="0.35">
      <c r="B9" s="27">
        <v>3767.08</v>
      </c>
      <c r="C9">
        <f t="shared" si="1"/>
        <v>8</v>
      </c>
      <c r="D9">
        <v>5</v>
      </c>
      <c r="E9">
        <f t="shared" si="0"/>
        <v>2</v>
      </c>
      <c r="G9">
        <f t="shared" si="2"/>
        <v>3.1153846153846154</v>
      </c>
    </row>
    <row r="10" spans="1:20" x14ac:dyDescent="0.35">
      <c r="B10" s="27">
        <v>6569.42</v>
      </c>
      <c r="C10">
        <f t="shared" si="1"/>
        <v>2</v>
      </c>
      <c r="D10">
        <v>6</v>
      </c>
      <c r="E10">
        <f t="shared" si="0"/>
        <v>7</v>
      </c>
      <c r="G10">
        <f t="shared" si="2"/>
        <v>3.8461538461538464E-2</v>
      </c>
    </row>
    <row r="11" spans="1:20" x14ac:dyDescent="0.35">
      <c r="B11" s="27">
        <v>1328.88</v>
      </c>
      <c r="C11">
        <f t="shared" si="1"/>
        <v>8</v>
      </c>
      <c r="D11">
        <v>7</v>
      </c>
      <c r="E11">
        <f t="shared" si="0"/>
        <v>1</v>
      </c>
      <c r="G11">
        <f t="shared" si="2"/>
        <v>4.6538461538461542</v>
      </c>
    </row>
    <row r="12" spans="1:20" x14ac:dyDescent="0.35">
      <c r="B12" s="27">
        <v>15187.200000000004</v>
      </c>
      <c r="C12">
        <f t="shared" si="1"/>
        <v>0</v>
      </c>
      <c r="D12">
        <v>8</v>
      </c>
      <c r="E12">
        <f t="shared" si="0"/>
        <v>13</v>
      </c>
      <c r="G12">
        <f t="shared" si="2"/>
        <v>6.5</v>
      </c>
    </row>
    <row r="13" spans="1:20" x14ac:dyDescent="0.35">
      <c r="B13" s="27">
        <v>5457.9000000000005</v>
      </c>
      <c r="C13">
        <f t="shared" si="1"/>
        <v>0</v>
      </c>
      <c r="D13">
        <v>9</v>
      </c>
      <c r="E13">
        <f t="shared" si="0"/>
        <v>2</v>
      </c>
      <c r="G13">
        <f t="shared" si="2"/>
        <v>3.1153846153846154</v>
      </c>
    </row>
    <row r="14" spans="1:20" x14ac:dyDescent="0.35">
      <c r="B14" s="27">
        <v>7878.3600000000006</v>
      </c>
      <c r="C14">
        <f t="shared" si="1"/>
        <v>6</v>
      </c>
    </row>
    <row r="15" spans="1:20" x14ac:dyDescent="0.35">
      <c r="B15" s="27">
        <v>4840.92</v>
      </c>
      <c r="C15">
        <f t="shared" si="1"/>
        <v>2</v>
      </c>
    </row>
    <row r="16" spans="1:20" x14ac:dyDescent="0.35">
      <c r="B16" s="27">
        <v>2278.0800000000004</v>
      </c>
      <c r="C16">
        <f t="shared" si="1"/>
        <v>8</v>
      </c>
    </row>
    <row r="17" spans="2:3" x14ac:dyDescent="0.35">
      <c r="B17" s="27">
        <v>1328.88</v>
      </c>
      <c r="C17">
        <f t="shared" si="1"/>
        <v>8</v>
      </c>
    </row>
    <row r="18" spans="2:3" x14ac:dyDescent="0.35">
      <c r="B18" s="27">
        <v>759.36</v>
      </c>
      <c r="C18">
        <f t="shared" si="1"/>
        <v>6</v>
      </c>
    </row>
    <row r="19" spans="2:3" x14ac:dyDescent="0.35">
      <c r="B19" s="27">
        <v>3227.2799999999997</v>
      </c>
      <c r="C19">
        <f t="shared" si="1"/>
        <v>8</v>
      </c>
    </row>
    <row r="20" spans="2:3" x14ac:dyDescent="0.35">
      <c r="B20" s="27">
        <v>21262.080000000009</v>
      </c>
      <c r="C20">
        <f t="shared" si="1"/>
        <v>8</v>
      </c>
    </row>
    <row r="21" spans="2:3" x14ac:dyDescent="0.35">
      <c r="B21" s="27">
        <v>1898.4</v>
      </c>
      <c r="C21">
        <f t="shared" si="1"/>
        <v>0</v>
      </c>
    </row>
    <row r="22" spans="2:3" x14ac:dyDescent="0.35">
      <c r="B22" s="28">
        <v>3838.7700000000004</v>
      </c>
      <c r="C22">
        <f t="shared" si="1"/>
        <v>7</v>
      </c>
    </row>
    <row r="23" spans="2:3" x14ac:dyDescent="0.35">
      <c r="B23" s="28">
        <v>3149.76</v>
      </c>
      <c r="C23">
        <f t="shared" si="1"/>
        <v>6</v>
      </c>
    </row>
    <row r="24" spans="2:3" x14ac:dyDescent="0.35">
      <c r="B24" s="28">
        <v>3051.3300000000004</v>
      </c>
      <c r="C24">
        <f t="shared" si="1"/>
        <v>3</v>
      </c>
    </row>
    <row r="25" spans="2:3" x14ac:dyDescent="0.35">
      <c r="B25" s="28">
        <v>16733.100000000006</v>
      </c>
      <c r="C25">
        <f t="shared" si="1"/>
        <v>0</v>
      </c>
    </row>
    <row r="26" spans="2:3" x14ac:dyDescent="0.35">
      <c r="B26" s="28">
        <v>4724.6400000000003</v>
      </c>
      <c r="C26">
        <f t="shared" si="1"/>
        <v>4</v>
      </c>
    </row>
    <row r="27" spans="2:3" x14ac:dyDescent="0.35">
      <c r="B27" s="28">
        <v>6004.2300000000005</v>
      </c>
      <c r="C27">
        <f t="shared" si="1"/>
        <v>3</v>
      </c>
    </row>
    <row r="28" spans="2:3" x14ac:dyDescent="0.35">
      <c r="B28" s="28">
        <v>5019.93</v>
      </c>
      <c r="C28">
        <f t="shared" si="1"/>
        <v>3</v>
      </c>
    </row>
    <row r="29" spans="2:3" x14ac:dyDescent="0.35">
      <c r="B29" s="28">
        <v>196.86</v>
      </c>
      <c r="C29">
        <f t="shared" si="1"/>
        <v>6</v>
      </c>
    </row>
    <row r="30" spans="2:3" x14ac:dyDescent="0.35">
      <c r="B30" s="28">
        <v>4724.6400000000003</v>
      </c>
      <c r="C30">
        <f t="shared" si="1"/>
        <v>4</v>
      </c>
    </row>
    <row r="31" spans="2:3" x14ac:dyDescent="0.35">
      <c r="B31" s="28">
        <v>4527.7800000000007</v>
      </c>
      <c r="C31">
        <f t="shared" si="1"/>
        <v>8</v>
      </c>
    </row>
    <row r="32" spans="2:3" x14ac:dyDescent="0.35">
      <c r="B32" s="28">
        <v>5167.58</v>
      </c>
      <c r="C32">
        <f t="shared" si="1"/>
        <v>8</v>
      </c>
    </row>
    <row r="33" spans="2:3" x14ac:dyDescent="0.35">
      <c r="B33" s="27">
        <v>10273.440000000002</v>
      </c>
      <c r="C33">
        <f t="shared" si="1"/>
        <v>4</v>
      </c>
    </row>
    <row r="34" spans="2:3" x14ac:dyDescent="0.35">
      <c r="B34" s="27">
        <v>4179.88</v>
      </c>
      <c r="C34">
        <f t="shared" si="1"/>
        <v>8</v>
      </c>
    </row>
    <row r="35" spans="2:3" x14ac:dyDescent="0.35">
      <c r="B35" s="27">
        <v>8057.6000000000013</v>
      </c>
      <c r="C35">
        <f t="shared" si="1"/>
        <v>0</v>
      </c>
    </row>
    <row r="36" spans="2:3" x14ac:dyDescent="0.35">
      <c r="B36" s="27">
        <v>4935.2799999999988</v>
      </c>
      <c r="C36">
        <f t="shared" si="1"/>
        <v>8</v>
      </c>
    </row>
    <row r="37" spans="2:3" x14ac:dyDescent="0.35">
      <c r="B37" s="27">
        <v>8762.64</v>
      </c>
      <c r="C37">
        <f t="shared" si="1"/>
        <v>4</v>
      </c>
    </row>
    <row r="38" spans="2:3" x14ac:dyDescent="0.35">
      <c r="B38" s="27">
        <v>7654.7199999999993</v>
      </c>
      <c r="C38">
        <f t="shared" si="1"/>
        <v>2</v>
      </c>
    </row>
    <row r="39" spans="2:3" x14ac:dyDescent="0.35">
      <c r="B39" s="27">
        <v>2618.7199999999998</v>
      </c>
      <c r="C39">
        <f t="shared" si="1"/>
        <v>2</v>
      </c>
    </row>
    <row r="40" spans="2:3" x14ac:dyDescent="0.35">
      <c r="B40" s="27">
        <v>9820.1999999999989</v>
      </c>
      <c r="C40">
        <f t="shared" si="1"/>
        <v>0</v>
      </c>
    </row>
    <row r="41" spans="2:3" x14ac:dyDescent="0.35">
      <c r="B41" s="27">
        <v>5539.5999999999985</v>
      </c>
      <c r="C41">
        <f t="shared" si="1"/>
        <v>0</v>
      </c>
    </row>
    <row r="42" spans="2:3" x14ac:dyDescent="0.35">
      <c r="B42" s="27">
        <v>3676.2799999999997</v>
      </c>
      <c r="C42">
        <f t="shared" si="1"/>
        <v>8</v>
      </c>
    </row>
    <row r="43" spans="2:3" x14ac:dyDescent="0.35">
      <c r="B43" s="27">
        <v>11633.16</v>
      </c>
      <c r="C43">
        <f t="shared" si="1"/>
        <v>6</v>
      </c>
    </row>
    <row r="44" spans="2:3" x14ac:dyDescent="0.35">
      <c r="B44" s="27">
        <v>10928.12</v>
      </c>
      <c r="C44">
        <f t="shared" si="1"/>
        <v>2</v>
      </c>
    </row>
    <row r="45" spans="2:3" x14ac:dyDescent="0.35">
      <c r="B45" s="27">
        <v>13569.330000000002</v>
      </c>
      <c r="C45">
        <f t="shared" si="1"/>
        <v>3</v>
      </c>
    </row>
    <row r="46" spans="2:3" x14ac:dyDescent="0.35">
      <c r="B46" s="27">
        <v>9370.5300000000007</v>
      </c>
      <c r="C46">
        <f t="shared" si="1"/>
        <v>3</v>
      </c>
    </row>
    <row r="47" spans="2:3" x14ac:dyDescent="0.35">
      <c r="B47" s="27">
        <v>13825.36</v>
      </c>
      <c r="C47">
        <f t="shared" si="1"/>
        <v>6</v>
      </c>
    </row>
    <row r="48" spans="2:3" x14ac:dyDescent="0.35">
      <c r="B48" s="27">
        <v>11725.95</v>
      </c>
      <c r="C48">
        <f t="shared" si="1"/>
        <v>5</v>
      </c>
    </row>
    <row r="49" spans="2:3" x14ac:dyDescent="0.35">
      <c r="B49" s="27">
        <v>2457.8399999999997</v>
      </c>
      <c r="C49">
        <f t="shared" si="1"/>
        <v>4</v>
      </c>
    </row>
    <row r="50" spans="2:3" x14ac:dyDescent="0.35">
      <c r="B50" s="27">
        <v>1894.59</v>
      </c>
      <c r="C50">
        <f t="shared" si="1"/>
        <v>9</v>
      </c>
    </row>
    <row r="51" spans="2:3" x14ac:dyDescent="0.35">
      <c r="B51" s="27">
        <v>972.90000000000009</v>
      </c>
      <c r="C51">
        <f t="shared" si="1"/>
        <v>0</v>
      </c>
    </row>
    <row r="52" spans="2:3" x14ac:dyDescent="0.35">
      <c r="B52" s="27">
        <v>788.01999999999987</v>
      </c>
      <c r="C52">
        <f t="shared" si="1"/>
        <v>2</v>
      </c>
    </row>
    <row r="53" spans="2:3" x14ac:dyDescent="0.35">
      <c r="B53" s="27">
        <v>1266.8800000000001</v>
      </c>
      <c r="C53">
        <f t="shared" si="1"/>
        <v>8</v>
      </c>
    </row>
    <row r="54" spans="2:3" x14ac:dyDescent="0.35">
      <c r="B54" s="27">
        <v>358.43999999999994</v>
      </c>
      <c r="C54">
        <f t="shared" si="1"/>
        <v>4</v>
      </c>
    </row>
    <row r="55" spans="2:3" x14ac:dyDescent="0.35">
      <c r="B55" s="27">
        <v>1126.51</v>
      </c>
      <c r="C55">
        <f t="shared" si="1"/>
        <v>1</v>
      </c>
    </row>
    <row r="56" spans="2:3" x14ac:dyDescent="0.35">
      <c r="B56" s="27">
        <v>1894.59</v>
      </c>
      <c r="C56">
        <f t="shared" si="1"/>
        <v>9</v>
      </c>
    </row>
    <row r="57" spans="2:3" x14ac:dyDescent="0.35">
      <c r="B57" s="27">
        <v>703.30000000000007</v>
      </c>
      <c r="C57">
        <f t="shared" si="1"/>
        <v>0</v>
      </c>
    </row>
    <row r="58" spans="2:3" x14ac:dyDescent="0.35">
      <c r="B58" s="27">
        <v>703.30000000000007</v>
      </c>
      <c r="C58">
        <f t="shared" si="1"/>
        <v>0</v>
      </c>
    </row>
    <row r="59" spans="2:3" x14ac:dyDescent="0.35">
      <c r="B59" s="27">
        <v>1661.64</v>
      </c>
      <c r="C59">
        <f t="shared" si="1"/>
        <v>4</v>
      </c>
    </row>
    <row r="60" spans="2:3" x14ac:dyDescent="0.35">
      <c r="B60" s="27">
        <v>919.7</v>
      </c>
      <c r="C60">
        <f t="shared" si="1"/>
        <v>0</v>
      </c>
    </row>
    <row r="61" spans="2:3" x14ac:dyDescent="0.35">
      <c r="B61" s="27">
        <v>108.2</v>
      </c>
      <c r="C61">
        <f t="shared" si="1"/>
        <v>0</v>
      </c>
    </row>
    <row r="62" spans="2:3" x14ac:dyDescent="0.35">
      <c r="B62" s="26">
        <v>750.28</v>
      </c>
      <c r="C62">
        <f t="shared" si="1"/>
        <v>8</v>
      </c>
    </row>
    <row r="63" spans="2:3" x14ac:dyDescent="0.35">
      <c r="B63" s="26">
        <v>54.1</v>
      </c>
      <c r="C63">
        <f t="shared" si="1"/>
        <v>0</v>
      </c>
    </row>
    <row r="64" spans="2:3" x14ac:dyDescent="0.35">
      <c r="B64" s="26">
        <v>1460.7</v>
      </c>
      <c r="C64">
        <f t="shared" si="1"/>
        <v>0</v>
      </c>
    </row>
    <row r="65" spans="2:3" x14ac:dyDescent="0.35">
      <c r="B65" s="26">
        <v>6716.42</v>
      </c>
      <c r="C65">
        <f t="shared" si="1"/>
        <v>2</v>
      </c>
    </row>
    <row r="66" spans="2:3" x14ac:dyDescent="0.35">
      <c r="B66" s="25">
        <v>978.96</v>
      </c>
      <c r="C66">
        <f t="shared" si="1"/>
        <v>6</v>
      </c>
    </row>
    <row r="67" spans="2:3" x14ac:dyDescent="0.35">
      <c r="B67" s="25">
        <v>1835.55</v>
      </c>
      <c r="C67">
        <f t="shared" si="1"/>
        <v>5</v>
      </c>
    </row>
    <row r="68" spans="2:3" x14ac:dyDescent="0.35">
      <c r="B68" s="25">
        <v>1101.33</v>
      </c>
      <c r="C68">
        <f t="shared" si="1"/>
        <v>3</v>
      </c>
    </row>
  </sheetData>
  <pageMargins left="0.7" right="0.7" top="0.75" bottom="0.75" header="0.3" footer="0.3"/>
  <pageSetup scale="62" fitToHeight="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70" workbookViewId="0">
      <selection activeCell="I17" sqref="I17"/>
    </sheetView>
  </sheetViews>
  <sheetFormatPr defaultRowHeight="14.5" x14ac:dyDescent="0.35"/>
  <cols>
    <col min="1" max="1" width="21.1796875" customWidth="1"/>
    <col min="2" max="2" width="16.453125" customWidth="1"/>
    <col min="3" max="3" width="18.36328125" customWidth="1"/>
  </cols>
  <sheetData>
    <row r="1" spans="1:4" ht="15.5" x14ac:dyDescent="0.35">
      <c r="A1" s="75" t="s">
        <v>137</v>
      </c>
    </row>
    <row r="2" spans="1:4" x14ac:dyDescent="0.35">
      <c r="A2" s="19" t="s">
        <v>30</v>
      </c>
      <c r="B2" s="21">
        <v>1</v>
      </c>
      <c r="C2" t="s">
        <v>129</v>
      </c>
      <c r="D2" t="s">
        <v>130</v>
      </c>
    </row>
    <row r="3" spans="1:4" x14ac:dyDescent="0.35">
      <c r="A3" s="19" t="s">
        <v>35</v>
      </c>
      <c r="B3">
        <v>4</v>
      </c>
      <c r="C3" t="s">
        <v>131</v>
      </c>
      <c r="D3" t="s">
        <v>132</v>
      </c>
    </row>
    <row r="4" spans="1:4" x14ac:dyDescent="0.35">
      <c r="A4" s="19" t="s">
        <v>135</v>
      </c>
      <c r="B4" s="21">
        <v>4</v>
      </c>
      <c r="C4" t="s">
        <v>47</v>
      </c>
    </row>
    <row r="5" spans="1:4" x14ac:dyDescent="0.35">
      <c r="A5" s="19" t="s">
        <v>33</v>
      </c>
      <c r="B5" s="11">
        <v>0.56999999999999995</v>
      </c>
      <c r="C5" t="s">
        <v>133</v>
      </c>
    </row>
    <row r="6" spans="1:4" x14ac:dyDescent="0.35">
      <c r="A6" s="19" t="s">
        <v>136</v>
      </c>
      <c r="B6" s="72">
        <f>B4*B5</f>
        <v>2.2799999999999998</v>
      </c>
      <c r="C6" t="s">
        <v>47</v>
      </c>
      <c r="D6" t="s">
        <v>134</v>
      </c>
    </row>
    <row r="11" spans="1:4" ht="15.5" x14ac:dyDescent="0.35">
      <c r="A11" s="75" t="s">
        <v>138</v>
      </c>
    </row>
    <row r="12" spans="1:4" x14ac:dyDescent="0.35">
      <c r="A12" s="18" t="s">
        <v>139</v>
      </c>
      <c r="B12" s="18" t="s">
        <v>140</v>
      </c>
    </row>
    <row r="13" spans="1:4" x14ac:dyDescent="0.35">
      <c r="A13" s="78">
        <v>44805</v>
      </c>
      <c r="B13" s="73">
        <v>334639.46999999997</v>
      </c>
      <c r="C13" s="26"/>
      <c r="D13" s="26"/>
    </row>
    <row r="14" spans="1:4" x14ac:dyDescent="0.35">
      <c r="A14" s="78">
        <v>44835</v>
      </c>
      <c r="B14" s="73">
        <v>51907.47</v>
      </c>
      <c r="C14" s="26"/>
      <c r="D14" s="26"/>
    </row>
    <row r="15" spans="1:4" x14ac:dyDescent="0.35">
      <c r="A15" s="79">
        <v>44866</v>
      </c>
      <c r="B15" s="74">
        <v>32212.7</v>
      </c>
      <c r="C15" s="26"/>
      <c r="D15" s="26"/>
    </row>
    <row r="16" spans="1:4" x14ac:dyDescent="0.35">
      <c r="A16" s="18" t="s">
        <v>141</v>
      </c>
      <c r="B16" s="71">
        <f>SUM(B13:B15)</f>
        <v>418759.63999999996</v>
      </c>
    </row>
    <row r="17" spans="1:4" x14ac:dyDescent="0.35">
      <c r="A17" t="s">
        <v>142</v>
      </c>
    </row>
    <row r="19" spans="1:4" ht="15.5" x14ac:dyDescent="0.35">
      <c r="A19" s="75" t="s">
        <v>143</v>
      </c>
    </row>
    <row r="20" spans="1:4" x14ac:dyDescent="0.35">
      <c r="B20" s="18" t="s">
        <v>103</v>
      </c>
      <c r="C20" s="18" t="s">
        <v>140</v>
      </c>
      <c r="D20" t="s">
        <v>144</v>
      </c>
    </row>
    <row r="21" spans="1:4" x14ac:dyDescent="0.35">
      <c r="A21" s="77">
        <v>42826</v>
      </c>
      <c r="B21" s="27">
        <v>4134.6000000000004</v>
      </c>
      <c r="C21" s="73">
        <v>162097.79</v>
      </c>
      <c r="D21" s="20">
        <f>B96/C96</f>
        <v>2.0068261824037308E-2</v>
      </c>
    </row>
    <row r="22" spans="1:4" x14ac:dyDescent="0.35">
      <c r="A22" s="77">
        <v>42856</v>
      </c>
      <c r="B22" s="27">
        <v>6431.6</v>
      </c>
      <c r="C22" s="73">
        <v>114584.8</v>
      </c>
    </row>
    <row r="23" spans="1:4" x14ac:dyDescent="0.35">
      <c r="A23" s="77">
        <v>42887</v>
      </c>
      <c r="B23" s="27">
        <v>3583.3199999999997</v>
      </c>
      <c r="C23" s="73">
        <v>274422.82</v>
      </c>
    </row>
    <row r="24" spans="1:4" x14ac:dyDescent="0.35">
      <c r="A24" s="77">
        <v>42917</v>
      </c>
      <c r="B24" s="27">
        <v>722.04</v>
      </c>
      <c r="C24" s="73">
        <v>69504.639999999999</v>
      </c>
    </row>
    <row r="25" spans="1:4" x14ac:dyDescent="0.35">
      <c r="A25" s="77">
        <v>42948</v>
      </c>
      <c r="B25" s="27">
        <v>2067.2999999999997</v>
      </c>
      <c r="C25" s="73">
        <v>39934.670000000006</v>
      </c>
    </row>
    <row r="26" spans="1:4" x14ac:dyDescent="0.35">
      <c r="A26" s="77">
        <v>42979</v>
      </c>
      <c r="B26" s="27">
        <v>0</v>
      </c>
      <c r="C26" s="73">
        <v>16756</v>
      </c>
    </row>
    <row r="27" spans="1:4" x14ac:dyDescent="0.35">
      <c r="A27" s="77">
        <v>43009</v>
      </c>
      <c r="B27" s="27">
        <v>3767.08</v>
      </c>
      <c r="C27" s="73">
        <v>357669.39</v>
      </c>
    </row>
    <row r="28" spans="1:4" x14ac:dyDescent="0.35">
      <c r="A28" s="77">
        <v>43040</v>
      </c>
      <c r="B28" s="27">
        <v>0</v>
      </c>
      <c r="C28" s="73">
        <v>120239.9</v>
      </c>
    </row>
    <row r="29" spans="1:4" x14ac:dyDescent="0.35">
      <c r="A29" s="77">
        <v>43070</v>
      </c>
      <c r="B29" s="27">
        <v>6569.42</v>
      </c>
      <c r="C29" s="73">
        <v>60312.61</v>
      </c>
    </row>
    <row r="30" spans="1:4" x14ac:dyDescent="0.35">
      <c r="A30" s="77">
        <v>43101</v>
      </c>
      <c r="B30" s="27">
        <v>1328.88</v>
      </c>
      <c r="C30" s="73">
        <v>-36992.53</v>
      </c>
    </row>
    <row r="31" spans="1:4" x14ac:dyDescent="0.35">
      <c r="A31" s="77">
        <v>43132</v>
      </c>
      <c r="B31" s="27">
        <v>15187.200000000004</v>
      </c>
      <c r="C31" s="73">
        <v>116801.67</v>
      </c>
    </row>
    <row r="32" spans="1:4" x14ac:dyDescent="0.35">
      <c r="A32" s="77">
        <v>43160</v>
      </c>
      <c r="B32" s="27">
        <v>5457.9000000000005</v>
      </c>
      <c r="C32" s="73">
        <v>124670.74</v>
      </c>
    </row>
    <row r="33" spans="1:3" x14ac:dyDescent="0.35">
      <c r="A33" s="77">
        <v>43191</v>
      </c>
      <c r="B33" s="27">
        <v>7878.3600000000006</v>
      </c>
      <c r="C33" s="73">
        <v>110755.45</v>
      </c>
    </row>
    <row r="34" spans="1:3" x14ac:dyDescent="0.35">
      <c r="A34" s="77">
        <v>43221</v>
      </c>
      <c r="B34" s="27">
        <v>4840.92</v>
      </c>
      <c r="C34" s="73">
        <v>97766.54</v>
      </c>
    </row>
    <row r="35" spans="1:3" x14ac:dyDescent="0.35">
      <c r="A35" s="77">
        <v>43252</v>
      </c>
      <c r="B35" s="27">
        <v>2278.0800000000004</v>
      </c>
      <c r="C35" s="73">
        <v>68295.76999999999</v>
      </c>
    </row>
    <row r="36" spans="1:3" x14ac:dyDescent="0.35">
      <c r="A36" s="77">
        <v>43282</v>
      </c>
      <c r="B36" s="27">
        <v>1328.88</v>
      </c>
      <c r="C36" s="73">
        <v>29958.98</v>
      </c>
    </row>
    <row r="37" spans="1:3" x14ac:dyDescent="0.35">
      <c r="A37" s="77">
        <v>43313</v>
      </c>
      <c r="B37" s="27">
        <v>759.36</v>
      </c>
      <c r="C37" s="73">
        <v>90571.4</v>
      </c>
    </row>
    <row r="38" spans="1:3" x14ac:dyDescent="0.35">
      <c r="A38" s="77">
        <v>43344</v>
      </c>
      <c r="B38" s="27">
        <v>3227.2799999999997</v>
      </c>
      <c r="C38" s="73">
        <v>54835.61</v>
      </c>
    </row>
    <row r="39" spans="1:3" x14ac:dyDescent="0.35">
      <c r="A39" s="77">
        <v>43374</v>
      </c>
      <c r="B39" s="27">
        <v>0</v>
      </c>
      <c r="C39" s="73">
        <v>43508.35</v>
      </c>
    </row>
    <row r="40" spans="1:3" x14ac:dyDescent="0.35">
      <c r="A40" s="77">
        <v>43405</v>
      </c>
      <c r="B40" s="27">
        <v>21262.080000000009</v>
      </c>
      <c r="C40" s="73">
        <v>90062.039999999979</v>
      </c>
    </row>
    <row r="41" spans="1:3" x14ac:dyDescent="0.35">
      <c r="A41" s="77">
        <v>43435</v>
      </c>
      <c r="B41" s="27">
        <v>1898.4</v>
      </c>
      <c r="C41" s="73">
        <v>88788.42</v>
      </c>
    </row>
    <row r="42" spans="1:3" x14ac:dyDescent="0.35">
      <c r="A42" s="77">
        <v>43466</v>
      </c>
      <c r="B42" s="28">
        <v>3838.7700000000004</v>
      </c>
      <c r="C42" s="73">
        <v>-20538.169999999998</v>
      </c>
    </row>
    <row r="43" spans="1:3" x14ac:dyDescent="0.35">
      <c r="A43" s="77">
        <v>43497</v>
      </c>
      <c r="B43" s="28">
        <v>3149.76</v>
      </c>
      <c r="C43" s="73">
        <v>37807.340000000004</v>
      </c>
    </row>
    <row r="44" spans="1:3" x14ac:dyDescent="0.35">
      <c r="A44" s="77">
        <v>43525</v>
      </c>
      <c r="B44" s="28">
        <v>0</v>
      </c>
      <c r="C44" s="73">
        <v>34927.11</v>
      </c>
    </row>
    <row r="45" spans="1:3" x14ac:dyDescent="0.35">
      <c r="A45" s="77">
        <v>43556</v>
      </c>
      <c r="B45" s="28">
        <v>3051.3300000000004</v>
      </c>
      <c r="C45" s="73">
        <v>16338.33</v>
      </c>
    </row>
    <row r="46" spans="1:3" x14ac:dyDescent="0.35">
      <c r="A46" s="77">
        <v>43586</v>
      </c>
      <c r="B46" s="28">
        <v>16733.100000000006</v>
      </c>
      <c r="C46" s="73">
        <v>43449.43</v>
      </c>
    </row>
    <row r="47" spans="1:3" x14ac:dyDescent="0.35">
      <c r="A47" s="77">
        <v>43617</v>
      </c>
      <c r="B47" s="28">
        <v>4724.6400000000003</v>
      </c>
      <c r="C47" s="73">
        <v>78796.53</v>
      </c>
    </row>
    <row r="48" spans="1:3" x14ac:dyDescent="0.35">
      <c r="A48" s="77">
        <v>43647</v>
      </c>
      <c r="B48" s="28">
        <v>6004.2300000000005</v>
      </c>
      <c r="C48" s="73">
        <v>27027.08</v>
      </c>
    </row>
    <row r="49" spans="1:3" x14ac:dyDescent="0.35">
      <c r="A49" s="77">
        <v>43678</v>
      </c>
      <c r="B49" s="28">
        <v>5019.93</v>
      </c>
      <c r="C49" s="73">
        <v>48714.75</v>
      </c>
    </row>
    <row r="50" spans="1:3" x14ac:dyDescent="0.35">
      <c r="A50" s="77">
        <v>43709</v>
      </c>
      <c r="B50" s="28">
        <v>196.86</v>
      </c>
      <c r="C50" s="73">
        <v>38237.229999999996</v>
      </c>
    </row>
    <row r="51" spans="1:3" x14ac:dyDescent="0.35">
      <c r="A51" s="77">
        <v>43739</v>
      </c>
      <c r="B51" s="28">
        <v>4724.6400000000003</v>
      </c>
      <c r="C51" s="73">
        <v>47906.5</v>
      </c>
    </row>
    <row r="52" spans="1:3" x14ac:dyDescent="0.35">
      <c r="A52" s="77">
        <v>43770</v>
      </c>
      <c r="B52" s="28">
        <v>4527.7800000000007</v>
      </c>
      <c r="C52" s="73">
        <v>15071.18</v>
      </c>
    </row>
    <row r="53" spans="1:3" x14ac:dyDescent="0.35">
      <c r="A53" s="77">
        <v>43800</v>
      </c>
      <c r="B53" s="28">
        <v>5167.58</v>
      </c>
      <c r="C53" s="73">
        <v>95238.97</v>
      </c>
    </row>
    <row r="54" spans="1:3" x14ac:dyDescent="0.35">
      <c r="A54" s="77">
        <v>43831</v>
      </c>
      <c r="B54" s="27">
        <v>10273.440000000002</v>
      </c>
      <c r="C54" s="73">
        <v>314.39999999999418</v>
      </c>
    </row>
    <row r="55" spans="1:3" x14ac:dyDescent="0.35">
      <c r="A55" s="77">
        <v>43862</v>
      </c>
      <c r="B55" s="27">
        <v>4179.88</v>
      </c>
      <c r="C55" s="73">
        <v>96487.25</v>
      </c>
    </row>
    <row r="56" spans="1:3" x14ac:dyDescent="0.35">
      <c r="A56" s="77">
        <v>43891</v>
      </c>
      <c r="B56" s="27">
        <v>8057.6000000000013</v>
      </c>
      <c r="C56" s="73">
        <v>368206.11</v>
      </c>
    </row>
    <row r="57" spans="1:3" x14ac:dyDescent="0.35">
      <c r="A57" s="77">
        <v>43922</v>
      </c>
      <c r="B57" s="27">
        <v>4935.2799999999988</v>
      </c>
      <c r="C57" s="73">
        <v>176139.24</v>
      </c>
    </row>
    <row r="58" spans="1:3" x14ac:dyDescent="0.35">
      <c r="A58" s="77">
        <v>43952</v>
      </c>
      <c r="B58" s="27">
        <v>8762.64</v>
      </c>
      <c r="C58" s="73">
        <v>164356.47999999998</v>
      </c>
    </row>
    <row r="59" spans="1:3" x14ac:dyDescent="0.35">
      <c r="A59" s="77">
        <v>43983</v>
      </c>
      <c r="B59" s="27">
        <v>7654.7199999999993</v>
      </c>
      <c r="C59" s="73">
        <v>212795.15</v>
      </c>
    </row>
    <row r="60" spans="1:3" x14ac:dyDescent="0.35">
      <c r="A60" s="77">
        <v>44013</v>
      </c>
      <c r="B60" s="27">
        <v>2618.7199999999998</v>
      </c>
      <c r="C60" s="73">
        <v>267707.39</v>
      </c>
    </row>
    <row r="61" spans="1:3" x14ac:dyDescent="0.35">
      <c r="A61" s="77">
        <v>44044</v>
      </c>
      <c r="B61" s="27">
        <v>9820.1999999999989</v>
      </c>
      <c r="C61" s="73">
        <v>209045.83000000002</v>
      </c>
    </row>
    <row r="62" spans="1:3" x14ac:dyDescent="0.35">
      <c r="A62" s="77">
        <v>44075</v>
      </c>
      <c r="B62" s="27">
        <v>5539.5999999999985</v>
      </c>
      <c r="C62" s="73">
        <v>249640.35</v>
      </c>
    </row>
    <row r="63" spans="1:3" x14ac:dyDescent="0.35">
      <c r="A63" s="77">
        <v>44105</v>
      </c>
      <c r="B63" s="27">
        <v>3676.2799999999997</v>
      </c>
      <c r="C63" s="73">
        <v>1355612.89</v>
      </c>
    </row>
    <row r="64" spans="1:3" x14ac:dyDescent="0.35">
      <c r="A64" s="77">
        <v>44136</v>
      </c>
      <c r="B64" s="27">
        <v>11633.16</v>
      </c>
      <c r="C64" s="73">
        <v>571995.39</v>
      </c>
    </row>
    <row r="65" spans="1:3" x14ac:dyDescent="0.35">
      <c r="A65" s="77">
        <v>44166</v>
      </c>
      <c r="B65" s="27">
        <v>10928.12</v>
      </c>
      <c r="C65" s="73">
        <v>1853647.3900000001</v>
      </c>
    </row>
    <row r="66" spans="1:3" x14ac:dyDescent="0.35">
      <c r="A66" s="77">
        <v>44197</v>
      </c>
      <c r="B66" s="27">
        <v>13569.330000000002</v>
      </c>
      <c r="C66" s="73">
        <v>-83119.469999999972</v>
      </c>
    </row>
    <row r="67" spans="1:3" x14ac:dyDescent="0.35">
      <c r="A67" s="77">
        <v>44228</v>
      </c>
      <c r="B67" s="27">
        <v>9370.5300000000007</v>
      </c>
      <c r="C67" s="73">
        <v>1089481.46</v>
      </c>
    </row>
    <row r="68" spans="1:3" x14ac:dyDescent="0.35">
      <c r="A68" s="77">
        <v>44256</v>
      </c>
      <c r="B68" s="27">
        <v>13825.36</v>
      </c>
      <c r="C68" s="73">
        <v>815977.77</v>
      </c>
    </row>
    <row r="69" spans="1:3" x14ac:dyDescent="0.35">
      <c r="A69" s="77">
        <v>44287</v>
      </c>
      <c r="B69" s="27">
        <v>11725.95</v>
      </c>
      <c r="C69" s="73">
        <v>1695758.2200000002</v>
      </c>
    </row>
    <row r="70" spans="1:3" x14ac:dyDescent="0.35">
      <c r="A70" s="77">
        <v>44317</v>
      </c>
      <c r="B70" s="27">
        <v>2457.8399999999997</v>
      </c>
      <c r="C70" s="73">
        <v>1959269.6900000002</v>
      </c>
    </row>
    <row r="71" spans="1:3" x14ac:dyDescent="0.35">
      <c r="A71" s="77">
        <v>44348</v>
      </c>
      <c r="B71" s="27">
        <v>1894.59</v>
      </c>
      <c r="C71" s="73">
        <v>348635.22</v>
      </c>
    </row>
    <row r="72" spans="1:3" x14ac:dyDescent="0.35">
      <c r="A72" s="77">
        <v>44378</v>
      </c>
      <c r="B72" s="27">
        <v>972.90000000000009</v>
      </c>
      <c r="C72" s="73">
        <v>65196.09</v>
      </c>
    </row>
    <row r="73" spans="1:3" x14ac:dyDescent="0.35">
      <c r="A73" s="77">
        <v>44409</v>
      </c>
      <c r="B73" s="27">
        <v>788.01999999999987</v>
      </c>
      <c r="C73" s="73">
        <v>28752.44</v>
      </c>
    </row>
    <row r="74" spans="1:3" x14ac:dyDescent="0.35">
      <c r="A74" s="77">
        <v>44440</v>
      </c>
      <c r="B74" s="27">
        <v>1266.8800000000001</v>
      </c>
      <c r="C74" s="73">
        <v>21912.17</v>
      </c>
    </row>
    <row r="75" spans="1:3" x14ac:dyDescent="0.35">
      <c r="A75" s="77">
        <v>44470</v>
      </c>
      <c r="B75" s="27">
        <v>358.43999999999994</v>
      </c>
      <c r="C75" s="73">
        <v>16903.669999999998</v>
      </c>
    </row>
    <row r="76" spans="1:3" x14ac:dyDescent="0.35">
      <c r="A76" s="77">
        <v>44501</v>
      </c>
      <c r="B76" s="27">
        <v>1126.51</v>
      </c>
      <c r="C76" s="73">
        <v>38315.019999999997</v>
      </c>
    </row>
    <row r="77" spans="1:3" x14ac:dyDescent="0.35">
      <c r="A77" s="77">
        <v>44531</v>
      </c>
      <c r="B77" s="27">
        <v>1894.59</v>
      </c>
      <c r="C77" s="73">
        <v>56706.869999999995</v>
      </c>
    </row>
    <row r="78" spans="1:3" x14ac:dyDescent="0.35">
      <c r="A78" s="77">
        <v>44562</v>
      </c>
      <c r="B78" s="27">
        <v>703.30000000000007</v>
      </c>
      <c r="C78" s="73">
        <v>80602.8</v>
      </c>
    </row>
    <row r="79" spans="1:3" x14ac:dyDescent="0.35">
      <c r="A79" s="77">
        <v>44593</v>
      </c>
      <c r="B79" s="27">
        <v>703.30000000000007</v>
      </c>
      <c r="C79" s="73">
        <v>46704.78</v>
      </c>
    </row>
    <row r="80" spans="1:3" x14ac:dyDescent="0.35">
      <c r="A80" s="77">
        <v>44621</v>
      </c>
      <c r="B80" s="27">
        <v>1661.64</v>
      </c>
      <c r="C80" s="73">
        <v>227678.78</v>
      </c>
    </row>
    <row r="81" spans="1:3" x14ac:dyDescent="0.35">
      <c r="A81" s="77">
        <v>44652</v>
      </c>
      <c r="B81" s="27">
        <v>919.7</v>
      </c>
      <c r="C81" s="73">
        <v>128492.85</v>
      </c>
    </row>
    <row r="82" spans="1:3" x14ac:dyDescent="0.35">
      <c r="A82" s="77">
        <v>44682</v>
      </c>
      <c r="B82" s="27">
        <v>108.2</v>
      </c>
      <c r="C82" s="73">
        <v>65916.97</v>
      </c>
    </row>
    <row r="83" spans="1:3" x14ac:dyDescent="0.35">
      <c r="A83" s="77">
        <v>44713</v>
      </c>
      <c r="B83" s="27">
        <v>750.28</v>
      </c>
      <c r="C83" s="73">
        <v>57680.94</v>
      </c>
    </row>
    <row r="84" spans="1:3" x14ac:dyDescent="0.35">
      <c r="A84" s="77">
        <v>44743</v>
      </c>
      <c r="B84" s="27">
        <v>54.1</v>
      </c>
      <c r="C84" s="73">
        <v>101379.58</v>
      </c>
    </row>
    <row r="85" spans="1:3" x14ac:dyDescent="0.35">
      <c r="A85" s="77">
        <v>44774</v>
      </c>
      <c r="B85" s="27">
        <v>1460.7</v>
      </c>
      <c r="C85" s="73">
        <v>147737.82</v>
      </c>
    </row>
    <row r="86" spans="1:3" x14ac:dyDescent="0.35">
      <c r="A86" s="77">
        <v>44805</v>
      </c>
      <c r="B86" s="27">
        <v>0</v>
      </c>
      <c r="C86" s="73">
        <v>334639.46999999997</v>
      </c>
    </row>
    <row r="87" spans="1:3" x14ac:dyDescent="0.35">
      <c r="A87" s="77">
        <v>44835</v>
      </c>
      <c r="B87" s="27">
        <v>0</v>
      </c>
      <c r="C87" s="73">
        <v>51907.47</v>
      </c>
    </row>
    <row r="88" spans="1:3" x14ac:dyDescent="0.35">
      <c r="A88" s="77">
        <v>44866</v>
      </c>
      <c r="B88" s="27">
        <v>0</v>
      </c>
      <c r="C88" s="73">
        <v>32212.7</v>
      </c>
    </row>
    <row r="89" spans="1:3" x14ac:dyDescent="0.35">
      <c r="A89" s="77">
        <v>44896</v>
      </c>
      <c r="B89" s="27">
        <v>6716.42</v>
      </c>
      <c r="C89" s="73">
        <v>110418.66</v>
      </c>
    </row>
    <row r="90" spans="1:3" x14ac:dyDescent="0.35">
      <c r="A90" s="77">
        <v>44927</v>
      </c>
      <c r="B90" s="27">
        <v>0</v>
      </c>
      <c r="C90" s="73">
        <v>-26052.06</v>
      </c>
    </row>
    <row r="91" spans="1:3" x14ac:dyDescent="0.35">
      <c r="A91" s="77">
        <v>44958</v>
      </c>
      <c r="B91" s="73">
        <v>978.96</v>
      </c>
      <c r="C91" s="73">
        <v>50500.67</v>
      </c>
    </row>
    <row r="92" spans="1:3" x14ac:dyDescent="0.35">
      <c r="A92" s="77">
        <v>44986</v>
      </c>
      <c r="B92" s="27">
        <v>0</v>
      </c>
      <c r="C92" s="73">
        <v>19295.759999999998</v>
      </c>
    </row>
    <row r="93" spans="1:3" x14ac:dyDescent="0.35">
      <c r="A93" s="77">
        <v>45017</v>
      </c>
      <c r="B93" s="73">
        <v>1835.55</v>
      </c>
      <c r="C93" s="73">
        <v>53462.99</v>
      </c>
    </row>
    <row r="94" spans="1:3" x14ac:dyDescent="0.35">
      <c r="A94" s="77">
        <v>45047</v>
      </c>
      <c r="B94" s="27">
        <v>0</v>
      </c>
      <c r="C94" s="73">
        <v>26918.17</v>
      </c>
    </row>
    <row r="95" spans="1:3" x14ac:dyDescent="0.35">
      <c r="A95" s="77">
        <v>45078</v>
      </c>
      <c r="B95" s="73">
        <v>1101.33</v>
      </c>
      <c r="C95" s="73">
        <v>9077.5</v>
      </c>
    </row>
    <row r="96" spans="1:3" x14ac:dyDescent="0.35">
      <c r="B96" s="76">
        <v>314185.38000000024</v>
      </c>
      <c r="C96" s="76">
        <v>15655834.209999997</v>
      </c>
    </row>
  </sheetData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G11" sqref="G11"/>
    </sheetView>
  </sheetViews>
  <sheetFormatPr defaultRowHeight="14.5" x14ac:dyDescent="0.35"/>
  <cols>
    <col min="1" max="1" width="10.6328125" customWidth="1"/>
    <col min="2" max="2" width="10.453125" customWidth="1"/>
    <col min="3" max="3" width="11.81640625" customWidth="1"/>
    <col min="5" max="5" width="12.6328125" customWidth="1"/>
    <col min="7" max="7" width="37" customWidth="1"/>
    <col min="8" max="8" width="20.1796875" bestFit="1" customWidth="1"/>
    <col min="9" max="9" width="10.54296875" bestFit="1" customWidth="1"/>
    <col min="10" max="10" width="21" customWidth="1"/>
  </cols>
  <sheetData>
    <row r="1" spans="1:10" x14ac:dyDescent="0.35">
      <c r="G1" s="18" t="s">
        <v>28</v>
      </c>
    </row>
    <row r="2" spans="1:10" x14ac:dyDescent="0.35">
      <c r="A2" t="s">
        <v>29</v>
      </c>
      <c r="D2">
        <v>10</v>
      </c>
      <c r="E2" s="19" t="s">
        <v>30</v>
      </c>
      <c r="G2" t="s">
        <v>31</v>
      </c>
      <c r="H2" s="14">
        <f>D4</f>
        <v>2.7397260273972601E-2</v>
      </c>
      <c r="I2" t="s">
        <v>32</v>
      </c>
      <c r="J2" s="19" t="s">
        <v>33</v>
      </c>
    </row>
    <row r="3" spans="1:10" x14ac:dyDescent="0.35">
      <c r="A3" t="s">
        <v>34</v>
      </c>
      <c r="D3">
        <v>365</v>
      </c>
      <c r="E3" s="19" t="s">
        <v>35</v>
      </c>
      <c r="G3" t="s">
        <v>36</v>
      </c>
      <c r="H3" s="20">
        <f>1-H2</f>
        <v>0.9726027397260274</v>
      </c>
      <c r="I3" t="s">
        <v>32</v>
      </c>
      <c r="J3" s="19" t="s">
        <v>37</v>
      </c>
    </row>
    <row r="4" spans="1:10" x14ac:dyDescent="0.35">
      <c r="A4" t="s">
        <v>38</v>
      </c>
      <c r="D4" s="20">
        <f>D2/D3</f>
        <v>2.7397260273972601E-2</v>
      </c>
      <c r="E4" s="19" t="s">
        <v>39</v>
      </c>
      <c r="G4" t="s">
        <v>40</v>
      </c>
      <c r="H4" s="20">
        <v>0.1</v>
      </c>
      <c r="J4" s="19" t="s">
        <v>41</v>
      </c>
    </row>
    <row r="5" spans="1:10" ht="29" x14ac:dyDescent="0.35">
      <c r="G5" s="13" t="s">
        <v>42</v>
      </c>
      <c r="H5" s="20">
        <f>H3*H4</f>
        <v>9.7260273972602743E-2</v>
      </c>
      <c r="J5" s="19" t="s">
        <v>43</v>
      </c>
    </row>
    <row r="6" spans="1:10" x14ac:dyDescent="0.35">
      <c r="G6" t="s">
        <v>44</v>
      </c>
      <c r="H6" s="14">
        <f>H2+H5</f>
        <v>0.12465753424657534</v>
      </c>
      <c r="J6" s="19" t="s">
        <v>45</v>
      </c>
    </row>
    <row r="7" spans="1:10" x14ac:dyDescent="0.35">
      <c r="G7" t="s">
        <v>46</v>
      </c>
      <c r="H7" s="21">
        <f>H6*23.3</f>
        <v>2.9045205479452054</v>
      </c>
      <c r="I7" t="s">
        <v>47</v>
      </c>
      <c r="J7" s="19" t="s">
        <v>48</v>
      </c>
    </row>
    <row r="8" spans="1:10" x14ac:dyDescent="0.35">
      <c r="A8" s="18" t="s">
        <v>49</v>
      </c>
    </row>
    <row r="9" spans="1:10" x14ac:dyDescent="0.35">
      <c r="A9" t="s">
        <v>50</v>
      </c>
      <c r="C9">
        <f>23.3</f>
        <v>23.3</v>
      </c>
      <c r="D9" t="s">
        <v>51</v>
      </c>
      <c r="E9" s="19" t="s">
        <v>52</v>
      </c>
      <c r="F9" t="s">
        <v>53</v>
      </c>
    </row>
    <row r="10" spans="1:10" x14ac:dyDescent="0.35">
      <c r="A10" s="22" t="s">
        <v>54</v>
      </c>
      <c r="B10" s="22"/>
      <c r="C10" s="22">
        <v>4.0999999999999996</v>
      </c>
      <c r="D10" s="22" t="s">
        <v>51</v>
      </c>
      <c r="E10" s="19" t="s">
        <v>55</v>
      </c>
    </row>
    <row r="11" spans="1:10" x14ac:dyDescent="0.35">
      <c r="A11" t="s">
        <v>56</v>
      </c>
      <c r="C11">
        <f>SUM(C9:C10)</f>
        <v>27.4</v>
      </c>
      <c r="D11" s="23" t="s">
        <v>51</v>
      </c>
      <c r="E11" s="19" t="s">
        <v>57</v>
      </c>
    </row>
    <row r="13" spans="1:10" x14ac:dyDescent="0.35">
      <c r="A13" t="s">
        <v>46</v>
      </c>
      <c r="C13" s="24">
        <f>C10+H7</f>
        <v>7.0045205479452051</v>
      </c>
      <c r="D13" t="s">
        <v>51</v>
      </c>
      <c r="E13" s="19" t="s">
        <v>58</v>
      </c>
    </row>
    <row r="14" spans="1:10" x14ac:dyDescent="0.35">
      <c r="A14" t="s">
        <v>44</v>
      </c>
      <c r="C14" s="20">
        <f xml:space="preserve"> C13/C11</f>
        <v>0.25563943605639433</v>
      </c>
      <c r="E14" s="19" t="s">
        <v>59</v>
      </c>
    </row>
    <row r="15" spans="1:10" x14ac:dyDescent="0.35">
      <c r="A15" t="s">
        <v>60</v>
      </c>
      <c r="C15" s="14">
        <f>1-C14</f>
        <v>0.74436056394360572</v>
      </c>
      <c r="E15" s="19" t="s">
        <v>61</v>
      </c>
    </row>
    <row r="18" spans="1:3" x14ac:dyDescent="0.35">
      <c r="A18" s="18" t="s">
        <v>62</v>
      </c>
    </row>
    <row r="19" spans="1:3" x14ac:dyDescent="0.35">
      <c r="A19">
        <v>9</v>
      </c>
      <c r="B19" t="s">
        <v>63</v>
      </c>
    </row>
    <row r="20" spans="1:3" x14ac:dyDescent="0.35">
      <c r="A20">
        <v>1</v>
      </c>
      <c r="B20" t="s">
        <v>64</v>
      </c>
    </row>
    <row r="21" spans="1:3" x14ac:dyDescent="0.35">
      <c r="A21" s="22">
        <v>0.3</v>
      </c>
      <c r="B21" s="22" t="s">
        <v>65</v>
      </c>
      <c r="C21" s="22"/>
    </row>
    <row r="22" spans="1:3" x14ac:dyDescent="0.35">
      <c r="A22">
        <f>SUM(A19:A21)</f>
        <v>10.3</v>
      </c>
      <c r="B22" t="s">
        <v>66</v>
      </c>
    </row>
  </sheetData>
  <pageMargins left="0.7" right="0.7" top="0.75" bottom="0.75" header="0.3" footer="0.3"/>
  <pageSetup scale="8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64DD93A-E004-4274-9478-1FBCE583E128}"/>
</file>

<file path=customXml/itemProps2.xml><?xml version="1.0" encoding="utf-8"?>
<ds:datastoreItem xmlns:ds="http://schemas.openxmlformats.org/officeDocument/2006/customXml" ds:itemID="{76327BEF-613B-4785-AC54-DC736ABFEDF4}"/>
</file>

<file path=customXml/itemProps3.xml><?xml version="1.0" encoding="utf-8"?>
<ds:datastoreItem xmlns:ds="http://schemas.openxmlformats.org/officeDocument/2006/customXml" ds:itemID="{59A1766E-BACA-40B8-B6B2-A7FEB344B4CA}"/>
</file>

<file path=customXml/itemProps4.xml><?xml version="1.0" encoding="utf-8"?>
<ds:datastoreItem xmlns:ds="http://schemas.openxmlformats.org/officeDocument/2006/customXml" ds:itemID="{D85DE82F-0ECE-4C42-ACC9-9C8A854D9D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RLE-WP1_Benefits of 52 HDD</vt:lpstr>
      <vt:lpstr>RLE-WP2 Winter Season Min Temp</vt:lpstr>
      <vt:lpstr>RLE-WP3_Cal of HDD-Scenarios</vt:lpstr>
      <vt:lpstr>RLE-7 Vaporization Comparison</vt:lpstr>
      <vt:lpstr>RLE-WP4_Stored Winter 2022-2023</vt:lpstr>
      <vt:lpstr>RLE-WP5_Chi Squared</vt:lpstr>
      <vt:lpstr>RLE-13 Legal Fees</vt:lpstr>
      <vt:lpstr>RLE-14 Pipeline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Robert Earle</dc:creator>
  <cp:lastModifiedBy>Hartman, Brice C (ATG)</cp:lastModifiedBy>
  <cp:lastPrinted>2023-09-03T18:33:23Z</cp:lastPrinted>
  <dcterms:created xsi:type="dcterms:W3CDTF">2023-09-01T14:27:50Z</dcterms:created>
  <dcterms:modified xsi:type="dcterms:W3CDTF">2023-09-11T22:02:17Z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