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95" yWindow="2715" windowWidth="16335" windowHeight="8535" tabRatio="883"/>
  </bookViews>
  <sheets>
    <sheet name="CBR COC Pg1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calcPr calcId="145621"/>
</workbook>
</file>

<file path=xl/calcChain.xml><?xml version="1.0" encoding="utf-8"?>
<calcChain xmlns="http://schemas.openxmlformats.org/spreadsheetml/2006/main">
  <c r="B3" i="29" l="1"/>
  <c r="A2" i="7"/>
  <c r="E28" i="83"/>
  <c r="B3" i="71"/>
  <c r="B3" i="21"/>
  <c r="I22" i="7" l="1"/>
  <c r="O12" i="1"/>
  <c r="X24" i="7" l="1"/>
  <c r="O42" i="1" l="1"/>
  <c r="O40" i="1"/>
  <c r="N42" i="1"/>
  <c r="M42" i="1"/>
  <c r="K42" i="1"/>
  <c r="F44" i="1"/>
  <c r="G44" i="1"/>
  <c r="H44" i="1"/>
  <c r="H42" i="1"/>
  <c r="N12" i="1"/>
  <c r="M12" i="1"/>
  <c r="H24" i="7" l="1"/>
  <c r="F24" i="7"/>
  <c r="G29" i="71"/>
  <c r="E29" i="71"/>
  <c r="C16" i="71"/>
  <c r="C15" i="71"/>
  <c r="C13" i="71"/>
  <c r="C27" i="71"/>
  <c r="D27" i="71"/>
  <c r="E27" i="71"/>
  <c r="F27" i="71"/>
  <c r="G27" i="71"/>
  <c r="H27" i="71"/>
  <c r="I24" i="7" l="1"/>
  <c r="N40" i="1"/>
  <c r="M41" i="1" l="1"/>
  <c r="M40" i="1"/>
  <c r="L40" i="1" l="1"/>
  <c r="K40" i="1"/>
  <c r="J40" i="1"/>
  <c r="I40" i="1"/>
  <c r="H40" i="1"/>
  <c r="G40" i="1"/>
  <c r="F40" i="1"/>
  <c r="E40" i="1"/>
  <c r="D40" i="1"/>
  <c r="C40" i="1"/>
  <c r="L12" i="1"/>
  <c r="K12" i="1"/>
  <c r="J12" i="1"/>
  <c r="I12" i="1"/>
  <c r="H12" i="1"/>
  <c r="G12" i="1"/>
  <c r="F12" i="1"/>
  <c r="E12" i="1"/>
  <c r="D12" i="1"/>
  <c r="C12" i="1"/>
  <c r="V27" i="7" l="1"/>
  <c r="U27" i="7"/>
  <c r="T27" i="7"/>
  <c r="Q7" i="1" l="1"/>
  <c r="Q40" i="1" l="1"/>
  <c r="Q34" i="1"/>
  <c r="G27" i="21"/>
  <c r="Q36" i="1" l="1"/>
  <c r="Q41" i="1"/>
  <c r="Q14" i="1"/>
  <c r="M38" i="1"/>
  <c r="H22" i="7" l="1"/>
  <c r="X22" i="7" s="1"/>
  <c r="X25" i="7" s="1"/>
  <c r="M43" i="1"/>
  <c r="N43" i="1"/>
  <c r="O43" i="1"/>
  <c r="N38" i="1"/>
  <c r="O38" i="1"/>
  <c r="O16" i="1"/>
  <c r="N16" i="1"/>
  <c r="M16" i="1"/>
  <c r="M10" i="1"/>
  <c r="N10" i="1"/>
  <c r="O10" i="1"/>
  <c r="Q9" i="1"/>
  <c r="Q8" i="1"/>
  <c r="E16" i="2"/>
  <c r="C16" i="2"/>
  <c r="D16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H27" i="21"/>
  <c r="E26" i="21"/>
  <c r="E12" i="21"/>
  <c r="E11" i="21"/>
  <c r="I24" i="29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6" i="7"/>
  <c r="T5" i="7"/>
  <c r="U5" i="7"/>
  <c r="V5" i="7"/>
  <c r="H31" i="71"/>
  <c r="G31" i="71"/>
  <c r="F31" i="71"/>
  <c r="D31" i="71"/>
  <c r="E31" i="71"/>
  <c r="C16" i="1"/>
  <c r="D16" i="1"/>
  <c r="E16" i="1"/>
  <c r="F16" i="1"/>
  <c r="H16" i="1"/>
  <c r="I16" i="1"/>
  <c r="J16" i="1"/>
  <c r="L43" i="1"/>
  <c r="K43" i="1"/>
  <c r="K44" i="1" s="1"/>
  <c r="J43" i="1"/>
  <c r="L16" i="1"/>
  <c r="K16" i="1"/>
  <c r="Q42" i="1"/>
  <c r="I43" i="1"/>
  <c r="H43" i="1"/>
  <c r="G43" i="1"/>
  <c r="F43" i="1"/>
  <c r="G16" i="1"/>
  <c r="E43" i="1"/>
  <c r="A9" i="83"/>
  <c r="A10" i="83" s="1"/>
  <c r="A11" i="83" s="1"/>
  <c r="A12" i="83" s="1"/>
  <c r="A13" i="83" s="1"/>
  <c r="A14" i="83" s="1"/>
  <c r="A15" i="83" s="1"/>
  <c r="A16" i="83" s="1"/>
  <c r="A17" i="83" s="1"/>
  <c r="S5" i="7"/>
  <c r="R5" i="7"/>
  <c r="Q5" i="7"/>
  <c r="P5" i="7"/>
  <c r="O5" i="7"/>
  <c r="N5" i="7"/>
  <c r="M5" i="7"/>
  <c r="L5" i="7"/>
  <c r="K5" i="7"/>
  <c r="J5" i="7"/>
  <c r="K38" i="1"/>
  <c r="J38" i="1"/>
  <c r="I38" i="1"/>
  <c r="I44" i="1" s="1"/>
  <c r="I20" i="1" s="1"/>
  <c r="H38" i="1"/>
  <c r="G38" i="1"/>
  <c r="F38" i="1"/>
  <c r="E38" i="1"/>
  <c r="D38" i="1"/>
  <c r="C38" i="1"/>
  <c r="K10" i="1"/>
  <c r="J10" i="1"/>
  <c r="I10" i="1"/>
  <c r="H10" i="1"/>
  <c r="G10" i="1"/>
  <c r="F10" i="1"/>
  <c r="E10" i="1"/>
  <c r="D10" i="1"/>
  <c r="C10" i="1"/>
  <c r="J31" i="21"/>
  <c r="J32" i="21" s="1"/>
  <c r="H23" i="7"/>
  <c r="L38" i="1"/>
  <c r="L10" i="1"/>
  <c r="A27" i="71"/>
  <c r="E15" i="2"/>
  <c r="D15" i="2" s="1"/>
  <c r="A27" i="21"/>
  <c r="A28" i="21" s="1"/>
  <c r="A29" i="21" s="1"/>
  <c r="A30" i="21" s="1"/>
  <c r="A31" i="21" s="1"/>
  <c r="A32" i="21" s="1"/>
  <c r="A33" i="21" s="1"/>
  <c r="A34" i="21" s="1"/>
  <c r="A35" i="21" s="1"/>
  <c r="A36" i="21" s="1"/>
  <c r="A14" i="21"/>
  <c r="H12" i="7"/>
  <c r="X12" i="7" s="1"/>
  <c r="H11" i="7"/>
  <c r="D21" i="29"/>
  <c r="C15" i="2"/>
  <c r="G26" i="21"/>
  <c r="H26" i="21"/>
  <c r="J26" i="21" s="1"/>
  <c r="C13" i="2"/>
  <c r="E13" i="2"/>
  <c r="E17" i="2" s="1"/>
  <c r="H21" i="7"/>
  <c r="X21" i="7" s="1"/>
  <c r="H20" i="7"/>
  <c r="X20" i="7" s="1"/>
  <c r="H19" i="7"/>
  <c r="X19" i="7" s="1"/>
  <c r="I25" i="29"/>
  <c r="I31" i="29" s="1"/>
  <c r="I26" i="7" s="1"/>
  <c r="X26" i="7" s="1"/>
  <c r="H18" i="7"/>
  <c r="X18" i="7" s="1"/>
  <c r="H17" i="7"/>
  <c r="I17" i="7" s="1"/>
  <c r="H6" i="7"/>
  <c r="H7" i="7"/>
  <c r="H8" i="7"/>
  <c r="X8" i="7" s="1"/>
  <c r="H9" i="7"/>
  <c r="X9" i="7" s="1"/>
  <c r="H10" i="7"/>
  <c r="I10" i="7" s="1"/>
  <c r="H13" i="7"/>
  <c r="I13" i="7" s="1"/>
  <c r="H14" i="7"/>
  <c r="I14" i="7" s="1"/>
  <c r="H15" i="7"/>
  <c r="I15" i="7" s="1"/>
  <c r="H16" i="7"/>
  <c r="I16" i="7" s="1"/>
  <c r="D20" i="29"/>
  <c r="D19" i="29"/>
  <c r="D18" i="29"/>
  <c r="H13" i="29"/>
  <c r="H12" i="29"/>
  <c r="S27" i="7"/>
  <c r="X28" i="7"/>
  <c r="A6" i="21"/>
  <c r="A7" i="21" s="1"/>
  <c r="A8" i="21" s="1"/>
  <c r="A9" i="21" s="1"/>
  <c r="A10" i="21" s="1"/>
  <c r="A11" i="21" s="1"/>
  <c r="A12" i="21" s="1"/>
  <c r="A15" i="21"/>
  <c r="A16" i="21" s="1"/>
  <c r="A21" i="21" s="1"/>
  <c r="A22" i="21" s="1"/>
  <c r="A23" i="21" s="1"/>
  <c r="A24" i="21" s="1"/>
  <c r="A25" i="21" s="1"/>
  <c r="A9" i="71"/>
  <c r="A10" i="7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6" i="1"/>
  <c r="A7" i="1"/>
  <c r="A8" i="1" s="1"/>
  <c r="A9" i="1" s="1"/>
  <c r="A10" i="1" s="1"/>
  <c r="A12" i="1" s="1"/>
  <c r="A14" i="1" s="1"/>
  <c r="A16" i="1" s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9" i="2"/>
  <c r="A10" i="2"/>
  <c r="A11" i="2" s="1"/>
  <c r="A12" i="2" s="1"/>
  <c r="A13" i="2" s="1"/>
  <c r="A14" i="2" s="1"/>
  <c r="Q27" i="7"/>
  <c r="R27" i="7"/>
  <c r="P27" i="7"/>
  <c r="O27" i="7"/>
  <c r="N27" i="7"/>
  <c r="M27" i="7"/>
  <c r="L27" i="7"/>
  <c r="K27" i="7"/>
  <c r="J27" i="7"/>
  <c r="M42" i="7"/>
  <c r="N42" i="7"/>
  <c r="O42" i="7"/>
  <c r="P42" i="7"/>
  <c r="Q42" i="7"/>
  <c r="R42" i="7"/>
  <c r="S42" i="7"/>
  <c r="J42" i="7"/>
  <c r="K42" i="7"/>
  <c r="L42" i="7"/>
  <c r="D13" i="29"/>
  <c r="D12" i="29"/>
  <c r="E14" i="2"/>
  <c r="D14" i="2" s="1"/>
  <c r="D16" i="21"/>
  <c r="C16" i="21"/>
  <c r="C14" i="2"/>
  <c r="E13" i="21"/>
  <c r="A28" i="71"/>
  <c r="A29" i="71"/>
  <c r="A30" i="71" s="1"/>
  <c r="A31" i="71" s="1"/>
  <c r="A32" i="71" s="1"/>
  <c r="A33" i="71" s="1"/>
  <c r="A34" i="71" s="1"/>
  <c r="A35" i="71" s="1"/>
  <c r="J44" i="1"/>
  <c r="J20" i="1" s="1"/>
  <c r="E16" i="21"/>
  <c r="X23" i="7"/>
  <c r="D43" i="1"/>
  <c r="D13" i="2" l="1"/>
  <c r="C17" i="2"/>
  <c r="F31" i="7" s="1"/>
  <c r="I18" i="7"/>
  <c r="I23" i="7"/>
  <c r="I19" i="7"/>
  <c r="X14" i="7"/>
  <c r="I9" i="7"/>
  <c r="I7" i="7"/>
  <c r="I11" i="7"/>
  <c r="I6" i="7"/>
  <c r="I29" i="7" s="1"/>
  <c r="F27" i="7"/>
  <c r="F29" i="7" s="1"/>
  <c r="J27" i="21"/>
  <c r="F14" i="21" s="1"/>
  <c r="E44" i="1"/>
  <c r="E20" i="1" s="1"/>
  <c r="X16" i="7"/>
  <c r="X17" i="7"/>
  <c r="I12" i="7"/>
  <c r="I21" i="7"/>
  <c r="I20" i="7"/>
  <c r="X7" i="7"/>
  <c r="K20" i="1"/>
  <c r="K22" i="1" s="1"/>
  <c r="K28" i="1" s="1"/>
  <c r="O44" i="1"/>
  <c r="O20" i="1" s="1"/>
  <c r="O22" i="1" s="1"/>
  <c r="O28" i="1" s="1"/>
  <c r="L44" i="1"/>
  <c r="L20" i="1" s="1"/>
  <c r="L22" i="1" s="1"/>
  <c r="L28" i="1" s="1"/>
  <c r="N44" i="1"/>
  <c r="N20" i="1" s="1"/>
  <c r="N22" i="1" s="1"/>
  <c r="N25" i="1" s="1"/>
  <c r="C23" i="2"/>
  <c r="H20" i="1"/>
  <c r="H22" i="1" s="1"/>
  <c r="H27" i="1" s="1"/>
  <c r="J22" i="1"/>
  <c r="J27" i="1" s="1"/>
  <c r="D44" i="1"/>
  <c r="D20" i="1" s="1"/>
  <c r="D22" i="1" s="1"/>
  <c r="D25" i="1" s="1"/>
  <c r="J28" i="21"/>
  <c r="F13" i="21"/>
  <c r="I22" i="1"/>
  <c r="I28" i="1" s="1"/>
  <c r="I27" i="71"/>
  <c r="E21" i="2" s="1"/>
  <c r="C31" i="71"/>
  <c r="E22" i="1"/>
  <c r="I8" i="7"/>
  <c r="X13" i="7"/>
  <c r="X6" i="7"/>
  <c r="X10" i="7"/>
  <c r="X11" i="7"/>
  <c r="X15" i="7"/>
  <c r="F20" i="1"/>
  <c r="Q10" i="1"/>
  <c r="Q38" i="1"/>
  <c r="G20" i="1"/>
  <c r="C43" i="1"/>
  <c r="C44" i="1" s="1"/>
  <c r="Q12" i="1"/>
  <c r="Q16" i="1" s="1"/>
  <c r="M44" i="1"/>
  <c r="Q43" i="1"/>
  <c r="F21" i="2" l="1"/>
  <c r="F33" i="7"/>
  <c r="K24" i="1"/>
  <c r="H28" i="1"/>
  <c r="K25" i="1"/>
  <c r="K27" i="1"/>
  <c r="H24" i="1"/>
  <c r="X27" i="7"/>
  <c r="H25" i="1"/>
  <c r="J25" i="1"/>
  <c r="I27" i="7"/>
  <c r="H27" i="7" s="1"/>
  <c r="J24" i="1"/>
  <c r="J28" i="1"/>
  <c r="D27" i="1"/>
  <c r="D24" i="1"/>
  <c r="D26" i="1" s="1"/>
  <c r="D28" i="1"/>
  <c r="C14" i="83"/>
  <c r="F22" i="1"/>
  <c r="F28" i="1" s="1"/>
  <c r="E24" i="1"/>
  <c r="E27" i="1"/>
  <c r="E25" i="1"/>
  <c r="G22" i="1"/>
  <c r="G28" i="1" s="1"/>
  <c r="I24" i="1"/>
  <c r="I25" i="1"/>
  <c r="I27" i="1"/>
  <c r="O27" i="1"/>
  <c r="H29" i="7"/>
  <c r="E16" i="83" s="1"/>
  <c r="L25" i="1"/>
  <c r="L27" i="1"/>
  <c r="I31" i="7"/>
  <c r="F17" i="2"/>
  <c r="D17" i="2"/>
  <c r="C16" i="83"/>
  <c r="L24" i="1"/>
  <c r="Q44" i="1"/>
  <c r="C20" i="1"/>
  <c r="E28" i="1"/>
  <c r="M20" i="1"/>
  <c r="O24" i="1"/>
  <c r="O25" i="1"/>
  <c r="N27" i="1"/>
  <c r="N28" i="1"/>
  <c r="N24" i="1"/>
  <c r="N26" i="1" s="1"/>
  <c r="K26" i="1" l="1"/>
  <c r="K30" i="1" s="1"/>
  <c r="Y27" i="7"/>
  <c r="H26" i="1"/>
  <c r="H30" i="1" s="1"/>
  <c r="J26" i="1"/>
  <c r="J30" i="1" s="1"/>
  <c r="E26" i="1"/>
  <c r="E30" i="1" s="1"/>
  <c r="C26" i="83"/>
  <c r="D30" i="1"/>
  <c r="I26" i="1"/>
  <c r="I30" i="1" s="1"/>
  <c r="F27" i="1"/>
  <c r="F24" i="1"/>
  <c r="F25" i="1"/>
  <c r="G24" i="1"/>
  <c r="G27" i="1"/>
  <c r="G25" i="1"/>
  <c r="L26" i="1"/>
  <c r="L30" i="1" s="1"/>
  <c r="C22" i="1"/>
  <c r="C28" i="1" s="1"/>
  <c r="H31" i="7"/>
  <c r="E14" i="83" s="1"/>
  <c r="I33" i="7"/>
  <c r="H33" i="7" s="1"/>
  <c r="E18" i="83" s="1"/>
  <c r="Q20" i="1"/>
  <c r="M22" i="1"/>
  <c r="O26" i="1"/>
  <c r="O30" i="1" s="1"/>
  <c r="N30" i="1"/>
  <c r="C25" i="1" l="1"/>
  <c r="C27" i="1"/>
  <c r="C24" i="1"/>
  <c r="F26" i="1"/>
  <c r="F30" i="1" s="1"/>
  <c r="G26" i="1"/>
  <c r="G30" i="1" s="1"/>
  <c r="Q22" i="1"/>
  <c r="C28" i="83"/>
  <c r="C30" i="83" s="1"/>
  <c r="M28" i="1"/>
  <c r="M27" i="1"/>
  <c r="M24" i="1"/>
  <c r="M25" i="1"/>
  <c r="C26" i="1" l="1"/>
  <c r="C30" i="1" s="1"/>
  <c r="M26" i="1"/>
  <c r="M30" i="1" s="1"/>
  <c r="Q24" i="1"/>
  <c r="Q25" i="1"/>
  <c r="Q27" i="1"/>
  <c r="Q28" i="1"/>
  <c r="D28" i="83"/>
  <c r="F28" i="83" s="1"/>
  <c r="D18" i="83"/>
  <c r="D26" i="83" s="1"/>
  <c r="F18" i="21"/>
  <c r="D14" i="83"/>
  <c r="F14" i="83" s="1"/>
  <c r="D16" i="83"/>
  <c r="F16" i="83" s="1"/>
  <c r="I33" i="71"/>
  <c r="I33" i="29"/>
  <c r="I35" i="29" s="1"/>
  <c r="F24" i="83" s="1"/>
  <c r="F18" i="83" l="1"/>
  <c r="I35" i="71"/>
  <c r="F22" i="83" s="1"/>
  <c r="Q26" i="1"/>
  <c r="Q30" i="1" s="1"/>
  <c r="D30" i="83"/>
  <c r="F15" i="21" l="1"/>
  <c r="F16" i="21" s="1"/>
  <c r="F20" i="21" l="1"/>
  <c r="F20" i="83" s="1"/>
  <c r="F26" i="83" s="1"/>
  <c r="F30" i="83" s="1"/>
  <c r="E19" i="2"/>
  <c r="E23" i="2" l="1"/>
  <c r="F19" i="2"/>
  <c r="F23" i="2" l="1"/>
</calcChain>
</file>

<file path=xl/comments1.xml><?xml version="1.0" encoding="utf-8"?>
<comments xmlns="http://schemas.openxmlformats.org/spreadsheetml/2006/main">
  <authors>
    <author>jsant</author>
  </authors>
  <commentList>
    <comment ref="B34" authorId="0">
      <text>
        <r>
          <rPr>
            <sz val="8"/>
            <color indexed="81"/>
            <rFont val="Tahoma"/>
            <family val="2"/>
          </rPr>
          <t>Positive numbers are credits to equity, negative numbers are debits.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Patrick McConnell</author>
  </authors>
  <commentList>
    <comment ref="I22" authorId="0">
      <text>
        <r>
          <rPr>
            <b/>
            <sz val="9"/>
            <color indexed="81"/>
            <rFont val="Tahoma"/>
            <family val="2"/>
          </rPr>
          <t>Patrick McConnell:</t>
        </r>
        <r>
          <rPr>
            <sz val="9"/>
            <color indexed="81"/>
            <rFont val="Tahoma"/>
            <family val="2"/>
          </rPr>
          <t xml:space="preserve">
Notes went to floating rate on 12/1/17.  Annual charge is 6 mths at Cost Rate, plus Dec - Feb at first floating rate, plus full amt for 19 days of March at 2nd floating rate, plus remaining balance after tender at 2nd floating rate for 38
days</t>
        </r>
      </text>
    </comment>
  </commentList>
</comments>
</file>

<file path=xl/sharedStrings.xml><?xml version="1.0" encoding="utf-8"?>
<sst xmlns="http://schemas.openxmlformats.org/spreadsheetml/2006/main" count="346" uniqueCount="209">
  <si>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</si>
  <si>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</si>
  <si>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</si>
  <si>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</si>
  <si>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</si>
  <si>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</si>
  <si>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</si>
  <si>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</si>
  <si>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</si>
  <si>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</si>
  <si>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</si>
  <si>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</si>
  <si>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</si>
  <si>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</si>
  <si>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</si>
  <si>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</si>
  <si>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</si>
  <si>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</si>
  <si>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</si>
  <si>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</si>
  <si>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</si>
  <si>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</si>
  <si>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</si>
  <si>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</si>
  <si>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</si>
  <si>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</si>
  <si>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</si>
  <si>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</si>
  <si>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</si>
  <si>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</si>
  <si>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</si>
  <si>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</si>
  <si>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</si>
  <si>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</si>
  <si>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</si>
  <si>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</si>
  <si>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</si>
  <si>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</si>
  <si>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</si>
  <si>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</si>
  <si>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</si>
  <si>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</si>
  <si>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</si>
  <si>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</si>
  <si>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</si>
  <si>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</si>
  <si>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</si>
  <si>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</si>
  <si>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</si>
  <si>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</si>
  <si>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</si>
  <si>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</si>
  <si>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</si>
  <si>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</si>
  <si>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</si>
  <si>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</si>
  <si>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</si>
  <si>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</si>
  <si>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</si>
  <si>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</si>
  <si>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</si>
  <si>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</si>
  <si>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</si>
  <si>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</si>
  <si>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</si>
  <si>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</si>
  <si>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</si>
  <si>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</si>
  <si>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</si>
  <si>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</si>
  <si>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</si>
  <si>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</si>
  <si>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</si>
  <si>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</si>
  <si>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</si>
  <si>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</si>
  <si>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</si>
  <si>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</si>
  <si>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</si>
  <si>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</si>
  <si>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</si>
  <si>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</si>
  <si>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</si>
  <si>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</si>
  <si>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</si>
  <si>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t>Total Capital</t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</si>
  <si>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</si>
  <si>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</si>
  <si>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</si>
  <si>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</si>
  <si>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</si>
  <si>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</si>
  <si>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</si>
  <si>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</si>
  <si>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</si>
  <si>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</si>
  <si>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</si>
  <si>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</si>
  <si>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</si>
  <si>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</si>
  <si>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</si>
  <si>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</si>
  <si>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</si>
  <si>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</si>
  <si>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</si>
  <si>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</si>
  <si>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</si>
  <si>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</si>
  <si>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</si>
  <si>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</si>
  <si>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</si>
  <si>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</si>
  <si>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</si>
  <si>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</si>
  <si>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</si>
  <si>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</si>
  <si>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</si>
  <si>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</si>
  <si>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JrSubN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</si>
  <si>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</si>
  <si>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</si>
  <si>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</si>
  <si>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</si>
  <si>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</si>
  <si>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</si>
  <si>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</si>
  <si>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</si>
  <si>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</si>
  <si>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</si>
  <si>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</si>
  <si>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</si>
  <si>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</si>
  <si>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</si>
  <si>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</si>
  <si>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</si>
  <si>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</si>
  <si>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</si>
  <si>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</si>
  <si>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</si>
  <si>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</si>
  <si>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</si>
  <si>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</si>
  <si>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</si>
  <si>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</si>
  <si>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</si>
  <si>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</si>
  <si>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</si>
  <si>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</si>
  <si>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</si>
  <si>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</si>
  <si>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</si>
  <si>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</si>
  <si>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</si>
  <si>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</si>
  <si>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</si>
  <si>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$400 million</t>
  </si>
  <si>
    <t>Working Cap Fac</t>
  </si>
  <si>
    <t>TOTAL</t>
  </si>
  <si>
    <t>AMORTIZATION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</si>
  <si>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</si>
  <si>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</si>
  <si>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</si>
  <si>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</si>
  <si>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</si>
  <si>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</si>
  <si>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</si>
  <si>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</si>
  <si>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</si>
  <si>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</si>
  <si>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</si>
  <si>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</si>
  <si>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</si>
  <si>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</si>
  <si>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</si>
  <si>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</si>
  <si>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</si>
  <si>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</si>
  <si>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Sub Total 231</t>
  </si>
  <si>
    <t>Sub Total 233</t>
  </si>
  <si>
    <t>Sub Total 221 &amp; 226</t>
  </si>
  <si>
    <t>Sub Total 221 Jr. Subordinated</t>
  </si>
  <si>
    <t>Financial Package</t>
  </si>
  <si>
    <t>SAP ZFR00016</t>
  </si>
  <si>
    <t>Capex Fac</t>
  </si>
  <si>
    <t>18101083/18900403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</si>
  <si>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</si>
  <si>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</si>
  <si>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</si>
  <si>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</si>
  <si>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</si>
  <si>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</si>
  <si>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</si>
  <si>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</si>
  <si>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</si>
  <si>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</si>
  <si>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</si>
  <si>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</si>
  <si>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</si>
  <si>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</si>
  <si>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</si>
  <si>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</si>
  <si>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</si>
  <si>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As of: 6/30/17</t>
  </si>
  <si>
    <t>Total Amortization for 12 months ended 06/30/18</t>
  </si>
  <si>
    <t>June 30, 2017 Through June 30, 2018</t>
  </si>
  <si>
    <t>Twelve Months Ended June 30, 2018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</si>
  <si>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</si>
  <si>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r>
      <t>(ii)</t>
    </r>
    <r>
      <rPr>
        <sz val="8"/>
        <rFont val="Arial"/>
        <family val="2"/>
      </rPr>
      <t xml:space="preserve"> Yield to Maturity based on Net Proceeds</t>
    </r>
  </si>
  <si>
    <t>REF 5.02/6.02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</si>
</sst>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0.0_);[Red]\(0.0\)"/>
    <numFmt numFmtId="189" formatCode="_(* #,##0.000_);_(* \(#,##0.000\);_(* &quot;-&quot;??_);_(@_)"/>
  </numFmts>
  <fonts count="55">
    <font>
      <sz val="8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2"/>
      <name val="Geneva"/>
    </font>
    <font>
      <sz val="8"/>
      <color indexed="81"/>
      <name val="Tahoma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b/>
      <u val="double"/>
      <sz val="10"/>
      <name val="Arial"/>
      <family val="2"/>
    </font>
    <font>
      <sz val="8"/>
      <name val="Times New Roman"/>
      <family val="1"/>
    </font>
    <font>
      <b/>
      <sz val="7"/>
      <name val="Arial"/>
      <family val="2"/>
    </font>
    <font>
      <b/>
      <u/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i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2">
    <xf numFmtId="37" fontId="0" fillId="0" borderId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7" fillId="16" borderId="1" applyNumberFormat="0" applyAlignment="0" applyProtection="0"/>
    <xf numFmtId="0" fontId="37" fillId="16" borderId="1" applyNumberFormat="0" applyAlignment="0" applyProtection="0"/>
    <xf numFmtId="0" fontId="38" fillId="17" borderId="2" applyNumberFormat="0" applyAlignment="0" applyProtection="0"/>
    <xf numFmtId="0" fontId="38" fillId="17" borderId="2" applyNumberFormat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177" fontId="19" fillId="0" borderId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37" fontId="19" fillId="0" borderId="0"/>
    <xf numFmtId="37" fontId="12" fillId="0" borderId="0"/>
    <xf numFmtId="0" fontId="3" fillId="0" borderId="0"/>
    <xf numFmtId="37" fontId="3" fillId="0" borderId="0"/>
    <xf numFmtId="37" fontId="3" fillId="0" borderId="0"/>
    <xf numFmtId="37" fontId="3" fillId="0" borderId="0"/>
    <xf numFmtId="10" fontId="3" fillId="0" borderId="0"/>
    <xf numFmtId="0" fontId="3" fillId="0" borderId="0"/>
    <xf numFmtId="0" fontId="12" fillId="4" borderId="7" applyNumberFormat="0" applyFont="0" applyAlignment="0" applyProtection="0"/>
    <xf numFmtId="0" fontId="12" fillId="4" borderId="7" applyNumberFormat="0" applyFont="0" applyAlignment="0" applyProtection="0"/>
    <xf numFmtId="0" fontId="47" fillId="16" borderId="8" applyNumberFormat="0" applyAlignment="0" applyProtection="0"/>
    <xf numFmtId="0" fontId="47" fillId="16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9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0">
    <xf numFmtId="37" fontId="0" fillId="0" borderId="0" xfId="0"/>
    <xf numFmtId="0" fontId="4" fillId="0" borderId="0" xfId="88" applyFont="1" applyFill="1"/>
    <xf numFmtId="1" fontId="4" fillId="0" borderId="0" xfId="92" applyNumberFormat="1" applyFont="1" applyProtection="1"/>
    <xf numFmtId="10" fontId="4" fillId="0" borderId="0" xfId="92" applyFont="1"/>
    <xf numFmtId="1" fontId="4" fillId="0" borderId="0" xfId="92" applyNumberFormat="1" applyFont="1" applyAlignment="1" applyProtection="1">
      <alignment horizontal="center"/>
    </xf>
    <xf numFmtId="37" fontId="4" fillId="0" borderId="0" xfId="0" applyFont="1"/>
    <xf numFmtId="5" fontId="4" fillId="0" borderId="0" xfId="92" applyNumberFormat="1" applyFont="1" applyProtection="1"/>
    <xf numFmtId="165" fontId="4" fillId="0" borderId="0" xfId="92" applyNumberFormat="1" applyFont="1" applyProtection="1"/>
    <xf numFmtId="10" fontId="4" fillId="0" borderId="0" xfId="92" applyNumberFormat="1" applyFont="1" applyProtection="1"/>
    <xf numFmtId="0" fontId="7" fillId="0" borderId="0" xfId="93" applyFont="1"/>
    <xf numFmtId="0" fontId="5" fillId="0" borderId="0" xfId="93" applyFont="1"/>
    <xf numFmtId="5" fontId="5" fillId="0" borderId="0" xfId="93" applyNumberFormat="1" applyFont="1" applyProtection="1"/>
    <xf numFmtId="37" fontId="12" fillId="0" borderId="0" xfId="0" applyFont="1"/>
    <xf numFmtId="37" fontId="14" fillId="0" borderId="0" xfId="0" applyFont="1"/>
    <xf numFmtId="15" fontId="12" fillId="0" borderId="0" xfId="0" applyNumberFormat="1" applyFont="1" applyAlignment="1">
      <alignment horizontal="left"/>
    </xf>
    <xf numFmtId="37" fontId="12" fillId="0" borderId="0" xfId="0" applyFont="1" applyBorder="1"/>
    <xf numFmtId="37" fontId="15" fillId="0" borderId="0" xfId="0" applyFont="1" applyBorder="1" applyAlignment="1">
      <alignment horizontal="right"/>
    </xf>
    <xf numFmtId="37" fontId="15" fillId="0" borderId="0" xfId="0" applyFont="1" applyBorder="1" applyAlignment="1">
      <alignment horizontal="center"/>
    </xf>
    <xf numFmtId="14" fontId="12" fillId="0" borderId="0" xfId="0" applyNumberFormat="1" applyFont="1" applyFill="1" applyBorder="1"/>
    <xf numFmtId="170" fontId="12" fillId="0" borderId="0" xfId="55" applyNumberFormat="1" applyFont="1" applyBorder="1"/>
    <xf numFmtId="166" fontId="14" fillId="0" borderId="0" xfId="0" applyNumberFormat="1" applyFont="1" applyAlignment="1">
      <alignment horizontal="left"/>
    </xf>
    <xf numFmtId="166" fontId="4" fillId="0" borderId="0" xfId="90" applyNumberFormat="1" applyFont="1" applyFill="1"/>
    <xf numFmtId="0" fontId="12" fillId="0" borderId="0" xfId="93" applyFont="1"/>
    <xf numFmtId="0" fontId="13" fillId="0" borderId="0" xfId="93" quotePrefix="1" applyFont="1" applyFill="1" applyAlignment="1" applyProtection="1">
      <alignment horizontal="center"/>
    </xf>
    <xf numFmtId="0" fontId="12" fillId="0" borderId="0" xfId="93" applyFont="1" applyFill="1"/>
    <xf numFmtId="0" fontId="14" fillId="0" borderId="0" xfId="93" applyFont="1" applyFill="1" applyAlignment="1" applyProtection="1">
      <alignment horizontal="center"/>
    </xf>
    <xf numFmtId="14" fontId="12" fillId="0" borderId="0" xfId="93" applyNumberFormat="1" applyFont="1" applyFill="1"/>
    <xf numFmtId="0" fontId="18" fillId="0" borderId="10" xfId="93" applyFont="1" applyFill="1" applyBorder="1" applyAlignment="1" applyProtection="1">
      <alignment horizontal="center" wrapText="1"/>
    </xf>
    <xf numFmtId="0" fontId="17" fillId="0" borderId="10" xfId="93" applyFont="1" applyFill="1" applyBorder="1" applyAlignment="1">
      <alignment horizontal="center"/>
    </xf>
    <xf numFmtId="7" fontId="12" fillId="0" borderId="0" xfId="93" applyNumberFormat="1" applyFont="1" applyFill="1"/>
    <xf numFmtId="0" fontId="14" fillId="0" borderId="0" xfId="93" quotePrefix="1" applyFont="1" applyFill="1" applyAlignment="1" applyProtection="1">
      <alignment horizontal="left"/>
    </xf>
    <xf numFmtId="37" fontId="11" fillId="0" borderId="0" xfId="89" applyFont="1" applyAlignment="1" applyProtection="1">
      <alignment horizontal="center"/>
    </xf>
    <xf numFmtId="5" fontId="23" fillId="0" borderId="0" xfId="89" applyNumberFormat="1" applyFont="1" applyFill="1" applyProtection="1"/>
    <xf numFmtId="10" fontId="11" fillId="0" borderId="0" xfId="92" applyFont="1" applyAlignment="1">
      <alignment horizontal="centerContinuous"/>
    </xf>
    <xf numFmtId="10" fontId="11" fillId="0" borderId="0" xfId="92" applyFont="1" applyAlignment="1">
      <alignment horizontal="center"/>
    </xf>
    <xf numFmtId="10" fontId="11" fillId="0" borderId="0" xfId="92" applyFont="1" applyAlignment="1" applyProtection="1">
      <alignment horizontal="center"/>
    </xf>
    <xf numFmtId="10" fontId="21" fillId="0" borderId="0" xfId="92" applyFont="1" applyAlignment="1" applyProtection="1">
      <alignment horizontal="center"/>
    </xf>
    <xf numFmtId="10" fontId="11" fillId="0" borderId="0" xfId="92" applyFont="1" applyAlignment="1" applyProtection="1">
      <alignment horizontal="left"/>
    </xf>
    <xf numFmtId="10" fontId="11" fillId="0" borderId="0" xfId="92" applyFont="1"/>
    <xf numFmtId="0" fontId="14" fillId="0" borderId="0" xfId="93" quotePrefix="1" applyFont="1" applyFill="1" applyBorder="1" applyAlignment="1" applyProtection="1">
      <alignment horizontal="left"/>
    </xf>
    <xf numFmtId="0" fontId="18" fillId="0" borderId="10" xfId="93" applyFont="1" applyFill="1" applyBorder="1" applyAlignment="1" applyProtection="1">
      <alignment horizontal="left"/>
    </xf>
    <xf numFmtId="168" fontId="12" fillId="0" borderId="0" xfId="93" applyNumberFormat="1" applyFont="1" applyFill="1" applyAlignment="1">
      <alignment horizontal="left"/>
    </xf>
    <xf numFmtId="15" fontId="12" fillId="0" borderId="0" xfId="93" applyNumberFormat="1" applyFont="1" applyFill="1" applyAlignment="1">
      <alignment horizontal="center"/>
    </xf>
    <xf numFmtId="174" fontId="12" fillId="0" borderId="0" xfId="93" applyNumberFormat="1" applyFont="1" applyFill="1"/>
    <xf numFmtId="15" fontId="26" fillId="0" borderId="0" xfId="93" applyNumberFormat="1" applyFont="1" applyBorder="1" applyAlignment="1">
      <alignment horizontal="left"/>
    </xf>
    <xf numFmtId="0" fontId="16" fillId="0" borderId="0" xfId="93" applyFont="1"/>
    <xf numFmtId="0" fontId="26" fillId="0" borderId="0" xfId="93" quotePrefix="1" applyFont="1" applyAlignment="1">
      <alignment horizontal="left"/>
    </xf>
    <xf numFmtId="37" fontId="26" fillId="0" borderId="0" xfId="0" applyFont="1" applyBorder="1"/>
    <xf numFmtId="37" fontId="16" fillId="0" borderId="0" xfId="0" applyFont="1" applyBorder="1"/>
    <xf numFmtId="172" fontId="14" fillId="0" borderId="0" xfId="93" applyNumberFormat="1" applyFont="1" applyFill="1" applyAlignment="1">
      <alignment horizontal="left"/>
    </xf>
    <xf numFmtId="37" fontId="14" fillId="0" borderId="0" xfId="0" applyFont="1" applyBorder="1" applyAlignment="1">
      <alignment horizontal="left"/>
    </xf>
    <xf numFmtId="37" fontId="18" fillId="0" borderId="0" xfId="89" applyFont="1" applyAlignment="1" applyProtection="1">
      <alignment horizontal="center"/>
    </xf>
    <xf numFmtId="0" fontId="28" fillId="0" borderId="0" xfId="88" applyFont="1" applyFill="1" applyAlignment="1">
      <alignment horizontal="centerContinuous"/>
    </xf>
    <xf numFmtId="37" fontId="12" fillId="0" borderId="14" xfId="0" applyFont="1" applyBorder="1" applyAlignment="1">
      <alignment horizontal="centerContinuous"/>
    </xf>
    <xf numFmtId="7" fontId="12" fillId="0" borderId="0" xfId="59" applyNumberFormat="1" applyFont="1" applyBorder="1"/>
    <xf numFmtId="5" fontId="12" fillId="0" borderId="0" xfId="93" applyNumberFormat="1" applyFont="1" applyProtection="1"/>
    <xf numFmtId="166" fontId="19" fillId="0" borderId="0" xfId="90" applyNumberFormat="1" applyFont="1" applyFill="1" applyAlignment="1">
      <alignment horizontal="centerContinuous"/>
    </xf>
    <xf numFmtId="166" fontId="19" fillId="0" borderId="0" xfId="0" applyNumberFormat="1" applyFont="1" applyFill="1" applyAlignment="1">
      <alignment horizontal="centerContinuous"/>
    </xf>
    <xf numFmtId="166" fontId="19" fillId="0" borderId="0" xfId="90" applyNumberFormat="1" applyFont="1" applyFill="1" applyAlignment="1" applyProtection="1">
      <alignment horizontal="centerContinuous"/>
    </xf>
    <xf numFmtId="37" fontId="18" fillId="0" borderId="0" xfId="0" applyFont="1" applyBorder="1"/>
    <xf numFmtId="5" fontId="22" fillId="0" borderId="0" xfId="92" applyNumberFormat="1" applyFont="1" applyBorder="1" applyAlignment="1" applyProtection="1"/>
    <xf numFmtId="5" fontId="27" fillId="0" borderId="0" xfId="92" applyNumberFormat="1" applyFont="1" applyBorder="1" applyAlignment="1" applyProtection="1"/>
    <xf numFmtId="10" fontId="27" fillId="0" borderId="0" xfId="92" applyFont="1" applyBorder="1" applyAlignment="1"/>
    <xf numFmtId="37" fontId="12" fillId="0" borderId="15" xfId="0" applyFont="1" applyBorder="1" applyAlignment="1">
      <alignment horizontal="centerContinuous"/>
    </xf>
    <xf numFmtId="170" fontId="12" fillId="0" borderId="17" xfId="55" applyNumberFormat="1" applyFont="1" applyBorder="1"/>
    <xf numFmtId="37" fontId="18" fillId="0" borderId="17" xfId="0" applyFont="1" applyBorder="1"/>
    <xf numFmtId="37" fontId="14" fillId="0" borderId="18" xfId="0" applyFont="1" applyFill="1" applyBorder="1" applyAlignment="1">
      <alignment horizontal="left"/>
    </xf>
    <xf numFmtId="7" fontId="12" fillId="0" borderId="18" xfId="59" applyNumberFormat="1" applyFont="1" applyBorder="1"/>
    <xf numFmtId="1" fontId="19" fillId="0" borderId="0" xfId="92" applyNumberFormat="1" applyFont="1" applyAlignment="1" applyProtection="1">
      <alignment horizontal="center"/>
    </xf>
    <xf numFmtId="10" fontId="4" fillId="0" borderId="0" xfId="92" applyFont="1" applyBorder="1"/>
    <xf numFmtId="1" fontId="12" fillId="0" borderId="0" xfId="92" applyNumberFormat="1" applyFont="1" applyFill="1" applyAlignment="1" applyProtection="1">
      <alignment horizontal="center"/>
    </xf>
    <xf numFmtId="164" fontId="19" fillId="0" borderId="0" xfId="88" applyNumberFormat="1" applyFont="1" applyFill="1" applyBorder="1" applyProtection="1"/>
    <xf numFmtId="0" fontId="14" fillId="0" borderId="0" xfId="93" quotePrefix="1" applyFont="1" applyFill="1" applyBorder="1" applyAlignment="1" applyProtection="1">
      <alignment horizontal="centerContinuous" vertical="center" wrapText="1"/>
    </xf>
    <xf numFmtId="172" fontId="31" fillId="0" borderId="0" xfId="93" quotePrefix="1" applyNumberFormat="1" applyFont="1" applyFill="1" applyBorder="1" applyAlignment="1" applyProtection="1">
      <alignment horizontal="centerContinuous" vertical="center" wrapText="1"/>
    </xf>
    <xf numFmtId="178" fontId="12" fillId="0" borderId="0" xfId="98" applyNumberFormat="1" applyFont="1"/>
    <xf numFmtId="37" fontId="12" fillId="0" borderId="16" xfId="0" applyFont="1" applyFill="1" applyBorder="1"/>
    <xf numFmtId="37" fontId="12" fillId="0" borderId="0" xfId="0" applyFont="1" applyFill="1" applyBorder="1"/>
    <xf numFmtId="37" fontId="12" fillId="0" borderId="18" xfId="0" applyFont="1" applyFill="1" applyBorder="1"/>
    <xf numFmtId="170" fontId="12" fillId="0" borderId="0" xfId="55" applyNumberFormat="1" applyFont="1" applyFill="1" applyBorder="1"/>
    <xf numFmtId="37" fontId="12" fillId="0" borderId="0" xfId="0" applyFont="1" applyFill="1" applyBorder="1" applyAlignment="1">
      <alignment horizontal="center"/>
    </xf>
    <xf numFmtId="37" fontId="15" fillId="0" borderId="0" xfId="0" applyFont="1" applyFill="1" applyBorder="1" applyAlignment="1">
      <alignment horizontal="center"/>
    </xf>
    <xf numFmtId="37" fontId="12" fillId="0" borderId="0" xfId="0" applyFont="1" applyBorder="1" applyAlignment="1">
      <alignment horizontal="center"/>
    </xf>
    <xf numFmtId="0" fontId="18" fillId="0" borderId="0" xfId="93" applyFont="1" applyFill="1" applyBorder="1" applyAlignment="1" applyProtection="1">
      <alignment horizontal="center" wrapText="1"/>
    </xf>
    <xf numFmtId="37" fontId="18" fillId="0" borderId="0" xfId="0" applyFont="1" applyFill="1" applyBorder="1"/>
    <xf numFmtId="0" fontId="33" fillId="0" borderId="0" xfId="93" applyFont="1"/>
    <xf numFmtId="10" fontId="27" fillId="0" borderId="0" xfId="92" applyNumberFormat="1" applyFont="1" applyBorder="1" applyAlignment="1" applyProtection="1"/>
    <xf numFmtId="175" fontId="19" fillId="0" borderId="12" xfId="88" applyNumberFormat="1" applyFont="1" applyFill="1" applyBorder="1" applyProtection="1"/>
    <xf numFmtId="0" fontId="14" fillId="0" borderId="0" xfId="93" applyFont="1" applyFill="1" applyAlignment="1" applyProtection="1">
      <alignment horizontal="left"/>
    </xf>
    <xf numFmtId="0" fontId="5" fillId="0" borderId="0" xfId="93" applyFont="1" applyFill="1"/>
    <xf numFmtId="1" fontId="12" fillId="0" borderId="0" xfId="93" applyNumberFormat="1" applyFont="1" applyFill="1" applyAlignment="1" applyProtection="1">
      <alignment horizontal="center"/>
    </xf>
    <xf numFmtId="0" fontId="5" fillId="0" borderId="0" xfId="93" applyFont="1" applyAlignment="1">
      <alignment horizontal="center"/>
    </xf>
    <xf numFmtId="37" fontId="4" fillId="0" borderId="0" xfId="92" applyNumberFormat="1" applyFont="1"/>
    <xf numFmtId="37" fontId="15" fillId="0" borderId="0" xfId="0" applyFont="1"/>
    <xf numFmtId="167" fontId="4" fillId="0" borderId="0" xfId="92" applyNumberFormat="1" applyFont="1"/>
    <xf numFmtId="14" fontId="12" fillId="0" borderId="16" xfId="0" applyNumberFormat="1" applyFont="1" applyFill="1" applyBorder="1"/>
    <xf numFmtId="10" fontId="27" fillId="0" borderId="0" xfId="92" applyNumberFormat="1" applyFont="1" applyFill="1" applyBorder="1" applyAlignment="1" applyProtection="1"/>
    <xf numFmtId="10" fontId="18" fillId="0" borderId="0" xfId="90" applyNumberFormat="1" applyFont="1" applyFill="1" applyBorder="1" applyProtection="1"/>
    <xf numFmtId="0" fontId="18" fillId="0" borderId="0" xfId="93" applyFont="1" applyFill="1" applyAlignment="1" applyProtection="1">
      <alignment horizontal="center"/>
    </xf>
    <xf numFmtId="0" fontId="18" fillId="0" borderId="0" xfId="93" applyFont="1" applyFill="1" applyAlignment="1">
      <alignment horizontal="center"/>
    </xf>
    <xf numFmtId="37" fontId="4" fillId="0" borderId="0" xfId="92" applyNumberFormat="1" applyFont="1" applyBorder="1"/>
    <xf numFmtId="166" fontId="14" fillId="0" borderId="0" xfId="0" applyNumberFormat="1" applyFont="1" applyFill="1" applyBorder="1" applyAlignment="1">
      <alignment horizontal="centerContinuous" vertical="center" wrapText="1"/>
    </xf>
    <xf numFmtId="37" fontId="12" fillId="0" borderId="0" xfId="0" applyFont="1" applyFill="1" applyBorder="1" applyAlignment="1">
      <alignment horizontal="centerContinuous" vertical="center" wrapText="1"/>
    </xf>
    <xf numFmtId="37" fontId="12" fillId="0" borderId="0" xfId="0" applyFont="1" applyBorder="1" applyAlignment="1">
      <alignment horizontal="left" vertical="center" wrapText="1"/>
    </xf>
    <xf numFmtId="5" fontId="12" fillId="0" borderId="0" xfId="59" applyNumberFormat="1" applyFont="1" applyFill="1" applyBorder="1"/>
    <xf numFmtId="37" fontId="18" fillId="0" borderId="0" xfId="89" quotePrefix="1" applyFont="1" applyAlignment="1" applyProtection="1">
      <alignment horizontal="center"/>
    </xf>
    <xf numFmtId="14" fontId="14" fillId="0" borderId="16" xfId="0" applyNumberFormat="1" applyFont="1" applyFill="1" applyBorder="1"/>
    <xf numFmtId="14" fontId="12" fillId="0" borderId="16" xfId="0" applyNumberFormat="1" applyFont="1" applyFill="1" applyBorder="1" applyAlignment="1">
      <alignment horizontal="left" indent="1"/>
    </xf>
    <xf numFmtId="0" fontId="14" fillId="0" borderId="0" xfId="93" applyFont="1" applyAlignment="1" applyProtection="1">
      <alignment horizontal="left"/>
    </xf>
    <xf numFmtId="181" fontId="11" fillId="0" borderId="0" xfId="92" applyNumberFormat="1" applyFont="1" applyBorder="1" applyAlignment="1" applyProtection="1">
      <alignment horizontal="centerContinuous" vertical="center" wrapText="1"/>
    </xf>
    <xf numFmtId="181" fontId="14" fillId="0" borderId="0" xfId="90" applyNumberFormat="1" applyFont="1" applyFill="1" applyAlignment="1" applyProtection="1">
      <alignment horizontal="centerContinuous"/>
    </xf>
    <xf numFmtId="168" fontId="12" fillId="0" borderId="0" xfId="0" applyNumberFormat="1" applyFont="1" applyFill="1" applyBorder="1" applyAlignment="1">
      <alignment horizontal="center"/>
    </xf>
    <xf numFmtId="5" fontId="28" fillId="0" borderId="0" xfId="90" applyNumberFormat="1" applyFont="1" applyFill="1"/>
    <xf numFmtId="5" fontId="4" fillId="0" borderId="0" xfId="90" applyNumberFormat="1" applyFont="1" applyFill="1"/>
    <xf numFmtId="175" fontId="19" fillId="0" borderId="0" xfId="88" applyNumberFormat="1" applyFont="1" applyFill="1" applyProtection="1"/>
    <xf numFmtId="175" fontId="18" fillId="0" borderId="0" xfId="88" applyNumberFormat="1" applyFont="1" applyFill="1" applyProtection="1"/>
    <xf numFmtId="175" fontId="19" fillId="0" borderId="0" xfId="88" applyNumberFormat="1" applyFont="1" applyFill="1" applyBorder="1" applyProtection="1"/>
    <xf numFmtId="39" fontId="19" fillId="0" borderId="0" xfId="0" applyNumberFormat="1" applyFont="1" applyFill="1" applyAlignment="1">
      <alignment horizontal="center"/>
    </xf>
    <xf numFmtId="171" fontId="19" fillId="0" borderId="0" xfId="0" applyNumberFormat="1" applyFont="1" applyFill="1" applyAlignment="1">
      <alignment horizontal="center"/>
    </xf>
    <xf numFmtId="175" fontId="18" fillId="0" borderId="12" xfId="88" applyNumberFormat="1" applyFont="1" applyFill="1" applyBorder="1" applyProtection="1"/>
    <xf numFmtId="171" fontId="19" fillId="0" borderId="0" xfId="0" applyNumberFormat="1" applyFont="1" applyFill="1"/>
    <xf numFmtId="175" fontId="18" fillId="0" borderId="0" xfId="88" applyNumberFormat="1" applyFont="1" applyFill="1" applyBorder="1" applyProtection="1"/>
    <xf numFmtId="2" fontId="19" fillId="0" borderId="0" xfId="0" applyNumberFormat="1" applyFont="1" applyFill="1" applyBorder="1" applyAlignment="1">
      <alignment horizontal="center"/>
    </xf>
    <xf numFmtId="175" fontId="18" fillId="0" borderId="25" xfId="88" applyNumberFormat="1" applyFont="1" applyFill="1" applyBorder="1" applyProtection="1"/>
    <xf numFmtId="37" fontId="4" fillId="0" borderId="0" xfId="90" applyFont="1" applyFill="1"/>
    <xf numFmtId="37" fontId="19" fillId="0" borderId="0" xfId="0" applyNumberFormat="1" applyFont="1" applyFill="1"/>
    <xf numFmtId="15" fontId="12" fillId="0" borderId="0" xfId="93" applyNumberFormat="1" applyFont="1" applyFill="1" applyAlignment="1">
      <alignment horizontal="right"/>
    </xf>
    <xf numFmtId="5" fontId="12" fillId="0" borderId="0" xfId="93" applyNumberFormat="1" applyFont="1" applyFill="1"/>
    <xf numFmtId="168" fontId="12" fillId="0" borderId="0" xfId="93" applyNumberFormat="1" applyFont="1" applyFill="1" applyAlignment="1" applyProtection="1">
      <alignment horizontal="left"/>
    </xf>
    <xf numFmtId="15" fontId="12" fillId="0" borderId="0" xfId="93" applyNumberFormat="1" applyFont="1" applyFill="1" applyAlignment="1" applyProtection="1">
      <alignment horizontal="center"/>
    </xf>
    <xf numFmtId="5" fontId="15" fillId="0" borderId="0" xfId="93" applyNumberFormat="1" applyFont="1" applyFill="1"/>
    <xf numFmtId="174" fontId="20" fillId="0" borderId="0" xfId="93" applyNumberFormat="1" applyFont="1" applyFill="1"/>
    <xf numFmtId="5" fontId="14" fillId="0" borderId="25" xfId="93" applyNumberFormat="1" applyFont="1" applyFill="1" applyBorder="1" applyAlignment="1" applyProtection="1">
      <alignment horizontal="right"/>
    </xf>
    <xf numFmtId="37" fontId="18" fillId="0" borderId="0" xfId="89" applyFont="1" applyFill="1" applyAlignment="1" applyProtection="1">
      <alignment horizontal="center"/>
    </xf>
    <xf numFmtId="164" fontId="19" fillId="0" borderId="12" xfId="88" applyNumberFormat="1" applyFont="1" applyFill="1" applyBorder="1" applyProtection="1"/>
    <xf numFmtId="14" fontId="14" fillId="0" borderId="16" xfId="0" applyNumberFormat="1" applyFont="1" applyFill="1" applyBorder="1" applyAlignment="1">
      <alignment horizontal="left" indent="2"/>
    </xf>
    <xf numFmtId="37" fontId="14" fillId="0" borderId="16" xfId="0" applyFont="1" applyFill="1" applyBorder="1" applyAlignment="1">
      <alignment horizontal="left" indent="1"/>
    </xf>
    <xf numFmtId="0" fontId="11" fillId="0" borderId="0" xfId="93" quotePrefix="1" applyFont="1" applyFill="1" applyBorder="1" applyAlignment="1" applyProtection="1">
      <alignment horizontal="centerContinuous" vertical="center" wrapText="1"/>
    </xf>
    <xf numFmtId="181" fontId="11" fillId="0" borderId="0" xfId="93" quotePrefix="1" applyNumberFormat="1" applyFont="1" applyFill="1" applyBorder="1" applyAlignment="1" applyProtection="1">
      <alignment horizontal="centerContinuous" vertical="center" wrapText="1"/>
    </xf>
    <xf numFmtId="10" fontId="22" fillId="0" borderId="0" xfId="92" applyNumberFormat="1" applyFont="1" applyFill="1" applyAlignment="1" applyProtection="1"/>
    <xf numFmtId="0" fontId="25" fillId="0" borderId="0" xfId="88" applyFont="1" applyBorder="1" applyAlignment="1" applyProtection="1">
      <alignment horizontal="centerContinuous" vertical="center" wrapText="1"/>
    </xf>
    <xf numFmtId="10" fontId="25" fillId="0" borderId="0" xfId="92" applyFont="1" applyBorder="1" applyAlignment="1" applyProtection="1">
      <alignment horizontal="centerContinuous" vertical="center" wrapText="1"/>
    </xf>
    <xf numFmtId="172" fontId="25" fillId="0" borderId="0" xfId="92" applyNumberFormat="1" applyFont="1" applyBorder="1" applyAlignment="1" applyProtection="1">
      <alignment horizontal="centerContinuous" vertical="center" wrapText="1"/>
    </xf>
    <xf numFmtId="1" fontId="12" fillId="0" borderId="0" xfId="0" applyNumberFormat="1" applyFont="1" applyFill="1" applyBorder="1" applyAlignment="1">
      <alignment horizontal="center"/>
    </xf>
    <xf numFmtId="37" fontId="18" fillId="0" borderId="13" xfId="0" applyFont="1" applyFill="1" applyBorder="1"/>
    <xf numFmtId="5" fontId="9" fillId="0" borderId="0" xfId="89" applyNumberFormat="1" applyFont="1" applyFill="1" applyProtection="1"/>
    <xf numFmtId="37" fontId="11" fillId="0" borderId="0" xfId="89" applyFont="1" applyBorder="1" applyAlignment="1" applyProtection="1">
      <alignment horizontal="center"/>
    </xf>
    <xf numFmtId="37" fontId="30" fillId="0" borderId="29" xfId="0" applyFont="1" applyFill="1" applyBorder="1"/>
    <xf numFmtId="37" fontId="12" fillId="0" borderId="15" xfId="0" applyFont="1" applyFill="1" applyBorder="1"/>
    <xf numFmtId="37" fontId="12" fillId="0" borderId="17" xfId="0" applyFont="1" applyBorder="1"/>
    <xf numFmtId="37" fontId="12" fillId="0" borderId="18" xfId="0" applyFont="1" applyBorder="1"/>
    <xf numFmtId="37" fontId="12" fillId="0" borderId="21" xfId="0" applyFont="1" applyBorder="1"/>
    <xf numFmtId="10" fontId="22" fillId="0" borderId="0" xfId="92" applyNumberFormat="1" applyFont="1" applyAlignment="1" applyProtection="1"/>
    <xf numFmtId="17" fontId="14" fillId="0" borderId="0" xfId="88" applyNumberFormat="1" applyFont="1" applyFill="1" applyAlignment="1" applyProtection="1">
      <alignment horizontal="right"/>
    </xf>
    <xf numFmtId="164" fontId="19" fillId="0" borderId="0" xfId="88" applyNumberFormat="1" applyFont="1" applyFill="1" applyProtection="1"/>
    <xf numFmtId="164" fontId="19" fillId="0" borderId="26" xfId="88" applyNumberFormat="1" applyFont="1" applyFill="1" applyBorder="1" applyProtection="1"/>
    <xf numFmtId="5" fontId="12" fillId="0" borderId="25" xfId="59" applyNumberFormat="1" applyFont="1" applyBorder="1"/>
    <xf numFmtId="5" fontId="12" fillId="0" borderId="25" xfId="55" applyNumberFormat="1" applyFont="1" applyFill="1" applyBorder="1"/>
    <xf numFmtId="168" fontId="12" fillId="0" borderId="25" xfId="98" applyNumberFormat="1" applyFont="1" applyFill="1" applyBorder="1" applyAlignment="1">
      <alignment horizontal="center"/>
    </xf>
    <xf numFmtId="5" fontId="14" fillId="0" borderId="25" xfId="55" applyNumberFormat="1" applyFont="1" applyFill="1" applyBorder="1"/>
    <xf numFmtId="10" fontId="14" fillId="0" borderId="0" xfId="92" applyFont="1" applyAlignment="1" applyProtection="1">
      <alignment horizontal="left"/>
    </xf>
    <xf numFmtId="37" fontId="14" fillId="0" borderId="0" xfId="89" applyFont="1" applyAlignment="1" applyProtection="1">
      <alignment horizontal="center"/>
    </xf>
    <xf numFmtId="37" fontId="14" fillId="0" borderId="10" xfId="0" applyFont="1" applyBorder="1"/>
    <xf numFmtId="37" fontId="14" fillId="0" borderId="0" xfId="0" applyFont="1" applyBorder="1"/>
    <xf numFmtId="37" fontId="14" fillId="0" borderId="0" xfId="0" applyFont="1" applyFill="1" applyBorder="1" applyAlignment="1">
      <alignment horizontal="center"/>
    </xf>
    <xf numFmtId="37" fontId="14" fillId="0" borderId="0" xfId="0" applyFont="1" applyBorder="1" applyAlignment="1">
      <alignment horizontal="center"/>
    </xf>
    <xf numFmtId="37" fontId="14" fillId="0" borderId="0" xfId="0" applyFont="1" applyAlignment="1">
      <alignment horizontal="center"/>
    </xf>
    <xf numFmtId="174" fontId="14" fillId="0" borderId="10" xfId="93" applyNumberFormat="1" applyFont="1" applyFill="1" applyBorder="1" applyAlignment="1">
      <alignment horizontal="center"/>
    </xf>
    <xf numFmtId="174" fontId="14" fillId="0" borderId="0" xfId="93" applyNumberFormat="1" applyFont="1" applyFill="1" applyBorder="1" applyAlignment="1">
      <alignment horizontal="center"/>
    </xf>
    <xf numFmtId="37" fontId="12" fillId="0" borderId="0" xfId="0" applyNumberFormat="1" applyFont="1"/>
    <xf numFmtId="37" fontId="14" fillId="0" borderId="12" xfId="0" applyFont="1" applyFill="1" applyBorder="1"/>
    <xf numFmtId="37" fontId="12" fillId="0" borderId="0" xfId="0" applyFont="1" applyFill="1" applyBorder="1" applyAlignment="1">
      <alignment horizontal="left" indent="1"/>
    </xf>
    <xf numFmtId="37" fontId="14" fillId="0" borderId="0" xfId="0" applyFont="1" applyFill="1" applyBorder="1"/>
    <xf numFmtId="39" fontId="12" fillId="0" borderId="0" xfId="0" applyNumberFormat="1" applyFont="1"/>
    <xf numFmtId="5" fontId="14" fillId="0" borderId="12" xfId="59" applyNumberFormat="1" applyFont="1" applyFill="1" applyBorder="1"/>
    <xf numFmtId="5" fontId="14" fillId="0" borderId="23" xfId="59" applyNumberFormat="1" applyFont="1" applyFill="1" applyBorder="1"/>
    <xf numFmtId="5" fontId="12" fillId="0" borderId="25" xfId="59" applyNumberFormat="1" applyFont="1" applyFill="1" applyBorder="1"/>
    <xf numFmtId="188" fontId="32" fillId="0" borderId="0" xfId="93" applyNumberFormat="1" applyFont="1" applyFill="1"/>
    <xf numFmtId="5" fontId="12" fillId="0" borderId="0" xfId="55" applyNumberFormat="1" applyFont="1" applyFill="1" applyBorder="1"/>
    <xf numFmtId="180" fontId="12" fillId="0" borderId="0" xfId="0" applyNumberFormat="1" applyFont="1" applyFill="1" applyBorder="1"/>
    <xf numFmtId="169" fontId="12" fillId="0" borderId="0" xfId="0" applyNumberFormat="1" applyFont="1" applyFill="1" applyBorder="1" applyAlignment="1">
      <alignment horizontal="center"/>
    </xf>
    <xf numFmtId="37" fontId="12" fillId="0" borderId="0" xfId="0" applyNumberFormat="1" applyFont="1" applyFill="1" applyBorder="1" applyAlignment="1">
      <alignment horizontal="center"/>
    </xf>
    <xf numFmtId="170" fontId="12" fillId="0" borderId="0" xfId="59" applyNumberFormat="1" applyFont="1" applyBorder="1"/>
    <xf numFmtId="10" fontId="12" fillId="0" borderId="0" xfId="0" applyNumberFormat="1" applyFont="1" applyFill="1" applyBorder="1" applyAlignment="1">
      <alignment horizontal="center"/>
    </xf>
    <xf numFmtId="181" fontId="14" fillId="0" borderId="0" xfId="0" applyNumberFormat="1" applyFont="1" applyBorder="1" applyAlignment="1">
      <alignment horizontal="left"/>
    </xf>
    <xf numFmtId="5" fontId="5" fillId="0" borderId="0" xfId="93" applyNumberFormat="1" applyFont="1"/>
    <xf numFmtId="10" fontId="12" fillId="0" borderId="0" xfId="98" applyNumberFormat="1" applyFont="1"/>
    <xf numFmtId="10" fontId="12" fillId="0" borderId="0" xfId="98" applyNumberFormat="1" applyFont="1" applyFill="1"/>
    <xf numFmtId="37" fontId="14" fillId="0" borderId="16" xfId="0" applyFont="1" applyFill="1" applyBorder="1"/>
    <xf numFmtId="10" fontId="19" fillId="0" borderId="0" xfId="99" applyNumberFormat="1" applyFont="1" applyFill="1"/>
    <xf numFmtId="37" fontId="18" fillId="0" borderId="0" xfId="87" applyNumberFormat="1" applyFont="1" applyFill="1" applyBorder="1"/>
    <xf numFmtId="0" fontId="12" fillId="0" borderId="0" xfId="93" applyNumberFormat="1" applyFont="1" applyFill="1"/>
    <xf numFmtId="5" fontId="14" fillId="0" borderId="0" xfId="93" applyNumberFormat="1" applyFont="1" applyFill="1" applyAlignment="1">
      <alignment horizontal="right"/>
    </xf>
    <xf numFmtId="37" fontId="12" fillId="0" borderId="0" xfId="0" applyFont="1" applyBorder="1" applyAlignment="1">
      <alignment horizontal="right"/>
    </xf>
    <xf numFmtId="170" fontId="12" fillId="0" borderId="25" xfId="59" applyNumberFormat="1" applyFont="1" applyBorder="1"/>
    <xf numFmtId="5" fontId="14" fillId="0" borderId="0" xfId="55" applyNumberFormat="1" applyFont="1" applyFill="1" applyBorder="1"/>
    <xf numFmtId="168" fontId="12" fillId="0" borderId="0" xfId="98" applyNumberFormat="1" applyFont="1" applyFill="1" applyBorder="1" applyAlignment="1">
      <alignment horizontal="center"/>
    </xf>
    <xf numFmtId="10" fontId="0" fillId="0" borderId="0" xfId="98" applyNumberFormat="1" applyFont="1"/>
    <xf numFmtId="10" fontId="16" fillId="0" borderId="0" xfId="98" applyNumberFormat="1" applyFont="1"/>
    <xf numFmtId="168" fontId="4" fillId="0" borderId="0" xfId="98" applyNumberFormat="1" applyFont="1"/>
    <xf numFmtId="37" fontId="19" fillId="0" borderId="0" xfId="90" applyNumberFormat="1" applyFont="1" applyFill="1" applyAlignment="1">
      <alignment horizontal="center"/>
    </xf>
    <xf numFmtId="168" fontId="19" fillId="0" borderId="0" xfId="0" applyNumberFormat="1" applyFont="1" applyFill="1"/>
    <xf numFmtId="17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10" fontId="1" fillId="0" borderId="0" xfId="92" applyNumberFormat="1" applyFont="1" applyFill="1" applyBorder="1" applyAlignment="1" applyProtection="1"/>
    <xf numFmtId="10" fontId="1" fillId="0" borderId="0" xfId="92" applyFont="1"/>
    <xf numFmtId="37" fontId="14" fillId="0" borderId="16" xfId="0" applyFont="1" applyFill="1" applyBorder="1" applyAlignment="1">
      <alignment horizontal="left"/>
    </xf>
    <xf numFmtId="37" fontId="14" fillId="0" borderId="0" xfId="0" applyFont="1" applyFill="1" applyBorder="1" applyAlignment="1">
      <alignment horizontal="left"/>
    </xf>
    <xf numFmtId="17" fontId="14" fillId="0" borderId="0" xfId="88" applyNumberFormat="1" applyFont="1" applyFill="1" applyAlignment="1" applyProtection="1">
      <alignment horizontal="center"/>
    </xf>
    <xf numFmtId="176" fontId="19" fillId="0" borderId="0" xfId="88" applyNumberFormat="1" applyFont="1" applyFill="1" applyProtection="1"/>
    <xf numFmtId="175" fontId="19" fillId="0" borderId="19" xfId="88" applyNumberFormat="1" applyFont="1" applyFill="1" applyBorder="1" applyProtection="1"/>
    <xf numFmtId="164" fontId="19" fillId="0" borderId="19" xfId="88" applyNumberFormat="1" applyFont="1" applyFill="1" applyBorder="1" applyProtection="1"/>
    <xf numFmtId="175" fontId="18" fillId="0" borderId="19" xfId="88" applyNumberFormat="1" applyFont="1" applyFill="1" applyBorder="1" applyProtection="1"/>
    <xf numFmtId="183" fontId="19" fillId="0" borderId="0" xfId="88" applyNumberFormat="1" applyFont="1" applyFill="1" applyProtection="1"/>
    <xf numFmtId="43" fontId="19" fillId="0" borderId="0" xfId="88" applyNumberFormat="1" applyFont="1" applyFill="1" applyProtection="1"/>
    <xf numFmtId="37" fontId="19" fillId="0" borderId="0" xfId="88" applyNumberFormat="1" applyFont="1" applyFill="1" applyProtection="1"/>
    <xf numFmtId="175" fontId="19" fillId="0" borderId="10" xfId="88" applyNumberFormat="1" applyFont="1" applyFill="1" applyBorder="1" applyProtection="1"/>
    <xf numFmtId="175" fontId="19" fillId="0" borderId="20" xfId="88" applyNumberFormat="1" applyFont="1" applyFill="1" applyBorder="1" applyProtection="1"/>
    <xf numFmtId="164" fontId="19" fillId="0" borderId="25" xfId="88" applyNumberFormat="1" applyFont="1" applyFill="1" applyBorder="1" applyProtection="1"/>
    <xf numFmtId="164" fontId="18" fillId="0" borderId="24" xfId="88" applyNumberFormat="1" applyFont="1" applyFill="1" applyBorder="1" applyProtection="1"/>
    <xf numFmtId="164" fontId="19" fillId="0" borderId="22" xfId="88" applyNumberFormat="1" applyFont="1" applyFill="1" applyBorder="1" applyProtection="1"/>
    <xf numFmtId="165" fontId="19" fillId="0" borderId="0" xfId="88" applyNumberFormat="1" applyFont="1" applyFill="1" applyProtection="1"/>
    <xf numFmtId="165" fontId="19" fillId="0" borderId="19" xfId="88" applyNumberFormat="1" applyFont="1" applyFill="1" applyBorder="1" applyProtection="1"/>
    <xf numFmtId="165" fontId="19" fillId="0" borderId="10" xfId="88" applyNumberFormat="1" applyFont="1" applyFill="1" applyBorder="1" applyProtection="1"/>
    <xf numFmtId="165" fontId="19" fillId="0" borderId="20" xfId="88" applyNumberFormat="1" applyFont="1" applyFill="1" applyBorder="1" applyProtection="1"/>
    <xf numFmtId="10" fontId="19" fillId="0" borderId="10" xfId="88" applyNumberFormat="1" applyFont="1" applyFill="1" applyBorder="1" applyProtection="1"/>
    <xf numFmtId="165" fontId="19" fillId="0" borderId="0" xfId="88" applyNumberFormat="1" applyFont="1" applyFill="1"/>
    <xf numFmtId="0" fontId="19" fillId="0" borderId="0" xfId="88" applyFont="1" applyFill="1"/>
    <xf numFmtId="0" fontId="19" fillId="0" borderId="19" xfId="88" applyFont="1" applyFill="1" applyBorder="1"/>
    <xf numFmtId="165" fontId="19" fillId="0" borderId="27" xfId="88" applyNumberFormat="1" applyFont="1" applyFill="1" applyBorder="1" applyProtection="1"/>
    <xf numFmtId="165" fontId="19" fillId="0" borderId="28" xfId="88" applyNumberFormat="1" applyFont="1" applyFill="1" applyBorder="1" applyProtection="1"/>
    <xf numFmtId="10" fontId="19" fillId="0" borderId="0" xfId="98" applyNumberFormat="1" applyFont="1" applyFill="1" applyBorder="1" applyProtection="1"/>
    <xf numFmtId="184" fontId="19" fillId="0" borderId="0" xfId="88" applyNumberFormat="1" applyFont="1" applyFill="1" applyBorder="1" applyProtection="1"/>
    <xf numFmtId="5" fontId="19" fillId="0" borderId="0" xfId="88" applyNumberFormat="1" applyFont="1" applyFill="1" applyProtection="1"/>
    <xf numFmtId="175" fontId="4" fillId="0" borderId="0" xfId="88" applyNumberFormat="1" applyFont="1" applyFill="1" applyBorder="1" applyProtection="1"/>
    <xf numFmtId="179" fontId="19" fillId="0" borderId="0" xfId="88" applyNumberFormat="1" applyFont="1" applyFill="1" applyProtection="1"/>
    <xf numFmtId="179" fontId="19" fillId="0" borderId="0" xfId="88" applyNumberFormat="1" applyFont="1" applyFill="1" applyBorder="1" applyProtection="1"/>
    <xf numFmtId="37" fontId="19" fillId="0" borderId="0" xfId="88" applyNumberFormat="1" applyFont="1" applyFill="1" applyBorder="1" applyProtection="1"/>
    <xf numFmtId="0" fontId="4" fillId="0" borderId="0" xfId="88" applyFont="1" applyFill="1" applyBorder="1"/>
    <xf numFmtId="37" fontId="4" fillId="0" borderId="0" xfId="88" applyNumberFormat="1" applyFont="1" applyFill="1" applyBorder="1"/>
    <xf numFmtId="0" fontId="18" fillId="0" borderId="0" xfId="88" applyFont="1" applyFill="1" applyAlignment="1" applyProtection="1">
      <alignment horizontal="centerContinuous"/>
    </xf>
    <xf numFmtId="0" fontId="14" fillId="0" borderId="0" xfId="88" applyFont="1" applyFill="1" applyAlignment="1">
      <alignment horizontal="centerContinuous"/>
    </xf>
    <xf numFmtId="0" fontId="18" fillId="0" borderId="0" xfId="88" applyFont="1" applyFill="1" applyAlignment="1" applyProtection="1">
      <alignment horizontal="center" wrapText="1"/>
    </xf>
    <xf numFmtId="0" fontId="14" fillId="0" borderId="0" xfId="88" applyFont="1" applyFill="1" applyAlignment="1" applyProtection="1">
      <alignment horizontal="center" wrapText="1"/>
    </xf>
    <xf numFmtId="0" fontId="28" fillId="0" borderId="0" xfId="88" applyFont="1" applyFill="1"/>
    <xf numFmtId="176" fontId="14" fillId="0" borderId="0" xfId="88" applyNumberFormat="1" applyFont="1" applyFill="1" applyAlignment="1" applyProtection="1">
      <alignment horizontal="center" wrapText="1"/>
    </xf>
    <xf numFmtId="0" fontId="18" fillId="0" borderId="0" xfId="88" applyFont="1" applyFill="1" applyAlignment="1" applyProtection="1">
      <alignment horizontal="left"/>
    </xf>
    <xf numFmtId="164" fontId="18" fillId="0" borderId="23" xfId="88" applyNumberFormat="1" applyFont="1" applyFill="1" applyBorder="1" applyProtection="1"/>
    <xf numFmtId="164" fontId="4" fillId="0" borderId="0" xfId="88" applyNumberFormat="1" applyFont="1" applyFill="1"/>
    <xf numFmtId="0" fontId="19" fillId="0" borderId="0" xfId="88" applyFont="1" applyFill="1" applyAlignment="1" applyProtection="1">
      <alignment horizontal="left"/>
    </xf>
    <xf numFmtId="175" fontId="18" fillId="0" borderId="23" xfId="88" applyNumberFormat="1" applyFont="1" applyFill="1" applyBorder="1" applyProtection="1"/>
    <xf numFmtId="37" fontId="19" fillId="0" borderId="0" xfId="91" applyFont="1" applyFill="1" applyBorder="1" applyAlignment="1" applyProtection="1">
      <alignment horizontal="left"/>
    </xf>
    <xf numFmtId="0" fontId="19" fillId="0" borderId="12" xfId="88" applyFont="1" applyFill="1" applyBorder="1" applyAlignment="1" applyProtection="1">
      <alignment horizontal="left"/>
    </xf>
    <xf numFmtId="0" fontId="19" fillId="0" borderId="0" xfId="88" applyFont="1" applyFill="1" applyBorder="1" applyAlignment="1" applyProtection="1">
      <alignment horizontal="left"/>
    </xf>
    <xf numFmtId="0" fontId="19" fillId="0" borderId="0" xfId="88" applyFont="1" applyFill="1" applyBorder="1" applyAlignment="1" applyProtection="1">
      <alignment horizontal="left" indent="1"/>
    </xf>
    <xf numFmtId="0" fontId="19" fillId="0" borderId="12" xfId="88" applyFont="1" applyFill="1" applyBorder="1" applyAlignment="1" applyProtection="1">
      <alignment horizontal="left" indent="2"/>
    </xf>
    <xf numFmtId="37" fontId="4" fillId="0" borderId="0" xfId="89" applyFont="1" applyFill="1" applyAlignment="1" applyProtection="1">
      <alignment horizontal="center"/>
    </xf>
    <xf numFmtId="37" fontId="4" fillId="0" borderId="0" xfId="89" applyFont="1" applyFill="1" applyProtection="1"/>
    <xf numFmtId="37" fontId="4" fillId="0" borderId="0" xfId="89" applyFont="1" applyFill="1"/>
    <xf numFmtId="37" fontId="2" fillId="0" borderId="0" xfId="89" applyFont="1" applyFill="1" applyAlignment="1" applyProtection="1">
      <alignment horizontal="centerContinuous"/>
    </xf>
    <xf numFmtId="37" fontId="5" fillId="0" borderId="0" xfId="0" applyFont="1" applyFill="1" applyAlignment="1">
      <alignment horizontal="centerContinuous"/>
    </xf>
    <xf numFmtId="37" fontId="4" fillId="0" borderId="0" xfId="89" applyFont="1" applyFill="1" applyAlignment="1">
      <alignment horizontal="centerContinuous"/>
    </xf>
    <xf numFmtId="37" fontId="11" fillId="0" borderId="0" xfId="89" applyFont="1" applyFill="1" applyAlignment="1" applyProtection="1">
      <alignment horizontal="center"/>
    </xf>
    <xf numFmtId="37" fontId="9" fillId="0" borderId="0" xfId="89" applyFont="1" applyFill="1"/>
    <xf numFmtId="37" fontId="11" fillId="0" borderId="0" xfId="89" applyFont="1" applyFill="1"/>
    <xf numFmtId="37" fontId="21" fillId="0" borderId="0" xfId="89" applyFont="1" applyFill="1" applyAlignment="1" applyProtection="1">
      <alignment horizontal="center"/>
    </xf>
    <xf numFmtId="37" fontId="9" fillId="0" borderId="0" xfId="89" applyFont="1" applyFill="1" applyAlignment="1" applyProtection="1">
      <alignment horizontal="left"/>
    </xf>
    <xf numFmtId="37" fontId="9" fillId="0" borderId="0" xfId="89" applyFont="1" applyFill="1" applyAlignment="1" applyProtection="1">
      <alignment horizontal="fill"/>
    </xf>
    <xf numFmtId="37" fontId="9" fillId="0" borderId="0" xfId="89" applyFont="1" applyFill="1" applyAlignment="1" applyProtection="1">
      <alignment horizontal="center"/>
    </xf>
    <xf numFmtId="168" fontId="23" fillId="0" borderId="0" xfId="89" applyNumberFormat="1" applyFont="1" applyFill="1" applyProtection="1"/>
    <xf numFmtId="10" fontId="9" fillId="0" borderId="0" xfId="89" applyNumberFormat="1" applyFont="1" applyFill="1" applyProtection="1"/>
    <xf numFmtId="37" fontId="9" fillId="0" borderId="0" xfId="89" applyNumberFormat="1" applyFont="1" applyFill="1" applyProtection="1"/>
    <xf numFmtId="5" fontId="23" fillId="0" borderId="0" xfId="89" applyNumberFormat="1" applyFont="1" applyFill="1"/>
    <xf numFmtId="37" fontId="9" fillId="0" borderId="0" xfId="89" applyFont="1" applyFill="1" applyAlignment="1">
      <alignment horizontal="left" indent="1"/>
    </xf>
    <xf numFmtId="5" fontId="23" fillId="0" borderId="26" xfId="89" applyNumberFormat="1" applyFont="1" applyFill="1" applyBorder="1"/>
    <xf numFmtId="168" fontId="23" fillId="0" borderId="26" xfId="89" applyNumberFormat="1" applyFont="1" applyFill="1" applyBorder="1" applyProtection="1"/>
    <xf numFmtId="5" fontId="9" fillId="0" borderId="26" xfId="89" applyNumberFormat="1" applyFont="1" applyFill="1" applyBorder="1" applyProtection="1"/>
    <xf numFmtId="170" fontId="23" fillId="0" borderId="0" xfId="55" applyNumberFormat="1" applyFont="1" applyFill="1"/>
    <xf numFmtId="168" fontId="23" fillId="0" borderId="0" xfId="89" applyNumberFormat="1" applyFont="1" applyFill="1"/>
    <xf numFmtId="5" fontId="9" fillId="0" borderId="0" xfId="89" applyNumberFormat="1" applyFont="1" applyFill="1"/>
    <xf numFmtId="5" fontId="24" fillId="0" borderId="0" xfId="89" applyNumberFormat="1" applyFont="1" applyFill="1"/>
    <xf numFmtId="5" fontId="24" fillId="0" borderId="0" xfId="89" applyNumberFormat="1" applyFont="1" applyFill="1" applyProtection="1"/>
    <xf numFmtId="10" fontId="9" fillId="0" borderId="0" xfId="89" applyNumberFormat="1" applyFont="1" applyFill="1"/>
    <xf numFmtId="10" fontId="11" fillId="0" borderId="0" xfId="89" applyNumberFormat="1" applyFont="1" applyFill="1" applyProtection="1"/>
    <xf numFmtId="5" fontId="22" fillId="0" borderId="0" xfId="89" applyNumberFormat="1" applyFont="1" applyFill="1"/>
    <xf numFmtId="5" fontId="22" fillId="0" borderId="0" xfId="89" applyNumberFormat="1" applyFont="1" applyFill="1" applyProtection="1"/>
    <xf numFmtId="37" fontId="11" fillId="0" borderId="11" xfId="89" applyFont="1" applyFill="1" applyBorder="1" applyAlignment="1" applyProtection="1">
      <alignment horizontal="left"/>
    </xf>
    <xf numFmtId="5" fontId="11" fillId="0" borderId="12" xfId="89" applyNumberFormat="1" applyFont="1" applyFill="1" applyBorder="1" applyProtection="1"/>
    <xf numFmtId="5" fontId="11" fillId="0" borderId="12" xfId="89" applyNumberFormat="1" applyFont="1" applyFill="1" applyBorder="1"/>
    <xf numFmtId="10" fontId="11" fillId="0" borderId="23" xfId="89" applyNumberFormat="1" applyFont="1" applyFill="1" applyBorder="1" applyAlignment="1" applyProtection="1">
      <alignment horizontal="center"/>
    </xf>
    <xf numFmtId="37" fontId="4" fillId="0" borderId="0" xfId="89" applyNumberFormat="1" applyFont="1" applyFill="1" applyProtection="1"/>
    <xf numFmtId="10" fontId="4" fillId="0" borderId="0" xfId="89" applyNumberFormat="1" applyFont="1" applyFill="1" applyProtection="1"/>
    <xf numFmtId="37" fontId="14" fillId="0" borderId="0" xfId="89" applyFont="1" applyFill="1" applyAlignment="1" applyProtection="1">
      <alignment horizontal="left"/>
    </xf>
    <xf numFmtId="37" fontId="20" fillId="0" borderId="0" xfId="89" applyFont="1" applyFill="1" applyAlignment="1" applyProtection="1">
      <alignment horizontal="left"/>
    </xf>
    <xf numFmtId="37" fontId="4" fillId="0" borderId="0" xfId="89" applyFont="1" applyFill="1" applyAlignment="1" applyProtection="1">
      <alignment horizontal="left"/>
    </xf>
    <xf numFmtId="37" fontId="4" fillId="0" borderId="0" xfId="89" applyFont="1" applyFill="1" applyAlignment="1">
      <alignment horizontal="center"/>
    </xf>
    <xf numFmtId="15" fontId="4" fillId="0" borderId="0" xfId="89" applyNumberFormat="1" applyFont="1" applyFill="1" applyProtection="1"/>
    <xf numFmtId="7" fontId="4" fillId="0" borderId="0" xfId="89" applyNumberFormat="1" applyFont="1" applyFill="1" applyProtection="1"/>
    <xf numFmtId="168" fontId="4" fillId="0" borderId="0" xfId="89" applyNumberFormat="1" applyFont="1" applyFill="1" applyProtection="1"/>
    <xf numFmtId="37" fontId="0" fillId="0" borderId="0" xfId="0" applyFont="1"/>
    <xf numFmtId="37" fontId="0" fillId="0" borderId="0" xfId="89" applyFont="1" applyAlignment="1" applyProtection="1">
      <alignment horizontal="center"/>
    </xf>
    <xf numFmtId="37" fontId="0" fillId="0" borderId="15" xfId="0" applyFont="1" applyBorder="1"/>
    <xf numFmtId="37" fontId="0" fillId="0" borderId="14" xfId="0" applyFont="1" applyBorder="1"/>
    <xf numFmtId="37" fontId="0" fillId="0" borderId="0" xfId="0" applyFont="1" applyBorder="1"/>
    <xf numFmtId="37" fontId="0" fillId="0" borderId="0" xfId="0" applyFont="1" applyFill="1" applyBorder="1"/>
    <xf numFmtId="180" fontId="53" fillId="0" borderId="0" xfId="0" applyNumberFormat="1" applyFont="1" applyFill="1" applyBorder="1" applyAlignment="1">
      <alignment horizontal="left" indent="1"/>
    </xf>
    <xf numFmtId="168" fontId="12" fillId="0" borderId="0" xfId="98" applyNumberFormat="1" applyFont="1" applyFill="1" applyBorder="1"/>
    <xf numFmtId="44" fontId="12" fillId="0" borderId="0" xfId="59" applyFont="1" applyFill="1" applyBorder="1"/>
    <xf numFmtId="167" fontId="12" fillId="0" borderId="0" xfId="0" applyNumberFormat="1" applyFont="1" applyFill="1" applyBorder="1"/>
    <xf numFmtId="5" fontId="14" fillId="0" borderId="0" xfId="59" applyNumberFormat="1" applyFont="1" applyFill="1" applyBorder="1"/>
    <xf numFmtId="10" fontId="12" fillId="0" borderId="0" xfId="98" applyNumberFormat="1" applyFont="1" applyFill="1" applyBorder="1"/>
    <xf numFmtId="37" fontId="0" fillId="0" borderId="17" xfId="0" applyFont="1" applyBorder="1"/>
    <xf numFmtId="37" fontId="0" fillId="0" borderId="16" xfId="0" applyFont="1" applyBorder="1"/>
    <xf numFmtId="37" fontId="0" fillId="0" borderId="0" xfId="0" applyFont="1" applyFill="1" applyBorder="1" applyAlignment="1">
      <alignment horizontal="center"/>
    </xf>
    <xf numFmtId="169" fontId="12" fillId="0" borderId="0" xfId="0" applyNumberFormat="1" applyFont="1" applyFill="1" applyBorder="1"/>
    <xf numFmtId="37" fontId="0" fillId="0" borderId="13" xfId="0" applyFont="1" applyBorder="1"/>
    <xf numFmtId="37" fontId="0" fillId="0" borderId="18" xfId="0" applyFont="1" applyBorder="1"/>
    <xf numFmtId="37" fontId="0" fillId="0" borderId="21" xfId="0" applyFont="1" applyBorder="1"/>
    <xf numFmtId="39" fontId="0" fillId="0" borderId="0" xfId="0" applyNumberFormat="1" applyFont="1"/>
    <xf numFmtId="37" fontId="53" fillId="0" borderId="0" xfId="0" applyFont="1" applyBorder="1" applyAlignment="1">
      <alignment horizontal="center"/>
    </xf>
    <xf numFmtId="5" fontId="12" fillId="0" borderId="0" xfId="59" applyNumberFormat="1" applyFont="1" applyFill="1"/>
    <xf numFmtId="37" fontId="12" fillId="0" borderId="0" xfId="0" applyNumberFormat="1" applyFont="1" applyFill="1"/>
    <xf numFmtId="173" fontId="12" fillId="0" borderId="0" xfId="0" applyNumberFormat="1" applyFont="1" applyBorder="1" applyAlignment="1">
      <alignment horizontal="left" indent="1"/>
    </xf>
    <xf numFmtId="37" fontId="12" fillId="0" borderId="0" xfId="0" applyNumberFormat="1" applyFont="1" applyBorder="1"/>
    <xf numFmtId="37" fontId="0" fillId="0" borderId="0" xfId="0" applyFont="1" applyAlignment="1">
      <alignment horizontal="right"/>
    </xf>
    <xf numFmtId="14" fontId="0" fillId="0" borderId="0" xfId="0" applyNumberFormat="1" applyFont="1" applyBorder="1"/>
    <xf numFmtId="37" fontId="14" fillId="0" borderId="0" xfId="90" applyNumberFormat="1" applyFont="1" applyFill="1" applyAlignment="1" applyProtection="1">
      <alignment horizontal="centerContinuous"/>
    </xf>
    <xf numFmtId="37" fontId="19" fillId="0" borderId="0" xfId="90" applyNumberFormat="1" applyFont="1" applyFill="1" applyAlignment="1">
      <alignment horizontal="centerContinuous"/>
    </xf>
    <xf numFmtId="37" fontId="19" fillId="0" borderId="0" xfId="90" applyNumberFormat="1" applyFont="1" applyFill="1" applyAlignment="1" applyProtection="1">
      <alignment horizontal="centerContinuous"/>
    </xf>
    <xf numFmtId="37" fontId="19" fillId="0" borderId="0" xfId="0" applyNumberFormat="1" applyFont="1" applyFill="1" applyAlignment="1">
      <alignment horizontal="centerContinuous"/>
    </xf>
    <xf numFmtId="37" fontId="29" fillId="0" borderId="0" xfId="89" applyFont="1" applyFill="1" applyAlignment="1" applyProtection="1">
      <alignment horizontal="center"/>
    </xf>
    <xf numFmtId="37" fontId="18" fillId="0" borderId="0" xfId="89" applyFont="1" applyFill="1" applyAlignment="1" applyProtection="1">
      <alignment horizontal="left"/>
    </xf>
    <xf numFmtId="37" fontId="19" fillId="0" borderId="0" xfId="90" applyNumberFormat="1" applyFont="1" applyFill="1" applyBorder="1" applyAlignment="1">
      <alignment horizontal="center"/>
    </xf>
    <xf numFmtId="37" fontId="18" fillId="0" borderId="0" xfId="90" applyNumberFormat="1" applyFont="1" applyFill="1" applyBorder="1" applyAlignment="1" applyProtection="1">
      <alignment horizontal="center" wrapText="1"/>
    </xf>
    <xf numFmtId="37" fontId="18" fillId="0" borderId="10" xfId="90" applyNumberFormat="1" applyFont="1" applyFill="1" applyBorder="1" applyAlignment="1" applyProtection="1">
      <alignment horizontal="center" wrapText="1"/>
    </xf>
    <xf numFmtId="37" fontId="19" fillId="0" borderId="0" xfId="90" applyNumberFormat="1" applyFont="1" applyFill="1" applyAlignment="1" applyProtection="1"/>
    <xf numFmtId="17" fontId="19" fillId="0" borderId="0" xfId="90" applyNumberFormat="1" applyFont="1" applyFill="1" applyProtection="1"/>
    <xf numFmtId="17" fontId="19" fillId="0" borderId="0" xfId="90" applyNumberFormat="1" applyFont="1" applyFill="1" applyAlignment="1" applyProtection="1">
      <alignment horizontal="center"/>
    </xf>
    <xf numFmtId="37" fontId="18" fillId="0" borderId="0" xfId="90" applyNumberFormat="1" applyFont="1" applyFill="1" applyAlignment="1" applyProtection="1">
      <alignment horizontal="left"/>
    </xf>
    <xf numFmtId="10" fontId="18" fillId="0" borderId="23" xfId="90" applyNumberFormat="1" applyFont="1" applyFill="1" applyBorder="1" applyProtection="1"/>
    <xf numFmtId="37" fontId="18" fillId="0" borderId="0" xfId="90" applyNumberFormat="1" applyFont="1" applyFill="1"/>
    <xf numFmtId="37" fontId="19" fillId="0" borderId="0" xfId="90" applyNumberFormat="1" applyFont="1" applyFill="1"/>
    <xf numFmtId="37" fontId="28" fillId="0" borderId="0" xfId="90" applyFont="1" applyFill="1"/>
    <xf numFmtId="37" fontId="19" fillId="0" borderId="0" xfId="90" applyNumberFormat="1" applyFont="1" applyFill="1" applyAlignment="1">
      <alignment horizontal="right"/>
    </xf>
    <xf numFmtId="37" fontId="6" fillId="0" borderId="0" xfId="90" applyFont="1" applyFill="1" applyAlignment="1">
      <alignment horizontal="center"/>
    </xf>
    <xf numFmtId="37" fontId="4" fillId="0" borderId="0" xfId="90" applyFont="1" applyFill="1" applyAlignment="1" applyProtection="1">
      <alignment horizontal="center"/>
    </xf>
    <xf numFmtId="0" fontId="4" fillId="0" borderId="0" xfId="93" applyFont="1" applyFill="1" applyAlignment="1" applyProtection="1">
      <alignment horizontal="left"/>
    </xf>
    <xf numFmtId="15" fontId="4" fillId="0" borderId="0" xfId="90" applyNumberFormat="1" applyFont="1" applyFill="1" applyProtection="1"/>
    <xf numFmtId="186" fontId="19" fillId="0" borderId="0" xfId="88" applyNumberFormat="1" applyFont="1" applyFill="1" applyBorder="1" applyProtection="1"/>
    <xf numFmtId="37" fontId="6" fillId="0" borderId="0" xfId="90" applyFont="1" applyFill="1" applyAlignment="1">
      <alignment horizontal="right"/>
    </xf>
    <xf numFmtId="37" fontId="4" fillId="0" borderId="0" xfId="90" applyFont="1" applyFill="1" applyAlignment="1">
      <alignment horizontal="center"/>
    </xf>
    <xf numFmtId="37" fontId="4" fillId="0" borderId="0" xfId="0" applyFont="1" applyFill="1"/>
    <xf numFmtId="10" fontId="4" fillId="0" borderId="0" xfId="0" applyNumberFormat="1" applyFont="1" applyFill="1" applyAlignment="1">
      <alignment horizontal="left"/>
    </xf>
    <xf numFmtId="15" fontId="4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169" fontId="4" fillId="0" borderId="0" xfId="0" applyNumberFormat="1" applyFont="1" applyFill="1"/>
    <xf numFmtId="10" fontId="4" fillId="0" borderId="0" xfId="0" applyNumberFormat="1" applyFont="1" applyFill="1"/>
    <xf numFmtId="5" fontId="4" fillId="0" borderId="0" xfId="90" applyNumberFormat="1" applyFont="1" applyFill="1" applyProtection="1"/>
    <xf numFmtId="37" fontId="6" fillId="0" borderId="0" xfId="90" applyFont="1" applyFill="1" applyAlignment="1" applyProtection="1">
      <alignment horizontal="center"/>
    </xf>
    <xf numFmtId="10" fontId="4" fillId="0" borderId="0" xfId="90" applyNumberFormat="1" applyFont="1" applyFill="1" applyProtection="1"/>
    <xf numFmtId="168" fontId="4" fillId="0" borderId="0" xfId="90" applyNumberFormat="1" applyFont="1" applyFill="1" applyAlignment="1" applyProtection="1">
      <alignment horizontal="fill"/>
    </xf>
    <xf numFmtId="10" fontId="1" fillId="0" borderId="0" xfId="92" applyFont="1" applyAlignment="1">
      <alignment horizontal="center"/>
    </xf>
    <xf numFmtId="10" fontId="1" fillId="0" borderId="0" xfId="92" applyFont="1" applyAlignment="1" applyProtection="1">
      <alignment horizontal="left"/>
    </xf>
    <xf numFmtId="5" fontId="1" fillId="0" borderId="0" xfId="55" applyNumberFormat="1" applyFont="1" applyAlignment="1" applyProtection="1"/>
    <xf numFmtId="10" fontId="1" fillId="0" borderId="0" xfId="92" applyNumberFormat="1" applyFont="1" applyAlignment="1" applyProtection="1"/>
    <xf numFmtId="10" fontId="1" fillId="0" borderId="0" xfId="92" applyFont="1" applyFill="1" applyAlignment="1" applyProtection="1"/>
    <xf numFmtId="5" fontId="1" fillId="0" borderId="0" xfId="92" applyNumberFormat="1" applyFont="1" applyAlignment="1" applyProtection="1"/>
    <xf numFmtId="10" fontId="1" fillId="0" borderId="0" xfId="92" applyFont="1" applyAlignment="1" applyProtection="1"/>
    <xf numFmtId="10" fontId="1" fillId="0" borderId="0" xfId="92" applyNumberFormat="1" applyFont="1" applyFill="1" applyAlignment="1" applyProtection="1"/>
    <xf numFmtId="10" fontId="1" fillId="0" borderId="0" xfId="92" applyFont="1" applyBorder="1" applyAlignment="1" applyProtection="1"/>
    <xf numFmtId="5" fontId="1" fillId="0" borderId="0" xfId="92" applyNumberFormat="1" applyFont="1" applyAlignment="1"/>
    <xf numFmtId="10" fontId="1" fillId="0" borderId="0" xfId="92" applyNumberFormat="1" applyFont="1" applyAlignment="1"/>
    <xf numFmtId="10" fontId="54" fillId="0" borderId="0" xfId="92" applyFont="1" applyBorder="1"/>
    <xf numFmtId="187" fontId="54" fillId="0" borderId="0" xfId="92" applyNumberFormat="1" applyFont="1" applyBorder="1"/>
    <xf numFmtId="10" fontId="1" fillId="0" borderId="0" xfId="92" applyFont="1" applyFill="1" applyBorder="1" applyAlignment="1" applyProtection="1"/>
    <xf numFmtId="182" fontId="1" fillId="0" borderId="0" xfId="92" applyNumberFormat="1" applyFont="1" applyBorder="1" applyAlignment="1">
      <alignment horizontal="center"/>
    </xf>
    <xf numFmtId="37" fontId="1" fillId="0" borderId="0" xfId="92" applyNumberFormat="1" applyFont="1" applyBorder="1" applyAlignment="1">
      <alignment horizontal="center"/>
    </xf>
    <xf numFmtId="165" fontId="1" fillId="0" borderId="0" xfId="92" applyNumberFormat="1" applyFont="1" applyBorder="1" applyAlignment="1" applyProtection="1"/>
    <xf numFmtId="189" fontId="1" fillId="0" borderId="0" xfId="55" applyNumberFormat="1" applyFont="1" applyBorder="1" applyAlignment="1"/>
    <xf numFmtId="10" fontId="1" fillId="0" borderId="0" xfId="92" applyFont="1" applyBorder="1"/>
    <xf numFmtId="10" fontId="1" fillId="0" borderId="0" xfId="92" applyNumberFormat="1" applyFont="1" applyBorder="1" applyAlignment="1" applyProtection="1"/>
    <xf numFmtId="38" fontId="1" fillId="0" borderId="0" xfId="92" applyNumberFormat="1" applyFont="1"/>
    <xf numFmtId="5" fontId="1" fillId="0" borderId="0" xfId="92" applyNumberFormat="1" applyFont="1"/>
    <xf numFmtId="10" fontId="11" fillId="0" borderId="23" xfId="92" applyFont="1" applyBorder="1"/>
    <xf numFmtId="0" fontId="18" fillId="0" borderId="0" xfId="88" applyFont="1" applyFill="1" applyAlignment="1" applyProtection="1">
      <alignment horizontal="center"/>
    </xf>
    <xf numFmtId="0" fontId="18" fillId="0" borderId="0" xfId="88" applyFont="1" applyFill="1" applyBorder="1" applyAlignment="1" applyProtection="1">
      <alignment horizontal="center" vertical="center" wrapText="1"/>
    </xf>
    <xf numFmtId="37" fontId="14" fillId="0" borderId="16" xfId="0" applyFont="1" applyFill="1" applyBorder="1" applyAlignment="1">
      <alignment horizontal="left"/>
    </xf>
    <xf numFmtId="37" fontId="14" fillId="0" borderId="0" xfId="0" applyFont="1" applyFill="1" applyBorder="1" applyAlignment="1">
      <alignment horizontal="left"/>
    </xf>
    <xf numFmtId="37" fontId="30" fillId="0" borderId="29" xfId="0" applyFont="1" applyFill="1" applyBorder="1" applyAlignment="1">
      <alignment horizontal="left"/>
    </xf>
    <xf numFmtId="37" fontId="30" fillId="0" borderId="15" xfId="0" applyFont="1" applyFill="1" applyBorder="1" applyAlignment="1">
      <alignment horizontal="left"/>
    </xf>
    <xf numFmtId="181" fontId="14" fillId="0" borderId="0" xfId="93" applyNumberFormat="1" applyFont="1" applyFill="1" applyAlignment="1">
      <alignment horizontal="left"/>
    </xf>
  </cellXfs>
  <cellStyles count="11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2 2" xfId="108"/>
    <cellStyle name="Comma 3" xfId="57"/>
    <cellStyle name="Comma 4" xfId="110"/>
    <cellStyle name="Comma0" xfId="58"/>
    <cellStyle name="Currency" xfId="59" builtinId="4"/>
    <cellStyle name="Currency 2" xfId="60"/>
    <cellStyle name="Currency 2 2" xfId="109"/>
    <cellStyle name="Currency 3" xfId="61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2 2" xfId="111"/>
    <cellStyle name="Percent 3" xfId="100"/>
    <cellStyle name="Percent 4" xfId="107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colors>
    <mruColors>
      <color rgb="FFD7F85E"/>
      <color rgb="FFE6F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4" workbookViewId="0"/>
  </sheetViews>
  <sheetFormatPr defaultColWidth="11.5" defaultRowHeight="12.75"/>
  <cols>
    <col min="1" max="1" width="3.83203125" style="3" customWidth="1"/>
    <col min="2" max="2" width="37.33203125" style="3" customWidth="1"/>
    <col min="3" max="3" width="18.1640625" style="3" customWidth="1"/>
    <col min="4" max="4" width="13.5" style="3" customWidth="1"/>
    <col min="5" max="5" width="13.1640625" style="3" customWidth="1"/>
    <col min="6" max="6" width="15.33203125" style="3" bestFit="1" customWidth="1"/>
    <col min="7" max="7" width="11.5" style="3" customWidth="1"/>
    <col min="8" max="8" width="13.83203125" style="3" customWidth="1"/>
    <col min="9" max="9" width="11.1640625" style="3" customWidth="1"/>
    <col min="10" max="10" width="8.5" style="3" customWidth="1"/>
    <col min="11" max="11" width="9" style="3" customWidth="1"/>
    <col min="12" max="12" width="8.6640625" style="3" customWidth="1"/>
    <col min="13" max="16384" width="11.5" style="3"/>
  </cols>
  <sheetData>
    <row r="1" spans="1:12" ht="13.5" thickBot="1">
      <c r="F1" s="382" t="s">
        <v>208</v>
      </c>
    </row>
    <row r="2" spans="1:12" ht="15.75">
      <c r="A2" s="33"/>
      <c r="B2" s="139" t="s">
        <v>4</v>
      </c>
      <c r="C2" s="139"/>
      <c r="D2" s="139"/>
      <c r="E2" s="139"/>
      <c r="F2" s="139"/>
    </row>
    <row r="3" spans="1:12" ht="15.75">
      <c r="B3" s="140" t="s">
        <v>6</v>
      </c>
      <c r="C3" s="140"/>
      <c r="D3" s="140"/>
      <c r="E3" s="140"/>
      <c r="F3" s="140"/>
    </row>
    <row r="4" spans="1:12" ht="15.75">
      <c r="B4" s="141" t="s">
        <v>58</v>
      </c>
      <c r="C4" s="141"/>
      <c r="D4" s="141"/>
      <c r="E4" s="141"/>
      <c r="F4" s="141"/>
      <c r="H4" s="91"/>
      <c r="L4" s="93"/>
    </row>
    <row r="5" spans="1:12">
      <c r="A5" s="204"/>
      <c r="B5" s="108" t="s">
        <v>205</v>
      </c>
      <c r="C5" s="108"/>
      <c r="D5" s="108"/>
      <c r="E5" s="108"/>
      <c r="F5" s="108"/>
      <c r="H5" s="91"/>
      <c r="L5" s="93"/>
    </row>
    <row r="6" spans="1:12">
      <c r="A6" s="4"/>
      <c r="C6" s="5"/>
      <c r="H6" s="91"/>
      <c r="L6" s="93"/>
    </row>
    <row r="7" spans="1:12">
      <c r="A7" s="4"/>
      <c r="B7" s="204"/>
      <c r="C7" s="204"/>
      <c r="D7" s="204"/>
      <c r="E7" s="204"/>
      <c r="F7" s="204"/>
      <c r="H7" s="91"/>
      <c r="L7" s="93"/>
    </row>
    <row r="8" spans="1:12">
      <c r="A8" s="68">
        <v>1</v>
      </c>
      <c r="B8" s="51" t="s">
        <v>5</v>
      </c>
      <c r="C8" s="51" t="s">
        <v>27</v>
      </c>
      <c r="D8" s="51" t="s">
        <v>52</v>
      </c>
      <c r="E8" s="51" t="s">
        <v>64</v>
      </c>
      <c r="F8" s="51" t="s">
        <v>65</v>
      </c>
      <c r="H8" s="91"/>
      <c r="L8" s="93"/>
    </row>
    <row r="9" spans="1:12">
      <c r="A9" s="68">
        <f>+A8+1</f>
        <v>2</v>
      </c>
      <c r="B9" s="204"/>
      <c r="C9" s="204"/>
      <c r="D9" s="204"/>
      <c r="E9" s="204"/>
      <c r="F9" s="204"/>
      <c r="H9" s="91"/>
      <c r="L9" s="93"/>
    </row>
    <row r="10" spans="1:12">
      <c r="A10" s="68">
        <f t="shared" ref="A10:A17" si="0">+A9+1</f>
        <v>3</v>
      </c>
      <c r="B10" s="360" t="s">
        <v>2</v>
      </c>
      <c r="C10" s="34"/>
      <c r="D10" s="34"/>
      <c r="E10" s="34"/>
      <c r="F10" s="34" t="s">
        <v>7</v>
      </c>
      <c r="H10" s="91"/>
      <c r="L10" s="93"/>
    </row>
    <row r="11" spans="1:12">
      <c r="A11" s="68">
        <f t="shared" si="0"/>
        <v>4</v>
      </c>
      <c r="B11" s="34"/>
      <c r="C11" s="35"/>
      <c r="D11" s="34"/>
      <c r="E11" s="34"/>
      <c r="F11" s="35" t="s">
        <v>8</v>
      </c>
      <c r="H11" s="91"/>
      <c r="L11" s="93"/>
    </row>
    <row r="12" spans="1:12">
      <c r="A12" s="68">
        <f t="shared" si="0"/>
        <v>5</v>
      </c>
      <c r="B12" s="36" t="s">
        <v>9</v>
      </c>
      <c r="C12" s="36" t="s">
        <v>79</v>
      </c>
      <c r="D12" s="36" t="s">
        <v>10</v>
      </c>
      <c r="E12" s="36" t="s">
        <v>11</v>
      </c>
      <c r="F12" s="36" t="s">
        <v>12</v>
      </c>
      <c r="H12" s="91"/>
      <c r="L12" s="93"/>
    </row>
    <row r="13" spans="1:12">
      <c r="A13" s="68">
        <f t="shared" si="0"/>
        <v>6</v>
      </c>
      <c r="B13" s="361"/>
      <c r="C13" s="361"/>
      <c r="D13" s="361"/>
      <c r="E13" s="361"/>
      <c r="F13" s="361"/>
      <c r="H13" s="91"/>
      <c r="L13" s="93"/>
    </row>
    <row r="14" spans="1:12">
      <c r="A14" s="68">
        <f t="shared" si="0"/>
        <v>7</v>
      </c>
      <c r="B14" s="361" t="s">
        <v>13</v>
      </c>
      <c r="C14" s="362">
        <f>'Pg 2 CapStructure'!Q10</f>
        <v>206913417</v>
      </c>
      <c r="D14" s="363">
        <f>ROUND(C14/$C$30,4)</f>
        <v>2.6700000000000002E-2</v>
      </c>
      <c r="E14" s="364">
        <f>'Pg 6 LTD Cost '!H31</f>
        <v>2.0400000000000001E-2</v>
      </c>
      <c r="F14" s="363">
        <f>ROUND(D14*E14,4)</f>
        <v>5.0000000000000001E-4</v>
      </c>
      <c r="L14" s="91"/>
    </row>
    <row r="15" spans="1:12">
      <c r="A15" s="68">
        <f t="shared" si="0"/>
        <v>8</v>
      </c>
      <c r="B15" s="361"/>
      <c r="C15" s="365"/>
      <c r="D15" s="363"/>
      <c r="E15" s="366"/>
      <c r="F15" s="363"/>
      <c r="L15" s="91"/>
    </row>
    <row r="16" spans="1:12">
      <c r="A16" s="68">
        <f t="shared" si="0"/>
        <v>9</v>
      </c>
      <c r="B16" s="361" t="s">
        <v>14</v>
      </c>
      <c r="C16" s="365">
        <f>'Pg 2 CapStructure'!Q16</f>
        <v>3695615184</v>
      </c>
      <c r="D16" s="367">
        <f>ROUND(C16/$C$30,4)</f>
        <v>0.47720000000000001</v>
      </c>
      <c r="E16" s="368">
        <f>'Pg 6 LTD Cost '!H29</f>
        <v>5.8299999999999998E-2</v>
      </c>
      <c r="F16" s="363">
        <f>ROUND(D16*E16,4)</f>
        <v>2.7799999999999998E-2</v>
      </c>
      <c r="L16" s="91"/>
    </row>
    <row r="17" spans="1:12">
      <c r="A17" s="68">
        <f t="shared" si="0"/>
        <v>10</v>
      </c>
      <c r="B17" s="38"/>
      <c r="C17" s="369"/>
      <c r="D17" s="363"/>
      <c r="E17" s="368"/>
      <c r="F17" s="370"/>
      <c r="H17" s="371"/>
      <c r="I17" s="69"/>
      <c r="J17" s="69"/>
      <c r="K17" s="69"/>
      <c r="L17" s="99"/>
    </row>
    <row r="18" spans="1:12">
      <c r="A18" s="68">
        <v>11</v>
      </c>
      <c r="B18" s="204" t="s">
        <v>191</v>
      </c>
      <c r="C18" s="369"/>
      <c r="D18" s="363">
        <f>ROUND((C14+C16)/C30,4)</f>
        <v>0.50390000000000001</v>
      </c>
      <c r="E18" s="368">
        <f>'Pg 6 LTD Cost '!H33</f>
        <v>5.6500000000000002E-2</v>
      </c>
      <c r="F18" s="370">
        <f>F16+F14</f>
        <v>2.8299999999999999E-2</v>
      </c>
      <c r="H18" s="372"/>
      <c r="I18" s="69"/>
      <c r="J18" s="69"/>
      <c r="K18" s="69"/>
      <c r="L18" s="99"/>
    </row>
    <row r="19" spans="1:12">
      <c r="A19" s="68">
        <v>12</v>
      </c>
      <c r="B19" s="38"/>
      <c r="C19" s="369"/>
      <c r="D19" s="363"/>
      <c r="E19" s="368"/>
      <c r="F19" s="370"/>
      <c r="H19" s="371"/>
      <c r="I19" s="69"/>
      <c r="J19" s="69"/>
      <c r="K19" s="69"/>
      <c r="L19" s="99"/>
    </row>
    <row r="20" spans="1:12">
      <c r="A20" s="68">
        <v>13</v>
      </c>
      <c r="B20" s="204" t="s">
        <v>54</v>
      </c>
      <c r="C20" s="369"/>
      <c r="D20" s="363"/>
      <c r="E20" s="368"/>
      <c r="F20" s="370">
        <f>'Pg 4 STD OS &amp; Comm Fees'!F20</f>
        <v>2.0000000000000001E-4</v>
      </c>
      <c r="H20" s="371"/>
      <c r="I20" s="69"/>
      <c r="J20" s="69"/>
      <c r="K20" s="69"/>
      <c r="L20" s="99"/>
    </row>
    <row r="21" spans="1:12">
      <c r="A21" s="68">
        <v>14</v>
      </c>
      <c r="B21" s="38"/>
      <c r="C21" s="369"/>
      <c r="D21" s="363"/>
      <c r="E21" s="368"/>
      <c r="F21" s="370"/>
      <c r="H21" s="371"/>
      <c r="I21" s="69"/>
      <c r="J21" s="69"/>
      <c r="K21" s="69"/>
      <c r="L21" s="99"/>
    </row>
    <row r="22" spans="1:12">
      <c r="A22" s="68">
        <v>15</v>
      </c>
      <c r="B22" s="204" t="s">
        <v>192</v>
      </c>
      <c r="C22" s="369"/>
      <c r="D22" s="363"/>
      <c r="E22" s="368"/>
      <c r="F22" s="370">
        <f>'Pg 5 STD Amort'!I35</f>
        <v>1E-4</v>
      </c>
      <c r="H22" s="371"/>
      <c r="I22" s="69"/>
      <c r="J22" s="69"/>
      <c r="K22" s="69"/>
      <c r="L22" s="99"/>
    </row>
    <row r="23" spans="1:12">
      <c r="A23" s="68">
        <v>16</v>
      </c>
      <c r="B23" s="38"/>
      <c r="C23" s="369"/>
      <c r="D23" s="363"/>
      <c r="E23" s="368"/>
      <c r="F23" s="370"/>
      <c r="H23" s="371"/>
      <c r="I23" s="69"/>
      <c r="J23" s="69"/>
      <c r="K23" s="69"/>
      <c r="L23" s="99"/>
    </row>
    <row r="24" spans="1:12">
      <c r="A24" s="68">
        <v>17</v>
      </c>
      <c r="B24" s="204" t="s">
        <v>193</v>
      </c>
      <c r="C24" s="369"/>
      <c r="D24" s="363"/>
      <c r="E24" s="368"/>
      <c r="F24" s="370">
        <f>'Pg 7 Reacquired Debt'!I35</f>
        <v>2.9999999999999997E-4</v>
      </c>
      <c r="H24" s="371"/>
      <c r="I24" s="69"/>
      <c r="J24" s="69"/>
      <c r="K24" s="69"/>
      <c r="L24" s="99"/>
    </row>
    <row r="25" spans="1:12">
      <c r="A25" s="68">
        <v>18</v>
      </c>
      <c r="B25" s="38"/>
      <c r="C25" s="369"/>
      <c r="D25" s="363"/>
      <c r="E25" s="368"/>
      <c r="F25" s="370"/>
      <c r="H25" s="371"/>
      <c r="I25" s="69"/>
      <c r="J25" s="69"/>
      <c r="K25" s="69"/>
      <c r="L25" s="99"/>
    </row>
    <row r="26" spans="1:12">
      <c r="A26" s="68">
        <v>19</v>
      </c>
      <c r="B26" s="38" t="s">
        <v>194</v>
      </c>
      <c r="C26" s="369">
        <f>C16+C14</f>
        <v>3902528601</v>
      </c>
      <c r="D26" s="363">
        <f>D18</f>
        <v>0.50390000000000001</v>
      </c>
      <c r="E26" s="368"/>
      <c r="F26" s="373">
        <f>SUM(F18:F25)</f>
        <v>2.8899999999999999E-2</v>
      </c>
      <c r="G26" s="198"/>
      <c r="H26" s="371"/>
      <c r="I26" s="69"/>
      <c r="J26" s="69"/>
      <c r="K26" s="69"/>
      <c r="L26" s="99"/>
    </row>
    <row r="27" spans="1:12">
      <c r="A27" s="68">
        <v>20</v>
      </c>
      <c r="B27" s="38"/>
      <c r="C27" s="369"/>
      <c r="D27" s="363"/>
      <c r="E27" s="368"/>
      <c r="F27" s="370"/>
      <c r="H27" s="371"/>
      <c r="I27" s="69"/>
      <c r="J27" s="69"/>
      <c r="K27" s="69"/>
      <c r="L27" s="99"/>
    </row>
    <row r="28" spans="1:12">
      <c r="A28" s="68">
        <v>21</v>
      </c>
      <c r="B28" s="37" t="s">
        <v>15</v>
      </c>
      <c r="C28" s="60">
        <f>'Pg 2 CapStructure'!Q20</f>
        <v>3842453156</v>
      </c>
      <c r="D28" s="138">
        <f>ROUND(C28/$C$30,4)</f>
        <v>0.49609999999999999</v>
      </c>
      <c r="E28" s="203">
        <f>(0.098*(171/365))+(0.095*(194/365))</f>
        <v>9.6405479452054799E-2</v>
      </c>
      <c r="F28" s="151">
        <f>ROUND(D28*E28,4)</f>
        <v>4.7800000000000002E-2</v>
      </c>
      <c r="H28" s="374"/>
      <c r="I28" s="374"/>
      <c r="J28" s="375"/>
      <c r="K28" s="368"/>
      <c r="L28" s="368"/>
    </row>
    <row r="29" spans="1:12">
      <c r="A29" s="68">
        <v>22</v>
      </c>
      <c r="B29" s="38"/>
      <c r="C29" s="368"/>
      <c r="D29" s="376"/>
      <c r="E29" s="203"/>
      <c r="F29" s="368"/>
      <c r="H29" s="374"/>
      <c r="I29" s="374"/>
      <c r="J29" s="375"/>
      <c r="K29" s="368"/>
      <c r="L29" s="368"/>
    </row>
    <row r="30" spans="1:12">
      <c r="A30" s="68">
        <v>23</v>
      </c>
      <c r="B30" s="37" t="s">
        <v>16</v>
      </c>
      <c r="C30" s="61">
        <f>C28+C26</f>
        <v>7744981757</v>
      </c>
      <c r="D30" s="95">
        <f>D28+D18</f>
        <v>1</v>
      </c>
      <c r="E30" s="377"/>
      <c r="F30" s="85">
        <f>F28+F26</f>
        <v>7.6700000000000004E-2</v>
      </c>
      <c r="H30" s="378"/>
      <c r="I30" s="378"/>
      <c r="J30" s="375"/>
      <c r="K30" s="368"/>
      <c r="L30" s="379"/>
    </row>
    <row r="31" spans="1:12">
      <c r="A31" s="68">
        <v>24</v>
      </c>
      <c r="B31" s="204"/>
      <c r="C31" s="378"/>
      <c r="D31" s="378"/>
      <c r="E31" s="62"/>
      <c r="F31" s="378"/>
      <c r="H31" s="204"/>
      <c r="I31" s="204"/>
      <c r="J31" s="204"/>
    </row>
    <row r="32" spans="1:12">
      <c r="A32" s="68">
        <v>25</v>
      </c>
      <c r="B32" s="204"/>
      <c r="C32" s="204"/>
      <c r="D32" s="204"/>
      <c r="E32" s="378"/>
      <c r="F32" s="204"/>
    </row>
    <row r="33" spans="1:6">
      <c r="A33" s="68">
        <v>26</v>
      </c>
      <c r="B33" s="159" t="s">
        <v>165</v>
      </c>
      <c r="C33" s="204"/>
      <c r="D33" s="204"/>
      <c r="E33" s="380"/>
      <c r="F33" s="204"/>
    </row>
    <row r="34" spans="1:6">
      <c r="A34" s="2"/>
      <c r="B34" s="204"/>
      <c r="C34" s="204"/>
      <c r="D34" s="204"/>
      <c r="E34" s="204"/>
      <c r="F34" s="204"/>
    </row>
    <row r="35" spans="1:6">
      <c r="A35" s="2"/>
      <c r="B35" s="204"/>
      <c r="C35" s="365"/>
      <c r="D35" s="204"/>
      <c r="E35" s="204"/>
      <c r="F35" s="204"/>
    </row>
    <row r="36" spans="1:6">
      <c r="A36" s="2"/>
      <c r="B36" s="204"/>
      <c r="C36" s="365"/>
      <c r="D36" s="204"/>
      <c r="E36" s="204"/>
      <c r="F36" s="204"/>
    </row>
    <row r="37" spans="1:6">
      <c r="A37" s="2"/>
      <c r="B37" s="204"/>
      <c r="C37" s="365"/>
      <c r="D37" s="204"/>
      <c r="E37" s="204"/>
      <c r="F37" s="204"/>
    </row>
    <row r="38" spans="1:6">
      <c r="A38" s="2"/>
      <c r="B38" s="204"/>
      <c r="D38" s="204"/>
      <c r="E38" s="204"/>
      <c r="F38" s="204"/>
    </row>
    <row r="39" spans="1:6">
      <c r="A39" s="2"/>
      <c r="B39" s="204"/>
      <c r="C39" s="381"/>
      <c r="D39" s="204"/>
      <c r="E39" s="204"/>
      <c r="F39" s="204"/>
    </row>
    <row r="40" spans="1:6">
      <c r="A40" s="2"/>
      <c r="B40" s="204"/>
      <c r="C40" s="204"/>
      <c r="D40" s="204"/>
      <c r="E40" s="204"/>
      <c r="F40" s="204"/>
    </row>
    <row r="41" spans="1:6">
      <c r="A41" s="2"/>
      <c r="B41" s="204"/>
      <c r="C41" s="204"/>
      <c r="D41" s="204"/>
      <c r="E41" s="204"/>
      <c r="F41" s="204"/>
    </row>
    <row r="42" spans="1:6">
      <c r="B42" s="204"/>
      <c r="C42" s="204"/>
      <c r="D42" s="204"/>
      <c r="E42" s="204"/>
      <c r="F42" s="204"/>
    </row>
    <row r="43" spans="1:6">
      <c r="B43" s="204"/>
      <c r="C43" s="204"/>
      <c r="D43" s="204"/>
      <c r="E43" s="204"/>
      <c r="F43" s="204"/>
    </row>
    <row r="44" spans="1:6">
      <c r="E44" s="204"/>
    </row>
    <row r="46" spans="1:6">
      <c r="C46" s="6"/>
      <c r="D46" s="7"/>
    </row>
    <row r="47" spans="1:6">
      <c r="D47" s="7"/>
    </row>
    <row r="48" spans="1:6">
      <c r="C48" s="6"/>
      <c r="D48" s="7"/>
    </row>
    <row r="49" spans="3:4">
      <c r="C49" s="6"/>
      <c r="D49" s="7"/>
    </row>
    <row r="50" spans="3:4">
      <c r="C50" s="6"/>
      <c r="D50" s="7"/>
    </row>
    <row r="51" spans="3:4">
      <c r="C51" s="6"/>
      <c r="D51" s="7"/>
    </row>
    <row r="52" spans="3:4">
      <c r="D52" s="7"/>
    </row>
    <row r="53" spans="3:4">
      <c r="C53" s="6"/>
      <c r="D53" s="7"/>
    </row>
    <row r="54" spans="3:4">
      <c r="D54" s="8"/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63"/>
  <sheetViews>
    <sheetView zoomScale="120" zoomScaleNormal="120" workbookViewId="0">
      <pane xSplit="2" ySplit="6" topLeftCell="C43" activePane="bottomRight" state="frozen"/>
      <selection activeCell="C14" sqref="C14"/>
      <selection pane="topRight" activeCell="C14" sqref="C14"/>
      <selection pane="bottomLeft" activeCell="C14" sqref="C14"/>
      <selection pane="bottomRight" activeCell="C59" sqref="C59"/>
    </sheetView>
  </sheetViews>
  <sheetFormatPr defaultColWidth="15.83203125" defaultRowHeight="12.75"/>
  <cols>
    <col min="1" max="1" width="3.33203125" style="1" customWidth="1"/>
    <col min="2" max="2" width="32.33203125" style="1" customWidth="1"/>
    <col min="3" max="3" width="10.83203125" style="1" customWidth="1"/>
    <col min="4" max="4" width="11" style="1" customWidth="1"/>
    <col min="5" max="5" width="11.1640625" style="1" customWidth="1"/>
    <col min="6" max="7" width="10.83203125" style="1" customWidth="1"/>
    <col min="8" max="9" width="10.5" style="1" customWidth="1"/>
    <col min="10" max="11" width="10.83203125" style="1" customWidth="1"/>
    <col min="12" max="16" width="10.6640625" style="1" customWidth="1"/>
    <col min="17" max="17" width="12.5" style="1" customWidth="1"/>
    <col min="18" max="18" width="10.33203125" style="1" customWidth="1"/>
    <col min="19" max="19" width="13" style="1" customWidth="1"/>
    <col min="20" max="21" width="10.33203125" style="1" customWidth="1"/>
    <col min="22" max="22" width="16.33203125" style="1" bestFit="1" customWidth="1"/>
    <col min="23" max="32" width="8.83203125" style="1" customWidth="1"/>
    <col min="33" max="33" width="10.1640625" style="1" customWidth="1"/>
    <col min="34" max="16384" width="15.83203125" style="1"/>
  </cols>
  <sheetData>
    <row r="1" spans="1:33">
      <c r="B1" s="239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33">
      <c r="B2" s="239" t="s">
        <v>35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33" ht="12.75" customHeight="1">
      <c r="B3" s="384" t="s">
        <v>204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</row>
    <row r="4" spans="1:33">
      <c r="B4" s="383" t="s">
        <v>59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</row>
    <row r="5" spans="1:33">
      <c r="A5" s="70">
        <v>1</v>
      </c>
      <c r="B5" s="132" t="s">
        <v>5</v>
      </c>
      <c r="C5" s="132" t="s">
        <v>27</v>
      </c>
      <c r="D5" s="132" t="s">
        <v>52</v>
      </c>
      <c r="E5" s="132" t="s">
        <v>64</v>
      </c>
      <c r="F5" s="132" t="s">
        <v>65</v>
      </c>
      <c r="G5" s="132" t="s">
        <v>66</v>
      </c>
      <c r="H5" s="132" t="s">
        <v>67</v>
      </c>
      <c r="I5" s="132" t="s">
        <v>68</v>
      </c>
      <c r="J5" s="132" t="s">
        <v>69</v>
      </c>
      <c r="K5" s="132" t="s">
        <v>71</v>
      </c>
      <c r="L5" s="132" t="s">
        <v>72</v>
      </c>
      <c r="M5" s="132" t="s">
        <v>73</v>
      </c>
      <c r="N5" s="132" t="s">
        <v>74</v>
      </c>
      <c r="O5" s="132" t="s">
        <v>75</v>
      </c>
      <c r="P5" s="132"/>
      <c r="Q5" s="132" t="s">
        <v>76</v>
      </c>
    </row>
    <row r="6" spans="1:33" ht="35.1" customHeight="1">
      <c r="A6" s="70">
        <f>+A5+1</f>
        <v>2</v>
      </c>
      <c r="B6" s="240" t="s">
        <v>1</v>
      </c>
      <c r="C6" s="207">
        <v>42916</v>
      </c>
      <c r="D6" s="207">
        <v>42947</v>
      </c>
      <c r="E6" s="207">
        <v>42978</v>
      </c>
      <c r="F6" s="207">
        <v>43008</v>
      </c>
      <c r="G6" s="207">
        <v>43039</v>
      </c>
      <c r="H6" s="207">
        <v>43069</v>
      </c>
      <c r="I6" s="207">
        <v>43100</v>
      </c>
      <c r="J6" s="207">
        <v>43131</v>
      </c>
      <c r="K6" s="207">
        <v>43159</v>
      </c>
      <c r="L6" s="207">
        <v>43190</v>
      </c>
      <c r="M6" s="207">
        <v>43220</v>
      </c>
      <c r="N6" s="207">
        <v>43251</v>
      </c>
      <c r="O6" s="207">
        <v>43281</v>
      </c>
      <c r="P6" s="207"/>
      <c r="Q6" s="241" t="s">
        <v>105</v>
      </c>
      <c r="R6" s="242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</row>
    <row r="7" spans="1:33">
      <c r="A7" s="70">
        <f>+A6+1</f>
        <v>3</v>
      </c>
      <c r="B7" s="226" t="s">
        <v>36</v>
      </c>
      <c r="C7" s="208">
        <v>5000000</v>
      </c>
      <c r="D7" s="208">
        <v>25000000</v>
      </c>
      <c r="E7" s="208">
        <v>37000000</v>
      </c>
      <c r="F7" s="208">
        <v>139000000</v>
      </c>
      <c r="G7" s="208">
        <v>189000000</v>
      </c>
      <c r="H7" s="208">
        <v>210759000</v>
      </c>
      <c r="I7" s="208">
        <v>329463000</v>
      </c>
      <c r="J7" s="208">
        <v>255500000</v>
      </c>
      <c r="K7" s="208">
        <v>153050000</v>
      </c>
      <c r="L7" s="208">
        <v>370689000</v>
      </c>
      <c r="M7" s="208">
        <v>391000000</v>
      </c>
      <c r="N7" s="208">
        <v>366000000</v>
      </c>
      <c r="O7" s="208">
        <v>28000000</v>
      </c>
      <c r="P7" s="208"/>
      <c r="Q7" s="209">
        <f>ROUND(((C7+O7)+(SUM(D7:N7)*2))/24,0)</f>
        <v>206913417</v>
      </c>
      <c r="R7" s="242"/>
      <c r="S7" s="243" t="s">
        <v>182</v>
      </c>
      <c r="T7" s="243" t="s">
        <v>177</v>
      </c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</row>
    <row r="8" spans="1:33">
      <c r="A8" s="70">
        <f>+A7+1</f>
        <v>4</v>
      </c>
      <c r="B8" s="226" t="s">
        <v>161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9">
        <f>ROUND(((C8+L8)+(SUM(D8:N8)*2))/24,0)</f>
        <v>0</v>
      </c>
      <c r="R8" s="244"/>
      <c r="S8" s="243" t="s">
        <v>182</v>
      </c>
      <c r="T8" s="243" t="s">
        <v>178</v>
      </c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</row>
    <row r="9" spans="1:33" ht="13.5" thickBot="1">
      <c r="A9" s="70">
        <f>+A8+1</f>
        <v>5</v>
      </c>
      <c r="B9" s="226" t="s">
        <v>147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9">
        <f>ROUND(((C9+L9)+(SUM(D9:N9)*2))/24,0)</f>
        <v>0</v>
      </c>
      <c r="R9" s="242"/>
      <c r="T9" s="243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</row>
    <row r="10" spans="1:33" ht="13.5" thickBot="1">
      <c r="A10" s="70">
        <f>+A9+1</f>
        <v>6</v>
      </c>
      <c r="B10" s="245" t="s">
        <v>30</v>
      </c>
      <c r="C10" s="154">
        <f t="shared" ref="C10:H10" si="0">SUM(C7:C9)</f>
        <v>5000000</v>
      </c>
      <c r="D10" s="154">
        <f t="shared" si="0"/>
        <v>25000000</v>
      </c>
      <c r="E10" s="154">
        <f t="shared" si="0"/>
        <v>37000000</v>
      </c>
      <c r="F10" s="154">
        <f t="shared" si="0"/>
        <v>139000000</v>
      </c>
      <c r="G10" s="154">
        <f t="shared" si="0"/>
        <v>189000000</v>
      </c>
      <c r="H10" s="154">
        <f t="shared" si="0"/>
        <v>210759000</v>
      </c>
      <c r="I10" s="154">
        <f t="shared" ref="I10:Q10" si="1">SUM(I7:I9)</f>
        <v>329463000</v>
      </c>
      <c r="J10" s="154">
        <f t="shared" si="1"/>
        <v>255500000</v>
      </c>
      <c r="K10" s="154">
        <f t="shared" si="1"/>
        <v>153050000</v>
      </c>
      <c r="L10" s="154">
        <f t="shared" si="1"/>
        <v>370689000</v>
      </c>
      <c r="M10" s="154">
        <f t="shared" si="1"/>
        <v>391000000</v>
      </c>
      <c r="N10" s="154">
        <f t="shared" si="1"/>
        <v>366000000</v>
      </c>
      <c r="O10" s="154">
        <f t="shared" si="1"/>
        <v>28000000</v>
      </c>
      <c r="P10" s="71"/>
      <c r="Q10" s="246">
        <f t="shared" si="1"/>
        <v>206913417</v>
      </c>
      <c r="R10" s="113"/>
      <c r="T10" s="11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247"/>
      <c r="AG10" s="247"/>
    </row>
    <row r="11" spans="1:33" ht="6.95" customHeight="1" thickBot="1">
      <c r="A11" s="70"/>
      <c r="B11" s="248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209"/>
      <c r="R11" s="113"/>
      <c r="T11" s="11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247"/>
      <c r="AG11" s="247"/>
    </row>
    <row r="12" spans="1:33" ht="13.5" thickBot="1">
      <c r="A12" s="70">
        <f>+A10+1</f>
        <v>7</v>
      </c>
      <c r="B12" s="245" t="s">
        <v>120</v>
      </c>
      <c r="C12" s="153">
        <f>3523860000-25878172-1790686</f>
        <v>3496191142</v>
      </c>
      <c r="D12" s="153">
        <f>3523860000-25674432-1785332</f>
        <v>3496400236</v>
      </c>
      <c r="E12" s="153">
        <f>3523860000-25471972-1779977</f>
        <v>3496608051</v>
      </c>
      <c r="F12" s="153">
        <f>3523860000-25268233-1774623</f>
        <v>3496817144</v>
      </c>
      <c r="G12" s="153">
        <f>3523860000-24923989-1769269</f>
        <v>3497166742</v>
      </c>
      <c r="H12" s="153">
        <f>3523860000-24763104-1763914</f>
        <v>3497332982</v>
      </c>
      <c r="I12" s="153">
        <f>3523860000-24602220-1758560</f>
        <v>3497499220</v>
      </c>
      <c r="J12" s="153">
        <f>3523860000-24441336-1753206</f>
        <v>3497665458</v>
      </c>
      <c r="K12" s="153">
        <f>3523860000-24320009-1747851</f>
        <v>3497792140</v>
      </c>
      <c r="L12" s="153">
        <f>3523860000-24198682-1742497</f>
        <v>3497918821</v>
      </c>
      <c r="M12" s="153">
        <f>3523860000-24077356-1737143</f>
        <v>3498045501</v>
      </c>
      <c r="N12" s="153">
        <f>3523860000-23956029-1731788</f>
        <v>3498172183</v>
      </c>
      <c r="O12" s="153">
        <f>3923860000-24245951-6983726</f>
        <v>3892630323</v>
      </c>
      <c r="P12" s="153"/>
      <c r="Q12" s="246">
        <f>ROUND(((C12+O12)+(SUM(D12:N12)*2))/24,0)</f>
        <v>3513819101</v>
      </c>
      <c r="R12" s="113"/>
      <c r="S12" s="243" t="s">
        <v>182</v>
      </c>
      <c r="T12" s="243" t="s">
        <v>179</v>
      </c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247"/>
      <c r="AG12" s="247"/>
    </row>
    <row r="13" spans="1:33" ht="6" customHeight="1">
      <c r="A13" s="70"/>
      <c r="B13" s="245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210"/>
      <c r="R13" s="113"/>
      <c r="T13" s="113"/>
    </row>
    <row r="14" spans="1:33" ht="13.5" customHeight="1">
      <c r="A14" s="70">
        <f>+A12+1</f>
        <v>8</v>
      </c>
      <c r="B14" s="245" t="s">
        <v>114</v>
      </c>
      <c r="C14" s="113">
        <v>250000000</v>
      </c>
      <c r="D14" s="113">
        <v>250000000</v>
      </c>
      <c r="E14" s="113">
        <v>250000000</v>
      </c>
      <c r="F14" s="113">
        <v>250000000</v>
      </c>
      <c r="G14" s="113">
        <v>250000000</v>
      </c>
      <c r="H14" s="113">
        <v>250000000</v>
      </c>
      <c r="I14" s="113">
        <v>250000000</v>
      </c>
      <c r="J14" s="113">
        <v>250000000</v>
      </c>
      <c r="K14" s="113">
        <v>250000000</v>
      </c>
      <c r="L14" s="113">
        <v>56553000</v>
      </c>
      <c r="M14" s="113"/>
      <c r="N14" s="113"/>
      <c r="O14" s="113"/>
      <c r="P14" s="113"/>
      <c r="Q14" s="211">
        <f>ROUND(((C14+O14)+(SUM(D14:N14)*2))/24,0)</f>
        <v>181796083</v>
      </c>
      <c r="R14" s="113"/>
      <c r="S14" s="243" t="s">
        <v>182</v>
      </c>
      <c r="T14" s="243" t="s">
        <v>180</v>
      </c>
    </row>
    <row r="15" spans="1:33" ht="5.25" customHeight="1" thickBot="1">
      <c r="A15" s="70"/>
      <c r="B15" s="245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210"/>
      <c r="R15" s="113"/>
      <c r="S15" s="113"/>
      <c r="T15" s="113"/>
    </row>
    <row r="16" spans="1:33" ht="13.5" customHeight="1" thickBot="1">
      <c r="A16" s="70">
        <f>+A14+1</f>
        <v>9</v>
      </c>
      <c r="B16" s="245" t="s">
        <v>14</v>
      </c>
      <c r="C16" s="154">
        <f t="shared" ref="C16:O16" si="2">SUM(C12:C14)</f>
        <v>3746191142</v>
      </c>
      <c r="D16" s="154">
        <f t="shared" si="2"/>
        <v>3746400236</v>
      </c>
      <c r="E16" s="154">
        <f t="shared" si="2"/>
        <v>3746608051</v>
      </c>
      <c r="F16" s="154">
        <f t="shared" si="2"/>
        <v>3746817144</v>
      </c>
      <c r="G16" s="154">
        <f t="shared" si="2"/>
        <v>3747166742</v>
      </c>
      <c r="H16" s="154">
        <f t="shared" si="2"/>
        <v>3747332982</v>
      </c>
      <c r="I16" s="154">
        <f t="shared" si="2"/>
        <v>3747499220</v>
      </c>
      <c r="J16" s="154">
        <f t="shared" si="2"/>
        <v>3747665458</v>
      </c>
      <c r="K16" s="154">
        <f t="shared" si="2"/>
        <v>3747792140</v>
      </c>
      <c r="L16" s="154">
        <f t="shared" si="2"/>
        <v>3554471821</v>
      </c>
      <c r="M16" s="154">
        <f t="shared" si="2"/>
        <v>3498045501</v>
      </c>
      <c r="N16" s="154">
        <f t="shared" si="2"/>
        <v>3498172183</v>
      </c>
      <c r="O16" s="154">
        <f t="shared" si="2"/>
        <v>3892630323</v>
      </c>
      <c r="P16" s="71"/>
      <c r="Q16" s="246">
        <f>SUM(Q12:Q14)</f>
        <v>3695615184</v>
      </c>
      <c r="R16" s="113"/>
      <c r="S16" s="212"/>
      <c r="T16" s="113"/>
    </row>
    <row r="17" spans="1:20" ht="6.75" customHeight="1" thickBot="1">
      <c r="A17" s="70"/>
      <c r="B17" s="245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210"/>
      <c r="R17" s="113"/>
      <c r="S17" s="113"/>
      <c r="T17" s="113"/>
    </row>
    <row r="18" spans="1:20" ht="13.5" thickBot="1">
      <c r="A18" s="70">
        <f>+A16+1</f>
        <v>10</v>
      </c>
      <c r="B18" s="245" t="s">
        <v>82</v>
      </c>
      <c r="C18" s="213">
        <v>0</v>
      </c>
      <c r="D18" s="213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/>
      <c r="Q18" s="249"/>
      <c r="R18" s="113"/>
      <c r="S18" s="214"/>
      <c r="T18" s="113"/>
    </row>
    <row r="19" spans="1:20" ht="6.95" customHeight="1" thickBot="1">
      <c r="A19" s="70"/>
      <c r="B19" s="245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209"/>
      <c r="R19" s="113"/>
      <c r="S19" s="113"/>
      <c r="T19" s="113"/>
    </row>
    <row r="20" spans="1:20" ht="13.5" thickBot="1">
      <c r="A20" s="70">
        <f>+A18+1</f>
        <v>11</v>
      </c>
      <c r="B20" s="245" t="s">
        <v>95</v>
      </c>
      <c r="C20" s="215">
        <f t="shared" ref="C20:H20" si="3">C44</f>
        <v>3813369200</v>
      </c>
      <c r="D20" s="215">
        <f t="shared" si="3"/>
        <v>3815776720</v>
      </c>
      <c r="E20" s="215">
        <f t="shared" si="3"/>
        <v>3822877424</v>
      </c>
      <c r="F20" s="215">
        <f>F44</f>
        <v>3797378564</v>
      </c>
      <c r="G20" s="215">
        <f t="shared" si="3"/>
        <v>3826636760</v>
      </c>
      <c r="H20" s="215">
        <f t="shared" si="3"/>
        <v>3857654725</v>
      </c>
      <c r="I20" s="215">
        <f t="shared" ref="I20:O20" si="4">I44</f>
        <v>3770421993</v>
      </c>
      <c r="J20" s="215">
        <f t="shared" si="4"/>
        <v>3830206006</v>
      </c>
      <c r="K20" s="215">
        <f>K44</f>
        <v>3880699843</v>
      </c>
      <c r="L20" s="215">
        <f t="shared" si="4"/>
        <v>3879184263</v>
      </c>
      <c r="M20" s="215">
        <f t="shared" si="4"/>
        <v>3897023977</v>
      </c>
      <c r="N20" s="215">
        <f t="shared" si="4"/>
        <v>3896636196</v>
      </c>
      <c r="O20" s="215">
        <f t="shared" si="4"/>
        <v>3856513605</v>
      </c>
      <c r="P20" s="115"/>
      <c r="Q20" s="249">
        <f>ROUND(((C20+O20)+(SUM(D20:N20)*2))/24,0)</f>
        <v>3842453156</v>
      </c>
      <c r="R20" s="113"/>
      <c r="S20" s="113"/>
      <c r="T20" s="113"/>
    </row>
    <row r="21" spans="1:20" ht="6.95" customHeight="1">
      <c r="A21" s="70"/>
      <c r="B21" s="24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216"/>
      <c r="R21" s="113"/>
      <c r="S21" s="113"/>
      <c r="T21" s="113"/>
    </row>
    <row r="22" spans="1:20" ht="13.5" thickBot="1">
      <c r="A22" s="70">
        <f>+A20+1</f>
        <v>12</v>
      </c>
      <c r="B22" s="245" t="s">
        <v>85</v>
      </c>
      <c r="C22" s="217">
        <f t="shared" ref="C22:H22" si="5">C10+C16+C18+C20</f>
        <v>7564560342</v>
      </c>
      <c r="D22" s="217">
        <f t="shared" si="5"/>
        <v>7587176956</v>
      </c>
      <c r="E22" s="217">
        <f t="shared" si="5"/>
        <v>7606485475</v>
      </c>
      <c r="F22" s="217">
        <f>F10+F16+F18+F20-1000</f>
        <v>7683194708</v>
      </c>
      <c r="G22" s="217">
        <f>G10+G16+G18+G20-1000</f>
        <v>7762802502</v>
      </c>
      <c r="H22" s="217">
        <f t="shared" si="5"/>
        <v>7815746707</v>
      </c>
      <c r="I22" s="217">
        <f>I10+I16+I18+I20</f>
        <v>7847384213</v>
      </c>
      <c r="J22" s="217">
        <f>J10+J16+J18+J20+1000</f>
        <v>7833372464</v>
      </c>
      <c r="K22" s="217">
        <f t="shared" ref="K22:O22" si="6">K10+K16+K18+K20</f>
        <v>7781541983</v>
      </c>
      <c r="L22" s="217">
        <f>L10+L16+L18+L20</f>
        <v>7804345084</v>
      </c>
      <c r="M22" s="217">
        <f t="shared" si="6"/>
        <v>7786069478</v>
      </c>
      <c r="N22" s="217">
        <f t="shared" si="6"/>
        <v>7760808379</v>
      </c>
      <c r="O22" s="217">
        <f t="shared" si="6"/>
        <v>7777143928</v>
      </c>
      <c r="P22" s="217"/>
      <c r="Q22" s="218">
        <f>Q10+Q16+Q18+Q20</f>
        <v>7744981757</v>
      </c>
      <c r="R22" s="113"/>
      <c r="S22" s="113"/>
      <c r="T22" s="113"/>
    </row>
    <row r="23" spans="1:20" ht="13.5" thickTop="1">
      <c r="A23" s="70"/>
      <c r="B23" s="245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219"/>
      <c r="R23" s="113"/>
      <c r="S23" s="113"/>
      <c r="T23" s="113"/>
    </row>
    <row r="24" spans="1:20">
      <c r="A24" s="70">
        <f>+A22+1</f>
        <v>13</v>
      </c>
      <c r="B24" s="250" t="s">
        <v>30</v>
      </c>
      <c r="C24" s="220">
        <f t="shared" ref="C24:H24" si="7">C10/C$22</f>
        <v>6.609769469666291E-4</v>
      </c>
      <c r="D24" s="220">
        <f t="shared" si="7"/>
        <v>3.2950332047059746E-3</v>
      </c>
      <c r="E24" s="220">
        <f t="shared" si="7"/>
        <v>4.8642701181257431E-3</v>
      </c>
      <c r="F24" s="220">
        <f t="shared" si="7"/>
        <v>1.8091432702501804E-2</v>
      </c>
      <c r="G24" s="220">
        <f t="shared" si="7"/>
        <v>2.4346877297381487E-2</v>
      </c>
      <c r="H24" s="220">
        <f t="shared" si="7"/>
        <v>2.6965945532912216E-2</v>
      </c>
      <c r="I24" s="220">
        <f>I10/I$22</f>
        <v>4.1983798812120172E-2</v>
      </c>
      <c r="J24" s="220">
        <f>J10/J$22</f>
        <v>3.2616858342202786E-2</v>
      </c>
      <c r="K24" s="220">
        <f>K10/K$22</f>
        <v>1.9668338272075349E-2</v>
      </c>
      <c r="L24" s="220">
        <f>L10/L$22</f>
        <v>4.7497771563172461E-2</v>
      </c>
      <c r="M24" s="220">
        <f t="shared" ref="M24:O24" si="8">M10/M$22</f>
        <v>5.0217892494382903E-2</v>
      </c>
      <c r="N24" s="220">
        <f t="shared" si="8"/>
        <v>4.7160035672361239E-2</v>
      </c>
      <c r="O24" s="220">
        <f t="shared" si="8"/>
        <v>3.6002934058082408E-3</v>
      </c>
      <c r="P24" s="220"/>
      <c r="Q24" s="221">
        <f>Q10/Q$22</f>
        <v>2.6715804309414851E-2</v>
      </c>
      <c r="R24" s="113"/>
      <c r="S24" s="113"/>
      <c r="T24" s="113"/>
    </row>
    <row r="25" spans="1:20">
      <c r="A25" s="70">
        <f>+A24+1</f>
        <v>14</v>
      </c>
      <c r="B25" s="250" t="s">
        <v>31</v>
      </c>
      <c r="C25" s="222">
        <f t="shared" ref="C25:H25" si="9">C16/C$22</f>
        <v>0.49522919675851795</v>
      </c>
      <c r="D25" s="222">
        <f t="shared" si="9"/>
        <v>0.49378052702953196</v>
      </c>
      <c r="E25" s="222">
        <f t="shared" si="9"/>
        <v>0.49255442126509813</v>
      </c>
      <c r="F25" s="222">
        <f t="shared" si="9"/>
        <v>0.48766395833997128</v>
      </c>
      <c r="G25" s="222">
        <f t="shared" si="9"/>
        <v>0.48270798349366534</v>
      </c>
      <c r="H25" s="222">
        <f t="shared" si="9"/>
        <v>0.47945936869266559</v>
      </c>
      <c r="I25" s="222">
        <f>I16/I$22</f>
        <v>0.47754756467663223</v>
      </c>
      <c r="J25" s="222">
        <f>J16/J$22</f>
        <v>0.47842298770079267</v>
      </c>
      <c r="K25" s="222">
        <f>K16/K$22</f>
        <v>0.48162589730771105</v>
      </c>
      <c r="L25" s="222">
        <f>L16/L$22</f>
        <v>0.4554478028255266</v>
      </c>
      <c r="M25" s="222">
        <f t="shared" ref="M25:O25" si="10">M16/M$22</f>
        <v>0.44926975168715544</v>
      </c>
      <c r="N25" s="222">
        <f t="shared" si="10"/>
        <v>0.45074842879328358</v>
      </c>
      <c r="O25" s="222">
        <f t="shared" si="10"/>
        <v>0.50052183154093222</v>
      </c>
      <c r="P25" s="222"/>
      <c r="Q25" s="223">
        <f>Q16/Q$22</f>
        <v>0.47716254214025261</v>
      </c>
      <c r="R25" s="113"/>
      <c r="S25" s="113"/>
      <c r="T25" s="113"/>
    </row>
    <row r="26" spans="1:20">
      <c r="A26" s="70">
        <f>+A25+1</f>
        <v>15</v>
      </c>
      <c r="B26" s="250" t="s">
        <v>101</v>
      </c>
      <c r="C26" s="220">
        <f t="shared" ref="C26:H26" si="11">SUM(C24:C25)</f>
        <v>0.4958901737054846</v>
      </c>
      <c r="D26" s="220">
        <f t="shared" si="11"/>
        <v>0.49707556023423793</v>
      </c>
      <c r="E26" s="220">
        <f t="shared" si="11"/>
        <v>0.49741869138322387</v>
      </c>
      <c r="F26" s="220">
        <f t="shared" si="11"/>
        <v>0.50575539104247313</v>
      </c>
      <c r="G26" s="220">
        <f t="shared" si="11"/>
        <v>0.50705486079104678</v>
      </c>
      <c r="H26" s="220">
        <f t="shared" si="11"/>
        <v>0.50642531422557779</v>
      </c>
      <c r="I26" s="220">
        <f>SUM(I24:I25)</f>
        <v>0.5195313634887524</v>
      </c>
      <c r="J26" s="220">
        <f>SUM(J24:J25)</f>
        <v>0.51103984604299546</v>
      </c>
      <c r="K26" s="220">
        <f>SUM(K24:K25)</f>
        <v>0.50129423557978636</v>
      </c>
      <c r="L26" s="220">
        <f>SUM(L24:L25)</f>
        <v>0.50294557438869902</v>
      </c>
      <c r="M26" s="220">
        <f t="shared" ref="M26:O26" si="12">SUM(M24:M25)</f>
        <v>0.49948764418153835</v>
      </c>
      <c r="N26" s="220">
        <f t="shared" si="12"/>
        <v>0.49790846446564485</v>
      </c>
      <c r="O26" s="220">
        <f t="shared" si="12"/>
        <v>0.50412212494674047</v>
      </c>
      <c r="P26" s="220"/>
      <c r="Q26" s="221">
        <f>SUM(Q24:Q25)</f>
        <v>0.50387834644966745</v>
      </c>
      <c r="R26" s="113"/>
      <c r="S26" s="113"/>
      <c r="T26" s="113"/>
    </row>
    <row r="27" spans="1:20">
      <c r="A27" s="70">
        <f>+A26+1</f>
        <v>16</v>
      </c>
      <c r="B27" s="250" t="s">
        <v>102</v>
      </c>
      <c r="C27" s="220">
        <f>C18/C$22</f>
        <v>0</v>
      </c>
      <c r="D27" s="220">
        <f>D18/D$22</f>
        <v>0</v>
      </c>
      <c r="E27" s="220">
        <f>E18/E$22</f>
        <v>0</v>
      </c>
      <c r="F27" s="220">
        <f>F18/F$22</f>
        <v>0</v>
      </c>
      <c r="G27" s="220">
        <f t="shared" ref="G27:O27" si="13">G18/G$22</f>
        <v>0</v>
      </c>
      <c r="H27" s="220">
        <f t="shared" si="13"/>
        <v>0</v>
      </c>
      <c r="I27" s="220">
        <f t="shared" si="13"/>
        <v>0</v>
      </c>
      <c r="J27" s="220">
        <f t="shared" si="13"/>
        <v>0</v>
      </c>
      <c r="K27" s="220">
        <f t="shared" si="13"/>
        <v>0</v>
      </c>
      <c r="L27" s="220">
        <f t="shared" si="13"/>
        <v>0</v>
      </c>
      <c r="M27" s="220">
        <f t="shared" si="13"/>
        <v>0</v>
      </c>
      <c r="N27" s="220">
        <f t="shared" si="13"/>
        <v>0</v>
      </c>
      <c r="O27" s="220">
        <f t="shared" si="13"/>
        <v>0</v>
      </c>
      <c r="P27" s="220"/>
      <c r="Q27" s="221">
        <f>Q18/Q$22</f>
        <v>0</v>
      </c>
      <c r="R27" s="113"/>
      <c r="S27" s="113"/>
      <c r="T27" s="113"/>
    </row>
    <row r="28" spans="1:20">
      <c r="A28" s="70">
        <f>+A27+1</f>
        <v>17</v>
      </c>
      <c r="B28" s="250" t="s">
        <v>103</v>
      </c>
      <c r="C28" s="224">
        <f>C20/C$22</f>
        <v>0.5041098262945154</v>
      </c>
      <c r="D28" s="224">
        <f>D20/D$22</f>
        <v>0.50292443976576207</v>
      </c>
      <c r="E28" s="224">
        <f>E20/E$22</f>
        <v>0.50258130861677608</v>
      </c>
      <c r="F28" s="224">
        <f>F20/F$22</f>
        <v>0.49424473911171901</v>
      </c>
      <c r="G28" s="224">
        <f t="shared" ref="G28:O28" si="14">G20/G$22</f>
        <v>0.49294526802840977</v>
      </c>
      <c r="H28" s="224">
        <f t="shared" si="14"/>
        <v>0.49357468577442221</v>
      </c>
      <c r="I28" s="224">
        <f t="shared" si="14"/>
        <v>0.4804686365112476</v>
      </c>
      <c r="J28" s="224">
        <f t="shared" si="14"/>
        <v>0.48896002629806778</v>
      </c>
      <c r="K28" s="224">
        <f t="shared" si="14"/>
        <v>0.49870576442021364</v>
      </c>
      <c r="L28" s="224">
        <f t="shared" si="14"/>
        <v>0.49705442561130092</v>
      </c>
      <c r="M28" s="224">
        <f t="shared" si="14"/>
        <v>0.50051235581846165</v>
      </c>
      <c r="N28" s="224">
        <f t="shared" si="14"/>
        <v>0.50209153553435515</v>
      </c>
      <c r="O28" s="224">
        <f t="shared" si="14"/>
        <v>0.49587787505325953</v>
      </c>
      <c r="P28" s="224"/>
      <c r="Q28" s="223">
        <f>Q20/Q$22</f>
        <v>0.49612165355033255</v>
      </c>
      <c r="R28" s="113"/>
      <c r="S28" s="113"/>
      <c r="T28" s="113"/>
    </row>
    <row r="29" spans="1:20">
      <c r="A29" s="70"/>
      <c r="B29" s="250"/>
      <c r="C29" s="225"/>
      <c r="D29" s="226"/>
      <c r="E29" s="226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7"/>
      <c r="R29" s="113"/>
      <c r="S29" s="113"/>
      <c r="T29" s="113"/>
    </row>
    <row r="30" spans="1:20" ht="13.5" thickBot="1">
      <c r="A30" s="70">
        <f>+A28+1</f>
        <v>18</v>
      </c>
      <c r="B30" s="250" t="s">
        <v>104</v>
      </c>
      <c r="C30" s="228">
        <f>SUM(C26:C28)</f>
        <v>1</v>
      </c>
      <c r="D30" s="228">
        <f>SUM(D26:D28)</f>
        <v>1</v>
      </c>
      <c r="E30" s="228">
        <f>SUM(E26:E28)</f>
        <v>1</v>
      </c>
      <c r="F30" s="228">
        <f>SUM(F26:F28)</f>
        <v>1.0000001301541921</v>
      </c>
      <c r="G30" s="228">
        <f t="shared" ref="G30:O30" si="15">SUM(G26:G28)</f>
        <v>1.0000001288194564</v>
      </c>
      <c r="H30" s="228">
        <f t="shared" si="15"/>
        <v>1</v>
      </c>
      <c r="I30" s="228">
        <f t="shared" si="15"/>
        <v>1</v>
      </c>
      <c r="J30" s="228">
        <f t="shared" si="15"/>
        <v>0.99999987234106325</v>
      </c>
      <c r="K30" s="228">
        <f t="shared" si="15"/>
        <v>1</v>
      </c>
      <c r="L30" s="228">
        <f t="shared" si="15"/>
        <v>1</v>
      </c>
      <c r="M30" s="228">
        <f t="shared" si="15"/>
        <v>1</v>
      </c>
      <c r="N30" s="228">
        <f t="shared" si="15"/>
        <v>1</v>
      </c>
      <c r="O30" s="228">
        <f t="shared" si="15"/>
        <v>1</v>
      </c>
      <c r="P30" s="228"/>
      <c r="Q30" s="229">
        <f>SUM(Q26:Q28)</f>
        <v>1</v>
      </c>
      <c r="R30" s="113"/>
      <c r="S30" s="113"/>
      <c r="T30" s="113"/>
    </row>
    <row r="31" spans="1:20" ht="13.5" thickTop="1">
      <c r="A31" s="70"/>
      <c r="B31" s="245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113"/>
      <c r="S31" s="113"/>
      <c r="T31" s="113"/>
    </row>
    <row r="32" spans="1:20">
      <c r="A32" s="70"/>
      <c r="B32" s="245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71"/>
      <c r="R32" s="113"/>
      <c r="S32" s="113"/>
      <c r="T32" s="113"/>
    </row>
    <row r="33" spans="1:54" ht="13.5" thickBot="1">
      <c r="A33" s="70"/>
      <c r="B33" s="245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71"/>
      <c r="R33" s="113"/>
      <c r="S33" s="113"/>
      <c r="T33" s="113"/>
    </row>
    <row r="34" spans="1:54" ht="13.5" thickBot="1">
      <c r="A34" s="70">
        <f>+A30+1</f>
        <v>19</v>
      </c>
      <c r="B34" s="245" t="s">
        <v>81</v>
      </c>
      <c r="C34" s="71">
        <v>3637917454</v>
      </c>
      <c r="D34" s="71">
        <v>3636941892</v>
      </c>
      <c r="E34" s="71">
        <v>3651124514</v>
      </c>
      <c r="F34" s="71">
        <v>3623867762</v>
      </c>
      <c r="G34" s="71">
        <v>3656506372</v>
      </c>
      <c r="H34" s="71">
        <v>3681729751</v>
      </c>
      <c r="I34" s="71">
        <v>3601123505</v>
      </c>
      <c r="J34" s="71">
        <v>3655356385</v>
      </c>
      <c r="K34" s="71">
        <v>3706182091</v>
      </c>
      <c r="L34" s="71">
        <v>3708508200</v>
      </c>
      <c r="M34" s="71">
        <v>3726219151</v>
      </c>
      <c r="N34" s="71">
        <v>3733692606</v>
      </c>
      <c r="O34" s="71">
        <v>3694402390</v>
      </c>
      <c r="P34" s="71"/>
      <c r="Q34" s="246">
        <f>ROUND(((C34+O34)+(SUM(D34:N34)*2))/24,0)</f>
        <v>3670617679</v>
      </c>
      <c r="S34" s="243" t="s">
        <v>182</v>
      </c>
    </row>
    <row r="35" spans="1:54" ht="13.5" thickBot="1">
      <c r="A35" s="70">
        <f>+A34+1</f>
        <v>20</v>
      </c>
      <c r="B35" s="248" t="s">
        <v>32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32"/>
      <c r="S35" s="243"/>
      <c r="U35" s="237"/>
      <c r="V35" s="248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</row>
    <row r="36" spans="1:54" ht="13.5" thickBot="1">
      <c r="A36" s="70">
        <f>+A35+1</f>
        <v>21</v>
      </c>
      <c r="B36" s="248" t="s">
        <v>33</v>
      </c>
      <c r="C36" s="115">
        <v>-17244680</v>
      </c>
      <c r="D36" s="115">
        <v>-17244680</v>
      </c>
      <c r="E36" s="115">
        <v>-17244680</v>
      </c>
      <c r="F36" s="115">
        <v>-17141231</v>
      </c>
      <c r="G36" s="115">
        <v>-17141231</v>
      </c>
      <c r="H36" s="115">
        <v>-17141231</v>
      </c>
      <c r="I36" s="115">
        <v>-19215436</v>
      </c>
      <c r="J36" s="115">
        <v>-19215436</v>
      </c>
      <c r="K36" s="115">
        <v>-19215436</v>
      </c>
      <c r="L36" s="115">
        <v>-19347542</v>
      </c>
      <c r="M36" s="115">
        <v>-19347542</v>
      </c>
      <c r="N36" s="115">
        <v>-19347542</v>
      </c>
      <c r="O36" s="115">
        <v>-19201404</v>
      </c>
      <c r="P36" s="115"/>
      <c r="Q36" s="246">
        <f>ROUND(((C36+O36)+(SUM(D36:N36)*2))/24,0)</f>
        <v>-18318752</v>
      </c>
      <c r="R36" s="71"/>
      <c r="S36" s="243" t="s">
        <v>182</v>
      </c>
      <c r="T36" s="243">
        <v>216.1</v>
      </c>
      <c r="U36" s="237"/>
      <c r="V36" s="115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</row>
    <row r="37" spans="1:54" ht="13.5" thickBot="1">
      <c r="A37" s="70">
        <f>+A36+1</f>
        <v>22</v>
      </c>
      <c r="B37" s="248" t="s">
        <v>3</v>
      </c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R37" s="71"/>
      <c r="S37" s="243"/>
      <c r="T37" s="233"/>
      <c r="U37" s="233"/>
      <c r="V37" s="115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</row>
    <row r="38" spans="1:54" ht="13.5" thickBot="1">
      <c r="A38" s="70">
        <f t="shared" ref="A38:A44" si="16">+A37+1</f>
        <v>23</v>
      </c>
      <c r="B38" s="251" t="s">
        <v>34</v>
      </c>
      <c r="C38" s="133">
        <f t="shared" ref="C38:H38" si="17">SUM(C36:C37)</f>
        <v>-17244680</v>
      </c>
      <c r="D38" s="133">
        <f t="shared" si="17"/>
        <v>-17244680</v>
      </c>
      <c r="E38" s="133">
        <f t="shared" si="17"/>
        <v>-17244680</v>
      </c>
      <c r="F38" s="133">
        <f t="shared" si="17"/>
        <v>-17141231</v>
      </c>
      <c r="G38" s="133">
        <f t="shared" si="17"/>
        <v>-17141231</v>
      </c>
      <c r="H38" s="133">
        <f t="shared" si="17"/>
        <v>-17141231</v>
      </c>
      <c r="I38" s="133">
        <f>SUM(I36:I37)</f>
        <v>-19215436</v>
      </c>
      <c r="J38" s="133">
        <f>SUM(J36:J37)</f>
        <v>-19215436</v>
      </c>
      <c r="K38" s="133">
        <f>SUM(K36:K37)</f>
        <v>-19215436</v>
      </c>
      <c r="L38" s="133">
        <f>SUM(L36:L37)</f>
        <v>-19347542</v>
      </c>
      <c r="M38" s="133">
        <f>SUM(M36:M37)</f>
        <v>-19347542</v>
      </c>
      <c r="N38" s="133">
        <f t="shared" ref="N38:O38" si="18">SUM(N36:N37)</f>
        <v>-19347542</v>
      </c>
      <c r="O38" s="133">
        <f t="shared" si="18"/>
        <v>-19201404</v>
      </c>
      <c r="P38" s="71"/>
      <c r="Q38" s="246">
        <f>ROUND(((C38+O38)+(SUM(D38:N38)*2))/24,0)</f>
        <v>-18318752</v>
      </c>
      <c r="R38" s="71"/>
      <c r="S38" s="243"/>
      <c r="U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</row>
    <row r="39" spans="1:54" ht="13.5" thickBot="1">
      <c r="A39" s="70">
        <f t="shared" si="16"/>
        <v>24</v>
      </c>
      <c r="B39" s="252" t="s">
        <v>159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113"/>
      <c r="R39" s="71"/>
      <c r="S39" s="243"/>
      <c r="U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</row>
    <row r="40" spans="1:54" ht="13.5" thickBot="1">
      <c r="A40" s="70">
        <f t="shared" si="16"/>
        <v>25</v>
      </c>
      <c r="B40" s="253" t="s">
        <v>160</v>
      </c>
      <c r="C40" s="71">
        <f>-12345000-5849000</f>
        <v>-18194000</v>
      </c>
      <c r="D40" s="71">
        <f>-16462000-5849000</f>
        <v>-22311000</v>
      </c>
      <c r="E40" s="71">
        <f>-10114000-5849000</f>
        <v>-15963000</v>
      </c>
      <c r="F40" s="71">
        <f>-12330000-5849000</f>
        <v>-18179000</v>
      </c>
      <c r="G40" s="71">
        <f>-9650000-5849000</f>
        <v>-15499000</v>
      </c>
      <c r="H40" s="71">
        <f>-15988000-5849000</f>
        <v>-21837000</v>
      </c>
      <c r="I40" s="71">
        <f>-17330000-5849000</f>
        <v>-23179000</v>
      </c>
      <c r="J40" s="71">
        <f>-24121000-5849000</f>
        <v>-29970000</v>
      </c>
      <c r="K40" s="71">
        <f>-25029000-5849000</f>
        <v>-30878000</v>
      </c>
      <c r="L40" s="71">
        <f>-21535000+21485000</f>
        <v>-50000</v>
      </c>
      <c r="M40" s="71">
        <f>-22650000+21485000</f>
        <v>-1165000</v>
      </c>
      <c r="N40" s="71">
        <f>-15775000+21485000</f>
        <v>5710000</v>
      </c>
      <c r="O40" s="71">
        <f>-16075000+21485000</f>
        <v>5410000</v>
      </c>
      <c r="P40" s="71"/>
      <c r="Q40" s="246">
        <f>ROUND(((C40+O40)+(SUM(D40:N40)*2))/24,0)</f>
        <v>-14976083</v>
      </c>
      <c r="R40" s="71"/>
      <c r="S40" s="243" t="s">
        <v>181</v>
      </c>
      <c r="U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</row>
    <row r="41" spans="1:54" ht="13.5" thickBot="1">
      <c r="A41" s="70">
        <f t="shared" si="16"/>
        <v>26</v>
      </c>
      <c r="B41" s="253" t="s">
        <v>110</v>
      </c>
      <c r="C41" s="115">
        <v>-5197178</v>
      </c>
      <c r="D41" s="115">
        <v>-5170764</v>
      </c>
      <c r="E41" s="115">
        <v>-5144350</v>
      </c>
      <c r="F41" s="115">
        <v>-5117936</v>
      </c>
      <c r="G41" s="115">
        <v>-5091522</v>
      </c>
      <c r="H41" s="115">
        <v>-5065108</v>
      </c>
      <c r="I41" s="115">
        <v>-5038694</v>
      </c>
      <c r="J41" s="115">
        <v>-5006591</v>
      </c>
      <c r="K41" s="115">
        <v>-4974487</v>
      </c>
      <c r="L41" s="115">
        <v>-6027641</v>
      </c>
      <c r="M41" s="115">
        <f>-5995538</f>
        <v>-5995538</v>
      </c>
      <c r="N41" s="115">
        <v>-5963435</v>
      </c>
      <c r="O41" s="115">
        <v>-5931332</v>
      </c>
      <c r="P41" s="115"/>
      <c r="Q41" s="246">
        <f>ROUND(((C41+O41)+(SUM(D41:N41)*2))/24,0)</f>
        <v>-5346693</v>
      </c>
      <c r="R41" s="71"/>
      <c r="S41" s="243" t="s">
        <v>182</v>
      </c>
      <c r="U41" s="237"/>
      <c r="V41" s="234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</row>
    <row r="42" spans="1:54" ht="13.5" thickBot="1">
      <c r="A42" s="70">
        <f t="shared" si="16"/>
        <v>27</v>
      </c>
      <c r="B42" s="253" t="s">
        <v>111</v>
      </c>
      <c r="C42" s="115">
        <v>-134815888</v>
      </c>
      <c r="D42" s="115">
        <v>-134108384</v>
      </c>
      <c r="E42" s="115">
        <v>-133400880</v>
      </c>
      <c r="F42" s="115">
        <v>-133072635</v>
      </c>
      <c r="G42" s="115">
        <v>-132398635</v>
      </c>
      <c r="H42" s="115">
        <f>-131724635-157000</f>
        <v>-131881635</v>
      </c>
      <c r="I42" s="115">
        <v>-121865358</v>
      </c>
      <c r="J42" s="115">
        <v>-120657594</v>
      </c>
      <c r="K42" s="115">
        <f>-118004330-1445499</f>
        <v>-119449829</v>
      </c>
      <c r="L42" s="115">
        <v>-145250880</v>
      </c>
      <c r="M42" s="115">
        <f>-143459337-837409</f>
        <v>-144296746</v>
      </c>
      <c r="N42" s="115">
        <f>-142512676-829937</f>
        <v>-143342613</v>
      </c>
      <c r="O42" s="115">
        <f>-141566015-822464</f>
        <v>-142388479</v>
      </c>
      <c r="P42" s="115"/>
      <c r="Q42" s="246">
        <f>ROUND(((C42+O42)+(SUM(D42:N42)*2))/24,0)</f>
        <v>-133193948</v>
      </c>
      <c r="R42" s="71"/>
      <c r="S42" s="243" t="s">
        <v>182</v>
      </c>
      <c r="U42" s="237"/>
      <c r="V42" s="234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</row>
    <row r="43" spans="1:54" ht="13.5" thickBot="1">
      <c r="A43" s="70">
        <f t="shared" si="16"/>
        <v>28</v>
      </c>
      <c r="B43" s="254" t="s">
        <v>112</v>
      </c>
      <c r="C43" s="86">
        <f t="shared" ref="C43:H43" si="19">SUM(C40:C42)</f>
        <v>-158207066</v>
      </c>
      <c r="D43" s="86">
        <f t="shared" si="19"/>
        <v>-161590148</v>
      </c>
      <c r="E43" s="86">
        <f t="shared" si="19"/>
        <v>-154508230</v>
      </c>
      <c r="F43" s="86">
        <f t="shared" si="19"/>
        <v>-156369571</v>
      </c>
      <c r="G43" s="86">
        <f t="shared" si="19"/>
        <v>-152989157</v>
      </c>
      <c r="H43" s="86">
        <f t="shared" si="19"/>
        <v>-158783743</v>
      </c>
      <c r="I43" s="86">
        <f>SUM(I40:I42)</f>
        <v>-150083052</v>
      </c>
      <c r="J43" s="86">
        <f>SUM(J40:J42)</f>
        <v>-155634185</v>
      </c>
      <c r="K43" s="86">
        <f>SUM(K40:K42)</f>
        <v>-155302316</v>
      </c>
      <c r="L43" s="86">
        <f>SUM(L40:L42)</f>
        <v>-151328521</v>
      </c>
      <c r="M43" s="86">
        <f t="shared" ref="M43:O43" si="20">SUM(M40:M42)</f>
        <v>-151457284</v>
      </c>
      <c r="N43" s="86">
        <f t="shared" si="20"/>
        <v>-143596048</v>
      </c>
      <c r="O43" s="86">
        <f t="shared" si="20"/>
        <v>-142909811</v>
      </c>
      <c r="P43" s="115"/>
      <c r="Q43" s="246">
        <f>ROUND(((C43+O43)+(SUM(D43:N43)*2))/24,0)</f>
        <v>-153516724</v>
      </c>
      <c r="R43" s="71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</row>
    <row r="44" spans="1:54" ht="13.5" thickBot="1">
      <c r="A44" s="70">
        <f t="shared" si="16"/>
        <v>29</v>
      </c>
      <c r="B44" s="245" t="s">
        <v>95</v>
      </c>
      <c r="C44" s="217">
        <f t="shared" ref="C44:M44" si="21">+C34-C38-C43</f>
        <v>3813369200</v>
      </c>
      <c r="D44" s="217">
        <f t="shared" si="21"/>
        <v>3815776720</v>
      </c>
      <c r="E44" s="217">
        <f t="shared" si="21"/>
        <v>3822877424</v>
      </c>
      <c r="F44" s="217">
        <f t="shared" si="21"/>
        <v>3797378564</v>
      </c>
      <c r="G44" s="217">
        <f t="shared" si="21"/>
        <v>3826636760</v>
      </c>
      <c r="H44" s="217">
        <f t="shared" si="21"/>
        <v>3857654725</v>
      </c>
      <c r="I44" s="217">
        <f t="shared" si="21"/>
        <v>3770421993</v>
      </c>
      <c r="J44" s="217">
        <f t="shared" si="21"/>
        <v>3830206006</v>
      </c>
      <c r="K44" s="217">
        <f t="shared" si="21"/>
        <v>3880699843</v>
      </c>
      <c r="L44" s="217">
        <f t="shared" si="21"/>
        <v>3879184263</v>
      </c>
      <c r="M44" s="217">
        <f t="shared" si="21"/>
        <v>3897023977</v>
      </c>
      <c r="N44" s="217">
        <f t="shared" ref="N44" si="22">+N34-N38-N43</f>
        <v>3896636196</v>
      </c>
      <c r="O44" s="217">
        <f>+O34-O38-O43</f>
        <v>3856513605</v>
      </c>
      <c r="P44" s="71"/>
      <c r="Q44" s="246">
        <f>ROUND(((C44+O44)+(SUM(D44:N44)*2))/24,0)</f>
        <v>3842453156</v>
      </c>
      <c r="R44" s="71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</row>
    <row r="45" spans="1:54" ht="13.5" thickTop="1"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R45" s="71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</row>
    <row r="46" spans="1:54"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R46" s="71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</row>
    <row r="47" spans="1:54"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R47" s="71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</row>
    <row r="48" spans="1:54"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R48" s="71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</row>
    <row r="49" spans="3:54">
      <c r="C49" s="235"/>
      <c r="D49" s="23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R49" s="71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</row>
    <row r="50" spans="3:54">
      <c r="C50" s="235"/>
      <c r="D50" s="235"/>
      <c r="E50" s="115"/>
      <c r="F50" s="115"/>
      <c r="G50" s="115"/>
      <c r="H50" s="115"/>
      <c r="I50" s="115"/>
      <c r="J50" s="115"/>
      <c r="R50" s="71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</row>
    <row r="51" spans="3:54">
      <c r="C51" s="235"/>
      <c r="D51" s="235"/>
      <c r="E51" s="236"/>
      <c r="F51" s="236"/>
      <c r="G51" s="236"/>
      <c r="H51" s="115"/>
      <c r="I51" s="115"/>
      <c r="J51" s="115"/>
      <c r="R51" s="71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</row>
    <row r="52" spans="3:54">
      <c r="C52" s="235"/>
      <c r="D52" s="235"/>
      <c r="E52" s="71"/>
      <c r="F52" s="71"/>
      <c r="G52" s="71"/>
      <c r="H52" s="71"/>
      <c r="I52" s="71"/>
      <c r="J52" s="71"/>
      <c r="R52" s="71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</row>
    <row r="53" spans="3:54">
      <c r="C53" s="71"/>
      <c r="D53" s="71"/>
      <c r="E53" s="71"/>
      <c r="F53" s="71"/>
      <c r="G53" s="71"/>
      <c r="H53" s="71"/>
      <c r="I53" s="71"/>
      <c r="J53" s="71"/>
      <c r="R53" s="71"/>
    </row>
    <row r="54" spans="3:54">
      <c r="C54" s="237"/>
      <c r="D54" s="237"/>
      <c r="E54" s="237"/>
      <c r="F54" s="237"/>
      <c r="G54" s="237"/>
      <c r="H54" s="237"/>
      <c r="I54" s="237"/>
      <c r="J54" s="237"/>
      <c r="R54" s="71"/>
    </row>
    <row r="55" spans="3:54">
      <c r="C55" s="238"/>
      <c r="D55" s="238"/>
      <c r="E55" s="238"/>
      <c r="F55" s="238"/>
      <c r="G55" s="238"/>
      <c r="H55" s="238"/>
      <c r="I55" s="238"/>
      <c r="J55" s="238"/>
      <c r="R55" s="71"/>
    </row>
    <row r="56" spans="3:54">
      <c r="R56" s="71"/>
    </row>
    <row r="57" spans="3:54">
      <c r="R57" s="71"/>
    </row>
    <row r="58" spans="3:54">
      <c r="R58" s="71"/>
    </row>
    <row r="59" spans="3:54">
      <c r="R59" s="71"/>
    </row>
    <row r="60" spans="3:54">
      <c r="R60" s="71"/>
    </row>
    <row r="61" spans="3:54">
      <c r="R61" s="71"/>
    </row>
    <row r="62" spans="3:54">
      <c r="R62" s="71"/>
    </row>
    <row r="63" spans="3:54">
      <c r="R63" s="71"/>
    </row>
  </sheetData>
  <mergeCells count="2">
    <mergeCell ref="B4:Q4"/>
    <mergeCell ref="B3:Q3"/>
  </mergeCells>
  <phoneticPr fontId="19" type="noConversion"/>
  <printOptions horizontalCentered="1"/>
  <pageMargins left="0.2" right="0.2" top="0.28000000000000003" bottom="0.4" header="0.26" footer="0.22"/>
  <pageSetup scale="66" orientation="landscape" r:id="rId1"/>
  <headerFooter alignWithMargins="0">
    <oddFooter>&amp;C&amp;A&amp;R&amp;8&amp;F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/>
  </sheetViews>
  <sheetFormatPr defaultColWidth="11.5" defaultRowHeight="12.75"/>
  <cols>
    <col min="1" max="1" width="8.33203125" style="257" customWidth="1"/>
    <col min="2" max="2" width="46" style="257" customWidth="1"/>
    <col min="3" max="3" width="17.1640625" style="257" customWidth="1"/>
    <col min="4" max="4" width="11.5" style="257" customWidth="1"/>
    <col min="5" max="5" width="14.33203125" style="257" customWidth="1"/>
    <col min="6" max="6" width="13.5" style="257" customWidth="1"/>
    <col min="7" max="7" width="12.83203125" style="257" customWidth="1"/>
    <col min="8" max="8" width="11.83203125" style="257" customWidth="1"/>
    <col min="9" max="253" width="8.83203125" style="257" customWidth="1"/>
    <col min="254" max="16384" width="11.5" style="257"/>
  </cols>
  <sheetData>
    <row r="1" spans="1:8">
      <c r="A1" s="255" t="s">
        <v>2</v>
      </c>
      <c r="B1" s="256"/>
      <c r="C1" s="256"/>
      <c r="D1" s="256"/>
      <c r="E1" s="256"/>
      <c r="F1" s="256"/>
      <c r="G1" s="256"/>
      <c r="H1" s="256"/>
    </row>
    <row r="2" spans="1:8" ht="15.75">
      <c r="A2" s="258"/>
      <c r="B2" s="136" t="s">
        <v>25</v>
      </c>
      <c r="C2" s="72"/>
      <c r="D2" s="72"/>
      <c r="E2" s="72"/>
      <c r="F2" s="72"/>
    </row>
    <row r="3" spans="1:8" ht="15.75">
      <c r="A3" s="258"/>
      <c r="B3" s="136" t="s">
        <v>37</v>
      </c>
      <c r="C3" s="72"/>
      <c r="D3" s="72"/>
      <c r="E3" s="72"/>
      <c r="F3" s="72"/>
    </row>
    <row r="4" spans="1:8" ht="15.75" customHeight="1">
      <c r="B4" s="137" t="s">
        <v>205</v>
      </c>
      <c r="C4" s="73"/>
      <c r="D4" s="73"/>
      <c r="E4" s="73"/>
      <c r="F4" s="73"/>
    </row>
    <row r="5" spans="1:8" ht="12.75" customHeight="1">
      <c r="B5" s="259"/>
      <c r="C5" s="259"/>
      <c r="D5" s="260"/>
      <c r="E5" s="260"/>
      <c r="F5" s="260"/>
    </row>
    <row r="6" spans="1:8">
      <c r="A6" s="255" t="s">
        <v>2</v>
      </c>
    </row>
    <row r="7" spans="1:8">
      <c r="A7" s="255" t="s">
        <v>2</v>
      </c>
      <c r="C7" s="257" t="s">
        <v>2</v>
      </c>
    </row>
    <row r="8" spans="1:8">
      <c r="A8" s="255">
        <v>1</v>
      </c>
      <c r="B8" s="261" t="s">
        <v>5</v>
      </c>
      <c r="C8" s="261" t="s">
        <v>27</v>
      </c>
      <c r="D8" s="261" t="s">
        <v>52</v>
      </c>
      <c r="E8" s="261" t="s">
        <v>64</v>
      </c>
      <c r="F8" s="261" t="s">
        <v>65</v>
      </c>
      <c r="G8" s="262"/>
    </row>
    <row r="9" spans="1:8">
      <c r="A9" s="255">
        <f t="shared" ref="A9:A28" si="0">A8+1</f>
        <v>2</v>
      </c>
      <c r="B9" s="263"/>
      <c r="C9" s="261"/>
      <c r="D9" s="263"/>
      <c r="E9" s="263"/>
      <c r="F9" s="263"/>
      <c r="G9" s="262"/>
    </row>
    <row r="10" spans="1:8">
      <c r="A10" s="255">
        <f t="shared" si="0"/>
        <v>3</v>
      </c>
      <c r="B10" s="263"/>
      <c r="C10" s="261" t="s">
        <v>53</v>
      </c>
      <c r="D10" s="261" t="s">
        <v>38</v>
      </c>
      <c r="E10" s="261" t="s">
        <v>18</v>
      </c>
      <c r="F10" s="261" t="s">
        <v>11</v>
      </c>
      <c r="G10" s="262"/>
    </row>
    <row r="11" spans="1:8">
      <c r="A11" s="255">
        <f t="shared" si="0"/>
        <v>4</v>
      </c>
      <c r="B11" s="264" t="s">
        <v>9</v>
      </c>
      <c r="C11" s="264" t="s">
        <v>78</v>
      </c>
      <c r="D11" s="264" t="s">
        <v>19</v>
      </c>
      <c r="E11" s="264" t="s">
        <v>20</v>
      </c>
      <c r="F11" s="264" t="s">
        <v>19</v>
      </c>
      <c r="G11" s="262"/>
    </row>
    <row r="12" spans="1:8">
      <c r="A12" s="255">
        <f t="shared" si="0"/>
        <v>5</v>
      </c>
      <c r="B12" s="265"/>
      <c r="C12" s="266"/>
      <c r="D12" s="266"/>
      <c r="E12" s="267"/>
      <c r="F12" s="266"/>
      <c r="G12" s="262"/>
    </row>
    <row r="13" spans="1:8">
      <c r="A13" s="255">
        <f t="shared" si="0"/>
        <v>6</v>
      </c>
      <c r="B13" s="265" t="s">
        <v>36</v>
      </c>
      <c r="C13" s="144">
        <f>'Pg 4 STD OS &amp; Comm Fees'!C11</f>
        <v>180400262.97999999</v>
      </c>
      <c r="D13" s="268">
        <f>IF(E13=0,"NA",(E13/C13))</f>
        <v>2.0376301726386763E-2</v>
      </c>
      <c r="E13" s="144">
        <f>'Pg 4 STD OS &amp; Comm Fees'!D11</f>
        <v>3675890.19</v>
      </c>
      <c r="F13" s="269"/>
      <c r="G13" s="270"/>
    </row>
    <row r="14" spans="1:8">
      <c r="A14" s="255">
        <f t="shared" si="0"/>
        <v>7</v>
      </c>
      <c r="B14" s="262" t="s">
        <v>107</v>
      </c>
      <c r="C14" s="271">
        <f>'Pg 4 STD OS &amp; Comm Fees'!C12</f>
        <v>0</v>
      </c>
      <c r="D14" s="268" t="str">
        <f>IF(E14=0,"NA",(E14/C14))</f>
        <v>NA</v>
      </c>
      <c r="E14" s="144">
        <f>'Pg 4 STD OS &amp; Comm Fees'!D12</f>
        <v>0</v>
      </c>
      <c r="F14" s="269"/>
      <c r="G14" s="270"/>
    </row>
    <row r="15" spans="1:8">
      <c r="A15" s="255">
        <v>10</v>
      </c>
      <c r="B15" s="262" t="s">
        <v>171</v>
      </c>
      <c r="C15" s="271">
        <f>'Pg 4 STD OS &amp; Comm Fees'!C13</f>
        <v>0</v>
      </c>
      <c r="D15" s="268" t="str">
        <f>IF(E15=0,"NA",(E15/C15))</f>
        <v>NA</v>
      </c>
      <c r="E15" s="144">
        <f>'Pg 4 STD OS &amp; Comm Fees'!D13</f>
        <v>0</v>
      </c>
      <c r="F15" s="269"/>
      <c r="G15" s="270"/>
    </row>
    <row r="16" spans="1:8">
      <c r="A16" s="255">
        <f>A15+1</f>
        <v>11</v>
      </c>
      <c r="B16" s="262" t="s">
        <v>201</v>
      </c>
      <c r="C16" s="271">
        <f>'Pg 4 STD OS &amp; Comm Fees'!C14</f>
        <v>767123.29</v>
      </c>
      <c r="D16" s="268">
        <f>IF(E16=0,"NA",(E16/C16))</f>
        <v>3.0435733479034378E-2</v>
      </c>
      <c r="E16" s="144">
        <f>'Pg 4 STD OS &amp; Comm Fees'!D14</f>
        <v>23347.96</v>
      </c>
    </row>
    <row r="17" spans="1:7">
      <c r="A17" s="255">
        <f t="shared" si="0"/>
        <v>12</v>
      </c>
      <c r="B17" s="272" t="s">
        <v>146</v>
      </c>
      <c r="C17" s="273">
        <f>SUM(C13:C16)</f>
        <v>181167386.26999998</v>
      </c>
      <c r="D17" s="274">
        <f>IF(E17=0,"NA",(E17/C17))</f>
        <v>2.041889672397712E-2</v>
      </c>
      <c r="E17" s="275">
        <f>SUM(E13:E16)</f>
        <v>3699238.15</v>
      </c>
      <c r="F17" s="269">
        <f>E17/C23</f>
        <v>2.041889672397712E-2</v>
      </c>
      <c r="G17" s="270"/>
    </row>
    <row r="18" spans="1:7">
      <c r="A18" s="255">
        <f t="shared" si="0"/>
        <v>13</v>
      </c>
      <c r="B18" s="262"/>
      <c r="C18" s="276"/>
      <c r="D18" s="277"/>
      <c r="E18" s="278"/>
      <c r="F18" s="262"/>
      <c r="G18" s="270"/>
    </row>
    <row r="19" spans="1:7">
      <c r="A19" s="255">
        <f t="shared" si="0"/>
        <v>14</v>
      </c>
      <c r="B19" s="265" t="s">
        <v>54</v>
      </c>
      <c r="C19" s="279"/>
      <c r="D19" s="280"/>
      <c r="E19" s="144">
        <f>'Pg 4 STD OS &amp; Comm Fees'!F16</f>
        <v>1365585.8449388887</v>
      </c>
      <c r="F19" s="281">
        <f>E19/C23</f>
        <v>7.5377024146261575E-3</v>
      </c>
      <c r="G19" s="282" t="s">
        <v>77</v>
      </c>
    </row>
    <row r="20" spans="1:7">
      <c r="A20" s="255">
        <f t="shared" si="0"/>
        <v>15</v>
      </c>
      <c r="B20" s="265"/>
      <c r="C20" s="283"/>
      <c r="D20" s="284"/>
      <c r="E20" s="32"/>
      <c r="F20" s="269"/>
      <c r="G20" s="270"/>
    </row>
    <row r="21" spans="1:7">
      <c r="A21" s="255">
        <f t="shared" si="0"/>
        <v>16</v>
      </c>
      <c r="B21" s="265" t="s">
        <v>55</v>
      </c>
      <c r="C21" s="283"/>
      <c r="D21" s="284"/>
      <c r="E21" s="144">
        <f>-'Pg 5 STD Amort'!I27</f>
        <v>1158314.3800000001</v>
      </c>
      <c r="F21" s="281">
        <f>E21/C23</f>
        <v>6.3936142362495882E-3</v>
      </c>
      <c r="G21" s="282" t="s">
        <v>90</v>
      </c>
    </row>
    <row r="22" spans="1:7" ht="13.5" thickBot="1">
      <c r="A22" s="255">
        <f t="shared" si="0"/>
        <v>17</v>
      </c>
      <c r="B22" s="262"/>
      <c r="C22" s="278"/>
      <c r="D22" s="144"/>
      <c r="E22" s="32"/>
      <c r="G22" s="262"/>
    </row>
    <row r="23" spans="1:7" ht="13.5" thickBot="1">
      <c r="A23" s="255">
        <f t="shared" si="0"/>
        <v>18</v>
      </c>
      <c r="B23" s="285" t="s">
        <v>39</v>
      </c>
      <c r="C23" s="286">
        <f>C17</f>
        <v>181167386.26999998</v>
      </c>
      <c r="D23" s="287"/>
      <c r="E23" s="286">
        <f>SUM(E17:E22)</f>
        <v>6223138.3749388885</v>
      </c>
      <c r="F23" s="288">
        <f>E23/C23</f>
        <v>3.4350213374852862E-2</v>
      </c>
      <c r="G23" s="270"/>
    </row>
    <row r="24" spans="1:7">
      <c r="A24" s="255">
        <f t="shared" si="0"/>
        <v>19</v>
      </c>
      <c r="B24" s="262"/>
      <c r="C24" s="262"/>
      <c r="D24" s="262"/>
      <c r="E24" s="262"/>
      <c r="F24" s="262"/>
      <c r="G24" s="270"/>
    </row>
    <row r="25" spans="1:7">
      <c r="A25" s="255">
        <f t="shared" si="0"/>
        <v>20</v>
      </c>
      <c r="E25" s="289"/>
      <c r="F25" s="290"/>
      <c r="G25" s="289"/>
    </row>
    <row r="26" spans="1:7">
      <c r="A26" s="255">
        <f t="shared" si="0"/>
        <v>21</v>
      </c>
      <c r="B26" s="291" t="s">
        <v>163</v>
      </c>
      <c r="C26" s="292"/>
      <c r="D26" s="292"/>
      <c r="E26" s="292"/>
      <c r="F26" s="265"/>
      <c r="G26" s="289"/>
    </row>
    <row r="27" spans="1:7">
      <c r="A27" s="255">
        <f t="shared" si="0"/>
        <v>22</v>
      </c>
      <c r="B27" s="291" t="s">
        <v>139</v>
      </c>
      <c r="C27" s="292"/>
      <c r="D27" s="292"/>
      <c r="E27" s="292"/>
      <c r="F27" s="265"/>
      <c r="G27" s="289"/>
    </row>
    <row r="28" spans="1:7">
      <c r="A28" s="255">
        <f t="shared" si="0"/>
        <v>23</v>
      </c>
      <c r="B28" s="291" t="s">
        <v>162</v>
      </c>
      <c r="C28" s="265"/>
      <c r="D28" s="265"/>
      <c r="E28" s="265"/>
      <c r="F28" s="265"/>
      <c r="G28" s="289"/>
    </row>
    <row r="29" spans="1:7">
      <c r="A29" s="255"/>
      <c r="B29" s="291"/>
    </row>
    <row r="30" spans="1:7">
      <c r="A30" s="255"/>
      <c r="B30" s="293"/>
    </row>
    <row r="31" spans="1:7">
      <c r="A31" s="255"/>
      <c r="B31" s="293"/>
    </row>
    <row r="32" spans="1:7">
      <c r="A32" s="255" t="s">
        <v>2</v>
      </c>
    </row>
    <row r="33" spans="1:7" ht="12.75" customHeight="1">
      <c r="A33" s="294"/>
    </row>
    <row r="34" spans="1:7">
      <c r="A34" s="255" t="s">
        <v>2</v>
      </c>
      <c r="E34" s="289"/>
      <c r="F34" s="290"/>
      <c r="G34" s="289"/>
    </row>
    <row r="35" spans="1:7">
      <c r="A35" s="255" t="s">
        <v>2</v>
      </c>
      <c r="E35" s="289"/>
      <c r="F35" s="290"/>
      <c r="G35" s="289"/>
    </row>
    <row r="36" spans="1:7">
      <c r="E36" s="289"/>
      <c r="F36" s="290"/>
      <c r="G36" s="289"/>
    </row>
    <row r="40" spans="1:7">
      <c r="D40" s="295"/>
      <c r="E40" s="289"/>
      <c r="F40" s="290"/>
      <c r="G40" s="289"/>
    </row>
    <row r="41" spans="1:7">
      <c r="D41" s="295"/>
      <c r="E41" s="289"/>
      <c r="F41" s="290"/>
      <c r="G41" s="289"/>
    </row>
    <row r="42" spans="1:7">
      <c r="D42" s="295"/>
      <c r="E42" s="289"/>
      <c r="F42" s="290"/>
      <c r="G42" s="289"/>
    </row>
    <row r="43" spans="1:7">
      <c r="D43" s="295"/>
      <c r="E43" s="289"/>
      <c r="F43" s="290"/>
      <c r="G43" s="289"/>
    </row>
    <row r="44" spans="1:7">
      <c r="E44" s="289"/>
    </row>
    <row r="45" spans="1:7">
      <c r="E45" s="289"/>
      <c r="G45" s="289"/>
    </row>
    <row r="54" spans="2:2">
      <c r="B54" s="295"/>
    </row>
    <row r="55" spans="2:2">
      <c r="B55" s="293"/>
    </row>
    <row r="72" spans="6:6">
      <c r="F72" s="290"/>
    </row>
    <row r="83" spans="4:4">
      <c r="D83" s="295"/>
    </row>
    <row r="85" spans="4:4">
      <c r="D85" s="295"/>
    </row>
    <row r="88" spans="4:4">
      <c r="D88" s="295"/>
    </row>
    <row r="89" spans="4:4">
      <c r="D89" s="295"/>
    </row>
    <row r="94" spans="4:4">
      <c r="D94" s="295"/>
    </row>
    <row r="95" spans="4:4">
      <c r="D95" s="295"/>
    </row>
    <row r="102" spans="3:3">
      <c r="C102" s="296"/>
    </row>
    <row r="103" spans="3:3">
      <c r="C103" s="297"/>
    </row>
    <row r="105" spans="3:3">
      <c r="C105" s="296"/>
    </row>
    <row r="106" spans="3:3">
      <c r="C106" s="290"/>
    </row>
  </sheetData>
  <phoneticPr fontId="19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6"/>
  <sheetViews>
    <sheetView zoomScaleNormal="100" workbookViewId="0">
      <selection activeCell="M16" sqref="M16"/>
    </sheetView>
  </sheetViews>
  <sheetFormatPr defaultColWidth="9.1640625" defaultRowHeight="11.25"/>
  <cols>
    <col min="1" max="1" width="5.6640625" style="298" bestFit="1" customWidth="1"/>
    <col min="2" max="2" width="24.6640625" style="298" customWidth="1"/>
    <col min="3" max="3" width="16.1640625" style="298" customWidth="1"/>
    <col min="4" max="4" width="15.1640625" style="298" customWidth="1"/>
    <col min="5" max="5" width="11.83203125" style="298" customWidth="1"/>
    <col min="6" max="6" width="17.1640625" style="298" customWidth="1"/>
    <col min="7" max="7" width="15" style="298" customWidth="1"/>
    <col min="8" max="8" width="14.83203125" style="298" bestFit="1" customWidth="1"/>
    <col min="9" max="9" width="12.83203125" style="298" customWidth="1"/>
    <col min="10" max="10" width="12.1640625" style="298" bestFit="1" customWidth="1"/>
    <col min="11" max="11" width="5.83203125" style="298" customWidth="1"/>
    <col min="12" max="12" width="8.5" style="298" customWidth="1"/>
    <col min="13" max="13" width="10" style="298" customWidth="1"/>
    <col min="14" max="14" width="11.1640625" style="298" customWidth="1"/>
    <col min="15" max="15" width="11.5" style="298" customWidth="1"/>
    <col min="16" max="16384" width="9.1640625" style="298"/>
  </cols>
  <sheetData>
    <row r="1" spans="1:15" ht="12">
      <c r="A1" s="12"/>
      <c r="B1" s="13" t="s">
        <v>46</v>
      </c>
      <c r="C1" s="13"/>
      <c r="D1" s="12"/>
      <c r="E1" s="12"/>
      <c r="F1" s="12"/>
      <c r="G1" s="13"/>
      <c r="H1" s="13"/>
      <c r="I1" s="13"/>
      <c r="J1" s="13"/>
      <c r="K1" s="12"/>
      <c r="L1" s="12"/>
      <c r="M1" s="12"/>
      <c r="N1" s="12"/>
      <c r="O1" s="12"/>
    </row>
    <row r="2" spans="1:15" ht="12">
      <c r="A2" s="12"/>
      <c r="B2" s="13" t="s">
        <v>47</v>
      </c>
      <c r="C2" s="13"/>
      <c r="D2" s="12"/>
      <c r="E2" s="12"/>
      <c r="F2" s="12"/>
      <c r="G2" s="13"/>
      <c r="H2" s="13"/>
      <c r="I2" s="13"/>
      <c r="J2" s="13"/>
      <c r="K2" s="14"/>
      <c r="L2" s="12"/>
      <c r="N2" s="12"/>
      <c r="O2" s="12"/>
    </row>
    <row r="3" spans="1:15" ht="12.75">
      <c r="A3" s="12"/>
      <c r="B3" s="108" t="str">
        <f>'Pg 3 STD Cost Rate'!B4</f>
        <v>Twelve Months Ended June 30, 2018</v>
      </c>
      <c r="C3" s="100"/>
      <c r="D3" s="101"/>
      <c r="E3" s="101"/>
      <c r="F3" s="101"/>
      <c r="G3" s="102"/>
      <c r="H3" s="102"/>
      <c r="I3" s="102"/>
      <c r="J3" s="102"/>
      <c r="K3" s="12"/>
      <c r="L3" s="12"/>
      <c r="N3" s="12"/>
      <c r="O3" s="12"/>
    </row>
    <row r="4" spans="1:15" ht="12">
      <c r="A4" s="12"/>
      <c r="B4" s="13"/>
      <c r="C4" s="20"/>
      <c r="D4" s="12"/>
      <c r="E4" s="12"/>
      <c r="F4" s="12"/>
      <c r="G4" s="12"/>
      <c r="H4" s="12"/>
      <c r="I4" s="12"/>
      <c r="J4" s="12"/>
      <c r="K4" s="12"/>
      <c r="L4" s="12"/>
      <c r="N4" s="12"/>
      <c r="O4" s="12"/>
    </row>
    <row r="5" spans="1:15" ht="13.5" thickBot="1">
      <c r="A5" s="299">
        <v>1</v>
      </c>
      <c r="B5" s="145" t="s">
        <v>5</v>
      </c>
      <c r="C5" s="145" t="s">
        <v>27</v>
      </c>
      <c r="D5" s="145" t="s">
        <v>52</v>
      </c>
      <c r="E5" s="145" t="s">
        <v>64</v>
      </c>
      <c r="F5" s="145" t="s">
        <v>65</v>
      </c>
      <c r="G5" s="145" t="s">
        <v>66</v>
      </c>
      <c r="H5" s="145" t="s">
        <v>67</v>
      </c>
      <c r="I5" s="145" t="s">
        <v>68</v>
      </c>
      <c r="J5" s="145" t="s">
        <v>69</v>
      </c>
      <c r="K5" s="31"/>
      <c r="L5" s="31"/>
      <c r="N5" s="12"/>
      <c r="O5" s="12"/>
    </row>
    <row r="6" spans="1:15" ht="12">
      <c r="A6" s="299">
        <f>+A5+1</f>
        <v>2</v>
      </c>
      <c r="B6" s="146" t="s">
        <v>113</v>
      </c>
      <c r="C6" s="147"/>
      <c r="D6" s="147"/>
      <c r="E6" s="147"/>
      <c r="F6" s="147"/>
      <c r="G6" s="147"/>
      <c r="H6" s="300"/>
      <c r="I6" s="300"/>
      <c r="J6" s="300"/>
      <c r="K6" s="301"/>
      <c r="M6" s="12"/>
      <c r="N6" s="12"/>
      <c r="O6" s="12"/>
    </row>
    <row r="7" spans="1:15" ht="12">
      <c r="A7" s="299">
        <f>+A6+1</f>
        <v>3</v>
      </c>
      <c r="B7" s="75"/>
      <c r="C7" s="76"/>
      <c r="D7" s="76"/>
      <c r="E7" s="76"/>
      <c r="F7" s="76" t="s">
        <v>2</v>
      </c>
      <c r="G7" s="15" t="s">
        <v>2</v>
      </c>
      <c r="H7" s="15"/>
      <c r="I7" s="15"/>
      <c r="J7" s="15"/>
      <c r="K7" s="148" t="s">
        <v>2</v>
      </c>
      <c r="L7" s="12"/>
      <c r="M7" s="12"/>
      <c r="N7" s="12"/>
      <c r="O7" s="12"/>
    </row>
    <row r="8" spans="1:15" ht="12">
      <c r="A8" s="299">
        <f>A7+1</f>
        <v>4</v>
      </c>
      <c r="B8" s="75"/>
      <c r="C8" s="79" t="s">
        <v>50</v>
      </c>
      <c r="D8" s="79" t="s">
        <v>106</v>
      </c>
      <c r="E8" s="79" t="s">
        <v>50</v>
      </c>
      <c r="F8" s="79" t="s">
        <v>123</v>
      </c>
      <c r="G8" s="15"/>
      <c r="H8" s="15"/>
      <c r="I8" s="15"/>
      <c r="J8" s="15"/>
      <c r="K8" s="148"/>
      <c r="L8" s="74"/>
      <c r="M8" s="12"/>
      <c r="N8" s="12"/>
      <c r="O8" s="12"/>
    </row>
    <row r="9" spans="1:15" ht="12">
      <c r="A9" s="299">
        <f>A8+1</f>
        <v>5</v>
      </c>
      <c r="B9" s="75"/>
      <c r="C9" s="80" t="s">
        <v>141</v>
      </c>
      <c r="D9" s="80" t="s">
        <v>38</v>
      </c>
      <c r="E9" s="80" t="s">
        <v>91</v>
      </c>
      <c r="F9" s="80" t="s">
        <v>142</v>
      </c>
      <c r="G9" s="17"/>
      <c r="H9" s="17"/>
      <c r="I9" s="15"/>
      <c r="J9" s="15"/>
      <c r="K9" s="148"/>
      <c r="L9" s="74"/>
      <c r="M9" s="92"/>
      <c r="N9" s="12"/>
      <c r="O9" s="12"/>
    </row>
    <row r="10" spans="1:15" ht="12">
      <c r="A10" s="299">
        <f>A9+1</f>
        <v>6</v>
      </c>
      <c r="B10" s="75"/>
      <c r="C10" s="302"/>
      <c r="D10" s="302"/>
      <c r="E10" s="302"/>
      <c r="F10" s="303"/>
      <c r="G10" s="15"/>
      <c r="H10" s="15"/>
      <c r="I10" s="15"/>
      <c r="J10" s="15"/>
      <c r="K10" s="148"/>
      <c r="L10" s="12"/>
    </row>
    <row r="11" spans="1:15" ht="12">
      <c r="A11" s="299">
        <f t="shared" ref="A11:A36" si="0">A10+1</f>
        <v>7</v>
      </c>
      <c r="B11" s="75" t="s">
        <v>36</v>
      </c>
      <c r="C11" s="103">
        <v>180400262.97999999</v>
      </c>
      <c r="D11" s="103">
        <v>3675890.19</v>
      </c>
      <c r="E11" s="110">
        <f>IF(C11=0,"NA",(D11/C11))</f>
        <v>2.0376301726386763E-2</v>
      </c>
      <c r="F11" s="177">
        <v>0</v>
      </c>
      <c r="G11" s="304"/>
      <c r="I11" s="15"/>
      <c r="J11" s="15"/>
      <c r="K11" s="148"/>
      <c r="L11" s="12"/>
    </row>
    <row r="12" spans="1:15" ht="12">
      <c r="A12" s="299">
        <f t="shared" si="0"/>
        <v>8</v>
      </c>
      <c r="B12" s="75" t="s">
        <v>107</v>
      </c>
      <c r="C12" s="103">
        <v>0</v>
      </c>
      <c r="D12" s="103">
        <v>0</v>
      </c>
      <c r="E12" s="110" t="str">
        <f>IF(C12=0,"NA",(D12/C12))</f>
        <v>NA</v>
      </c>
      <c r="F12" s="177">
        <v>0</v>
      </c>
      <c r="G12" s="304"/>
      <c r="H12" s="178"/>
      <c r="I12" s="15"/>
      <c r="J12" s="15"/>
      <c r="K12" s="148"/>
      <c r="L12" s="12"/>
    </row>
    <row r="13" spans="1:15" ht="12">
      <c r="A13" s="299">
        <v>9</v>
      </c>
      <c r="B13" s="75" t="s">
        <v>171</v>
      </c>
      <c r="C13" s="103">
        <v>0</v>
      </c>
      <c r="D13" s="103">
        <v>0</v>
      </c>
      <c r="E13" s="110" t="str">
        <f>IF(C13=0,"NA",(D13/C13))</f>
        <v>NA</v>
      </c>
      <c r="F13" s="78">
        <f>J26</f>
        <v>366527.77779999998</v>
      </c>
      <c r="G13" s="304"/>
      <c r="H13" s="305"/>
      <c r="I13" s="15"/>
      <c r="J13" s="15"/>
      <c r="K13" s="148"/>
      <c r="L13" s="12"/>
    </row>
    <row r="14" spans="1:15" ht="12">
      <c r="A14" s="299">
        <f>A13+1</f>
        <v>10</v>
      </c>
      <c r="B14" s="75" t="s">
        <v>201</v>
      </c>
      <c r="C14" s="103">
        <v>767123.29</v>
      </c>
      <c r="D14" s="103">
        <v>23347.96</v>
      </c>
      <c r="E14" s="110">
        <f>IF(C14=0,"NA",(D14/C14))</f>
        <v>3.0435733479034378E-2</v>
      </c>
      <c r="F14" s="78">
        <f>J27</f>
        <v>967404.79449999996</v>
      </c>
      <c r="G14" s="304"/>
      <c r="H14" s="178"/>
      <c r="I14" s="15"/>
      <c r="J14" s="15"/>
      <c r="K14" s="148"/>
      <c r="L14" s="12"/>
    </row>
    <row r="15" spans="1:15" ht="12">
      <c r="A15" s="299">
        <f t="shared" si="0"/>
        <v>11</v>
      </c>
      <c r="B15" s="75" t="s">
        <v>148</v>
      </c>
      <c r="C15" s="103">
        <v>0</v>
      </c>
      <c r="D15" s="103">
        <v>0</v>
      </c>
      <c r="E15" s="110" t="str">
        <f>IF(C15=0,"NA",(D15/C15))</f>
        <v>NA</v>
      </c>
      <c r="F15" s="78">
        <f>J32</f>
        <v>31653.272638888888</v>
      </c>
      <c r="G15" s="15"/>
      <c r="H15" s="15"/>
      <c r="I15" s="15"/>
      <c r="J15" s="15"/>
      <c r="K15" s="148"/>
      <c r="L15" s="12"/>
    </row>
    <row r="16" spans="1:15" ht="12.75" thickBot="1">
      <c r="A16" s="299">
        <f t="shared" si="0"/>
        <v>12</v>
      </c>
      <c r="B16" s="135" t="s">
        <v>152</v>
      </c>
      <c r="C16" s="156">
        <f>SUM(C10:C15)</f>
        <v>181167386.26999998</v>
      </c>
      <c r="D16" s="158">
        <f>SUM(D10:D15)</f>
        <v>3699238.15</v>
      </c>
      <c r="E16" s="157">
        <f>D16/C16</f>
        <v>2.041889672397712E-2</v>
      </c>
      <c r="F16" s="158">
        <f>SUM(F10:F15)</f>
        <v>1365585.8449388887</v>
      </c>
      <c r="G16" s="15"/>
      <c r="H16" s="15"/>
      <c r="I16" s="15"/>
      <c r="J16" s="15"/>
      <c r="K16" s="148"/>
      <c r="L16" s="12"/>
    </row>
    <row r="17" spans="1:12" ht="12.75" thickTop="1">
      <c r="A17" s="299"/>
      <c r="B17" s="135"/>
      <c r="C17" s="177"/>
      <c r="D17" s="194"/>
      <c r="E17" s="195"/>
      <c r="F17" s="194"/>
      <c r="G17" s="15"/>
      <c r="H17" s="15"/>
      <c r="I17" s="15"/>
      <c r="J17" s="15"/>
      <c r="K17" s="148"/>
      <c r="L17" s="12"/>
    </row>
    <row r="18" spans="1:12" ht="12">
      <c r="A18" s="299"/>
      <c r="B18" s="187" t="s">
        <v>195</v>
      </c>
      <c r="C18" s="306"/>
      <c r="D18" s="307"/>
      <c r="E18" s="76"/>
      <c r="F18" s="308">
        <f>'CBR COC Pg1'!C30</f>
        <v>7744981757</v>
      </c>
      <c r="G18" s="15"/>
      <c r="H18" s="15"/>
      <c r="I18" s="15"/>
      <c r="J18" s="15"/>
      <c r="K18" s="148"/>
      <c r="L18" s="12"/>
    </row>
    <row r="19" spans="1:12" ht="12">
      <c r="A19" s="299"/>
      <c r="B19" s="75"/>
      <c r="C19" s="306"/>
      <c r="D19" s="307"/>
      <c r="E19" s="76"/>
      <c r="F19" s="306"/>
      <c r="G19" s="15"/>
      <c r="H19" s="15"/>
      <c r="I19" s="15"/>
      <c r="J19" s="15"/>
      <c r="K19" s="148"/>
      <c r="L19" s="12"/>
    </row>
    <row r="20" spans="1:12" ht="12">
      <c r="A20" s="299"/>
      <c r="B20" s="187" t="s">
        <v>197</v>
      </c>
      <c r="C20" s="306"/>
      <c r="D20" s="307"/>
      <c r="E20" s="76"/>
      <c r="F20" s="309">
        <f>ROUND(F16/F18,4)</f>
        <v>2.0000000000000001E-4</v>
      </c>
      <c r="G20" s="15"/>
      <c r="H20" s="15"/>
      <c r="I20" s="15"/>
      <c r="J20" s="15"/>
      <c r="K20" s="148"/>
      <c r="L20" s="12"/>
    </row>
    <row r="21" spans="1:12" ht="12.75" thickBot="1">
      <c r="A21" s="299">
        <f>A16+1</f>
        <v>13</v>
      </c>
      <c r="B21" s="143"/>
      <c r="C21" s="77"/>
      <c r="D21" s="77"/>
      <c r="E21" s="77"/>
      <c r="F21" s="77"/>
      <c r="G21" s="149"/>
      <c r="H21" s="149"/>
      <c r="I21" s="149"/>
      <c r="J21" s="149"/>
      <c r="K21" s="150"/>
      <c r="L21" s="15"/>
    </row>
    <row r="22" spans="1:12" ht="12">
      <c r="A22" s="299">
        <f t="shared" si="0"/>
        <v>14</v>
      </c>
      <c r="B22" s="387" t="s">
        <v>89</v>
      </c>
      <c r="C22" s="388"/>
      <c r="D22" s="300"/>
      <c r="E22" s="300"/>
      <c r="F22" s="300"/>
      <c r="G22" s="300"/>
      <c r="H22" s="63"/>
      <c r="I22" s="63"/>
      <c r="J22" s="63"/>
      <c r="K22" s="53"/>
      <c r="L22" s="15" t="s">
        <v>2</v>
      </c>
    </row>
    <row r="23" spans="1:12" ht="12">
      <c r="A23" s="299">
        <f t="shared" si="0"/>
        <v>15</v>
      </c>
      <c r="B23" s="385" t="s">
        <v>98</v>
      </c>
      <c r="C23" s="386"/>
      <c r="D23" s="15"/>
      <c r="E23" s="15"/>
      <c r="F23" s="15"/>
      <c r="G23" s="81" t="s">
        <v>172</v>
      </c>
      <c r="H23" s="81" t="s">
        <v>172</v>
      </c>
      <c r="I23" s="19"/>
      <c r="J23" s="19"/>
      <c r="K23" s="310"/>
      <c r="L23" s="15"/>
    </row>
    <row r="24" spans="1:12" ht="12">
      <c r="A24" s="299">
        <f t="shared" si="0"/>
        <v>16</v>
      </c>
      <c r="B24" s="205"/>
      <c r="C24" s="206"/>
      <c r="D24" s="15"/>
      <c r="E24" s="15"/>
      <c r="F24" s="15"/>
      <c r="G24" s="81" t="s">
        <v>144</v>
      </c>
      <c r="H24" s="81" t="s">
        <v>145</v>
      </c>
      <c r="I24" s="19"/>
      <c r="J24" s="19"/>
      <c r="K24" s="310"/>
      <c r="L24" s="15"/>
    </row>
    <row r="25" spans="1:12" ht="12">
      <c r="A25" s="299">
        <f t="shared" si="0"/>
        <v>17</v>
      </c>
      <c r="B25" s="311"/>
      <c r="C25" s="16" t="s">
        <v>48</v>
      </c>
      <c r="D25" s="16" t="s">
        <v>49</v>
      </c>
      <c r="E25" s="17" t="s">
        <v>51</v>
      </c>
      <c r="F25" s="17" t="s">
        <v>123</v>
      </c>
      <c r="G25" s="17" t="s">
        <v>143</v>
      </c>
      <c r="H25" s="17" t="s">
        <v>123</v>
      </c>
      <c r="I25" s="17" t="s">
        <v>60</v>
      </c>
      <c r="J25" s="17" t="s">
        <v>61</v>
      </c>
      <c r="K25" s="64"/>
      <c r="L25" s="15"/>
    </row>
    <row r="26" spans="1:12" ht="12">
      <c r="A26" s="299">
        <v>18</v>
      </c>
      <c r="B26" s="75" t="s">
        <v>171</v>
      </c>
      <c r="C26" s="178">
        <v>42917</v>
      </c>
      <c r="D26" s="178">
        <v>43033</v>
      </c>
      <c r="E26" s="142">
        <f>D26-C26</f>
        <v>116</v>
      </c>
      <c r="F26" s="179">
        <v>650000000</v>
      </c>
      <c r="G26" s="103">
        <f>C13+H32</f>
        <v>0</v>
      </c>
      <c r="H26" s="103">
        <f>F26-G26</f>
        <v>650000000</v>
      </c>
      <c r="I26" s="110">
        <v>1.75E-3</v>
      </c>
      <c r="J26" s="78">
        <f>ROUND(H26*I26*E26/360,4)</f>
        <v>366527.77779999998</v>
      </c>
      <c r="K26" s="310"/>
      <c r="L26" s="15"/>
    </row>
    <row r="27" spans="1:12" ht="12">
      <c r="A27" s="299">
        <f>A26+1</f>
        <v>19</v>
      </c>
      <c r="B27" s="75" t="s">
        <v>201</v>
      </c>
      <c r="C27" s="178">
        <v>43033</v>
      </c>
      <c r="D27" s="178">
        <v>43281</v>
      </c>
      <c r="E27" s="142">
        <f>D27-C27+1</f>
        <v>249</v>
      </c>
      <c r="F27" s="179">
        <v>800000000</v>
      </c>
      <c r="G27" s="103">
        <f>C14+H33</f>
        <v>767123.29</v>
      </c>
      <c r="H27" s="103">
        <f>F27-G27</f>
        <v>799232876.71000004</v>
      </c>
      <c r="I27" s="110">
        <v>1.75E-3</v>
      </c>
      <c r="J27" s="78">
        <f>ROUND(H27*I27*E27/360,4)</f>
        <v>967404.79449999996</v>
      </c>
      <c r="K27" s="65"/>
      <c r="L27" s="15"/>
    </row>
    <row r="28" spans="1:12" ht="12.75" thickBot="1">
      <c r="A28" s="299">
        <f t="shared" si="0"/>
        <v>20</v>
      </c>
      <c r="B28" s="106" t="s">
        <v>122</v>
      </c>
      <c r="C28" s="18"/>
      <c r="D28" s="303"/>
      <c r="E28" s="142"/>
      <c r="F28" s="180"/>
      <c r="G28" s="302"/>
      <c r="H28" s="302"/>
      <c r="I28" s="303"/>
      <c r="J28" s="193">
        <f>+J26+J27</f>
        <v>1333932.5722999999</v>
      </c>
      <c r="K28" s="65"/>
      <c r="L28" s="15"/>
    </row>
    <row r="29" spans="1:12" ht="12.75" thickTop="1">
      <c r="A29" s="299">
        <f t="shared" si="0"/>
        <v>21</v>
      </c>
      <c r="B29" s="94"/>
      <c r="C29" s="18"/>
      <c r="D29" s="303"/>
      <c r="E29" s="142"/>
      <c r="F29" s="142"/>
      <c r="G29" s="303"/>
      <c r="H29" s="181"/>
      <c r="I29" s="181"/>
      <c r="J29" s="181"/>
      <c r="K29" s="65"/>
      <c r="L29" s="15"/>
    </row>
    <row r="30" spans="1:12" ht="12">
      <c r="A30" s="299">
        <f t="shared" si="0"/>
        <v>22</v>
      </c>
      <c r="B30" s="105" t="s">
        <v>124</v>
      </c>
      <c r="C30" s="18"/>
      <c r="D30" s="302"/>
      <c r="E30" s="302"/>
      <c r="F30" s="17" t="s">
        <v>164</v>
      </c>
      <c r="G30" s="17" t="s">
        <v>51</v>
      </c>
      <c r="H30" s="17" t="s">
        <v>149</v>
      </c>
      <c r="I30" s="303"/>
      <c r="J30" s="181"/>
      <c r="K30" s="65"/>
      <c r="L30" s="15"/>
    </row>
    <row r="31" spans="1:12" ht="12">
      <c r="A31" s="299">
        <f t="shared" si="0"/>
        <v>23</v>
      </c>
      <c r="B31" s="106" t="s">
        <v>150</v>
      </c>
      <c r="C31" s="302"/>
      <c r="D31" s="302"/>
      <c r="E31" s="302"/>
      <c r="F31" s="192" t="s">
        <v>166</v>
      </c>
      <c r="G31" s="142">
        <v>365</v>
      </c>
      <c r="H31" s="103">
        <v>3106675</v>
      </c>
      <c r="I31" s="110">
        <v>0.01</v>
      </c>
      <c r="J31" s="103">
        <f>(I31*H31)*(G31/360)+(12.92*12)</f>
        <v>31653.272638888888</v>
      </c>
      <c r="K31" s="65"/>
      <c r="L31" s="15"/>
    </row>
    <row r="32" spans="1:12" ht="12.75" customHeight="1" thickBot="1">
      <c r="A32" s="299">
        <f>A31+1</f>
        <v>24</v>
      </c>
      <c r="B32" s="106"/>
      <c r="C32" s="302"/>
      <c r="D32" s="302"/>
      <c r="E32" s="302"/>
      <c r="F32" s="192"/>
      <c r="G32" s="142"/>
      <c r="H32" s="103"/>
      <c r="I32" s="110"/>
      <c r="J32" s="155">
        <f>SUM(J31)</f>
        <v>31653.272638888888</v>
      </c>
      <c r="K32" s="310"/>
      <c r="L32" s="15"/>
    </row>
    <row r="33" spans="1:19" ht="12.75" customHeight="1" thickTop="1">
      <c r="A33" s="299">
        <f t="shared" si="0"/>
        <v>25</v>
      </c>
      <c r="B33" s="134" t="s">
        <v>151</v>
      </c>
      <c r="C33" s="302"/>
      <c r="D33" s="302"/>
      <c r="E33" s="312"/>
      <c r="F33" s="179"/>
      <c r="G33" s="142"/>
      <c r="H33" s="19"/>
      <c r="I33" s="19"/>
      <c r="K33" s="310"/>
      <c r="L33" s="15"/>
      <c r="M33" s="12"/>
      <c r="N33" s="12"/>
      <c r="O33" s="12"/>
    </row>
    <row r="34" spans="1:19" ht="12.75" customHeight="1">
      <c r="A34" s="299">
        <f t="shared" si="0"/>
        <v>26</v>
      </c>
      <c r="B34" s="106"/>
      <c r="C34" s="302"/>
      <c r="D34" s="302"/>
      <c r="E34" s="302"/>
      <c r="F34" s="313"/>
      <c r="G34" s="182"/>
      <c r="H34" s="19"/>
      <c r="I34" s="19"/>
      <c r="J34" s="19"/>
      <c r="K34" s="310"/>
      <c r="L34" s="15"/>
      <c r="M34" s="12"/>
      <c r="N34" s="12"/>
      <c r="O34" s="12"/>
    </row>
    <row r="35" spans="1:19" ht="12">
      <c r="A35" s="299">
        <f t="shared" si="0"/>
        <v>27</v>
      </c>
      <c r="B35" s="205"/>
      <c r="C35" s="206"/>
      <c r="D35" s="206"/>
      <c r="E35" s="302"/>
      <c r="F35" s="302"/>
      <c r="G35" s="302"/>
      <c r="H35" s="54"/>
      <c r="I35" s="54"/>
      <c r="J35" s="54"/>
      <c r="K35" s="310"/>
    </row>
    <row r="36" spans="1:19" ht="12.75" thickBot="1">
      <c r="A36" s="299">
        <f t="shared" si="0"/>
        <v>28</v>
      </c>
      <c r="B36" s="314" t="s">
        <v>83</v>
      </c>
      <c r="C36" s="66"/>
      <c r="D36" s="66"/>
      <c r="E36" s="315"/>
      <c r="F36" s="315"/>
      <c r="G36" s="315"/>
      <c r="H36" s="67"/>
      <c r="I36" s="67"/>
      <c r="J36" s="67"/>
      <c r="K36" s="316"/>
      <c r="S36" s="317"/>
    </row>
  </sheetData>
  <mergeCells count="2">
    <mergeCell ref="B23:C23"/>
    <mergeCell ref="B22:C22"/>
  </mergeCells>
  <phoneticPr fontId="19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Normal="100" workbookViewId="0"/>
  </sheetViews>
  <sheetFormatPr defaultColWidth="9.1640625" defaultRowHeight="11.25"/>
  <cols>
    <col min="1" max="1" width="4.83203125" style="298" customWidth="1"/>
    <col min="2" max="2" width="52.6640625" style="298" bestFit="1" customWidth="1"/>
    <col min="3" max="8" width="21.6640625" style="298" customWidth="1"/>
    <col min="9" max="9" width="15.83203125" style="298" customWidth="1"/>
    <col min="10" max="11" width="12" style="317" customWidth="1"/>
    <col min="12" max="16384" width="9.1640625" style="298"/>
  </cols>
  <sheetData>
    <row r="1" spans="1:9" ht="12">
      <c r="B1" s="13" t="s">
        <v>46</v>
      </c>
    </row>
    <row r="2" spans="1:9" ht="12">
      <c r="A2" s="302"/>
      <c r="B2" s="50" t="s">
        <v>97</v>
      </c>
    </row>
    <row r="3" spans="1:9" ht="12">
      <c r="A3" s="302"/>
      <c r="B3" s="183" t="str">
        <f>'Pg 4 STD OS &amp; Comm Fees'!B3</f>
        <v>Twelve Months Ended June 30, 2018</v>
      </c>
    </row>
    <row r="4" spans="1:9" ht="12">
      <c r="A4" s="15"/>
      <c r="B4" s="13"/>
      <c r="C4" s="12"/>
      <c r="D4" s="12"/>
      <c r="E4" s="12"/>
      <c r="F4" s="12"/>
      <c r="G4" s="12"/>
      <c r="H4" s="12"/>
      <c r="I4" s="12"/>
    </row>
    <row r="5" spans="1:9" ht="12">
      <c r="A5" s="160" t="s">
        <v>5</v>
      </c>
      <c r="B5" s="160" t="s">
        <v>27</v>
      </c>
      <c r="C5" s="160" t="s">
        <v>52</v>
      </c>
      <c r="D5" s="160" t="s">
        <v>64</v>
      </c>
      <c r="E5" s="160" t="s">
        <v>64</v>
      </c>
      <c r="F5" s="160" t="s">
        <v>65</v>
      </c>
      <c r="G5" s="160" t="s">
        <v>66</v>
      </c>
      <c r="H5" s="160" t="s">
        <v>67</v>
      </c>
      <c r="I5" s="160" t="s">
        <v>68</v>
      </c>
    </row>
    <row r="6" spans="1:9" ht="11.25" customHeight="1">
      <c r="A6" s="12"/>
      <c r="B6" s="161"/>
      <c r="C6" s="161"/>
      <c r="D6" s="161"/>
      <c r="E6" s="161"/>
      <c r="F6" s="161"/>
      <c r="G6" s="161"/>
      <c r="H6" s="161"/>
      <c r="I6" s="161"/>
    </row>
    <row r="7" spans="1:9" ht="11.25" customHeight="1">
      <c r="A7" s="299"/>
      <c r="B7" s="59"/>
      <c r="C7" s="318"/>
      <c r="D7" s="318"/>
      <c r="E7" s="318"/>
      <c r="F7" s="318"/>
      <c r="G7" s="318"/>
      <c r="H7" s="318"/>
    </row>
    <row r="8" spans="1:9" ht="11.25" customHeight="1">
      <c r="A8" s="299">
        <v>1</v>
      </c>
      <c r="B8" s="162" t="s">
        <v>9</v>
      </c>
      <c r="C8" s="163" t="s">
        <v>155</v>
      </c>
      <c r="D8" s="163" t="s">
        <v>155</v>
      </c>
      <c r="E8" s="163" t="s">
        <v>173</v>
      </c>
      <c r="F8" s="163" t="s">
        <v>173</v>
      </c>
      <c r="G8" s="163" t="s">
        <v>200</v>
      </c>
      <c r="H8" s="163" t="s">
        <v>173</v>
      </c>
      <c r="I8" s="12"/>
    </row>
    <row r="9" spans="1:9" ht="11.25" customHeight="1">
      <c r="A9" s="299">
        <f>A8+1</f>
        <v>2</v>
      </c>
      <c r="B9" s="162"/>
      <c r="C9" s="164" t="s">
        <v>156</v>
      </c>
      <c r="D9" s="164" t="s">
        <v>183</v>
      </c>
      <c r="E9" s="164" t="s">
        <v>174</v>
      </c>
      <c r="F9" s="164" t="s">
        <v>185</v>
      </c>
      <c r="G9" s="164" t="s">
        <v>174</v>
      </c>
      <c r="H9" s="164" t="s">
        <v>185</v>
      </c>
      <c r="I9" s="165" t="s">
        <v>157</v>
      </c>
    </row>
    <row r="10" spans="1:9" ht="11.25" customHeight="1">
      <c r="A10" s="299">
        <f t="shared" ref="A10:A35" si="0">A9+1</f>
        <v>3</v>
      </c>
      <c r="B10" s="50" t="s">
        <v>140</v>
      </c>
      <c r="C10" s="166" t="s">
        <v>184</v>
      </c>
      <c r="D10" s="166">
        <v>18900423</v>
      </c>
      <c r="E10" s="166">
        <v>18100673</v>
      </c>
      <c r="F10" s="166">
        <v>18900443</v>
      </c>
      <c r="G10" s="166">
        <v>18100683</v>
      </c>
      <c r="H10" s="166">
        <v>18900473</v>
      </c>
      <c r="I10" s="166" t="s">
        <v>158</v>
      </c>
    </row>
    <row r="11" spans="1:9" ht="11.25" customHeight="1">
      <c r="A11" s="299">
        <f t="shared" si="0"/>
        <v>4</v>
      </c>
      <c r="B11" s="50"/>
      <c r="C11" s="167"/>
      <c r="D11" s="167"/>
      <c r="E11" s="12"/>
      <c r="F11" s="12"/>
      <c r="G11" s="12"/>
      <c r="I11" s="12"/>
    </row>
    <row r="12" spans="1:9" ht="12">
      <c r="A12" s="299">
        <f t="shared" si="0"/>
        <v>5</v>
      </c>
      <c r="B12" s="76" t="s">
        <v>62</v>
      </c>
      <c r="C12" s="12"/>
      <c r="D12" s="12"/>
      <c r="E12" s="12"/>
      <c r="F12" s="12"/>
      <c r="G12" s="12"/>
      <c r="H12" s="12"/>
      <c r="I12" s="168"/>
    </row>
    <row r="13" spans="1:9" ht="12">
      <c r="A13" s="299">
        <f t="shared" si="0"/>
        <v>6</v>
      </c>
      <c r="B13" s="12" t="s">
        <v>202</v>
      </c>
      <c r="C13" s="319">
        <f>156404.27+36926.35</f>
        <v>193330.62</v>
      </c>
      <c r="D13" s="319">
        <v>193334.43</v>
      </c>
      <c r="E13" s="319">
        <v>854166.91</v>
      </c>
      <c r="F13" s="319">
        <v>50272.07</v>
      </c>
      <c r="G13" s="319">
        <v>0</v>
      </c>
      <c r="H13" s="319">
        <v>0</v>
      </c>
      <c r="I13" s="168"/>
    </row>
    <row r="14" spans="1:9" ht="12">
      <c r="A14" s="299">
        <f t="shared" si="0"/>
        <v>7</v>
      </c>
      <c r="B14" s="12"/>
      <c r="C14" s="320"/>
      <c r="D14" s="320"/>
      <c r="E14" s="320"/>
      <c r="F14" s="320"/>
      <c r="G14" s="320"/>
      <c r="H14" s="320"/>
      <c r="I14" s="168"/>
    </row>
    <row r="15" spans="1:9" ht="12">
      <c r="A15" s="299">
        <f t="shared" si="0"/>
        <v>8</v>
      </c>
      <c r="B15" s="321">
        <v>42917</v>
      </c>
      <c r="C15" s="320">
        <f>-22343.5-5275.16</f>
        <v>-27618.66</v>
      </c>
      <c r="D15" s="320">
        <v>-27619.22</v>
      </c>
      <c r="E15" s="320">
        <v>-36989.14</v>
      </c>
      <c r="F15" s="320">
        <v>-2285.1</v>
      </c>
      <c r="G15" s="320">
        <v>0</v>
      </c>
      <c r="H15" s="320">
        <v>0</v>
      </c>
      <c r="I15" s="168"/>
    </row>
    <row r="16" spans="1:9" ht="12">
      <c r="A16" s="299">
        <f t="shared" si="0"/>
        <v>9</v>
      </c>
      <c r="B16" s="321">
        <v>42948</v>
      </c>
      <c r="C16" s="320">
        <f>-22343.27-5275.16</f>
        <v>-27618.43</v>
      </c>
      <c r="D16" s="320">
        <v>-27619.22</v>
      </c>
      <c r="E16" s="320">
        <v>-36989.14</v>
      </c>
      <c r="F16" s="320">
        <v>-2285.1</v>
      </c>
      <c r="G16" s="320">
        <v>0</v>
      </c>
      <c r="H16" s="320">
        <v>0</v>
      </c>
      <c r="I16" s="168"/>
    </row>
    <row r="17" spans="1:9" ht="12">
      <c r="A17" s="299">
        <f t="shared" si="0"/>
        <v>10</v>
      </c>
      <c r="B17" s="321">
        <v>42979</v>
      </c>
      <c r="C17" s="320">
        <v>-27618.66</v>
      </c>
      <c r="D17" s="320">
        <v>-27619.22</v>
      </c>
      <c r="E17" s="320">
        <v>-36989.14</v>
      </c>
      <c r="F17" s="320">
        <v>-2285.1</v>
      </c>
      <c r="G17" s="320">
        <v>0</v>
      </c>
      <c r="H17" s="320">
        <v>0</v>
      </c>
      <c r="I17" s="168"/>
    </row>
    <row r="18" spans="1:9" ht="12">
      <c r="A18" s="299">
        <f t="shared" si="0"/>
        <v>11</v>
      </c>
      <c r="B18" s="321">
        <v>43009</v>
      </c>
      <c r="C18" s="320">
        <v>-27618.66</v>
      </c>
      <c r="D18" s="320">
        <v>-27619.22</v>
      </c>
      <c r="E18" s="320">
        <v>-131792.76</v>
      </c>
      <c r="F18" s="320">
        <v>-2285.1</v>
      </c>
      <c r="G18" s="320">
        <v>0</v>
      </c>
      <c r="H18" s="320">
        <v>0</v>
      </c>
      <c r="I18" s="168"/>
    </row>
    <row r="19" spans="1:9" ht="12">
      <c r="A19" s="299">
        <f t="shared" si="0"/>
        <v>12</v>
      </c>
      <c r="B19" s="321">
        <v>43040</v>
      </c>
      <c r="C19" s="320">
        <v>-27618.66</v>
      </c>
      <c r="D19" s="320">
        <v>-27619.22</v>
      </c>
      <c r="E19" s="320">
        <v>-47200.58</v>
      </c>
      <c r="F19" s="320">
        <v>-2285.1</v>
      </c>
      <c r="G19" s="320">
        <v>-46088.07</v>
      </c>
      <c r="H19" s="320">
        <v>0</v>
      </c>
      <c r="I19" s="168"/>
    </row>
    <row r="20" spans="1:9" ht="12">
      <c r="A20" s="299">
        <f t="shared" si="0"/>
        <v>13</v>
      </c>
      <c r="B20" s="321">
        <v>43070</v>
      </c>
      <c r="C20" s="320">
        <v>-27618.66</v>
      </c>
      <c r="D20" s="320">
        <v>-27619.22</v>
      </c>
      <c r="E20" s="320">
        <v>-10211.44</v>
      </c>
      <c r="F20" s="320">
        <v>-2285.1</v>
      </c>
      <c r="G20" s="320">
        <v>-46204.63</v>
      </c>
      <c r="H20" s="320">
        <v>-3160.12</v>
      </c>
      <c r="I20" s="168"/>
    </row>
    <row r="21" spans="1:9" ht="12">
      <c r="A21" s="299">
        <f t="shared" si="0"/>
        <v>14</v>
      </c>
      <c r="B21" s="321">
        <v>43101</v>
      </c>
      <c r="C21" s="320">
        <v>-27618.66</v>
      </c>
      <c r="D21" s="320">
        <v>-27619.22</v>
      </c>
      <c r="E21" s="320">
        <v>-10211.44</v>
      </c>
      <c r="F21" s="320">
        <v>-2285.1</v>
      </c>
      <c r="G21" s="320">
        <v>-46204.63</v>
      </c>
      <c r="H21" s="320">
        <v>-1580.06</v>
      </c>
      <c r="I21" s="168"/>
    </row>
    <row r="22" spans="1:9" ht="12">
      <c r="A22" s="299">
        <f t="shared" si="0"/>
        <v>15</v>
      </c>
      <c r="B22" s="321">
        <v>43132</v>
      </c>
      <c r="C22" s="320">
        <v>0</v>
      </c>
      <c r="D22" s="320">
        <v>0</v>
      </c>
      <c r="E22" s="320">
        <v>-10211.44</v>
      </c>
      <c r="F22" s="320">
        <v>-2285.1</v>
      </c>
      <c r="G22" s="320">
        <v>-46204.63</v>
      </c>
      <c r="H22" s="320">
        <v>-1580.06</v>
      </c>
      <c r="I22" s="168"/>
    </row>
    <row r="23" spans="1:9" ht="12">
      <c r="A23" s="299">
        <f t="shared" si="0"/>
        <v>16</v>
      </c>
      <c r="B23" s="321">
        <v>43160</v>
      </c>
      <c r="C23" s="320">
        <v>0</v>
      </c>
      <c r="D23" s="320">
        <v>0</v>
      </c>
      <c r="E23" s="320">
        <v>-10211.44</v>
      </c>
      <c r="F23" s="320">
        <v>-2285.1</v>
      </c>
      <c r="G23" s="320">
        <v>-46204.63</v>
      </c>
      <c r="H23" s="320">
        <v>-1580.06</v>
      </c>
      <c r="I23" s="168"/>
    </row>
    <row r="24" spans="1:9" ht="12">
      <c r="A24" s="299">
        <f t="shared" si="0"/>
        <v>17</v>
      </c>
      <c r="B24" s="321">
        <v>43191</v>
      </c>
      <c r="C24" s="320">
        <v>0</v>
      </c>
      <c r="D24" s="320">
        <v>0</v>
      </c>
      <c r="E24" s="320">
        <v>-10211.44</v>
      </c>
      <c r="F24" s="320">
        <v>-2285.1</v>
      </c>
      <c r="G24" s="320">
        <v>-46204.63</v>
      </c>
      <c r="H24" s="320">
        <v>-1580.06</v>
      </c>
      <c r="I24" s="168"/>
    </row>
    <row r="25" spans="1:9" ht="12">
      <c r="A25" s="299">
        <v>18</v>
      </c>
      <c r="B25" s="321">
        <v>43221</v>
      </c>
      <c r="C25" s="320">
        <v>0</v>
      </c>
      <c r="D25" s="320">
        <v>0</v>
      </c>
      <c r="E25" s="320">
        <v>-10211</v>
      </c>
      <c r="F25" s="320">
        <v>-2285.1</v>
      </c>
      <c r="G25" s="320">
        <v>-46204.63</v>
      </c>
      <c r="H25" s="320">
        <v>-1580.06</v>
      </c>
      <c r="I25" s="168"/>
    </row>
    <row r="26" spans="1:9" ht="12.75" thickBot="1">
      <c r="A26" s="299">
        <v>19</v>
      </c>
      <c r="B26" s="321">
        <v>43252</v>
      </c>
      <c r="C26" s="320">
        <v>0</v>
      </c>
      <c r="D26" s="320">
        <v>0</v>
      </c>
      <c r="E26" s="320">
        <v>-10211</v>
      </c>
      <c r="F26" s="320">
        <v>-2285.1</v>
      </c>
      <c r="G26" s="320">
        <v>-46831.96</v>
      </c>
      <c r="H26" s="320">
        <v>-1580.06</v>
      </c>
      <c r="I26" s="168"/>
    </row>
    <row r="27" spans="1:9" ht="12.75" thickBot="1">
      <c r="A27" s="299">
        <f>A26+1</f>
        <v>20</v>
      </c>
      <c r="B27" s="169" t="s">
        <v>203</v>
      </c>
      <c r="C27" s="173">
        <f t="shared" ref="C27:H27" si="1">SUM(C15:C26)</f>
        <v>-193330.39</v>
      </c>
      <c r="D27" s="173">
        <f t="shared" si="1"/>
        <v>-193334.54</v>
      </c>
      <c r="E27" s="173">
        <f t="shared" si="1"/>
        <v>-361439.96</v>
      </c>
      <c r="F27" s="173">
        <f t="shared" si="1"/>
        <v>-27421.199999999993</v>
      </c>
      <c r="G27" s="173">
        <f t="shared" si="1"/>
        <v>-370147.81</v>
      </c>
      <c r="H27" s="173">
        <f t="shared" si="1"/>
        <v>-12640.479999999998</v>
      </c>
      <c r="I27" s="174">
        <f>SUM(C27:H27)</f>
        <v>-1158314.3800000001</v>
      </c>
    </row>
    <row r="28" spans="1:9" ht="12">
      <c r="A28" s="299">
        <f t="shared" si="0"/>
        <v>21</v>
      </c>
      <c r="B28" s="76"/>
      <c r="C28" s="322"/>
      <c r="D28" s="322"/>
      <c r="E28" s="322"/>
      <c r="F28" s="322"/>
      <c r="G28" s="322"/>
      <c r="H28" s="322"/>
      <c r="I28" s="168"/>
    </row>
    <row r="29" spans="1:9" ht="12">
      <c r="A29" s="299">
        <f t="shared" si="0"/>
        <v>22</v>
      </c>
      <c r="B29" s="170" t="s">
        <v>153</v>
      </c>
      <c r="C29" s="320"/>
      <c r="D29" s="320"/>
      <c r="E29" s="320">
        <f>1279.38+2422.54+36989.14</f>
        <v>40691.06</v>
      </c>
      <c r="F29" s="320"/>
      <c r="G29" s="320">
        <f>2765283.96+6877+33249</f>
        <v>2805409.96</v>
      </c>
      <c r="H29" s="320">
        <v>94803.62</v>
      </c>
      <c r="I29" s="168"/>
    </row>
    <row r="30" spans="1:9" ht="12">
      <c r="A30" s="299">
        <f t="shared" si="0"/>
        <v>23</v>
      </c>
      <c r="B30" s="170" t="s">
        <v>154</v>
      </c>
      <c r="C30" s="320"/>
      <c r="D30" s="320"/>
      <c r="F30" s="320"/>
      <c r="G30" s="320"/>
      <c r="H30" s="320"/>
      <c r="I30" s="168"/>
    </row>
    <row r="31" spans="1:9" ht="12.75" thickBot="1">
      <c r="A31" s="299">
        <f t="shared" si="0"/>
        <v>24</v>
      </c>
      <c r="B31" s="76" t="s">
        <v>63</v>
      </c>
      <c r="C31" s="175">
        <f t="shared" ref="C31:H31" si="2">C13+C27+C29+C30</f>
        <v>0.22999999998137355</v>
      </c>
      <c r="D31" s="175">
        <f t="shared" si="2"/>
        <v>-0.11000000001513399</v>
      </c>
      <c r="E31" s="175">
        <f>E13+E27+E29+E30</f>
        <v>533418.01</v>
      </c>
      <c r="F31" s="175">
        <f t="shared" si="2"/>
        <v>22850.870000000006</v>
      </c>
      <c r="G31" s="175">
        <f t="shared" si="2"/>
        <v>2435262.15</v>
      </c>
      <c r="H31" s="175">
        <f t="shared" si="2"/>
        <v>82163.14</v>
      </c>
      <c r="I31" s="168"/>
    </row>
    <row r="32" spans="1:9" ht="12.75" thickTop="1">
      <c r="A32" s="299">
        <f t="shared" si="0"/>
        <v>25</v>
      </c>
      <c r="B32" s="171"/>
      <c r="C32" s="12"/>
      <c r="D32" s="12"/>
      <c r="E32" s="12"/>
      <c r="F32" s="12"/>
      <c r="G32" s="12"/>
      <c r="H32" s="12"/>
      <c r="I32" s="12"/>
    </row>
    <row r="33" spans="1:10" ht="12">
      <c r="A33" s="299">
        <f t="shared" si="0"/>
        <v>26</v>
      </c>
      <c r="B33" s="13" t="s">
        <v>195</v>
      </c>
      <c r="C33" s="168"/>
      <c r="D33" s="168"/>
      <c r="E33" s="168"/>
      <c r="F33" s="168"/>
      <c r="G33" s="168"/>
      <c r="H33" s="168"/>
      <c r="I33" s="12">
        <f>'CBR COC Pg1'!C30</f>
        <v>7744981757</v>
      </c>
    </row>
    <row r="34" spans="1:10" ht="12">
      <c r="A34" s="299">
        <f t="shared" si="0"/>
        <v>27</v>
      </c>
      <c r="B34" s="12"/>
      <c r="C34" s="172"/>
      <c r="D34" s="172"/>
      <c r="E34" s="172"/>
      <c r="F34" s="172"/>
      <c r="G34" s="172"/>
      <c r="H34" s="172"/>
      <c r="I34" s="12"/>
    </row>
    <row r="35" spans="1:10" ht="12">
      <c r="A35" s="299">
        <f t="shared" si="0"/>
        <v>28</v>
      </c>
      <c r="B35" s="13" t="s">
        <v>196</v>
      </c>
      <c r="C35" s="12"/>
      <c r="D35" s="12"/>
      <c r="E35" s="12"/>
      <c r="F35" s="12"/>
      <c r="G35" s="12"/>
      <c r="H35" s="12"/>
      <c r="I35" s="185">
        <f>ROUND(-I27/I33,4)</f>
        <v>1E-4</v>
      </c>
      <c r="J35" s="196"/>
    </row>
    <row r="36" spans="1:10">
      <c r="A36" s="299"/>
    </row>
    <row r="37" spans="1:10">
      <c r="A37" s="299"/>
    </row>
    <row r="38" spans="1:10">
      <c r="A38" s="299"/>
      <c r="B38" s="323"/>
    </row>
    <row r="39" spans="1:10">
      <c r="A39" s="299"/>
    </row>
    <row r="40" spans="1:10">
      <c r="A40" s="299"/>
    </row>
    <row r="41" spans="1:10">
      <c r="A41" s="299"/>
    </row>
    <row r="42" spans="1:10">
      <c r="A42" s="299"/>
    </row>
    <row r="43" spans="1:10">
      <c r="A43" s="299"/>
    </row>
    <row r="44" spans="1:10">
      <c r="A44" s="299"/>
    </row>
    <row r="45" spans="1:10">
      <c r="A45" s="299"/>
    </row>
    <row r="46" spans="1:10">
      <c r="A46" s="299"/>
      <c r="B46" s="83"/>
    </row>
    <row r="47" spans="1:10">
      <c r="A47" s="299"/>
    </row>
    <row r="48" spans="1:10">
      <c r="A48" s="299"/>
    </row>
    <row r="49" spans="1:2">
      <c r="A49" s="299"/>
    </row>
    <row r="50" spans="1:2">
      <c r="A50" s="299"/>
    </row>
    <row r="51" spans="1:2">
      <c r="A51" s="299"/>
    </row>
    <row r="52" spans="1:2">
      <c r="A52" s="299"/>
    </row>
    <row r="53" spans="1:2">
      <c r="A53" s="299"/>
      <c r="B53" s="324"/>
    </row>
    <row r="54" spans="1:2">
      <c r="A54" s="299"/>
      <c r="B54" s="324"/>
    </row>
    <row r="55" spans="1:2">
      <c r="A55" s="299"/>
      <c r="B55" s="83"/>
    </row>
  </sheetData>
  <phoneticPr fontId="19" type="noConversion"/>
  <pageMargins left="0.79" right="0.67" top="0.44" bottom="0.44" header="0.23" footer="0.17"/>
  <pageSetup scale="67" orientation="landscape" r:id="rId1"/>
  <headerFooter alignWithMargins="0">
    <oddFooter>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BC63"/>
  <sheetViews>
    <sheetView zoomScaleNormal="100" workbookViewId="0">
      <pane xSplit="5" ySplit="5" topLeftCell="F6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ColWidth="8.83203125" defaultRowHeight="12.75" outlineLevelCol="1"/>
  <cols>
    <col min="1" max="1" width="5.83203125" style="343" bestFit="1" customWidth="1"/>
    <col min="2" max="2" width="7" style="123" customWidth="1"/>
    <col min="3" max="3" width="8.33203125" style="123" customWidth="1"/>
    <col min="4" max="5" width="7.1640625" style="123" customWidth="1"/>
    <col min="6" max="6" width="10" style="112" customWidth="1"/>
    <col min="7" max="7" width="9.83203125" style="123" customWidth="1"/>
    <col min="8" max="8" width="8" style="123" customWidth="1"/>
    <col min="9" max="9" width="7.83203125" style="112" customWidth="1"/>
    <col min="10" max="11" width="9.1640625" style="123" customWidth="1"/>
    <col min="12" max="12" width="9.83203125" style="123" customWidth="1"/>
    <col min="13" max="13" width="9.1640625" style="123" customWidth="1"/>
    <col min="14" max="14" width="9.83203125" style="123" customWidth="1"/>
    <col min="15" max="23" width="8.83203125" style="123" customWidth="1"/>
    <col min="24" max="24" width="8.83203125" style="123" customWidth="1" outlineLevel="1"/>
    <col min="25" max="25" width="12.33203125" style="123" customWidth="1" outlineLevel="1"/>
    <col min="26" max="26" width="14.6640625" style="123" customWidth="1" outlineLevel="1"/>
    <col min="27" max="27" width="15" style="123" bestFit="1" customWidth="1"/>
    <col min="28" max="28" width="8.83203125" style="123"/>
    <col min="29" max="30" width="10.83203125" style="123" bestFit="1" customWidth="1"/>
    <col min="31" max="16384" width="8.83203125" style="123"/>
  </cols>
  <sheetData>
    <row r="1" spans="1:25" ht="12.75" customHeight="1">
      <c r="A1" s="325" t="s">
        <v>88</v>
      </c>
      <c r="B1" s="326"/>
      <c r="C1" s="326"/>
      <c r="D1" s="327"/>
      <c r="E1" s="328"/>
      <c r="F1" s="327"/>
      <c r="G1" s="326"/>
      <c r="H1" s="326"/>
      <c r="I1" s="326"/>
    </row>
    <row r="2" spans="1:25" s="21" customFormat="1" ht="12.75" customHeight="1">
      <c r="A2" s="109" t="str">
        <f>'Pg 5 STD Amort'!B3</f>
        <v>Twelve Months Ended June 30, 2018</v>
      </c>
      <c r="B2" s="56"/>
      <c r="C2" s="56"/>
      <c r="D2" s="56"/>
      <c r="E2" s="57"/>
      <c r="F2" s="56"/>
      <c r="G2" s="58"/>
      <c r="H2" s="57"/>
      <c r="I2" s="56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</row>
    <row r="3" spans="1:25" s="21" customFormat="1" ht="12.75" customHeight="1">
      <c r="A3" s="109"/>
      <c r="B3" s="56"/>
      <c r="C3" s="56"/>
      <c r="D3" s="56"/>
      <c r="E3" s="57"/>
      <c r="F3" s="56"/>
      <c r="G3" s="58"/>
      <c r="H3" s="57"/>
      <c r="I3" s="56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</row>
    <row r="4" spans="1:25" ht="11.1" customHeight="1">
      <c r="A4" s="329" t="s">
        <v>5</v>
      </c>
      <c r="B4" s="329" t="s">
        <v>27</v>
      </c>
      <c r="C4" s="329" t="s">
        <v>52</v>
      </c>
      <c r="D4" s="329" t="s">
        <v>64</v>
      </c>
      <c r="E4" s="329" t="s">
        <v>65</v>
      </c>
      <c r="F4" s="329" t="s">
        <v>66</v>
      </c>
      <c r="G4" s="329" t="s">
        <v>67</v>
      </c>
      <c r="H4" s="329" t="s">
        <v>68</v>
      </c>
      <c r="I4" s="329" t="s">
        <v>69</v>
      </c>
      <c r="J4" s="329" t="s">
        <v>68</v>
      </c>
      <c r="K4" s="329" t="s">
        <v>69</v>
      </c>
      <c r="L4" s="329" t="s">
        <v>68</v>
      </c>
      <c r="M4" s="329" t="s">
        <v>69</v>
      </c>
      <c r="N4" s="329" t="s">
        <v>68</v>
      </c>
      <c r="O4" s="329" t="s">
        <v>69</v>
      </c>
      <c r="P4" s="329" t="s">
        <v>68</v>
      </c>
      <c r="Q4" s="329" t="s">
        <v>69</v>
      </c>
      <c r="R4" s="329" t="s">
        <v>68</v>
      </c>
      <c r="S4" s="329" t="s">
        <v>69</v>
      </c>
      <c r="T4" s="329" t="s">
        <v>68</v>
      </c>
      <c r="U4" s="329" t="s">
        <v>69</v>
      </c>
      <c r="V4" s="329" t="s">
        <v>68</v>
      </c>
      <c r="W4" s="329"/>
      <c r="X4" s="330" t="s">
        <v>167</v>
      </c>
    </row>
    <row r="5" spans="1:25" ht="33.75">
      <c r="A5" s="331">
        <v>1</v>
      </c>
      <c r="B5" s="332" t="s">
        <v>119</v>
      </c>
      <c r="C5" s="332" t="s">
        <v>92</v>
      </c>
      <c r="D5" s="332" t="s">
        <v>57</v>
      </c>
      <c r="E5" s="332" t="s">
        <v>96</v>
      </c>
      <c r="F5" s="332" t="s">
        <v>109</v>
      </c>
      <c r="G5" s="332" t="s">
        <v>84</v>
      </c>
      <c r="H5" s="332" t="s">
        <v>86</v>
      </c>
      <c r="I5" s="332" t="s">
        <v>80</v>
      </c>
      <c r="J5" s="152">
        <f>'Pg 2 CapStructure'!C6</f>
        <v>42916</v>
      </c>
      <c r="K5" s="152">
        <f>'Pg 2 CapStructure'!D6</f>
        <v>42947</v>
      </c>
      <c r="L5" s="152">
        <f>'Pg 2 CapStructure'!E6</f>
        <v>42978</v>
      </c>
      <c r="M5" s="152">
        <f>'Pg 2 CapStructure'!F6</f>
        <v>43008</v>
      </c>
      <c r="N5" s="152">
        <f>'Pg 2 CapStructure'!G6</f>
        <v>43039</v>
      </c>
      <c r="O5" s="152">
        <f>'Pg 2 CapStructure'!H6</f>
        <v>43069</v>
      </c>
      <c r="P5" s="152">
        <f>'Pg 2 CapStructure'!I6</f>
        <v>43100</v>
      </c>
      <c r="Q5" s="152">
        <f>'Pg 2 CapStructure'!J6</f>
        <v>43131</v>
      </c>
      <c r="R5" s="152">
        <f>'Pg 2 CapStructure'!K6</f>
        <v>43159</v>
      </c>
      <c r="S5" s="152">
        <f>'Pg 2 CapStructure'!L6</f>
        <v>43190</v>
      </c>
      <c r="T5" s="152">
        <f>'Pg 2 CapStructure'!M6</f>
        <v>43220</v>
      </c>
      <c r="U5" s="152">
        <f>'Pg 2 CapStructure'!N6</f>
        <v>43251</v>
      </c>
      <c r="V5" s="152">
        <f>'Pg 2 CapStructure'!O6</f>
        <v>43281</v>
      </c>
      <c r="W5" s="152"/>
      <c r="X5" s="333" t="s">
        <v>38</v>
      </c>
      <c r="Y5" s="333" t="s">
        <v>168</v>
      </c>
    </row>
    <row r="6" spans="1:25">
      <c r="A6" s="199">
        <v>6</v>
      </c>
      <c r="B6" s="124" t="s">
        <v>21</v>
      </c>
      <c r="C6" s="200">
        <v>6.7400000000000002E-2</v>
      </c>
      <c r="D6" s="201">
        <v>35961</v>
      </c>
      <c r="E6" s="201">
        <v>43266</v>
      </c>
      <c r="F6" s="113">
        <f>ROUND(((J6+V6)+(SUM(K6:U6)*2))/24,0)</f>
        <v>191666667</v>
      </c>
      <c r="G6" s="116">
        <v>98.98509159000001</v>
      </c>
      <c r="H6" s="202">
        <f t="shared" ref="H6:H10" si="0">ROUND(YIELD(D6,E6,C6,G6,100,2,2),4)</f>
        <v>6.83E-2</v>
      </c>
      <c r="I6" s="113">
        <f>ROUND(+H6*F6,0)</f>
        <v>13090833</v>
      </c>
      <c r="J6" s="113">
        <v>200000000</v>
      </c>
      <c r="K6" s="113">
        <v>200000000</v>
      </c>
      <c r="L6" s="113">
        <v>200000000</v>
      </c>
      <c r="M6" s="113">
        <v>200000000</v>
      </c>
      <c r="N6" s="113">
        <v>200000000</v>
      </c>
      <c r="O6" s="113">
        <v>200000000</v>
      </c>
      <c r="P6" s="113">
        <v>200000000</v>
      </c>
      <c r="Q6" s="113">
        <v>200000000</v>
      </c>
      <c r="R6" s="113">
        <v>200000000</v>
      </c>
      <c r="S6" s="113">
        <v>200000000</v>
      </c>
      <c r="T6" s="113">
        <v>200000000</v>
      </c>
      <c r="U6" s="113">
        <v>200000000</v>
      </c>
      <c r="V6" s="113"/>
      <c r="W6" s="113"/>
      <c r="X6" s="113">
        <f t="shared" ref="X6:X23" si="1">H6*S6</f>
        <v>13660000</v>
      </c>
    </row>
    <row r="7" spans="1:25">
      <c r="A7" s="331">
        <v>7</v>
      </c>
      <c r="B7" s="124" t="s">
        <v>23</v>
      </c>
      <c r="C7" s="200">
        <v>7.1499999999999994E-2</v>
      </c>
      <c r="D7" s="201">
        <v>35053</v>
      </c>
      <c r="E7" s="201">
        <v>46010</v>
      </c>
      <c r="F7" s="113">
        <f t="shared" ref="F7:F23" si="2">ROUND(((J7+V7)+(SUM(K7:U7)*2))/24,0)</f>
        <v>15000000</v>
      </c>
      <c r="G7" s="116">
        <v>99.211911999999998</v>
      </c>
      <c r="H7" s="202">
        <f t="shared" si="0"/>
        <v>7.2099999999999997E-2</v>
      </c>
      <c r="I7" s="113">
        <f t="shared" ref="I7:I10" si="3">ROUND(+H7*F7,0)</f>
        <v>1081500</v>
      </c>
      <c r="J7" s="113">
        <v>15000000</v>
      </c>
      <c r="K7" s="113">
        <v>15000000</v>
      </c>
      <c r="L7" s="113">
        <v>15000000</v>
      </c>
      <c r="M7" s="113">
        <v>15000000</v>
      </c>
      <c r="N7" s="113">
        <v>15000000</v>
      </c>
      <c r="O7" s="113">
        <v>15000000</v>
      </c>
      <c r="P7" s="113">
        <v>15000000</v>
      </c>
      <c r="Q7" s="113">
        <v>15000000</v>
      </c>
      <c r="R7" s="113">
        <v>15000000</v>
      </c>
      <c r="S7" s="113">
        <v>15000000</v>
      </c>
      <c r="T7" s="113">
        <v>15000000</v>
      </c>
      <c r="U7" s="113">
        <v>15000000</v>
      </c>
      <c r="V7" s="113">
        <v>15000000</v>
      </c>
      <c r="W7" s="113"/>
      <c r="X7" s="113">
        <f t="shared" si="1"/>
        <v>1081500</v>
      </c>
    </row>
    <row r="8" spans="1:25">
      <c r="A8" s="199">
        <v>8</v>
      </c>
      <c r="B8" s="124" t="s">
        <v>23</v>
      </c>
      <c r="C8" s="200">
        <v>7.1999999999999995E-2</v>
      </c>
      <c r="D8" s="201">
        <v>35054</v>
      </c>
      <c r="E8" s="201">
        <v>46013</v>
      </c>
      <c r="F8" s="113">
        <f t="shared" si="2"/>
        <v>2000000</v>
      </c>
      <c r="G8" s="116">
        <v>99.211600000000004</v>
      </c>
      <c r="H8" s="202">
        <f t="shared" si="0"/>
        <v>7.2599999999999998E-2</v>
      </c>
      <c r="I8" s="113">
        <f t="shared" si="3"/>
        <v>145200</v>
      </c>
      <c r="J8" s="113">
        <v>2000000</v>
      </c>
      <c r="K8" s="113">
        <v>2000000</v>
      </c>
      <c r="L8" s="113">
        <v>2000000</v>
      </c>
      <c r="M8" s="113">
        <v>2000000</v>
      </c>
      <c r="N8" s="113">
        <v>2000000</v>
      </c>
      <c r="O8" s="113">
        <v>2000000</v>
      </c>
      <c r="P8" s="113">
        <v>2000000</v>
      </c>
      <c r="Q8" s="113">
        <v>2000000</v>
      </c>
      <c r="R8" s="113">
        <v>2000000</v>
      </c>
      <c r="S8" s="113">
        <v>2000000</v>
      </c>
      <c r="T8" s="113">
        <v>2000000</v>
      </c>
      <c r="U8" s="113">
        <v>2000000</v>
      </c>
      <c r="V8" s="113">
        <v>2000000</v>
      </c>
      <c r="W8" s="113"/>
      <c r="X8" s="113">
        <f t="shared" si="1"/>
        <v>145200</v>
      </c>
    </row>
    <row r="9" spans="1:25">
      <c r="A9" s="331">
        <v>9</v>
      </c>
      <c r="B9" s="124" t="s">
        <v>21</v>
      </c>
      <c r="C9" s="200">
        <v>7.0199999999999999E-2</v>
      </c>
      <c r="D9" s="201">
        <v>35786</v>
      </c>
      <c r="E9" s="201">
        <v>46722</v>
      </c>
      <c r="F9" s="113">
        <f t="shared" si="2"/>
        <v>300000000</v>
      </c>
      <c r="G9" s="116">
        <v>98.985735776666658</v>
      </c>
      <c r="H9" s="202">
        <f t="shared" si="0"/>
        <v>7.0999999999999994E-2</v>
      </c>
      <c r="I9" s="113">
        <f t="shared" si="3"/>
        <v>21300000</v>
      </c>
      <c r="J9" s="113">
        <v>300000000</v>
      </c>
      <c r="K9" s="113">
        <v>300000000</v>
      </c>
      <c r="L9" s="113">
        <v>300000000</v>
      </c>
      <c r="M9" s="113">
        <v>300000000</v>
      </c>
      <c r="N9" s="113">
        <v>300000000</v>
      </c>
      <c r="O9" s="113">
        <v>300000000</v>
      </c>
      <c r="P9" s="113">
        <v>300000000</v>
      </c>
      <c r="Q9" s="113">
        <v>300000000</v>
      </c>
      <c r="R9" s="113">
        <v>300000000</v>
      </c>
      <c r="S9" s="113">
        <v>300000000</v>
      </c>
      <c r="T9" s="113">
        <v>300000000</v>
      </c>
      <c r="U9" s="113">
        <v>300000000</v>
      </c>
      <c r="V9" s="113">
        <v>300000000</v>
      </c>
      <c r="W9" s="113"/>
      <c r="X9" s="113">
        <f t="shared" si="1"/>
        <v>21299999.999999996</v>
      </c>
    </row>
    <row r="10" spans="1:25">
      <c r="A10" s="199">
        <v>10</v>
      </c>
      <c r="B10" s="124" t="s">
        <v>22</v>
      </c>
      <c r="C10" s="200">
        <v>7.0000000000000007E-2</v>
      </c>
      <c r="D10" s="201">
        <v>36228</v>
      </c>
      <c r="E10" s="201">
        <v>47186</v>
      </c>
      <c r="F10" s="113">
        <f t="shared" si="2"/>
        <v>100000000</v>
      </c>
      <c r="G10" s="116">
        <v>99.042870549999989</v>
      </c>
      <c r="H10" s="202">
        <f t="shared" si="0"/>
        <v>7.0800000000000002E-2</v>
      </c>
      <c r="I10" s="113">
        <f t="shared" si="3"/>
        <v>7080000</v>
      </c>
      <c r="J10" s="113">
        <v>100000000</v>
      </c>
      <c r="K10" s="113">
        <v>100000000</v>
      </c>
      <c r="L10" s="113">
        <v>100000000</v>
      </c>
      <c r="M10" s="113">
        <v>100000000</v>
      </c>
      <c r="N10" s="113">
        <v>100000000</v>
      </c>
      <c r="O10" s="113">
        <v>100000000</v>
      </c>
      <c r="P10" s="113">
        <v>100000000</v>
      </c>
      <c r="Q10" s="113">
        <v>100000000</v>
      </c>
      <c r="R10" s="113">
        <v>100000000</v>
      </c>
      <c r="S10" s="113">
        <v>100000000</v>
      </c>
      <c r="T10" s="113">
        <v>100000000</v>
      </c>
      <c r="U10" s="113">
        <v>100000000</v>
      </c>
      <c r="V10" s="113">
        <v>100000000</v>
      </c>
      <c r="W10" s="113"/>
      <c r="X10" s="113">
        <f t="shared" si="1"/>
        <v>7080000</v>
      </c>
    </row>
    <row r="11" spans="1:25">
      <c r="A11" s="331">
        <v>11</v>
      </c>
      <c r="B11" s="334" t="s">
        <v>24</v>
      </c>
      <c r="C11" s="200">
        <v>3.9E-2</v>
      </c>
      <c r="D11" s="335">
        <v>41417</v>
      </c>
      <c r="E11" s="336">
        <v>47908</v>
      </c>
      <c r="F11" s="113">
        <f t="shared" si="2"/>
        <v>138460000</v>
      </c>
      <c r="G11" s="116">
        <v>98.939099999999996</v>
      </c>
      <c r="H11" s="202">
        <f t="shared" ref="H11:H24" si="4">ROUND(YIELD(D11,E11,C11,G11,100,2,2),4)</f>
        <v>3.9800000000000002E-2</v>
      </c>
      <c r="I11" s="113">
        <f t="shared" ref="I11:I24" si="5">ROUND(+H11*F11,0)</f>
        <v>5510708</v>
      </c>
      <c r="J11" s="113">
        <v>138460000</v>
      </c>
      <c r="K11" s="113">
        <v>138460000</v>
      </c>
      <c r="L11" s="113">
        <v>138460000</v>
      </c>
      <c r="M11" s="113">
        <v>138460000</v>
      </c>
      <c r="N11" s="113">
        <v>138460000</v>
      </c>
      <c r="O11" s="113">
        <v>138460000</v>
      </c>
      <c r="P11" s="113">
        <v>138460000</v>
      </c>
      <c r="Q11" s="113">
        <v>138460000</v>
      </c>
      <c r="R11" s="113">
        <v>138460000</v>
      </c>
      <c r="S11" s="113">
        <v>138460000</v>
      </c>
      <c r="T11" s="113">
        <v>138460000</v>
      </c>
      <c r="U11" s="113">
        <v>138460000</v>
      </c>
      <c r="V11" s="113">
        <v>138460000</v>
      </c>
      <c r="W11" s="113"/>
      <c r="X11" s="113">
        <f t="shared" si="1"/>
        <v>5510708</v>
      </c>
    </row>
    <row r="12" spans="1:25">
      <c r="A12" s="199">
        <v>12</v>
      </c>
      <c r="B12" s="334" t="s">
        <v>24</v>
      </c>
      <c r="C12" s="200">
        <v>0.04</v>
      </c>
      <c r="D12" s="335">
        <v>41417</v>
      </c>
      <c r="E12" s="336">
        <v>47908</v>
      </c>
      <c r="F12" s="113">
        <f t="shared" si="2"/>
        <v>23400000</v>
      </c>
      <c r="G12" s="116">
        <v>98.939099999999996</v>
      </c>
      <c r="H12" s="202">
        <f t="shared" si="4"/>
        <v>4.0800000000000003E-2</v>
      </c>
      <c r="I12" s="113">
        <f t="shared" si="5"/>
        <v>954720</v>
      </c>
      <c r="J12" s="113">
        <v>23400000</v>
      </c>
      <c r="K12" s="113">
        <v>23400000</v>
      </c>
      <c r="L12" s="113">
        <v>23400000</v>
      </c>
      <c r="M12" s="113">
        <v>23400000</v>
      </c>
      <c r="N12" s="113">
        <v>23400000</v>
      </c>
      <c r="O12" s="113">
        <v>23400000</v>
      </c>
      <c r="P12" s="113">
        <v>23400000</v>
      </c>
      <c r="Q12" s="113">
        <v>23400000</v>
      </c>
      <c r="R12" s="113">
        <v>23400000</v>
      </c>
      <c r="S12" s="113">
        <v>23400000</v>
      </c>
      <c r="T12" s="113">
        <v>23400000</v>
      </c>
      <c r="U12" s="113">
        <v>23400000</v>
      </c>
      <c r="V12" s="113">
        <v>23400000</v>
      </c>
      <c r="W12" s="113"/>
      <c r="X12" s="113">
        <f t="shared" si="1"/>
        <v>954720.00000000012</v>
      </c>
    </row>
    <row r="13" spans="1:25">
      <c r="A13" s="331">
        <v>13</v>
      </c>
      <c r="B13" s="124" t="s">
        <v>87</v>
      </c>
      <c r="C13" s="200">
        <v>5.4829999999999997E-2</v>
      </c>
      <c r="D13" s="201">
        <v>38499</v>
      </c>
      <c r="E13" s="201">
        <v>49461</v>
      </c>
      <c r="F13" s="113">
        <f t="shared" si="2"/>
        <v>250000000</v>
      </c>
      <c r="G13" s="116">
        <v>84.886606835999999</v>
      </c>
      <c r="H13" s="202">
        <f t="shared" si="4"/>
        <v>6.6500000000000004E-2</v>
      </c>
      <c r="I13" s="115">
        <f t="shared" si="5"/>
        <v>16625000</v>
      </c>
      <c r="J13" s="115">
        <v>250000000</v>
      </c>
      <c r="K13" s="115">
        <v>250000000</v>
      </c>
      <c r="L13" s="115">
        <v>250000000</v>
      </c>
      <c r="M13" s="115">
        <v>250000000</v>
      </c>
      <c r="N13" s="115">
        <v>250000000</v>
      </c>
      <c r="O13" s="115">
        <v>250000000</v>
      </c>
      <c r="P13" s="115">
        <v>250000000</v>
      </c>
      <c r="Q13" s="115">
        <v>250000000</v>
      </c>
      <c r="R13" s="115">
        <v>250000000</v>
      </c>
      <c r="S13" s="115">
        <v>250000000</v>
      </c>
      <c r="T13" s="115">
        <v>250000000</v>
      </c>
      <c r="U13" s="115">
        <v>250000000</v>
      </c>
      <c r="V13" s="115">
        <v>250000000</v>
      </c>
      <c r="W13" s="115"/>
      <c r="X13" s="113">
        <f t="shared" si="1"/>
        <v>16625000</v>
      </c>
    </row>
    <row r="14" spans="1:25">
      <c r="A14" s="199">
        <v>14</v>
      </c>
      <c r="B14" s="124" t="s">
        <v>87</v>
      </c>
      <c r="C14" s="200">
        <v>6.7239999999999994E-2</v>
      </c>
      <c r="D14" s="201">
        <v>38898</v>
      </c>
      <c r="E14" s="201">
        <v>49841</v>
      </c>
      <c r="F14" s="113">
        <f t="shared" si="2"/>
        <v>250000000</v>
      </c>
      <c r="G14" s="116">
        <v>107.515271756</v>
      </c>
      <c r="H14" s="202">
        <f t="shared" si="4"/>
        <v>6.1699999999999998E-2</v>
      </c>
      <c r="I14" s="115">
        <f t="shared" si="5"/>
        <v>15425000</v>
      </c>
      <c r="J14" s="115">
        <v>250000000</v>
      </c>
      <c r="K14" s="115">
        <v>250000000</v>
      </c>
      <c r="L14" s="115">
        <v>250000000</v>
      </c>
      <c r="M14" s="115">
        <v>250000000</v>
      </c>
      <c r="N14" s="115">
        <v>250000000</v>
      </c>
      <c r="O14" s="115">
        <v>250000000</v>
      </c>
      <c r="P14" s="115">
        <v>250000000</v>
      </c>
      <c r="Q14" s="115">
        <v>250000000</v>
      </c>
      <c r="R14" s="115">
        <v>250000000</v>
      </c>
      <c r="S14" s="115">
        <v>250000000</v>
      </c>
      <c r="T14" s="115">
        <v>250000000</v>
      </c>
      <c r="U14" s="115">
        <v>250000000</v>
      </c>
      <c r="V14" s="115">
        <v>250000000</v>
      </c>
      <c r="W14" s="115"/>
      <c r="X14" s="113">
        <f t="shared" si="1"/>
        <v>15425000</v>
      </c>
    </row>
    <row r="15" spans="1:25">
      <c r="A15" s="331">
        <v>15</v>
      </c>
      <c r="B15" s="124" t="s">
        <v>87</v>
      </c>
      <c r="C15" s="200">
        <v>6.2740000000000004E-2</v>
      </c>
      <c r="D15" s="201">
        <v>38978</v>
      </c>
      <c r="E15" s="201">
        <v>50114</v>
      </c>
      <c r="F15" s="113">
        <f t="shared" si="2"/>
        <v>300000000</v>
      </c>
      <c r="G15" s="116">
        <v>98.812700000000007</v>
      </c>
      <c r="H15" s="202">
        <f t="shared" si="4"/>
        <v>6.3600000000000004E-2</v>
      </c>
      <c r="I15" s="115">
        <f t="shared" si="5"/>
        <v>19080000</v>
      </c>
      <c r="J15" s="115">
        <v>300000000</v>
      </c>
      <c r="K15" s="115">
        <v>300000000</v>
      </c>
      <c r="L15" s="115">
        <v>300000000</v>
      </c>
      <c r="M15" s="115">
        <v>300000000</v>
      </c>
      <c r="N15" s="115">
        <v>300000000</v>
      </c>
      <c r="O15" s="115">
        <v>300000000</v>
      </c>
      <c r="P15" s="115">
        <v>300000000</v>
      </c>
      <c r="Q15" s="115">
        <v>300000000</v>
      </c>
      <c r="R15" s="115">
        <v>300000000</v>
      </c>
      <c r="S15" s="115">
        <v>300000000</v>
      </c>
      <c r="T15" s="115">
        <v>300000000</v>
      </c>
      <c r="U15" s="115">
        <v>300000000</v>
      </c>
      <c r="V15" s="115">
        <v>300000000</v>
      </c>
      <c r="W15" s="115"/>
      <c r="X15" s="113">
        <f t="shared" si="1"/>
        <v>19080000</v>
      </c>
    </row>
    <row r="16" spans="1:25">
      <c r="A16" s="199">
        <v>16</v>
      </c>
      <c r="B16" s="124" t="s">
        <v>87</v>
      </c>
      <c r="C16" s="200">
        <v>5.7570000000000003E-2</v>
      </c>
      <c r="D16" s="201">
        <v>40067</v>
      </c>
      <c r="E16" s="201">
        <v>51058</v>
      </c>
      <c r="F16" s="113">
        <f t="shared" si="2"/>
        <v>350000000</v>
      </c>
      <c r="G16" s="116">
        <v>98.983599999999996</v>
      </c>
      <c r="H16" s="202">
        <f t="shared" si="4"/>
        <v>5.8299999999999998E-2</v>
      </c>
      <c r="I16" s="115">
        <f t="shared" si="5"/>
        <v>20405000</v>
      </c>
      <c r="J16" s="115">
        <v>350000000</v>
      </c>
      <c r="K16" s="115">
        <v>350000000</v>
      </c>
      <c r="L16" s="115">
        <v>350000000</v>
      </c>
      <c r="M16" s="115">
        <v>350000000</v>
      </c>
      <c r="N16" s="115">
        <v>350000000</v>
      </c>
      <c r="O16" s="115">
        <v>350000000</v>
      </c>
      <c r="P16" s="115">
        <v>350000000</v>
      </c>
      <c r="Q16" s="115">
        <v>350000000</v>
      </c>
      <c r="R16" s="115">
        <v>350000000</v>
      </c>
      <c r="S16" s="115">
        <v>350000000</v>
      </c>
      <c r="T16" s="115">
        <v>350000000</v>
      </c>
      <c r="U16" s="115">
        <v>350000000</v>
      </c>
      <c r="V16" s="115">
        <v>350000000</v>
      </c>
      <c r="W16" s="115"/>
      <c r="X16" s="113">
        <f t="shared" si="1"/>
        <v>20405000</v>
      </c>
    </row>
    <row r="17" spans="1:25">
      <c r="A17" s="331">
        <v>17</v>
      </c>
      <c r="B17" s="124" t="s">
        <v>87</v>
      </c>
      <c r="C17" s="200">
        <v>5.7950000000000002E-2</v>
      </c>
      <c r="D17" s="201">
        <v>40245</v>
      </c>
      <c r="E17" s="201">
        <v>51210</v>
      </c>
      <c r="F17" s="113">
        <f t="shared" si="2"/>
        <v>325000000</v>
      </c>
      <c r="G17" s="116">
        <v>98.958799999999997</v>
      </c>
      <c r="H17" s="202">
        <f t="shared" si="4"/>
        <v>5.8700000000000002E-2</v>
      </c>
      <c r="I17" s="115">
        <f t="shared" si="5"/>
        <v>19077500</v>
      </c>
      <c r="J17" s="115">
        <v>325000000</v>
      </c>
      <c r="K17" s="115">
        <v>325000000</v>
      </c>
      <c r="L17" s="115">
        <v>325000000</v>
      </c>
      <c r="M17" s="115">
        <v>325000000</v>
      </c>
      <c r="N17" s="115">
        <v>325000000</v>
      </c>
      <c r="O17" s="115">
        <v>325000000</v>
      </c>
      <c r="P17" s="115">
        <v>325000000</v>
      </c>
      <c r="Q17" s="115">
        <v>325000000</v>
      </c>
      <c r="R17" s="115">
        <v>325000000</v>
      </c>
      <c r="S17" s="115">
        <v>325000000</v>
      </c>
      <c r="T17" s="115">
        <v>325000000</v>
      </c>
      <c r="U17" s="115">
        <v>325000000</v>
      </c>
      <c r="V17" s="115">
        <v>325000000</v>
      </c>
      <c r="W17" s="115"/>
      <c r="X17" s="113">
        <f t="shared" si="1"/>
        <v>19077500</v>
      </c>
    </row>
    <row r="18" spans="1:25">
      <c r="A18" s="199">
        <v>18</v>
      </c>
      <c r="B18" s="124" t="s">
        <v>87</v>
      </c>
      <c r="C18" s="200">
        <v>5.7639999999999997E-2</v>
      </c>
      <c r="D18" s="201">
        <v>40358</v>
      </c>
      <c r="E18" s="201">
        <v>51332</v>
      </c>
      <c r="F18" s="113">
        <f t="shared" si="2"/>
        <v>250000000</v>
      </c>
      <c r="G18" s="116">
        <v>98.965199999999996</v>
      </c>
      <c r="H18" s="202">
        <f t="shared" si="4"/>
        <v>5.8400000000000001E-2</v>
      </c>
      <c r="I18" s="115">
        <f t="shared" si="5"/>
        <v>14600000</v>
      </c>
      <c r="J18" s="115">
        <v>250000000</v>
      </c>
      <c r="K18" s="115">
        <v>250000000</v>
      </c>
      <c r="L18" s="115">
        <v>250000000</v>
      </c>
      <c r="M18" s="115">
        <v>250000000</v>
      </c>
      <c r="N18" s="115">
        <v>250000000</v>
      </c>
      <c r="O18" s="115">
        <v>250000000</v>
      </c>
      <c r="P18" s="115">
        <v>250000000</v>
      </c>
      <c r="Q18" s="115">
        <v>250000000</v>
      </c>
      <c r="R18" s="115">
        <v>250000000</v>
      </c>
      <c r="S18" s="115">
        <v>250000000</v>
      </c>
      <c r="T18" s="115">
        <v>250000000</v>
      </c>
      <c r="U18" s="115">
        <v>250000000</v>
      </c>
      <c r="V18" s="115">
        <v>250000000</v>
      </c>
      <c r="W18" s="115"/>
      <c r="X18" s="113">
        <f t="shared" si="1"/>
        <v>14600000</v>
      </c>
    </row>
    <row r="19" spans="1:25">
      <c r="A19" s="331">
        <v>19</v>
      </c>
      <c r="B19" s="124" t="s">
        <v>87</v>
      </c>
      <c r="C19" s="200">
        <v>5.638E-2</v>
      </c>
      <c r="D19" s="201">
        <v>40627</v>
      </c>
      <c r="E19" s="201">
        <v>51606</v>
      </c>
      <c r="F19" s="113">
        <f t="shared" si="2"/>
        <v>300000000</v>
      </c>
      <c r="G19" s="116">
        <v>98.971000000000004</v>
      </c>
      <c r="H19" s="202">
        <f t="shared" si="4"/>
        <v>5.7099999999999998E-2</v>
      </c>
      <c r="I19" s="115">
        <f t="shared" si="5"/>
        <v>17130000</v>
      </c>
      <c r="J19" s="115">
        <v>300000000</v>
      </c>
      <c r="K19" s="115">
        <v>300000000</v>
      </c>
      <c r="L19" s="115">
        <v>300000000</v>
      </c>
      <c r="M19" s="115">
        <v>300000000</v>
      </c>
      <c r="N19" s="115">
        <v>300000000</v>
      </c>
      <c r="O19" s="115">
        <v>300000000</v>
      </c>
      <c r="P19" s="115">
        <v>300000000</v>
      </c>
      <c r="Q19" s="115">
        <v>300000000</v>
      </c>
      <c r="R19" s="115">
        <v>300000000</v>
      </c>
      <c r="S19" s="115">
        <v>300000000</v>
      </c>
      <c r="T19" s="115">
        <v>300000000</v>
      </c>
      <c r="U19" s="115">
        <v>300000000</v>
      </c>
      <c r="V19" s="115">
        <v>300000000</v>
      </c>
      <c r="W19" s="115"/>
      <c r="X19" s="113">
        <f t="shared" si="1"/>
        <v>17130000</v>
      </c>
    </row>
    <row r="20" spans="1:25">
      <c r="A20" s="199">
        <v>20</v>
      </c>
      <c r="B20" s="124" t="s">
        <v>87</v>
      </c>
      <c r="C20" s="200">
        <v>4.4339999999999997E-2</v>
      </c>
      <c r="D20" s="201">
        <v>40863</v>
      </c>
      <c r="E20" s="201">
        <v>51820</v>
      </c>
      <c r="F20" s="113">
        <f t="shared" si="2"/>
        <v>250000000</v>
      </c>
      <c r="G20" s="116">
        <v>98.962999999999994</v>
      </c>
      <c r="H20" s="202">
        <f t="shared" si="4"/>
        <v>4.4999999999999998E-2</v>
      </c>
      <c r="I20" s="115">
        <f t="shared" si="5"/>
        <v>11250000</v>
      </c>
      <c r="J20" s="115">
        <v>250000000</v>
      </c>
      <c r="K20" s="115">
        <v>250000000</v>
      </c>
      <c r="L20" s="115">
        <v>250000000</v>
      </c>
      <c r="M20" s="115">
        <v>250000000</v>
      </c>
      <c r="N20" s="115">
        <v>250000000</v>
      </c>
      <c r="O20" s="115">
        <v>250000000</v>
      </c>
      <c r="P20" s="115">
        <v>250000000</v>
      </c>
      <c r="Q20" s="115">
        <v>250000000</v>
      </c>
      <c r="R20" s="115">
        <v>250000000</v>
      </c>
      <c r="S20" s="115">
        <v>250000000</v>
      </c>
      <c r="T20" s="115">
        <v>250000000</v>
      </c>
      <c r="U20" s="115">
        <v>250000000</v>
      </c>
      <c r="V20" s="115">
        <v>250000000</v>
      </c>
      <c r="W20" s="115"/>
      <c r="X20" s="113">
        <f t="shared" si="1"/>
        <v>11250000</v>
      </c>
    </row>
    <row r="21" spans="1:25">
      <c r="A21" s="331">
        <v>21</v>
      </c>
      <c r="B21" s="124" t="s">
        <v>87</v>
      </c>
      <c r="C21" s="200">
        <v>4.7E-2</v>
      </c>
      <c r="D21" s="201">
        <v>40869</v>
      </c>
      <c r="E21" s="201">
        <v>55472</v>
      </c>
      <c r="F21" s="113">
        <f t="shared" si="2"/>
        <v>45000000</v>
      </c>
      <c r="G21" s="116">
        <v>98.863900000000001</v>
      </c>
      <c r="H21" s="202">
        <f t="shared" si="4"/>
        <v>4.7600000000000003E-2</v>
      </c>
      <c r="I21" s="115">
        <f t="shared" si="5"/>
        <v>2142000</v>
      </c>
      <c r="J21" s="115">
        <v>45000000</v>
      </c>
      <c r="K21" s="115">
        <v>45000000</v>
      </c>
      <c r="L21" s="115">
        <v>45000000</v>
      </c>
      <c r="M21" s="115">
        <v>45000000</v>
      </c>
      <c r="N21" s="115">
        <v>45000000</v>
      </c>
      <c r="O21" s="115">
        <v>45000000</v>
      </c>
      <c r="P21" s="115">
        <v>45000000</v>
      </c>
      <c r="Q21" s="115">
        <v>45000000</v>
      </c>
      <c r="R21" s="115">
        <v>45000000</v>
      </c>
      <c r="S21" s="115">
        <v>45000000</v>
      </c>
      <c r="T21" s="115">
        <v>45000000</v>
      </c>
      <c r="U21" s="115">
        <v>45000000</v>
      </c>
      <c r="V21" s="115">
        <v>45000000</v>
      </c>
      <c r="W21" s="115"/>
      <c r="X21" s="113">
        <f t="shared" si="1"/>
        <v>2142000</v>
      </c>
    </row>
    <row r="22" spans="1:25">
      <c r="A22" s="199">
        <v>22</v>
      </c>
      <c r="B22" s="124" t="s">
        <v>118</v>
      </c>
      <c r="C22" s="200">
        <v>6.9739999999999996E-2</v>
      </c>
      <c r="D22" s="201">
        <v>39237</v>
      </c>
      <c r="E22" s="201">
        <v>43217</v>
      </c>
      <c r="F22" s="113">
        <f t="shared" si="2"/>
        <v>181796083</v>
      </c>
      <c r="G22" s="116">
        <v>98.226200000000006</v>
      </c>
      <c r="H22" s="202">
        <f>ROUND(YIELD(D22,E22,C22,G22,100,2,2),4)</f>
        <v>7.2099999999999997E-2</v>
      </c>
      <c r="I22" s="115">
        <f>ROUND(((0.0721*250000000/12)*6)+((250000000*0.0401063/360)*90)+((250000000*0.0453625/360)*19)+((56553000*0.0453625/360)*38),0)</f>
        <v>12388467</v>
      </c>
      <c r="J22" s="113">
        <v>250000000</v>
      </c>
      <c r="K22" s="113">
        <v>250000000</v>
      </c>
      <c r="L22" s="113">
        <v>250000000</v>
      </c>
      <c r="M22" s="113">
        <v>250000000</v>
      </c>
      <c r="N22" s="113">
        <v>250000000</v>
      </c>
      <c r="O22" s="113">
        <v>250000000</v>
      </c>
      <c r="P22" s="113">
        <v>250000000</v>
      </c>
      <c r="Q22" s="113">
        <v>250000000</v>
      </c>
      <c r="R22" s="113">
        <v>250000000</v>
      </c>
      <c r="S22" s="113">
        <v>56553000</v>
      </c>
      <c r="T22" s="113"/>
      <c r="U22" s="113">
        <v>0</v>
      </c>
      <c r="V22" s="113">
        <v>0</v>
      </c>
      <c r="W22" s="113"/>
      <c r="X22" s="113">
        <f t="shared" si="1"/>
        <v>4077471.3</v>
      </c>
    </row>
    <row r="23" spans="1:25">
      <c r="A23" s="331">
        <v>23</v>
      </c>
      <c r="B23" s="124" t="s">
        <v>87</v>
      </c>
      <c r="C23" s="200">
        <v>4.2999999999999997E-2</v>
      </c>
      <c r="D23" s="201">
        <v>42150</v>
      </c>
      <c r="E23" s="201">
        <v>53102</v>
      </c>
      <c r="F23" s="113">
        <f t="shared" si="2"/>
        <v>425000000</v>
      </c>
      <c r="G23" s="116">
        <v>98.483019762352939</v>
      </c>
      <c r="H23" s="202">
        <f t="shared" si="4"/>
        <v>4.3900000000000002E-2</v>
      </c>
      <c r="I23" s="115">
        <f t="shared" si="5"/>
        <v>18657500</v>
      </c>
      <c r="J23" s="113">
        <v>425000000</v>
      </c>
      <c r="K23" s="113">
        <v>425000000</v>
      </c>
      <c r="L23" s="113">
        <v>425000000</v>
      </c>
      <c r="M23" s="113">
        <v>425000000</v>
      </c>
      <c r="N23" s="113">
        <v>425000000</v>
      </c>
      <c r="O23" s="113">
        <v>425000000</v>
      </c>
      <c r="P23" s="113">
        <v>425000000</v>
      </c>
      <c r="Q23" s="113">
        <v>425000000</v>
      </c>
      <c r="R23" s="113">
        <v>425000000</v>
      </c>
      <c r="S23" s="113">
        <v>425000000</v>
      </c>
      <c r="T23" s="113">
        <v>425000000</v>
      </c>
      <c r="U23" s="113">
        <v>425000000</v>
      </c>
      <c r="V23" s="113">
        <v>425000000</v>
      </c>
      <c r="W23" s="113"/>
      <c r="X23" s="113">
        <f t="shared" si="1"/>
        <v>18657500</v>
      </c>
    </row>
    <row r="24" spans="1:25">
      <c r="A24" s="199">
        <v>24</v>
      </c>
      <c r="B24" s="124" t="s">
        <v>87</v>
      </c>
      <c r="C24" s="200">
        <v>4.2229999999999997E-2</v>
      </c>
      <c r="D24" s="201">
        <v>43265</v>
      </c>
      <c r="E24" s="201">
        <v>54224</v>
      </c>
      <c r="F24" s="113">
        <f t="shared" ref="F24" si="6">ROUND(((J24+V24)+(SUM(K24:U24)*2))/24,0)</f>
        <v>25000000</v>
      </c>
      <c r="G24" s="116">
        <v>99.057100000000005</v>
      </c>
      <c r="H24" s="202">
        <f t="shared" si="4"/>
        <v>4.2799999999999998E-2</v>
      </c>
      <c r="I24" s="115">
        <f t="shared" si="5"/>
        <v>1070000</v>
      </c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>
        <v>600000000</v>
      </c>
      <c r="W24" s="113"/>
      <c r="X24" s="113">
        <f>H24*V24/360*16</f>
        <v>1141333.3333333333</v>
      </c>
    </row>
    <row r="25" spans="1:25">
      <c r="A25" s="331">
        <v>25</v>
      </c>
      <c r="B25" s="124"/>
      <c r="C25" s="200"/>
      <c r="D25" s="201"/>
      <c r="E25" s="201"/>
      <c r="F25" s="113"/>
      <c r="G25" s="121"/>
      <c r="H25" s="202"/>
      <c r="I25" s="115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8">
        <f>SUM(X6:X24)</f>
        <v>209342932.63333336</v>
      </c>
    </row>
    <row r="26" spans="1:25" ht="13.5" thickBot="1">
      <c r="A26" s="199">
        <v>26</v>
      </c>
      <c r="B26" s="124"/>
      <c r="C26" s="337" t="s">
        <v>108</v>
      </c>
      <c r="D26" s="201"/>
      <c r="E26" s="201"/>
      <c r="F26" s="113"/>
      <c r="G26" s="117"/>
      <c r="H26" s="202"/>
      <c r="I26" s="118">
        <f>'Pg 7 Reacquired Debt'!I31</f>
        <v>2082056.6</v>
      </c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115"/>
      <c r="X26" s="118">
        <f>I26</f>
        <v>2082056.6</v>
      </c>
    </row>
    <row r="27" spans="1:25" ht="13.5" thickBot="1">
      <c r="A27" s="331">
        <v>27</v>
      </c>
      <c r="B27" s="337" t="s">
        <v>121</v>
      </c>
      <c r="C27" s="200"/>
      <c r="D27" s="201"/>
      <c r="E27" s="201"/>
      <c r="F27" s="118">
        <f>SUM(F6:F26)</f>
        <v>3722322750</v>
      </c>
      <c r="G27" s="119"/>
      <c r="H27" s="338">
        <f>ROUND(+I27/F27,4)</f>
        <v>5.8900000000000001E-2</v>
      </c>
      <c r="I27" s="122">
        <f t="shared" ref="I27:V27" si="7">SUM(I6:I26)</f>
        <v>219095484.59999999</v>
      </c>
      <c r="J27" s="122">
        <f t="shared" si="7"/>
        <v>3773860000</v>
      </c>
      <c r="K27" s="122">
        <f t="shared" si="7"/>
        <v>3773860000</v>
      </c>
      <c r="L27" s="122">
        <f t="shared" si="7"/>
        <v>3773860000</v>
      </c>
      <c r="M27" s="122">
        <f t="shared" si="7"/>
        <v>3773860000</v>
      </c>
      <c r="N27" s="122">
        <f t="shared" si="7"/>
        <v>3773860000</v>
      </c>
      <c r="O27" s="122">
        <f t="shared" si="7"/>
        <v>3773860000</v>
      </c>
      <c r="P27" s="122">
        <f t="shared" si="7"/>
        <v>3773860000</v>
      </c>
      <c r="Q27" s="122">
        <f t="shared" si="7"/>
        <v>3773860000</v>
      </c>
      <c r="R27" s="122">
        <f t="shared" si="7"/>
        <v>3773860000</v>
      </c>
      <c r="S27" s="122">
        <f t="shared" si="7"/>
        <v>3580413000</v>
      </c>
      <c r="T27" s="122">
        <f t="shared" si="7"/>
        <v>3523860000</v>
      </c>
      <c r="U27" s="122">
        <f t="shared" si="7"/>
        <v>3523860000</v>
      </c>
      <c r="V27" s="122">
        <f t="shared" si="7"/>
        <v>3923860000</v>
      </c>
      <c r="W27" s="120"/>
      <c r="X27" s="122">
        <f>SUM(X25:X26)</f>
        <v>211424989.23333335</v>
      </c>
      <c r="Y27" s="338">
        <f>X27/S27</f>
        <v>5.9050447318042175E-2</v>
      </c>
    </row>
    <row r="28" spans="1:25" ht="13.5" thickBot="1">
      <c r="A28" s="199">
        <v>28</v>
      </c>
      <c r="B28" s="124"/>
      <c r="C28" s="200"/>
      <c r="D28" s="201"/>
      <c r="E28" s="201"/>
      <c r="F28" s="120"/>
      <c r="G28" s="117"/>
      <c r="H28" s="96"/>
      <c r="I28" s="120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114">
        <f>H28*S28</f>
        <v>0</v>
      </c>
    </row>
    <row r="29" spans="1:25" ht="13.5" thickBot="1">
      <c r="A29" s="331">
        <v>29</v>
      </c>
      <c r="B29" s="337" t="s">
        <v>199</v>
      </c>
      <c r="C29" s="200"/>
      <c r="D29" s="201"/>
      <c r="E29" s="201"/>
      <c r="F29" s="120">
        <f>F27</f>
        <v>3722322750</v>
      </c>
      <c r="G29" s="117"/>
      <c r="H29" s="338">
        <f>ROUND(+I29/F29,4)</f>
        <v>5.8299999999999998E-2</v>
      </c>
      <c r="I29" s="120">
        <f>SUM(I6:I24)</f>
        <v>217013428</v>
      </c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114"/>
    </row>
    <row r="30" spans="1:25">
      <c r="A30" s="199">
        <v>30</v>
      </c>
      <c r="B30" s="124"/>
      <c r="C30" s="200"/>
      <c r="D30" s="201"/>
      <c r="E30" s="201"/>
      <c r="F30" s="120"/>
      <c r="G30" s="117"/>
      <c r="H30" s="96"/>
      <c r="I30" s="120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114"/>
    </row>
    <row r="31" spans="1:25">
      <c r="A31" s="331">
        <v>31</v>
      </c>
      <c r="B31" s="124" t="s">
        <v>189</v>
      </c>
      <c r="C31" s="200"/>
      <c r="D31" s="201"/>
      <c r="E31" s="201"/>
      <c r="F31" s="120">
        <f>'Pg 3 STD Cost Rate'!C17</f>
        <v>181167386.26999998</v>
      </c>
      <c r="G31" s="117"/>
      <c r="H31" s="188">
        <f>ROUND(I31/F31,4)</f>
        <v>2.0400000000000001E-2</v>
      </c>
      <c r="I31" s="120">
        <f>'Pg 3 STD Cost Rate'!E17</f>
        <v>3699238.15</v>
      </c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114"/>
    </row>
    <row r="32" spans="1:25">
      <c r="A32" s="199">
        <v>32</v>
      </c>
      <c r="B32" s="124"/>
      <c r="C32" s="200"/>
      <c r="D32" s="201"/>
      <c r="E32" s="201"/>
      <c r="F32" s="120"/>
      <c r="G32" s="117"/>
      <c r="H32" s="96"/>
      <c r="I32" s="120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114"/>
    </row>
    <row r="33" spans="1:55">
      <c r="A33" s="331">
        <v>33</v>
      </c>
      <c r="B33" s="189" t="s">
        <v>190</v>
      </c>
      <c r="C33" s="200"/>
      <c r="D33" s="201"/>
      <c r="E33" s="201"/>
      <c r="F33" s="120">
        <f>F31+F27</f>
        <v>3903490136.27</v>
      </c>
      <c r="G33" s="117"/>
      <c r="H33" s="188">
        <f>ROUND(I33/F33,4)</f>
        <v>5.6500000000000002E-2</v>
      </c>
      <c r="I33" s="120">
        <f>I31+I29</f>
        <v>220712666.15000001</v>
      </c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114"/>
    </row>
    <row r="34" spans="1:55">
      <c r="A34" s="199">
        <v>34</v>
      </c>
      <c r="B34" s="124"/>
      <c r="C34" s="200"/>
      <c r="D34" s="201"/>
      <c r="E34" s="201"/>
      <c r="F34" s="120"/>
      <c r="G34" s="117"/>
      <c r="H34" s="96"/>
      <c r="I34" s="120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347"/>
      <c r="W34" s="347"/>
      <c r="X34" s="114"/>
    </row>
    <row r="35" spans="1:55">
      <c r="A35" s="331">
        <v>35</v>
      </c>
      <c r="B35" s="339" t="s">
        <v>206</v>
      </c>
      <c r="C35" s="340"/>
      <c r="D35" s="340"/>
      <c r="E35" s="340"/>
      <c r="F35" s="340"/>
      <c r="G35" s="340"/>
      <c r="H35" s="340"/>
      <c r="I35" s="340"/>
      <c r="X35" s="120"/>
      <c r="Y35" s="96"/>
    </row>
    <row r="36" spans="1:55">
      <c r="A36" s="199">
        <v>36</v>
      </c>
      <c r="B36" s="339" t="s">
        <v>207</v>
      </c>
      <c r="C36" s="340"/>
      <c r="D36" s="340"/>
      <c r="E36" s="340"/>
      <c r="F36" s="340"/>
      <c r="G36" s="119"/>
      <c r="H36" s="340"/>
      <c r="I36" s="340"/>
    </row>
    <row r="37" spans="1:55">
      <c r="A37" s="199"/>
      <c r="B37" s="339"/>
      <c r="C37" s="340"/>
      <c r="D37" s="340"/>
      <c r="E37" s="340"/>
      <c r="F37" s="340"/>
      <c r="G37" s="119"/>
      <c r="H37" s="340"/>
      <c r="I37" s="340"/>
    </row>
    <row r="38" spans="1:55">
      <c r="A38" s="199"/>
      <c r="B38" s="339"/>
      <c r="C38" s="340"/>
      <c r="D38" s="340"/>
      <c r="E38" s="340"/>
      <c r="F38" s="340"/>
      <c r="G38" s="119"/>
      <c r="H38" s="340"/>
      <c r="I38" s="340"/>
    </row>
    <row r="39" spans="1:55">
      <c r="A39" s="199"/>
      <c r="B39" s="341"/>
      <c r="C39" s="341"/>
      <c r="D39" s="341"/>
      <c r="E39" s="348"/>
      <c r="G39" s="341"/>
      <c r="H39" s="340"/>
      <c r="I39" s="342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</row>
    <row r="40" spans="1:55">
      <c r="H40" s="340"/>
      <c r="I40" s="342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</row>
    <row r="41" spans="1:55">
      <c r="F41" s="111"/>
      <c r="H41" s="341"/>
      <c r="I41" s="342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</row>
    <row r="42" spans="1:55">
      <c r="J42" s="343" t="str">
        <f t="shared" ref="J42:S42" si="8">IF(J41&lt;&gt;0,"ERROR","")</f>
        <v/>
      </c>
      <c r="K42" s="343" t="str">
        <f t="shared" si="8"/>
        <v/>
      </c>
      <c r="L42" s="343" t="str">
        <f t="shared" si="8"/>
        <v/>
      </c>
      <c r="M42" s="343" t="str">
        <f t="shared" si="8"/>
        <v/>
      </c>
      <c r="N42" s="343" t="str">
        <f t="shared" si="8"/>
        <v/>
      </c>
      <c r="O42" s="343" t="str">
        <f t="shared" si="8"/>
        <v/>
      </c>
      <c r="P42" s="343" t="str">
        <f t="shared" si="8"/>
        <v/>
      </c>
      <c r="Q42" s="343" t="str">
        <f t="shared" si="8"/>
        <v/>
      </c>
      <c r="R42" s="343" t="str">
        <f t="shared" si="8"/>
        <v/>
      </c>
      <c r="S42" s="343" t="str">
        <f t="shared" si="8"/>
        <v/>
      </c>
      <c r="T42" s="343"/>
      <c r="U42" s="343"/>
      <c r="V42" s="343"/>
      <c r="W42" s="343"/>
    </row>
    <row r="43" spans="1:55">
      <c r="H43" s="202"/>
    </row>
    <row r="44" spans="1:55">
      <c r="A44" s="349"/>
      <c r="B44" s="350"/>
      <c r="C44" s="351"/>
      <c r="D44" s="352"/>
      <c r="E44" s="352"/>
      <c r="F44" s="234"/>
      <c r="G44" s="353"/>
      <c r="H44" s="202"/>
      <c r="I44" s="113"/>
    </row>
    <row r="45" spans="1:55">
      <c r="A45" s="349"/>
      <c r="B45" s="350"/>
      <c r="C45" s="351"/>
      <c r="D45" s="352"/>
      <c r="E45" s="352"/>
      <c r="F45" s="354"/>
      <c r="G45" s="353"/>
      <c r="H45" s="355"/>
      <c r="I45" s="356"/>
    </row>
    <row r="46" spans="1:55">
      <c r="A46" s="349"/>
      <c r="B46" s="350"/>
      <c r="C46" s="351"/>
      <c r="D46" s="352"/>
      <c r="E46" s="352"/>
      <c r="F46" s="354"/>
      <c r="G46" s="353"/>
      <c r="H46" s="355"/>
      <c r="I46" s="356"/>
    </row>
    <row r="47" spans="1:55" hidden="1">
      <c r="A47" s="357"/>
      <c r="H47" s="358"/>
    </row>
    <row r="48" spans="1:55" hidden="1">
      <c r="A48" s="357"/>
      <c r="H48" s="359"/>
    </row>
    <row r="49" spans="1:9" hidden="1">
      <c r="A49" s="357"/>
    </row>
    <row r="50" spans="1:9">
      <c r="A50" s="349"/>
      <c r="B50" s="350"/>
      <c r="C50" s="351"/>
      <c r="D50" s="352"/>
      <c r="E50" s="352"/>
      <c r="F50" s="354"/>
      <c r="G50" s="353"/>
      <c r="H50" s="355"/>
      <c r="I50" s="356"/>
    </row>
    <row r="51" spans="1:9">
      <c r="A51" s="349"/>
      <c r="B51" s="350"/>
      <c r="C51" s="351"/>
      <c r="D51" s="352"/>
      <c r="E51" s="352"/>
      <c r="F51" s="354"/>
      <c r="G51" s="353"/>
      <c r="H51" s="355"/>
      <c r="I51" s="356"/>
    </row>
    <row r="52" spans="1:9">
      <c r="A52" s="357"/>
    </row>
    <row r="53" spans="1:9">
      <c r="A53" s="357"/>
    </row>
    <row r="54" spans="1:9">
      <c r="A54" s="357"/>
    </row>
    <row r="55" spans="1:9">
      <c r="A55" s="357"/>
    </row>
    <row r="56" spans="1:9">
      <c r="A56" s="357"/>
    </row>
    <row r="57" spans="1:9">
      <c r="A57" s="357"/>
    </row>
    <row r="58" spans="1:9">
      <c r="A58" s="357"/>
    </row>
    <row r="59" spans="1:9">
      <c r="A59" s="357"/>
    </row>
    <row r="60" spans="1:9">
      <c r="A60" s="357"/>
    </row>
    <row r="61" spans="1:9">
      <c r="C61" s="350"/>
    </row>
    <row r="62" spans="1:9">
      <c r="C62" s="344"/>
      <c r="E62" s="345"/>
    </row>
    <row r="63" spans="1:9">
      <c r="C63" s="346"/>
    </row>
  </sheetData>
  <phoneticPr fontId="19" type="noConversion"/>
  <printOptions horizontalCentered="1"/>
  <pageMargins left="0.2" right="0.2" top="0.41" bottom="0.35" header="0.17" footer="0.17"/>
  <pageSetup scale="25" orientation="landscape" r:id="rId1"/>
  <headerFooter alignWithMargins="0">
    <oddFooter>&amp;C&amp;A&amp;R&amp;8&amp;F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N83"/>
  <sheetViews>
    <sheetView zoomScaleNormal="100" workbookViewId="0">
      <pane xSplit="2" ySplit="7" topLeftCell="C8" activePane="bottomRight" state="frozen"/>
      <selection activeCell="C14" sqref="C14"/>
      <selection pane="topRight" activeCell="C14" sqref="C14"/>
      <selection pane="bottomLeft" activeCell="C14" sqref="C14"/>
      <selection pane="bottomRight" activeCell="A2" sqref="A2"/>
    </sheetView>
  </sheetViews>
  <sheetFormatPr defaultColWidth="8.83203125" defaultRowHeight="15"/>
  <cols>
    <col min="1" max="1" width="4.6640625" style="9" customWidth="1"/>
    <col min="2" max="2" width="46" style="9" customWidth="1"/>
    <col min="3" max="3" width="10.83203125" style="9" customWidth="1"/>
    <col min="4" max="4" width="11.83203125" style="9" customWidth="1"/>
    <col min="5" max="5" width="12.83203125" style="9" customWidth="1"/>
    <col min="6" max="6" width="15.83203125" style="9" customWidth="1"/>
    <col min="7" max="7" width="13" style="9" customWidth="1"/>
    <col min="8" max="8" width="13.83203125" style="9" customWidth="1"/>
    <col min="9" max="9" width="18" style="9" customWidth="1"/>
    <col min="10" max="10" width="12.1640625" style="9" customWidth="1"/>
    <col min="11" max="11" width="6.33203125" style="9" customWidth="1"/>
    <col min="12" max="13" width="13.5" style="9" bestFit="1" customWidth="1"/>
    <col min="14" max="14" width="9.1640625" style="9" bestFit="1" customWidth="1"/>
    <col min="15" max="16384" width="8.83203125" style="9"/>
  </cols>
  <sheetData>
    <row r="1" spans="1:14" ht="12.75" customHeight="1">
      <c r="B1" s="30" t="s">
        <v>25</v>
      </c>
      <c r="C1" s="23"/>
      <c r="D1" s="23"/>
      <c r="E1" s="23"/>
      <c r="F1" s="23"/>
      <c r="G1" s="23"/>
      <c r="H1" s="23"/>
      <c r="I1" s="23"/>
      <c r="J1" s="24"/>
      <c r="K1" s="22"/>
    </row>
    <row r="2" spans="1:14" s="10" customFormat="1" ht="12.75" customHeight="1">
      <c r="B2" s="30" t="s">
        <v>26</v>
      </c>
      <c r="C2" s="23"/>
      <c r="D2" s="23"/>
      <c r="E2" s="23"/>
      <c r="F2" s="23"/>
      <c r="G2" s="23"/>
      <c r="H2" s="23"/>
      <c r="I2" s="23"/>
      <c r="J2" s="26"/>
      <c r="K2" s="22"/>
    </row>
    <row r="3" spans="1:14" s="10" customFormat="1" ht="12.75" customHeight="1">
      <c r="B3" s="389" t="str">
        <f>'Pg 6 LTD Cost '!A2</f>
        <v>Twelve Months Ended June 30, 2018</v>
      </c>
      <c r="C3" s="389"/>
      <c r="D3" s="389"/>
      <c r="E3" s="23"/>
      <c r="F3" s="23"/>
      <c r="G3" s="23"/>
      <c r="H3" s="23"/>
      <c r="I3" s="23"/>
      <c r="J3" s="24"/>
      <c r="K3" s="22"/>
    </row>
    <row r="4" spans="1:14" s="10" customFormat="1" ht="12.75" customHeight="1">
      <c r="B4" s="49"/>
      <c r="C4" s="49"/>
      <c r="D4" s="49"/>
      <c r="E4" s="23"/>
      <c r="F4" s="23"/>
      <c r="G4" s="23"/>
      <c r="H4" s="23"/>
      <c r="I4" s="23"/>
      <c r="J4" s="24"/>
      <c r="K4" s="22"/>
    </row>
    <row r="5" spans="1:14" s="10" customFormat="1" ht="12.75" customHeight="1">
      <c r="A5" s="89">
        <v>1</v>
      </c>
      <c r="B5" s="51" t="s">
        <v>5</v>
      </c>
      <c r="C5" s="51" t="s">
        <v>27</v>
      </c>
      <c r="D5" s="51" t="s">
        <v>52</v>
      </c>
      <c r="E5" s="51" t="s">
        <v>64</v>
      </c>
      <c r="F5" s="51" t="s">
        <v>65</v>
      </c>
      <c r="G5" s="104" t="s">
        <v>66</v>
      </c>
      <c r="H5" s="51" t="s">
        <v>67</v>
      </c>
      <c r="I5" s="51" t="s">
        <v>68</v>
      </c>
      <c r="J5" s="51" t="s">
        <v>69</v>
      </c>
      <c r="K5" s="22"/>
    </row>
    <row r="6" spans="1:14" s="10" customFormat="1" ht="12.75" customHeight="1">
      <c r="A6" s="89">
        <f t="shared" ref="A6:A40" si="0">A5+1</f>
        <v>2</v>
      </c>
      <c r="B6" s="25" t="s">
        <v>2</v>
      </c>
      <c r="C6" s="97" t="s">
        <v>17</v>
      </c>
      <c r="D6" s="98" t="s">
        <v>99</v>
      </c>
      <c r="E6" s="82" t="s">
        <v>135</v>
      </c>
      <c r="F6" s="82" t="s">
        <v>136</v>
      </c>
      <c r="G6" s="82" t="s">
        <v>136</v>
      </c>
      <c r="H6" s="82" t="s">
        <v>70</v>
      </c>
      <c r="I6" s="98" t="s">
        <v>18</v>
      </c>
      <c r="J6" s="24"/>
      <c r="K6" s="22"/>
    </row>
    <row r="7" spans="1:14" s="10" customFormat="1" ht="12.75" customHeight="1">
      <c r="A7" s="89">
        <f t="shared" si="0"/>
        <v>3</v>
      </c>
      <c r="B7" s="40" t="s">
        <v>17</v>
      </c>
      <c r="C7" s="27" t="s">
        <v>100</v>
      </c>
      <c r="D7" s="27" t="s">
        <v>100</v>
      </c>
      <c r="E7" s="27" t="s">
        <v>100</v>
      </c>
      <c r="F7" s="27" t="s">
        <v>17</v>
      </c>
      <c r="G7" s="27" t="s">
        <v>100</v>
      </c>
      <c r="H7" s="27" t="s">
        <v>137</v>
      </c>
      <c r="I7" s="27" t="s">
        <v>134</v>
      </c>
      <c r="J7" s="28" t="s">
        <v>56</v>
      </c>
      <c r="K7" s="22"/>
    </row>
    <row r="8" spans="1:14" s="10" customFormat="1" ht="12.75" customHeight="1">
      <c r="A8" s="89">
        <f t="shared" si="0"/>
        <v>4</v>
      </c>
      <c r="B8" s="41"/>
      <c r="C8" s="42"/>
      <c r="D8" s="42"/>
      <c r="E8" s="42"/>
      <c r="F8" s="42"/>
      <c r="G8" s="42"/>
      <c r="H8" s="125"/>
      <c r="I8" s="29"/>
      <c r="J8" s="43"/>
    </row>
    <row r="9" spans="1:14" s="10" customFormat="1" ht="12.75" customHeight="1">
      <c r="A9" s="89">
        <f>A8+1</f>
        <v>5</v>
      </c>
      <c r="B9" s="41">
        <v>0.10249999999999999</v>
      </c>
      <c r="C9" s="42">
        <v>32140</v>
      </c>
      <c r="D9" s="42">
        <v>35779</v>
      </c>
      <c r="E9" s="42">
        <v>35048</v>
      </c>
      <c r="F9" s="42"/>
      <c r="G9" s="42"/>
      <c r="H9" s="125">
        <v>42684</v>
      </c>
      <c r="I9" s="126">
        <v>0</v>
      </c>
      <c r="J9" s="43">
        <v>18900013</v>
      </c>
      <c r="L9" s="126"/>
      <c r="M9" s="126"/>
      <c r="N9" s="184"/>
    </row>
    <row r="10" spans="1:14" s="10" customFormat="1" ht="12.75" customHeight="1">
      <c r="A10" s="89">
        <f t="shared" si="0"/>
        <v>6</v>
      </c>
      <c r="B10" s="41" t="s">
        <v>116</v>
      </c>
      <c r="C10" s="42">
        <v>35587</v>
      </c>
      <c r="D10" s="42">
        <v>46539</v>
      </c>
      <c r="E10" s="42">
        <v>39234</v>
      </c>
      <c r="F10" s="42" t="s">
        <v>125</v>
      </c>
      <c r="G10" s="42">
        <v>39237</v>
      </c>
      <c r="H10" s="125">
        <v>42887</v>
      </c>
      <c r="I10" s="126">
        <v>0</v>
      </c>
      <c r="J10" s="43">
        <v>18900383</v>
      </c>
      <c r="L10" s="191"/>
      <c r="M10" s="190"/>
      <c r="N10" s="184"/>
    </row>
    <row r="11" spans="1:14" s="10" customFormat="1" ht="12.75" customHeight="1">
      <c r="A11" s="89">
        <f t="shared" si="0"/>
        <v>7</v>
      </c>
      <c r="B11" s="41" t="s">
        <v>130</v>
      </c>
      <c r="C11" s="42">
        <v>33410</v>
      </c>
      <c r="D11" s="42">
        <v>37063</v>
      </c>
      <c r="E11" s="42">
        <v>35961</v>
      </c>
      <c r="F11" s="42" t="s">
        <v>126</v>
      </c>
      <c r="G11" s="42">
        <v>35961</v>
      </c>
      <c r="H11" s="125">
        <v>43266</v>
      </c>
      <c r="I11" s="126">
        <v>0</v>
      </c>
      <c r="J11" s="43">
        <v>18900243</v>
      </c>
      <c r="L11" s="126"/>
      <c r="M11" s="190"/>
      <c r="N11" s="184"/>
    </row>
    <row r="12" spans="1:14" s="10" customFormat="1" ht="12.75" customHeight="1">
      <c r="A12" s="89">
        <f t="shared" si="0"/>
        <v>8</v>
      </c>
      <c r="B12" s="127" t="s">
        <v>44</v>
      </c>
      <c r="C12" s="42">
        <v>33616</v>
      </c>
      <c r="D12" s="42">
        <f>DATE(2022,1,12)</f>
        <v>44573</v>
      </c>
      <c r="E12" s="128">
        <v>37701</v>
      </c>
      <c r="F12" s="128"/>
      <c r="G12" s="128"/>
      <c r="H12" s="125">
        <f>DATE(2022,1,12)</f>
        <v>44573</v>
      </c>
      <c r="I12" s="126">
        <v>1141.08</v>
      </c>
      <c r="J12" s="43">
        <v>18900293</v>
      </c>
      <c r="L12" s="126"/>
      <c r="M12" s="190"/>
      <c r="N12" s="184"/>
    </row>
    <row r="13" spans="1:14" s="10" customFormat="1" ht="12.75" customHeight="1">
      <c r="A13" s="89">
        <f t="shared" si="0"/>
        <v>9</v>
      </c>
      <c r="B13" s="127" t="s">
        <v>45</v>
      </c>
      <c r="C13" s="42">
        <v>33616</v>
      </c>
      <c r="D13" s="42">
        <f>DATE(2022,1,13)</f>
        <v>44574</v>
      </c>
      <c r="E13" s="128">
        <v>37701</v>
      </c>
      <c r="F13" s="128"/>
      <c r="G13" s="128"/>
      <c r="H13" s="125">
        <f>DATE(2022,1,13)</f>
        <v>44574</v>
      </c>
      <c r="I13" s="126">
        <v>2662.56</v>
      </c>
      <c r="J13" s="43">
        <v>18900303</v>
      </c>
      <c r="K13" s="176"/>
      <c r="L13" s="126"/>
      <c r="M13" s="190"/>
    </row>
    <row r="14" spans="1:14" s="10" customFormat="1" ht="12.75" customHeight="1">
      <c r="A14" s="89">
        <f t="shared" si="0"/>
        <v>10</v>
      </c>
      <c r="B14" s="127" t="s">
        <v>117</v>
      </c>
      <c r="C14" s="42">
        <v>33828</v>
      </c>
      <c r="D14" s="42">
        <v>44785</v>
      </c>
      <c r="E14" s="128">
        <v>37770</v>
      </c>
      <c r="F14" s="128"/>
      <c r="G14" s="128"/>
      <c r="H14" s="125">
        <v>44785</v>
      </c>
      <c r="I14" s="126">
        <v>62485.68</v>
      </c>
      <c r="J14" s="43">
        <v>18900323</v>
      </c>
      <c r="L14" s="126"/>
      <c r="M14" s="190"/>
    </row>
    <row r="15" spans="1:14" s="10" customFormat="1" ht="12.75" customHeight="1">
      <c r="A15" s="89">
        <f t="shared" si="0"/>
        <v>11</v>
      </c>
      <c r="B15" s="127" t="s">
        <v>138</v>
      </c>
      <c r="C15" s="42">
        <v>34199</v>
      </c>
      <c r="D15" s="42">
        <v>45156</v>
      </c>
      <c r="E15" s="128">
        <v>37851</v>
      </c>
      <c r="H15" s="125">
        <v>45156</v>
      </c>
      <c r="I15" s="126">
        <v>10655.88</v>
      </c>
      <c r="J15" s="43">
        <v>18900353</v>
      </c>
      <c r="K15" s="176"/>
      <c r="L15" s="126"/>
      <c r="M15" s="190"/>
    </row>
    <row r="16" spans="1:14" s="10" customFormat="1" ht="12.75" customHeight="1">
      <c r="A16" s="89">
        <f t="shared" si="0"/>
        <v>12</v>
      </c>
      <c r="B16" s="41" t="s">
        <v>131</v>
      </c>
      <c r="C16" s="42">
        <v>33161</v>
      </c>
      <c r="D16" s="42">
        <v>35718</v>
      </c>
      <c r="E16" s="42">
        <v>34372</v>
      </c>
      <c r="F16" s="42" t="s">
        <v>127</v>
      </c>
      <c r="G16" s="42">
        <v>34366</v>
      </c>
      <c r="H16" s="125">
        <v>45323</v>
      </c>
      <c r="I16" s="126">
        <v>168880.08</v>
      </c>
      <c r="J16" s="43">
        <v>18900173</v>
      </c>
      <c r="L16" s="126"/>
      <c r="M16" s="190"/>
    </row>
    <row r="17" spans="1:13" s="10" customFormat="1" ht="12.75" customHeight="1">
      <c r="A17" s="89">
        <f t="shared" si="0"/>
        <v>13</v>
      </c>
      <c r="B17" s="41" t="s">
        <v>115</v>
      </c>
      <c r="C17" s="42">
        <v>35587</v>
      </c>
      <c r="D17" s="42">
        <v>46539</v>
      </c>
      <c r="E17" s="42">
        <v>38504</v>
      </c>
      <c r="F17" s="42"/>
      <c r="G17" s="42"/>
      <c r="H17" s="125">
        <v>46539</v>
      </c>
      <c r="I17" s="126">
        <v>229804.2</v>
      </c>
      <c r="J17" s="43">
        <v>18900193</v>
      </c>
      <c r="L17" s="126"/>
      <c r="M17" s="190"/>
    </row>
    <row r="18" spans="1:13" s="10" customFormat="1" ht="12.75" customHeight="1">
      <c r="A18" s="89">
        <f t="shared" si="0"/>
        <v>14</v>
      </c>
      <c r="B18" s="127" t="s">
        <v>40</v>
      </c>
      <c r="C18" s="42">
        <v>33457</v>
      </c>
      <c r="D18" s="42">
        <f>DATE(2021,8,1)</f>
        <v>44409</v>
      </c>
      <c r="E18" s="128">
        <v>37691</v>
      </c>
      <c r="F18" s="128" t="s">
        <v>128</v>
      </c>
      <c r="G18" s="128">
        <v>37691</v>
      </c>
      <c r="H18" s="125">
        <v>47908</v>
      </c>
      <c r="I18" s="126">
        <v>45480.480000000003</v>
      </c>
      <c r="J18" s="43">
        <v>18900253</v>
      </c>
      <c r="L18" s="126"/>
      <c r="M18" s="126"/>
    </row>
    <row r="19" spans="1:13" s="10" customFormat="1" ht="12.75" customHeight="1">
      <c r="A19" s="89">
        <f t="shared" si="0"/>
        <v>15</v>
      </c>
      <c r="B19" s="127" t="s">
        <v>41</v>
      </c>
      <c r="C19" s="42">
        <v>33457</v>
      </c>
      <c r="D19" s="42">
        <f>DATE(2021,8,1)</f>
        <v>44409</v>
      </c>
      <c r="E19" s="128">
        <v>37691</v>
      </c>
      <c r="F19" s="128" t="s">
        <v>128</v>
      </c>
      <c r="G19" s="128">
        <v>37691</v>
      </c>
      <c r="H19" s="125">
        <v>47908</v>
      </c>
      <c r="I19" s="126">
        <v>34561.440000000002</v>
      </c>
      <c r="J19" s="43">
        <v>18900263</v>
      </c>
      <c r="L19" s="126"/>
      <c r="M19" s="126"/>
    </row>
    <row r="20" spans="1:13" s="10" customFormat="1" ht="12.75" customHeight="1">
      <c r="A20" s="89">
        <f t="shared" si="0"/>
        <v>16</v>
      </c>
      <c r="B20" s="127" t="s">
        <v>42</v>
      </c>
      <c r="C20" s="42">
        <v>33664</v>
      </c>
      <c r="D20" s="42">
        <f>DATE(2022,3,1)</f>
        <v>44621</v>
      </c>
      <c r="E20" s="128">
        <v>37691</v>
      </c>
      <c r="F20" s="128" t="s">
        <v>128</v>
      </c>
      <c r="G20" s="128">
        <v>37691</v>
      </c>
      <c r="H20" s="125">
        <v>47908</v>
      </c>
      <c r="I20" s="126">
        <v>105825.48</v>
      </c>
      <c r="J20" s="43">
        <v>18900273</v>
      </c>
      <c r="L20" s="126"/>
      <c r="M20" s="126"/>
    </row>
    <row r="21" spans="1:13" s="10" customFormat="1" ht="12.75" customHeight="1">
      <c r="A21" s="89">
        <f t="shared" si="0"/>
        <v>17</v>
      </c>
      <c r="B21" s="127" t="s">
        <v>43</v>
      </c>
      <c r="C21" s="42">
        <v>33664</v>
      </c>
      <c r="D21" s="42">
        <f>DATE(2022,3,1)</f>
        <v>44621</v>
      </c>
      <c r="E21" s="128">
        <v>37691</v>
      </c>
      <c r="F21" s="128" t="s">
        <v>128</v>
      </c>
      <c r="G21" s="128">
        <v>37691</v>
      </c>
      <c r="H21" s="125">
        <v>47908</v>
      </c>
      <c r="I21" s="126">
        <v>32297.759999999998</v>
      </c>
      <c r="J21" s="43">
        <v>18900283</v>
      </c>
      <c r="L21" s="126"/>
      <c r="M21" s="126"/>
    </row>
    <row r="22" spans="1:13" s="10" customFormat="1" ht="12.75" customHeight="1">
      <c r="A22" s="89">
        <f t="shared" si="0"/>
        <v>18</v>
      </c>
      <c r="B22" s="127" t="s">
        <v>175</v>
      </c>
      <c r="C22" s="42">
        <v>37691</v>
      </c>
      <c r="D22" s="42">
        <v>47908</v>
      </c>
      <c r="E22" s="128">
        <v>41449</v>
      </c>
      <c r="F22" s="128" t="s">
        <v>176</v>
      </c>
      <c r="G22" s="128">
        <v>41417</v>
      </c>
      <c r="H22" s="125">
        <v>47908</v>
      </c>
      <c r="I22" s="126">
        <v>299128.68</v>
      </c>
      <c r="J22" s="43">
        <v>18900433</v>
      </c>
      <c r="L22" s="126"/>
      <c r="M22" s="126"/>
    </row>
    <row r="23" spans="1:13" s="10" customFormat="1" ht="12.75" customHeight="1">
      <c r="A23" s="89">
        <f t="shared" si="0"/>
        <v>19</v>
      </c>
      <c r="B23" s="127" t="s">
        <v>175</v>
      </c>
      <c r="C23" s="42">
        <v>37691</v>
      </c>
      <c r="D23" s="42">
        <v>47908</v>
      </c>
      <c r="E23" s="128">
        <v>41449</v>
      </c>
      <c r="F23" s="128" t="s">
        <v>176</v>
      </c>
      <c r="G23" s="128">
        <v>41417</v>
      </c>
      <c r="H23" s="125">
        <v>47908</v>
      </c>
      <c r="I23" s="126">
        <v>50553.24</v>
      </c>
      <c r="J23" s="43">
        <v>18900533</v>
      </c>
      <c r="L23" s="126"/>
      <c r="M23" s="126"/>
    </row>
    <row r="24" spans="1:13" s="10" customFormat="1" ht="12.75" customHeight="1">
      <c r="A24" s="89">
        <f>A23+1</f>
        <v>20</v>
      </c>
      <c r="B24" s="41" t="s">
        <v>93</v>
      </c>
      <c r="C24" s="42">
        <v>38183</v>
      </c>
      <c r="D24" s="42">
        <v>38913</v>
      </c>
      <c r="E24" s="42">
        <v>38499</v>
      </c>
      <c r="F24" s="42" t="s">
        <v>94</v>
      </c>
      <c r="G24" s="42">
        <v>38499</v>
      </c>
      <c r="H24" s="125">
        <v>49456</v>
      </c>
      <c r="I24" s="126">
        <f>17086.56</f>
        <v>17086.560000000001</v>
      </c>
      <c r="J24" s="43">
        <v>18900183</v>
      </c>
      <c r="L24" s="126"/>
      <c r="M24" s="126"/>
    </row>
    <row r="25" spans="1:13" s="10" customFormat="1" ht="12.75" customHeight="1">
      <c r="A25" s="89">
        <f t="shared" si="0"/>
        <v>21</v>
      </c>
      <c r="B25" s="41" t="s">
        <v>29</v>
      </c>
      <c r="C25" s="42">
        <v>37035</v>
      </c>
      <c r="D25" s="42">
        <v>51682</v>
      </c>
      <c r="E25" s="42">
        <v>38898</v>
      </c>
      <c r="F25" s="42" t="s">
        <v>129</v>
      </c>
      <c r="G25" s="42">
        <v>38898</v>
      </c>
      <c r="H25" s="125">
        <v>49841</v>
      </c>
      <c r="I25" s="126">
        <f>(16418.45*12)</f>
        <v>197021.40000000002</v>
      </c>
      <c r="J25" s="43">
        <v>18900373</v>
      </c>
      <c r="L25" s="126"/>
      <c r="M25" s="126"/>
    </row>
    <row r="26" spans="1:13" s="10" customFormat="1" ht="12.75" customHeight="1">
      <c r="A26" s="89">
        <f t="shared" si="0"/>
        <v>22</v>
      </c>
      <c r="B26" s="41" t="s">
        <v>169</v>
      </c>
      <c r="C26" s="42">
        <v>33117</v>
      </c>
      <c r="D26" s="42">
        <v>44075</v>
      </c>
      <c r="E26" s="42">
        <v>40900</v>
      </c>
      <c r="F26" s="42" t="s">
        <v>170</v>
      </c>
      <c r="G26" s="42">
        <v>40869</v>
      </c>
      <c r="H26" s="125">
        <v>55472</v>
      </c>
      <c r="I26" s="126">
        <v>400518.84</v>
      </c>
      <c r="J26" s="43">
        <v>18900393</v>
      </c>
      <c r="L26" s="126"/>
      <c r="M26" s="126"/>
    </row>
    <row r="27" spans="1:13" s="10" customFormat="1" ht="12.75" customHeight="1">
      <c r="A27" s="89">
        <f t="shared" si="0"/>
        <v>23</v>
      </c>
      <c r="B27" s="41" t="s">
        <v>186</v>
      </c>
      <c r="C27" s="42">
        <v>38637</v>
      </c>
      <c r="D27" s="42">
        <v>42278</v>
      </c>
      <c r="E27" s="42">
        <v>42160</v>
      </c>
      <c r="F27" s="42" t="s">
        <v>188</v>
      </c>
      <c r="G27" s="42">
        <v>42150</v>
      </c>
      <c r="H27" s="125">
        <v>53102</v>
      </c>
      <c r="I27" s="126">
        <v>82302.48</v>
      </c>
      <c r="J27" s="43">
        <v>18900203</v>
      </c>
      <c r="L27" s="126"/>
      <c r="M27" s="126"/>
    </row>
    <row r="28" spans="1:13" s="10" customFormat="1" ht="12.75" customHeight="1">
      <c r="A28" s="89">
        <f t="shared" si="0"/>
        <v>24</v>
      </c>
      <c r="B28" s="41" t="s">
        <v>187</v>
      </c>
      <c r="C28" s="42">
        <v>39836</v>
      </c>
      <c r="D28" s="42">
        <v>42384</v>
      </c>
      <c r="E28" s="42">
        <v>42160</v>
      </c>
      <c r="F28" s="42" t="s">
        <v>188</v>
      </c>
      <c r="G28" s="42">
        <v>42150</v>
      </c>
      <c r="H28" s="125">
        <v>53102</v>
      </c>
      <c r="I28" s="126">
        <v>316649.76</v>
      </c>
      <c r="J28" s="43">
        <v>18900213</v>
      </c>
      <c r="L28" s="126"/>
      <c r="M28" s="126"/>
    </row>
    <row r="29" spans="1:13" s="10" customFormat="1" ht="12.75" customHeight="1">
      <c r="A29" s="89">
        <f t="shared" si="0"/>
        <v>25</v>
      </c>
      <c r="B29" s="41" t="s">
        <v>114</v>
      </c>
      <c r="C29" s="42">
        <v>39237</v>
      </c>
      <c r="D29" s="42">
        <v>24624</v>
      </c>
      <c r="E29" s="42">
        <v>43217</v>
      </c>
      <c r="F29" s="42"/>
      <c r="G29" s="42"/>
      <c r="H29" s="125">
        <v>61149</v>
      </c>
      <c r="I29" s="126">
        <v>25001</v>
      </c>
      <c r="J29" s="43">
        <v>18900233</v>
      </c>
      <c r="L29" s="126"/>
      <c r="M29" s="126"/>
    </row>
    <row r="30" spans="1:13" s="10" customFormat="1" ht="12.75" customHeight="1">
      <c r="A30" s="89">
        <f t="shared" si="0"/>
        <v>26</v>
      </c>
      <c r="B30" s="41"/>
      <c r="C30" s="42"/>
      <c r="D30" s="42"/>
      <c r="E30" s="42"/>
      <c r="F30" s="42"/>
      <c r="G30" s="42"/>
      <c r="H30" s="125"/>
      <c r="I30" s="129"/>
      <c r="J30" s="130"/>
    </row>
    <row r="31" spans="1:13" s="10" customFormat="1" ht="15" customHeight="1" thickBot="1">
      <c r="A31" s="89">
        <f t="shared" si="0"/>
        <v>27</v>
      </c>
      <c r="B31" s="39" t="s">
        <v>28</v>
      </c>
      <c r="C31" s="44"/>
      <c r="D31" s="44"/>
      <c r="E31" s="44"/>
      <c r="F31" s="44"/>
      <c r="G31" s="44"/>
      <c r="H31" s="44"/>
      <c r="I31" s="131">
        <f>SUM(I8:I30)</f>
        <v>2082056.6</v>
      </c>
      <c r="J31" s="46"/>
    </row>
    <row r="32" spans="1:13" s="10" customFormat="1" ht="12.75" customHeight="1" thickTop="1">
      <c r="A32" s="89">
        <f t="shared" si="0"/>
        <v>28</v>
      </c>
      <c r="B32" s="47"/>
      <c r="C32" s="48"/>
      <c r="D32" s="48"/>
      <c r="E32" s="48"/>
      <c r="F32" s="48"/>
      <c r="G32" s="48"/>
      <c r="H32" s="48"/>
      <c r="I32" s="29"/>
      <c r="J32" s="45"/>
    </row>
    <row r="33" spans="1:10" s="10" customFormat="1" ht="12.75" customHeight="1">
      <c r="A33" s="89">
        <f t="shared" si="0"/>
        <v>29</v>
      </c>
      <c r="B33" s="47" t="s">
        <v>195</v>
      </c>
      <c r="C33" s="48"/>
      <c r="D33" s="48"/>
      <c r="E33" s="48"/>
      <c r="F33" s="48"/>
      <c r="G33" s="48"/>
      <c r="H33" s="48"/>
      <c r="I33" s="126">
        <f>'CBR COC Pg1'!C30</f>
        <v>7744981757</v>
      </c>
      <c r="J33" s="45"/>
    </row>
    <row r="34" spans="1:10" s="10" customFormat="1" ht="12.75" customHeight="1">
      <c r="A34" s="89">
        <f t="shared" si="0"/>
        <v>30</v>
      </c>
      <c r="B34" s="47"/>
      <c r="C34" s="48"/>
      <c r="D34" s="48"/>
      <c r="E34" s="48"/>
      <c r="F34" s="48"/>
      <c r="G34" s="48"/>
      <c r="H34" s="48"/>
      <c r="I34" s="29"/>
      <c r="J34" s="45"/>
    </row>
    <row r="35" spans="1:10" s="10" customFormat="1" ht="12.75" customHeight="1">
      <c r="A35" s="89">
        <f t="shared" si="0"/>
        <v>31</v>
      </c>
      <c r="B35" s="47" t="s">
        <v>198</v>
      </c>
      <c r="C35" s="48"/>
      <c r="D35" s="48"/>
      <c r="E35" s="48"/>
      <c r="F35" s="48"/>
      <c r="G35" s="48"/>
      <c r="H35" s="48"/>
      <c r="I35" s="186">
        <f>ROUND(I31/I33,4)</f>
        <v>2.9999999999999997E-4</v>
      </c>
      <c r="J35" s="197"/>
    </row>
    <row r="36" spans="1:10" s="10" customFormat="1" ht="12.75" customHeight="1">
      <c r="A36" s="89">
        <f t="shared" si="0"/>
        <v>32</v>
      </c>
      <c r="B36" s="47"/>
      <c r="C36" s="48"/>
      <c r="D36" s="48"/>
      <c r="E36" s="48"/>
      <c r="F36" s="48"/>
      <c r="G36" s="48"/>
      <c r="H36" s="48"/>
      <c r="I36" s="29"/>
      <c r="J36" s="45"/>
    </row>
    <row r="37" spans="1:10" s="10" customFormat="1" ht="12.75" customHeight="1">
      <c r="A37" s="89">
        <f t="shared" si="0"/>
        <v>33</v>
      </c>
      <c r="C37" s="22"/>
      <c r="D37" s="22"/>
      <c r="E37" s="22"/>
      <c r="F37" s="22"/>
      <c r="G37" s="22"/>
      <c r="H37" s="55"/>
      <c r="I37" s="29"/>
      <c r="J37" s="45"/>
    </row>
    <row r="38" spans="1:10" s="10" customFormat="1" ht="12.75" customHeight="1">
      <c r="A38" s="89">
        <f t="shared" si="0"/>
        <v>34</v>
      </c>
      <c r="B38" s="87"/>
      <c r="C38" s="88"/>
      <c r="D38" s="88"/>
      <c r="E38" s="88"/>
      <c r="F38" s="88"/>
      <c r="H38" s="11"/>
      <c r="I38" s="29"/>
    </row>
    <row r="39" spans="1:10" s="10" customFormat="1" ht="12.75" customHeight="1">
      <c r="A39" s="89">
        <f t="shared" si="0"/>
        <v>35</v>
      </c>
      <c r="B39" s="22" t="s">
        <v>133</v>
      </c>
      <c r="H39" s="11"/>
      <c r="I39" s="29"/>
      <c r="J39" s="43"/>
    </row>
    <row r="40" spans="1:10" s="10" customFormat="1" ht="12.75" customHeight="1">
      <c r="A40" s="89">
        <f t="shared" si="0"/>
        <v>36</v>
      </c>
      <c r="B40" s="107" t="s">
        <v>132</v>
      </c>
      <c r="H40" s="11"/>
      <c r="I40" s="11"/>
    </row>
    <row r="41" spans="1:10" s="10" customFormat="1" ht="12.75" customHeight="1">
      <c r="A41" s="90"/>
      <c r="H41" s="11"/>
      <c r="I41" s="11"/>
    </row>
    <row r="42" spans="1:10" s="10" customFormat="1" ht="12.75" customHeight="1">
      <c r="H42" s="11"/>
      <c r="I42" s="11"/>
    </row>
    <row r="43" spans="1:10" s="10" customFormat="1" ht="12.75" customHeight="1">
      <c r="H43" s="11"/>
      <c r="I43" s="84"/>
    </row>
    <row r="44" spans="1:10" s="10" customFormat="1" ht="12.75" customHeight="1">
      <c r="H44" s="11"/>
      <c r="I44" s="11"/>
    </row>
    <row r="45" spans="1:10" s="10" customFormat="1" ht="12.75" customHeight="1">
      <c r="H45" s="11"/>
      <c r="I45" s="11"/>
    </row>
    <row r="46" spans="1:10" s="10" customFormat="1" ht="12.75" customHeight="1">
      <c r="H46" s="11"/>
      <c r="I46" s="11"/>
    </row>
    <row r="47" spans="1:10" s="10" customFormat="1" ht="12.75" customHeight="1">
      <c r="H47" s="11"/>
      <c r="I47" s="11"/>
    </row>
    <row r="48" spans="1:10" s="10" customFormat="1" ht="12.75" customHeight="1">
      <c r="H48" s="11"/>
      <c r="I48" s="11"/>
    </row>
    <row r="49" spans="8:9" s="10" customFormat="1" ht="12.75" customHeight="1">
      <c r="H49" s="11"/>
      <c r="I49" s="11"/>
    </row>
    <row r="50" spans="8:9" s="10" customFormat="1" ht="12.75" customHeight="1">
      <c r="H50" s="11"/>
      <c r="I50" s="11"/>
    </row>
    <row r="51" spans="8:9" s="10" customFormat="1" ht="12.75" customHeight="1">
      <c r="H51" s="11"/>
      <c r="I51" s="11"/>
    </row>
    <row r="52" spans="8:9" s="10" customFormat="1" ht="12.75" customHeight="1"/>
    <row r="53" spans="8:9" s="10" customFormat="1" ht="12.75" customHeight="1"/>
    <row r="54" spans="8:9" s="10" customFormat="1" ht="12.75" customHeight="1"/>
    <row r="55" spans="8:9" s="10" customFormat="1" ht="12.75" customHeight="1"/>
    <row r="56" spans="8:9" s="10" customFormat="1" ht="12.75" customHeight="1"/>
    <row r="57" spans="8:9" s="10" customFormat="1" ht="12.75" customHeight="1"/>
    <row r="58" spans="8:9" s="10" customFormat="1" ht="12.75" customHeight="1"/>
    <row r="59" spans="8:9" s="10" customFormat="1" ht="15.75"/>
    <row r="60" spans="8:9" s="10" customFormat="1" ht="15.75"/>
    <row r="61" spans="8:9" s="10" customFormat="1" ht="15.75"/>
    <row r="62" spans="8:9" s="10" customFormat="1" ht="15.75"/>
    <row r="63" spans="8:9" s="10" customFormat="1" ht="15.75"/>
    <row r="64" spans="8:9" s="10" customFormat="1" ht="15.75"/>
    <row r="65" s="10" customFormat="1" ht="15.75"/>
    <row r="66" s="10" customFormat="1" ht="15.75"/>
    <row r="67" s="10" customFormat="1" ht="15.75"/>
    <row r="68" s="10" customFormat="1" ht="15.75"/>
    <row r="69" s="10" customFormat="1" ht="15.75"/>
    <row r="70" s="10" customFormat="1" ht="15.75"/>
    <row r="71" s="10" customFormat="1" ht="15.75"/>
    <row r="72" s="10" customFormat="1" ht="15.75"/>
    <row r="73" s="10" customFormat="1" ht="15.75"/>
    <row r="74" s="10" customFormat="1" ht="15.75"/>
    <row r="75" s="10" customFormat="1" ht="15.75"/>
    <row r="76" s="10" customFormat="1" ht="15.75"/>
    <row r="77" s="10" customFormat="1" ht="15.75"/>
    <row r="78" s="10" customFormat="1" ht="15.75"/>
    <row r="79" s="10" customFormat="1" ht="15.75"/>
    <row r="80" s="10" customFormat="1" ht="15.75"/>
    <row r="81" s="10" customFormat="1" ht="15.75"/>
    <row r="82" s="10" customFormat="1" ht="15.75"/>
    <row r="83" s="10" customFormat="1" ht="15.75"/>
  </sheetData>
  <mergeCells count="1">
    <mergeCell ref="B3:D3"/>
  </mergeCells>
  <phoneticPr fontId="19" type="noConversion"/>
  <printOptions horizontalCentered="1"/>
  <pageMargins left="0.2" right="0.2" top="0.75" bottom="0.4" header="0.36" footer="0.17"/>
  <pageSetup orientation="landscape" r:id="rId1"/>
  <headerFooter alignWithMargins="0">
    <oddFooter>&amp;C&amp;A&amp;R&amp;7&amp;F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01860C9-EBDD-439F-B410-119CB0678710}"/>
</file>

<file path=customXml/itemProps2.xml><?xml version="1.0" encoding="utf-8"?>
<ds:datastoreItem xmlns:ds="http://schemas.openxmlformats.org/officeDocument/2006/customXml" ds:itemID="{4877EC20-FDFB-49C9-A332-FAD4D5451F81}"/>
</file>

<file path=customXml/itemProps3.xml><?xml version="1.0" encoding="utf-8"?>
<ds:datastoreItem xmlns:ds="http://schemas.openxmlformats.org/officeDocument/2006/customXml" ds:itemID="{51C2F99E-1EC1-4A2F-BD61-F2048075ABE2}"/>
</file>

<file path=customXml/itemProps4.xml><?xml version="1.0" encoding="utf-8"?>
<ds:datastoreItem xmlns:ds="http://schemas.openxmlformats.org/officeDocument/2006/customXml" ds:itemID="{C7D7BDE5-FEFB-4DF0-B0D8-714F838763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CBR COC Pg1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NC</cp:lastModifiedBy>
  <cp:lastPrinted>2018-10-27T00:04:07Z</cp:lastPrinted>
  <dcterms:created xsi:type="dcterms:W3CDTF">2001-12-28T16:42:36Z</dcterms:created>
  <dcterms:modified xsi:type="dcterms:W3CDTF">2018-11-05T23:08:21Z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