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792" yWindow="2712" windowWidth="16332" windowHeight="4320" tabRatio="883"/>
  </bookViews>
  <sheets>
    <sheet name="New Format" sheetId="83" r:id="rId1"/>
    <sheet name="Pg 2 CapStructure" sheetId="1" r:id="rId2"/>
    <sheet name="Pg 3 STD Cost Rate" sheetId="2" r:id="rId3"/>
    <sheet name="Pg 4 STD OS &amp; Comm Fees" sheetId="21" r:id="rId4"/>
    <sheet name="Pg 5 STD Amort" sheetId="71" r:id="rId5"/>
    <sheet name="Pg 6 LTD Cost " sheetId="7" r:id="rId6"/>
    <sheet name="Pg 7 Reacquired Debt" sheetId="29" r:id="rId7"/>
  </sheets>
  <definedNames>
    <definedName name="_xlnm.Print_Area" localSheetId="0">'New Format'!$A$1:$G$49</definedName>
    <definedName name="_xlnm.Print_Area" localSheetId="1">'Pg 2 CapStructure'!$A$1:$Q$44</definedName>
    <definedName name="_xlnm.Print_Area" localSheetId="2">'Pg 3 STD Cost Rate'!$A$1:$G$35</definedName>
    <definedName name="_xlnm.Print_Area" localSheetId="3">'Pg 4 STD OS &amp; Comm Fees'!$A$1:$K$36</definedName>
    <definedName name="_xlnm.Print_Area" localSheetId="4">'Pg 5 STD Amort'!$A$1:$G$35</definedName>
    <definedName name="_xlnm.Print_Area" localSheetId="5">'Pg 6 LTD Cost '!$A$1:$V$35</definedName>
    <definedName name="_xlnm.Print_Area" localSheetId="6">'Pg 7 Reacquired Debt'!$A$1:$J$41</definedName>
    <definedName name="_xlnm.Print_Titles" localSheetId="6">'Pg 7 Reacquired Debt'!$1:$7</definedName>
  </definedNames>
  <calcPr calcId="162913"/>
</workbook>
</file>

<file path=xl/calcChain.xml><?xml version="1.0" encoding="utf-8"?>
<calcChain xmlns="http://schemas.openxmlformats.org/spreadsheetml/2006/main">
  <c r="H42" i="7" l="1"/>
  <c r="O42" i="1" l="1"/>
  <c r="E16" i="2" l="1"/>
  <c r="C16" i="2"/>
  <c r="E13" i="2"/>
  <c r="C13" i="2"/>
  <c r="O40" i="1"/>
  <c r="N40" i="1"/>
  <c r="E16" i="71" l="1"/>
  <c r="E15" i="71"/>
  <c r="M42" i="1" l="1"/>
  <c r="M41" i="1"/>
  <c r="M40" i="1" l="1"/>
  <c r="E42" i="1"/>
  <c r="K41" i="1"/>
  <c r="I41" i="1"/>
  <c r="H41" i="1"/>
  <c r="F41" i="1"/>
  <c r="L40" i="1"/>
  <c r="K40" i="1"/>
  <c r="J40" i="1"/>
  <c r="I40" i="1"/>
  <c r="H40" i="1"/>
  <c r="G40" i="1"/>
  <c r="F40" i="1"/>
  <c r="E40" i="1"/>
  <c r="D40" i="1"/>
  <c r="C40" i="1"/>
  <c r="F23" i="7" l="1"/>
  <c r="E23" i="71" l="1"/>
  <c r="E22" i="71"/>
  <c r="E21" i="71"/>
  <c r="E20" i="71"/>
  <c r="E19" i="71"/>
  <c r="E18" i="71"/>
  <c r="E17" i="71"/>
  <c r="N43" i="1" l="1"/>
  <c r="Q9" i="1"/>
  <c r="O43" i="1"/>
  <c r="M43" i="1"/>
  <c r="E26" i="71"/>
  <c r="E25" i="71"/>
  <c r="E24" i="71"/>
  <c r="I24" i="29"/>
  <c r="D27" i="71"/>
  <c r="D31" i="71" s="1"/>
  <c r="E27" i="71"/>
  <c r="E31" i="71" s="1"/>
  <c r="F27" i="71"/>
  <c r="F31" i="71" s="1"/>
  <c r="C27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J31" i="21"/>
  <c r="J32" i="21" s="1"/>
  <c r="F15" i="21" s="1"/>
  <c r="C14" i="2"/>
  <c r="Q12" i="1"/>
  <c r="Q16" i="1" s="1"/>
  <c r="H23" i="7"/>
  <c r="X23" i="7" s="1"/>
  <c r="X24" i="7" s="1"/>
  <c r="X26" i="7" s="1"/>
  <c r="Q36" i="1"/>
  <c r="Q34" i="1"/>
  <c r="E38" i="1"/>
  <c r="D38" i="1"/>
  <c r="C38" i="1"/>
  <c r="F22" i="7"/>
  <c r="F6" i="7"/>
  <c r="Q7" i="1"/>
  <c r="B3" i="29"/>
  <c r="A2" i="7"/>
  <c r="B3" i="71"/>
  <c r="B3" i="21"/>
  <c r="B4" i="2"/>
  <c r="E26" i="21"/>
  <c r="G26" i="21"/>
  <c r="H26" i="21"/>
  <c r="A27" i="21"/>
  <c r="A28" i="21"/>
  <c r="A29" i="21"/>
  <c r="A30" i="21"/>
  <c r="A31" i="21"/>
  <c r="A32" i="21"/>
  <c r="A33" i="21"/>
  <c r="A34" i="21"/>
  <c r="A35" i="21"/>
  <c r="A36" i="21"/>
  <c r="E13" i="21"/>
  <c r="A14" i="21"/>
  <c r="A15" i="21"/>
  <c r="A16" i="21"/>
  <c r="J26" i="21"/>
  <c r="F13" i="21"/>
  <c r="H22" i="7"/>
  <c r="X22" i="7"/>
  <c r="I22" i="7"/>
  <c r="V26" i="7"/>
  <c r="U26" i="7"/>
  <c r="T26" i="7"/>
  <c r="Q40" i="1"/>
  <c r="G27" i="21"/>
  <c r="Q41" i="1"/>
  <c r="Q14" i="1"/>
  <c r="M38" i="1"/>
  <c r="N38" i="1"/>
  <c r="O38" i="1"/>
  <c r="O16" i="1"/>
  <c r="N16" i="1"/>
  <c r="M16" i="1"/>
  <c r="M10" i="1"/>
  <c r="N10" i="1"/>
  <c r="O10" i="1"/>
  <c r="Q8" i="1"/>
  <c r="D16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E15" i="21"/>
  <c r="E14" i="21"/>
  <c r="E27" i="21"/>
  <c r="J27" i="21" s="1"/>
  <c r="H27" i="21"/>
  <c r="E12" i="21"/>
  <c r="E11" i="2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T5" i="7"/>
  <c r="U5" i="7"/>
  <c r="V5" i="7"/>
  <c r="C31" i="71"/>
  <c r="C16" i="1"/>
  <c r="D16" i="1"/>
  <c r="E16" i="1"/>
  <c r="F16" i="1"/>
  <c r="H16" i="1"/>
  <c r="I16" i="1"/>
  <c r="J16" i="1"/>
  <c r="L43" i="1"/>
  <c r="K43" i="1"/>
  <c r="J43" i="1"/>
  <c r="L16" i="1"/>
  <c r="K16" i="1"/>
  <c r="Q42" i="1"/>
  <c r="I43" i="1"/>
  <c r="I44" i="1" s="1"/>
  <c r="I46" i="1" s="1"/>
  <c r="I38" i="1"/>
  <c r="H43" i="1"/>
  <c r="G43" i="1"/>
  <c r="F43" i="1"/>
  <c r="G16" i="1"/>
  <c r="E43" i="1"/>
  <c r="E44" i="1"/>
  <c r="E46" i="1" s="1"/>
  <c r="A9" i="83"/>
  <c r="A10" i="83"/>
  <c r="A11" i="83" s="1"/>
  <c r="A12" i="83" s="1"/>
  <c r="A13" i="83" s="1"/>
  <c r="A14" i="83" s="1"/>
  <c r="A15" i="83" s="1"/>
  <c r="A16" i="83" s="1"/>
  <c r="A17" i="83" s="1"/>
  <c r="S5" i="7"/>
  <c r="R5" i="7"/>
  <c r="Q5" i="7"/>
  <c r="P5" i="7"/>
  <c r="O5" i="7"/>
  <c r="N5" i="7"/>
  <c r="M5" i="7"/>
  <c r="L5" i="7"/>
  <c r="K5" i="7"/>
  <c r="J5" i="7"/>
  <c r="K38" i="1"/>
  <c r="K44" i="1" s="1"/>
  <c r="K46" i="1" s="1"/>
  <c r="J38" i="1"/>
  <c r="H38" i="1"/>
  <c r="G38" i="1"/>
  <c r="F38" i="1"/>
  <c r="K10" i="1"/>
  <c r="J10" i="1"/>
  <c r="I10" i="1"/>
  <c r="H10" i="1"/>
  <c r="G10" i="1"/>
  <c r="F10" i="1"/>
  <c r="E10" i="1"/>
  <c r="D10" i="1"/>
  <c r="C10" i="1"/>
  <c r="H21" i="7"/>
  <c r="X21" i="7"/>
  <c r="L38" i="1"/>
  <c r="L10" i="1"/>
  <c r="E15" i="2"/>
  <c r="D15" i="2"/>
  <c r="A21" i="21"/>
  <c r="A22" i="21"/>
  <c r="A23" i="21"/>
  <c r="A24" i="21"/>
  <c r="A25" i="21"/>
  <c r="H11" i="7"/>
  <c r="X11" i="7"/>
  <c r="H10" i="7"/>
  <c r="X10" i="7"/>
  <c r="D21" i="29"/>
  <c r="C15" i="2"/>
  <c r="H20" i="7"/>
  <c r="X20" i="7"/>
  <c r="H19" i="7"/>
  <c r="X19" i="7"/>
  <c r="H18" i="7"/>
  <c r="X18" i="7"/>
  <c r="I25" i="29"/>
  <c r="I31" i="29"/>
  <c r="I25" i="7"/>
  <c r="X25" i="7"/>
  <c r="H17" i="7"/>
  <c r="X17" i="7"/>
  <c r="H16" i="7"/>
  <c r="H6" i="7"/>
  <c r="X6" i="7"/>
  <c r="H7" i="7"/>
  <c r="X7" i="7"/>
  <c r="H8" i="7"/>
  <c r="X8" i="7"/>
  <c r="H9" i="7"/>
  <c r="X9" i="7"/>
  <c r="H12" i="7"/>
  <c r="H13" i="7"/>
  <c r="X13" i="7"/>
  <c r="H14" i="7"/>
  <c r="H15" i="7"/>
  <c r="X15" i="7"/>
  <c r="D20" i="29"/>
  <c r="D19" i="29"/>
  <c r="D18" i="29"/>
  <c r="H13" i="29"/>
  <c r="H12" i="29"/>
  <c r="S26" i="7"/>
  <c r="X27" i="7"/>
  <c r="A6" i="21"/>
  <c r="A7" i="21"/>
  <c r="A8" i="21"/>
  <c r="A9" i="21"/>
  <c r="A10" i="21"/>
  <c r="A11" i="21"/>
  <c r="A12" i="21"/>
  <c r="A9" i="71"/>
  <c r="A10" i="71"/>
  <c r="A11" i="71"/>
  <c r="A12" i="71"/>
  <c r="A13" i="71"/>
  <c r="A14" i="71"/>
  <c r="A6" i="1"/>
  <c r="A7" i="1"/>
  <c r="A8" i="1"/>
  <c r="A9" i="1"/>
  <c r="A10" i="1"/>
  <c r="A12" i="1"/>
  <c r="A14" i="1"/>
  <c r="A16" i="1"/>
  <c r="A18" i="1"/>
  <c r="A20" i="1"/>
  <c r="A22" i="1"/>
  <c r="A24" i="1"/>
  <c r="A25" i="1"/>
  <c r="A26" i="1"/>
  <c r="A27" i="1"/>
  <c r="A28" i="1"/>
  <c r="A30" i="1"/>
  <c r="A34" i="1"/>
  <c r="A35" i="1"/>
  <c r="A36" i="1"/>
  <c r="A37" i="1"/>
  <c r="A38" i="1"/>
  <c r="A39" i="1"/>
  <c r="A40" i="1"/>
  <c r="A41" i="1"/>
  <c r="A42" i="1"/>
  <c r="A43" i="1"/>
  <c r="A44" i="1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9" i="2"/>
  <c r="A10" i="2"/>
  <c r="A11" i="2"/>
  <c r="A12" i="2"/>
  <c r="A13" i="2"/>
  <c r="A14" i="2"/>
  <c r="Q26" i="7"/>
  <c r="R26" i="7"/>
  <c r="P26" i="7"/>
  <c r="O26" i="7"/>
  <c r="N26" i="7"/>
  <c r="M26" i="7"/>
  <c r="L26" i="7"/>
  <c r="K26" i="7"/>
  <c r="J26" i="7"/>
  <c r="M41" i="7"/>
  <c r="N41" i="7"/>
  <c r="O41" i="7"/>
  <c r="P41" i="7"/>
  <c r="Q41" i="7"/>
  <c r="R41" i="7"/>
  <c r="S41" i="7"/>
  <c r="J41" i="7"/>
  <c r="K41" i="7"/>
  <c r="L41" i="7"/>
  <c r="D13" i="29"/>
  <c r="D12" i="29"/>
  <c r="E14" i="2"/>
  <c r="D14" i="2"/>
  <c r="D16" i="21"/>
  <c r="C16" i="21"/>
  <c r="D43" i="1"/>
  <c r="D44" i="1" s="1"/>
  <c r="D46" i="1" s="1"/>
  <c r="I14" i="7"/>
  <c r="X14" i="7"/>
  <c r="I12" i="7"/>
  <c r="X12" i="7"/>
  <c r="X16" i="7"/>
  <c r="I16" i="7"/>
  <c r="J44" i="1"/>
  <c r="J46" i="1" s="1"/>
  <c r="F44" i="1"/>
  <c r="F46" i="1" s="1"/>
  <c r="K22" i="1"/>
  <c r="K25" i="1" s="1"/>
  <c r="H44" i="1"/>
  <c r="H46" i="1" s="1"/>
  <c r="I9" i="7"/>
  <c r="I13" i="7"/>
  <c r="J22" i="1"/>
  <c r="J27" i="1" s="1"/>
  <c r="E17" i="2"/>
  <c r="I30" i="7" s="1"/>
  <c r="I15" i="7"/>
  <c r="D13" i="2"/>
  <c r="C17" i="2"/>
  <c r="F30" i="7" s="1"/>
  <c r="I17" i="7"/>
  <c r="I21" i="7"/>
  <c r="I18" i="7"/>
  <c r="I8" i="7"/>
  <c r="I6" i="7"/>
  <c r="I10" i="7"/>
  <c r="F26" i="7"/>
  <c r="F28" i="7" s="1"/>
  <c r="I11" i="7"/>
  <c r="I20" i="7"/>
  <c r="I19" i="7"/>
  <c r="L22" i="1"/>
  <c r="L28" i="1" s="1"/>
  <c r="I7" i="7"/>
  <c r="C43" i="1"/>
  <c r="C44" i="1" s="1"/>
  <c r="C46" i="1" s="1"/>
  <c r="M22" i="1"/>
  <c r="M28" i="1" s="1"/>
  <c r="N22" i="1" l="1"/>
  <c r="N25" i="1" s="1"/>
  <c r="I23" i="7"/>
  <c r="Y26" i="7"/>
  <c r="G27" i="71"/>
  <c r="E21" i="2" s="1"/>
  <c r="J28" i="21"/>
  <c r="F14" i="21"/>
  <c r="F16" i="21" s="1"/>
  <c r="E19" i="2" s="1"/>
  <c r="E16" i="21"/>
  <c r="H30" i="7"/>
  <c r="E14" i="83" s="1"/>
  <c r="F32" i="7"/>
  <c r="D17" i="2"/>
  <c r="C23" i="2"/>
  <c r="N44" i="1"/>
  <c r="N46" i="1" s="1"/>
  <c r="O44" i="1"/>
  <c r="O46" i="1" s="1"/>
  <c r="C16" i="83"/>
  <c r="O22" i="1"/>
  <c r="O28" i="1" s="1"/>
  <c r="Q10" i="1"/>
  <c r="C14" i="83" s="1"/>
  <c r="M25" i="1"/>
  <c r="M44" i="1"/>
  <c r="M46" i="1" s="1"/>
  <c r="Q38" i="1"/>
  <c r="G44" i="1"/>
  <c r="G46" i="1" s="1"/>
  <c r="Q43" i="1"/>
  <c r="D22" i="1"/>
  <c r="D25" i="1" s="1"/>
  <c r="H22" i="1"/>
  <c r="H27" i="1" s="1"/>
  <c r="G22" i="1"/>
  <c r="G24" i="1" s="1"/>
  <c r="L44" i="1"/>
  <c r="L46" i="1" s="1"/>
  <c r="C22" i="1"/>
  <c r="C28" i="1" s="1"/>
  <c r="F22" i="1"/>
  <c r="E22" i="1"/>
  <c r="E24" i="1" s="1"/>
  <c r="Q20" i="1"/>
  <c r="C28" i="83" s="1"/>
  <c r="K24" i="1"/>
  <c r="K28" i="1"/>
  <c r="L24" i="1"/>
  <c r="I22" i="1"/>
  <c r="I28" i="1" s="1"/>
  <c r="M24" i="1"/>
  <c r="M27" i="1"/>
  <c r="K26" i="1"/>
  <c r="J24" i="1"/>
  <c r="K27" i="1"/>
  <c r="H25" i="1"/>
  <c r="L27" i="1"/>
  <c r="L25" i="1"/>
  <c r="J28" i="1"/>
  <c r="J25" i="1"/>
  <c r="N27" i="1" l="1"/>
  <c r="N28" i="1"/>
  <c r="N24" i="1"/>
  <c r="N26" i="1" s="1"/>
  <c r="G25" i="1"/>
  <c r="C26" i="83"/>
  <c r="C30" i="83" s="1"/>
  <c r="D16" i="83" s="1"/>
  <c r="D24" i="1"/>
  <c r="D26" i="1" s="1"/>
  <c r="O25" i="1"/>
  <c r="D28" i="1"/>
  <c r="D27" i="1"/>
  <c r="I26" i="7"/>
  <c r="H26" i="7" s="1"/>
  <c r="I28" i="7"/>
  <c r="E23" i="2"/>
  <c r="F17" i="2"/>
  <c r="F21" i="2"/>
  <c r="F19" i="2"/>
  <c r="O27" i="1"/>
  <c r="O24" i="1"/>
  <c r="M26" i="1"/>
  <c r="M30" i="1" s="1"/>
  <c r="H24" i="1"/>
  <c r="H26" i="1" s="1"/>
  <c r="H28" i="1"/>
  <c r="Q22" i="1"/>
  <c r="Q25" i="1" s="1"/>
  <c r="Q44" i="1"/>
  <c r="I27" i="1"/>
  <c r="C27" i="1"/>
  <c r="G28" i="1"/>
  <c r="G27" i="1"/>
  <c r="C25" i="1"/>
  <c r="E25" i="1"/>
  <c r="E26" i="1" s="1"/>
  <c r="C24" i="1"/>
  <c r="I25" i="1"/>
  <c r="E27" i="1"/>
  <c r="F25" i="1"/>
  <c r="F27" i="1"/>
  <c r="E28" i="1"/>
  <c r="I24" i="1"/>
  <c r="F28" i="1"/>
  <c r="F24" i="1"/>
  <c r="G26" i="1"/>
  <c r="L26" i="1"/>
  <c r="L30" i="1" s="1"/>
  <c r="K30" i="1"/>
  <c r="J26" i="1"/>
  <c r="J30" i="1" s="1"/>
  <c r="F23" i="2" l="1"/>
  <c r="O26" i="1"/>
  <c r="O30" i="1" s="1"/>
  <c r="N30" i="1"/>
  <c r="H30" i="1"/>
  <c r="D30" i="1"/>
  <c r="I32" i="7"/>
  <c r="H32" i="7" s="1"/>
  <c r="E18" i="83" s="1"/>
  <c r="H28" i="7"/>
  <c r="E16" i="83" s="1"/>
  <c r="F16" i="83" s="1"/>
  <c r="Q24" i="1"/>
  <c r="Q26" i="1" s="1"/>
  <c r="D28" i="83"/>
  <c r="F28" i="83" s="1"/>
  <c r="I33" i="29"/>
  <c r="I35" i="29" s="1"/>
  <c r="F24" i="83" s="1"/>
  <c r="Q28" i="1"/>
  <c r="Q27" i="1"/>
  <c r="I26" i="1"/>
  <c r="I30" i="1" s="1"/>
  <c r="G33" i="71"/>
  <c r="G35" i="71" s="1"/>
  <c r="F22" i="83" s="1"/>
  <c r="D14" i="83"/>
  <c r="F14" i="83" s="1"/>
  <c r="D18" i="83"/>
  <c r="D26" i="83" s="1"/>
  <c r="F18" i="21"/>
  <c r="F20" i="21" s="1"/>
  <c r="F20" i="83" s="1"/>
  <c r="G30" i="1"/>
  <c r="E30" i="1"/>
  <c r="F26" i="1"/>
  <c r="F30" i="1" s="1"/>
  <c r="C26" i="1"/>
  <c r="C30" i="1" s="1"/>
  <c r="F18" i="83" l="1"/>
  <c r="F26" i="83" s="1"/>
  <c r="F30" i="83" s="1"/>
  <c r="Q30" i="1"/>
  <c r="D30" i="83"/>
</calcChain>
</file>

<file path=xl/comments1.xml><?xml version="1.0" encoding="utf-8"?>
<comments xmlns="http://schemas.openxmlformats.org/spreadsheetml/2006/main">
  <authors>
    <author>Puget Sound Energy</author>
    <author>jsant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financial Package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 Financial Package</t>
        </r>
      </text>
    </comment>
    <comment ref="B34" authorId="1" shapeId="0">
      <text>
        <r>
          <rPr>
            <sz val="8"/>
            <color indexed="81"/>
            <rFont val="Tahoma"/>
            <family val="2"/>
          </rPr>
          <t>Positive numbers are credits to equity, negative numbers are debits.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Financial Package: retained earnings adjustment - derivative gain (loss) in retained earnings.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GL: OCI-Derivatives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-1000 true up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Puget Sound Energy:
Source: GL: OCI Other + OCI Pension</t>
        </r>
      </text>
    </comment>
    <comment ref="B44" authorId="1" shapeId="0">
      <text>
        <r>
          <rPr>
            <sz val="8"/>
            <color indexed="81"/>
            <rFont val="Tahoma"/>
            <family val="2"/>
          </rPr>
          <t>Back non-regulated items out of consolidated book common equity to get to regulated equity.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jsant</author>
    <author>Puget Sound Energy</author>
  </authors>
  <commentList>
    <comment ref="C9" authorId="0" shapeId="0">
      <text>
        <r>
          <rPr>
            <sz val="8"/>
            <color indexed="81"/>
            <rFont val="Tahoma"/>
            <family val="2"/>
          </rPr>
          <t xml:space="preserve">Based on daily balances outstanding
</t>
        </r>
      </text>
    </comment>
    <comment ref="F9" authorId="0" shapeId="0">
      <text>
        <r>
          <rPr>
            <sz val="8"/>
            <color indexed="81"/>
            <rFont val="Tahoma"/>
            <family val="2"/>
          </rPr>
          <t>Includes Credit Facility and Letter of Credit Fees.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Cost of Borrowing report</t>
        </r>
      </text>
    </comment>
    <comment ref="J31" authorId="1" shapeId="0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Added $15 monthly to cover cost of annual amendment fees</t>
        </r>
      </text>
    </comment>
  </commentList>
</comments>
</file>

<file path=xl/comments3.xml><?xml version="1.0" encoding="utf-8"?>
<comments xmlns="http://schemas.openxmlformats.org/spreadsheetml/2006/main">
  <authors>
    <author>jsant</author>
  </authors>
  <commentList>
    <comment ref="I31" authorId="0" shapeId="0">
      <text>
        <r>
          <rPr>
            <sz val="8"/>
            <color indexed="81"/>
            <rFont val="Tahoma"/>
            <family val="2"/>
          </rPr>
          <t>Flows to Cost of Debt Tab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<sst xmlns="http://schemas.openxmlformats.org/spreadsheetml/2006/main" count="325" uniqueCount="199">
  <si>
    <t>PUGET SOUND ENERGY, INC</t>
  </si>
  <si>
    <t>($ thousands)</t>
  </si>
  <si>
    <t xml:space="preserve"> </t>
  </si>
  <si>
    <t xml:space="preserve">   HEDC</t>
  </si>
  <si>
    <t>PUGET SOUND ENERGY, INC.</t>
  </si>
  <si>
    <t>(A)</t>
  </si>
  <si>
    <t>Utility Capital Structure</t>
  </si>
  <si>
    <t>Weighted</t>
  </si>
  <si>
    <t>Cost of</t>
  </si>
  <si>
    <t>Description</t>
  </si>
  <si>
    <t>Ratio</t>
  </si>
  <si>
    <t>Cost</t>
  </si>
  <si>
    <t>Capital</t>
  </si>
  <si>
    <t>Short Term Debt</t>
  </si>
  <si>
    <t>Long Term Debt</t>
  </si>
  <si>
    <t>Common Stock</t>
  </si>
  <si>
    <t>Total</t>
  </si>
  <si>
    <t>Issue</t>
  </si>
  <si>
    <t>Annual</t>
  </si>
  <si>
    <t>Rate</t>
  </si>
  <si>
    <t>Charge</t>
  </si>
  <si>
    <t>MTN-A</t>
  </si>
  <si>
    <t>MTN-B</t>
  </si>
  <si>
    <t>MTN-C</t>
  </si>
  <si>
    <t>PCB</t>
  </si>
  <si>
    <t>Puget Sound Energy, Inc.</t>
  </si>
  <si>
    <t>Schedule of Annual Charges on Reacquired Debt</t>
  </si>
  <si>
    <t>(B)</t>
  </si>
  <si>
    <t xml:space="preserve">Total Amortization on Reacquired Debt </t>
  </si>
  <si>
    <t>8.40% Capital Trust II</t>
  </si>
  <si>
    <t>Short-term debt</t>
  </si>
  <si>
    <t>Long-term debt</t>
  </si>
  <si>
    <t>Subsidiary R.E.</t>
  </si>
  <si>
    <t xml:space="preserve">   Puget Western</t>
  </si>
  <si>
    <t xml:space="preserve">       Total Subsidiary R.E.</t>
  </si>
  <si>
    <t>Utility Capital Structure Calculation</t>
  </si>
  <si>
    <t>Commercial Paper</t>
  </si>
  <si>
    <t>Cost of Short-Term Debt</t>
  </si>
  <si>
    <t>Interest</t>
  </si>
  <si>
    <t>Total Short-Term Debt/Cost</t>
  </si>
  <si>
    <t>PCB Series 1991A</t>
  </si>
  <si>
    <t>PCB Series 1991B</t>
  </si>
  <si>
    <t>PCB Series 1992</t>
  </si>
  <si>
    <t>PCB Series 1993</t>
  </si>
  <si>
    <t>WNG 8.4%</t>
  </si>
  <si>
    <t>WNG 8.39%</t>
  </si>
  <si>
    <t>PUGET SOUND ENERGY</t>
  </si>
  <si>
    <t>SHORT TERM DEBT RATE</t>
  </si>
  <si>
    <t>Beginning Date</t>
  </si>
  <si>
    <t>Ending Date</t>
  </si>
  <si>
    <t>Wtd. Avg.</t>
  </si>
  <si>
    <t>Days</t>
  </si>
  <si>
    <t>(C)</t>
  </si>
  <si>
    <t>Weighted Amt</t>
  </si>
  <si>
    <t>Commitment Fees</t>
  </si>
  <si>
    <t>12 Month Short Term Debt Issue Costs Amortization</t>
  </si>
  <si>
    <t>SAP  #</t>
  </si>
  <si>
    <t>Issue Date</t>
  </si>
  <si>
    <t>Cost of Capital and Rate of Return</t>
  </si>
  <si>
    <t>Average of Month-End Balances</t>
  </si>
  <si>
    <t>Fee %</t>
  </si>
  <si>
    <t>Fee $</t>
  </si>
  <si>
    <t>Beginning Balance</t>
  </si>
  <si>
    <t>Ending Balance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</si>
  <si>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</si>
  <si>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</si>
  <si>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</si>
  <si>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</si>
  <si>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</si>
  <si>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</si>
  <si>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</si>
  <si>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</si>
  <si>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</si>
  <si>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</si>
  <si>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</si>
  <si>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</si>
  <si>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</si>
  <si>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(ii)</t>
  </si>
  <si>
    <t>Outstanding (i)</t>
  </si>
  <si>
    <t>Amount (i)</t>
  </si>
  <si>
    <t>Annual Charge</t>
  </si>
  <si>
    <t>Consol. Common Equity</t>
  </si>
  <si>
    <t>Total Preferred</t>
  </si>
  <si>
    <t>Commitment fees are calculated for actual days elapsed on the basis of a 360 day year.</t>
  </si>
  <si>
    <t>Net Proceeds (i)</t>
  </si>
  <si>
    <r>
      <t>(i)</t>
    </r>
    <r>
      <rPr>
        <sz val="8"/>
        <rFont val="Arial"/>
        <family val="2"/>
      </rPr>
      <t xml:space="preserve"> Net proceeds are the net proceeds per $100 face amount and are the proceeds less underwriter's fees and issuance expenses.</t>
    </r>
  </si>
  <si>
    <t>Total Capital</t>
  </si>
  <si>
    <r>
      <t>(ii)</t>
    </r>
    <r>
      <rPr>
        <sz val="8"/>
        <rFont val="Arial"/>
        <family val="2"/>
      </rPr>
      <t xml:space="preserve"> Yield to Maturity based on Net Proceeds</t>
    </r>
  </si>
  <si>
    <t>Cost Rate (ii)</t>
  </si>
  <si>
    <t>SN</t>
  </si>
  <si>
    <t>Puget Sound Energy, Inc.  Cost of Long Term Debt ($in 000's)</t>
  </si>
  <si>
    <t>Bank Facility Fees</t>
  </si>
  <si>
    <t>(iii)</t>
  </si>
  <si>
    <t>Rate (365)</t>
  </si>
  <si>
    <t>Interest Rate</t>
  </si>
  <si>
    <t>$200mm VRN</t>
  </si>
  <si>
    <t>30 Yr 5.483%</t>
  </si>
  <si>
    <t>Regulated Common Equity</t>
  </si>
  <si>
    <t>Mat. Date</t>
  </si>
  <si>
    <t>AMORTIZATION OF  SHORT TERM DEBT ISSUE COSTS</t>
  </si>
  <si>
    <t>Commitment Fee Calculation</t>
  </si>
  <si>
    <t>Maturity</t>
  </si>
  <si>
    <t>Date</t>
  </si>
  <si>
    <t xml:space="preserve">      Total Debt</t>
  </si>
  <si>
    <t>Preferred</t>
  </si>
  <si>
    <t>Common</t>
  </si>
  <si>
    <t xml:space="preserve">     Total</t>
  </si>
  <si>
    <t>Avg of  Mo-end Balances</t>
  </si>
  <si>
    <t>Period</t>
  </si>
  <si>
    <t>Demand Promissory Note</t>
  </si>
  <si>
    <t>Annual Charge from Reacquired Debt Schedule</t>
  </si>
  <si>
    <t>W. Avg. Amt O/S</t>
  </si>
  <si>
    <t>OCI - Derivatives</t>
  </si>
  <si>
    <t xml:space="preserve">OCI - Other </t>
  </si>
  <si>
    <t>Total OCI Adj</t>
  </si>
  <si>
    <t>Weighted Avg. Outstandings and Rates and Total Commitment Fees</t>
  </si>
  <si>
    <t>Jr. Subordinated Notes</t>
  </si>
  <si>
    <t>8.231% Capital Trust I (Tender)</t>
  </si>
  <si>
    <t>8.231% Capital Trust I (Call)</t>
  </si>
  <si>
    <t>WNG 8.25%</t>
  </si>
  <si>
    <t>Type</t>
  </si>
  <si>
    <t>Long-term Bonds</t>
  </si>
  <si>
    <t>TOTAL LONG TERM DEBT</t>
  </si>
  <si>
    <t>Bank Facility Commitment Fees</t>
  </si>
  <si>
    <t>Commitment</t>
  </si>
  <si>
    <t>Letters of Credit (LC) Fees</t>
  </si>
  <si>
    <t>JrSubN 6.974%</t>
  </si>
  <si>
    <t>20 Yr 6.740%</t>
  </si>
  <si>
    <t>30 Yr 7.350%</t>
  </si>
  <si>
    <t>2003 PCB's</t>
  </si>
  <si>
    <t>30 Yr 6.724%</t>
  </si>
  <si>
    <t>9.14% PP</t>
  </si>
  <si>
    <t>9.625% PP</t>
  </si>
  <si>
    <r>
      <t xml:space="preserve">  </t>
    </r>
    <r>
      <rPr>
        <sz val="9"/>
        <rFont val="Arial"/>
        <family val="2"/>
      </rPr>
      <t xml:space="preserve">  Amortization is over life of replacement issue or remaining life of called bond if no replacement issue.</t>
    </r>
  </si>
  <si>
    <t>(i) Applicable monthly amortization during the 12 month reporting period;</t>
  </si>
  <si>
    <t>Amortization (i)</t>
  </si>
  <si>
    <t>Redemption</t>
  </si>
  <si>
    <t>Refinance</t>
  </si>
  <si>
    <t>for Amort.</t>
  </si>
  <si>
    <t>WNG 7.19%</t>
  </si>
  <si>
    <r>
      <t xml:space="preserve">(ii) </t>
    </r>
    <r>
      <rPr>
        <sz val="9"/>
        <rFont val="Arial"/>
        <family val="2"/>
      </rPr>
      <t xml:space="preserve"> See Pg 4 STD OS &amp; Comm Fees </t>
    </r>
    <r>
      <rPr>
        <sz val="8"/>
        <rFont val="Arial"/>
        <family val="2"/>
      </rPr>
      <t>(includes any LC Fees)</t>
    </r>
  </si>
  <si>
    <t>SAP #</t>
  </si>
  <si>
    <t>Outstandings</t>
  </si>
  <si>
    <t>Fees</t>
  </si>
  <si>
    <t>(Drawn)</t>
  </si>
  <si>
    <t>Utilized</t>
  </si>
  <si>
    <t>Unutilized</t>
  </si>
  <si>
    <t>Interest Charges &amp; Avg Borrowing Rate</t>
  </si>
  <si>
    <t>Bank Credit Facilities</t>
  </si>
  <si>
    <t>Letters of Credit</t>
  </si>
  <si>
    <t>W. Avg Amount</t>
  </si>
  <si>
    <t>Goldendale; Klickitat PUD Transmission</t>
  </si>
  <si>
    <t>Total Fees</t>
  </si>
  <si>
    <t>Totals</t>
  </si>
  <si>
    <t>Costs transferred in</t>
  </si>
  <si>
    <t>Costs transferred out</t>
  </si>
  <si>
    <t>TOTAL</t>
  </si>
  <si>
    <t>AMORTIZATION</t>
  </si>
  <si>
    <t>Other Comprehensive Income Adjustments (OCI) and Derivative Accounting</t>
  </si>
  <si>
    <t>Derivative Impacts through Income</t>
  </si>
  <si>
    <t>Intercompany Loan with PE</t>
  </si>
  <si>
    <r>
      <t xml:space="preserve">(iii) </t>
    </r>
    <r>
      <rPr>
        <sz val="9"/>
        <rFont val="Arial"/>
        <family val="2"/>
      </rPr>
      <t xml:space="preserve"> See Pg 5 STD Amort</t>
    </r>
  </si>
  <si>
    <r>
      <t xml:space="preserve">(i) </t>
    </r>
    <r>
      <rPr>
        <sz val="9"/>
        <rFont val="Arial"/>
        <family val="2"/>
      </rPr>
      <t xml:space="preserve"> Weighted Average </t>
    </r>
    <r>
      <rPr>
        <u/>
        <sz val="9"/>
        <rFont val="Arial"/>
        <family val="2"/>
      </rPr>
      <t>Daily</t>
    </r>
    <r>
      <rPr>
        <sz val="9"/>
        <rFont val="Arial"/>
        <family val="2"/>
      </rPr>
      <t xml:space="preserve"> Balance Outstanding for 12 Months Ended</t>
    </r>
  </si>
  <si>
    <t>Facility</t>
  </si>
  <si>
    <r>
      <t>(i)</t>
    </r>
    <r>
      <rPr>
        <sz val="9"/>
        <rFont val="Arial"/>
        <family val="2"/>
      </rPr>
      <t xml:space="preserve"> - Average of Month-End Balances</t>
    </r>
  </si>
  <si>
    <t>Wells Fargo (not within facility)</t>
  </si>
  <si>
    <t>FERC end of Period Cost</t>
  </si>
  <si>
    <t>Wgt Cost Rate</t>
  </si>
  <si>
    <t>$25M 9.57% Gas FMB's</t>
  </si>
  <si>
    <t>40 Yr 4.70%</t>
  </si>
  <si>
    <t>$650mm Liquidity  Facility</t>
  </si>
  <si>
    <t xml:space="preserve">Wgtd Avg </t>
  </si>
  <si>
    <t>$650 million</t>
  </si>
  <si>
    <t>Liquidity Fac</t>
  </si>
  <si>
    <t>PCB Series 2003</t>
  </si>
  <si>
    <t>2013 PCB's</t>
  </si>
  <si>
    <t>Liquidity Refinance</t>
  </si>
  <si>
    <t>SN 5.197%</t>
  </si>
  <si>
    <t>SN 6.75%</t>
  </si>
  <si>
    <t>30 Yr 4.30%</t>
  </si>
  <si>
    <t>Short Term Debt Cost of Interest</t>
  </si>
  <si>
    <t>Blended Cost of Interest (ST&amp;LT Debt)</t>
  </si>
  <si>
    <t>Blended Cost of Interest (Short Term &amp; Long Term)</t>
  </si>
  <si>
    <t>Amortization of Short-Term Debt Issue Cost</t>
  </si>
  <si>
    <t>Amortization of Reacquired Debt</t>
  </si>
  <si>
    <t>Total Debt</t>
  </si>
  <si>
    <t>Total Capitalization</t>
  </si>
  <si>
    <t>Weighted Cost of Short Term Debt Issuance Cost Amortization</t>
  </si>
  <si>
    <t>Weighted Cost of Short Term Debt Commitment Fees</t>
  </si>
  <si>
    <t>Weighted Cost of Reaquired Debt</t>
  </si>
  <si>
    <t>TOTAL LONG TERM DEBT without Reaquired Debt Amort</t>
  </si>
  <si>
    <t>$800 million</t>
  </si>
  <si>
    <t>$800mm Liquidity  Facility</t>
  </si>
  <si>
    <t>Variance</t>
  </si>
  <si>
    <t>As of:12/31/19</t>
  </si>
  <si>
    <t>Total Amortization for 12 months ended 12/31/20</t>
  </si>
  <si>
    <t>For The 12 Months Ending December 31, 2020</t>
  </si>
  <si>
    <t>December 31, 2019 Through December 31, 2020</t>
  </si>
  <si>
    <t>Wgtd Avg cost of Equity: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</si>
</sst>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#,;\(&quot;$&quot;#,###,\)"/>
    <numFmt numFmtId="165" formatCode="0.0%"/>
    <numFmt numFmtId="166" formatCode="mmmm\ d\,\ yyyy"/>
    <numFmt numFmtId="167" formatCode="0.0000%"/>
    <numFmt numFmtId="168" formatCode="0.000%"/>
    <numFmt numFmtId="169" formatCode="&quot;$&quot;#,##0"/>
    <numFmt numFmtId="170" formatCode="_(* #,##0_);_(* \(#,##0\);_(* &quot;-&quot;??_);_(@_)"/>
    <numFmt numFmtId="171" formatCode="#,##0.0000_);\(#,##0.0000\)"/>
    <numFmt numFmtId="172" formatCode="&quot; As of &quot;mmmm\ d\,\ yyyy"/>
    <numFmt numFmtId="173" formatCode="mmmm\-yy"/>
    <numFmt numFmtId="174" formatCode="0_);[Red]\(0\)"/>
    <numFmt numFmtId="175" formatCode="#,###,;\(#,###,\)"/>
    <numFmt numFmtId="176" formatCode="#,###,;\(&quot;$&quot;#,###,\)"/>
    <numFmt numFmtId="177" formatCode="0.00_);\(0.00\)"/>
    <numFmt numFmtId="178" formatCode="0.00000%"/>
    <numFmt numFmtId="179" formatCode="#,###.000,;\(#,###.000,\)"/>
    <numFmt numFmtId="180" formatCode="mm/dd/yy;@"/>
    <numFmt numFmtId="181" formatCode="&quot; For The 12 Months Ending &quot;mmmm\ d\,\ yyyy"/>
    <numFmt numFmtId="182" formatCode="m/d/yy;@"/>
    <numFmt numFmtId="183" formatCode="#,##0.000_);\(#,##0.000\)"/>
    <numFmt numFmtId="184" formatCode="&quot;$&quot;#,###.000,;\(&quot;$&quot;#,###.000,\)"/>
    <numFmt numFmtId="185" formatCode="&quot;$&quot;#,##0\ ;\(&quot;$&quot;#,##0\)"/>
    <numFmt numFmtId="186" formatCode="#,###.00,;\(#,###.00,\)"/>
    <numFmt numFmtId="187" formatCode="0.000000%"/>
    <numFmt numFmtId="188" formatCode="_(* #,##0.000_);_(* \(#,##0.000\);_(* &quot;-&quot;??_);_(@_)"/>
    <numFmt numFmtId="189" formatCode="[$-409]mmm\-yy;@"/>
  </numFmts>
  <fonts count="73"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sz val="10"/>
      <name val="Geneva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12"/>
      <name val="Geneva"/>
    </font>
    <font>
      <sz val="8"/>
      <color indexed="81"/>
      <name val="Tahoma"/>
      <family val="2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 val="double"/>
      <sz val="10"/>
      <name val="Arial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7"/>
      <name val="Arial"/>
      <family val="2"/>
    </font>
    <font>
      <b/>
      <u/>
      <sz val="9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i/>
      <sz val="10"/>
      <color indexed="12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i/>
      <sz val="12"/>
      <color indexed="10"/>
      <name val="Times New Roman"/>
      <family val="1"/>
    </font>
    <font>
      <i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Times New Roman"/>
      <family val="1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1">
    <xf numFmtId="37" fontId="0" fillId="0" borderId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16" borderId="1" applyNumberFormat="0" applyAlignment="0" applyProtection="0"/>
    <xf numFmtId="0" fontId="53" fillId="16" borderId="1" applyNumberFormat="0" applyAlignment="0" applyProtection="0"/>
    <xf numFmtId="0" fontId="54" fillId="17" borderId="2" applyNumberFormat="0" applyAlignment="0" applyProtection="0"/>
    <xf numFmtId="0" fontId="54" fillId="17" borderId="2" applyNumberFormat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8" fillId="0" borderId="4" applyNumberFormat="0" applyFill="0" applyAlignment="0" applyProtection="0"/>
    <xf numFmtId="0" fontId="58" fillId="0" borderId="4" applyNumberFormat="0" applyFill="0" applyAlignment="0" applyProtection="0"/>
    <xf numFmtId="0" fontId="59" fillId="0" borderId="5" applyNumberFormat="0" applyFill="0" applyAlignment="0" applyProtection="0"/>
    <xf numFmtId="0" fontId="59" fillId="0" borderId="5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7" borderId="1" applyNumberFormat="0" applyAlignment="0" applyProtection="0"/>
    <xf numFmtId="0" fontId="60" fillId="7" borderId="1" applyNumberFormat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177" fontId="25" fillId="0" borderId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2" fillId="0" borderId="0"/>
    <xf numFmtId="0" fontId="13" fillId="0" borderId="0"/>
    <xf numFmtId="0" fontId="13" fillId="0" borderId="0"/>
    <xf numFmtId="37" fontId="25" fillId="0" borderId="0"/>
    <xf numFmtId="37" fontId="16" fillId="0" borderId="0"/>
    <xf numFmtId="0" fontId="4" fillId="0" borderId="0"/>
    <xf numFmtId="37" fontId="4" fillId="0" borderId="0"/>
    <xf numFmtId="37" fontId="4" fillId="0" borderId="0"/>
    <xf numFmtId="37" fontId="4" fillId="0" borderId="0"/>
    <xf numFmtId="10" fontId="4" fillId="0" borderId="0"/>
    <xf numFmtId="0" fontId="4" fillId="0" borderId="0"/>
    <xf numFmtId="0" fontId="16" fillId="4" borderId="7" applyNumberFormat="0" applyFont="0" applyAlignment="0" applyProtection="0"/>
    <xf numFmtId="0" fontId="16" fillId="4" borderId="7" applyNumberFormat="0" applyFont="0" applyAlignment="0" applyProtection="0"/>
    <xf numFmtId="0" fontId="63" fillId="16" borderId="8" applyNumberFormat="0" applyAlignment="0" applyProtection="0"/>
    <xf numFmtId="0" fontId="63" fillId="16" borderId="8" applyNumberFormat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1">
    <xf numFmtId="37" fontId="0" fillId="0" borderId="0" xfId="0"/>
    <xf numFmtId="0" fontId="5" fillId="0" borderId="0" xfId="88" applyFont="1"/>
    <xf numFmtId="0" fontId="5" fillId="0" borderId="0" xfId="88" applyFont="1" applyFill="1"/>
    <xf numFmtId="37" fontId="5" fillId="0" borderId="0" xfId="89" applyFont="1" applyAlignment="1" applyProtection="1">
      <alignment horizontal="center"/>
    </xf>
    <xf numFmtId="37" fontId="5" fillId="0" borderId="0" xfId="89" applyFont="1" applyProtection="1"/>
    <xf numFmtId="37" fontId="5" fillId="0" borderId="0" xfId="89" applyFont="1"/>
    <xf numFmtId="37" fontId="6" fillId="0" borderId="0" xfId="0" applyFont="1" applyAlignment="1">
      <alignment horizontal="centerContinuous"/>
    </xf>
    <xf numFmtId="37" fontId="5" fillId="0" borderId="0" xfId="89" applyFont="1" applyAlignment="1">
      <alignment horizontal="centerContinuous"/>
    </xf>
    <xf numFmtId="37" fontId="5" fillId="0" borderId="0" xfId="89" applyFont="1" applyAlignment="1" applyProtection="1">
      <alignment horizontal="left"/>
    </xf>
    <xf numFmtId="10" fontId="5" fillId="0" borderId="0" xfId="89" applyNumberFormat="1" applyFont="1" applyProtection="1"/>
    <xf numFmtId="37" fontId="5" fillId="0" borderId="0" xfId="89" applyNumberFormat="1" applyFont="1" applyProtection="1"/>
    <xf numFmtId="37" fontId="5" fillId="0" borderId="0" xfId="89" applyFont="1" applyAlignment="1">
      <alignment horizontal="center"/>
    </xf>
    <xf numFmtId="15" fontId="5" fillId="0" borderId="0" xfId="89" applyNumberFormat="1" applyFont="1" applyProtection="1"/>
    <xf numFmtId="7" fontId="5" fillId="0" borderId="0" xfId="89" applyNumberFormat="1" applyFont="1" applyProtection="1"/>
    <xf numFmtId="168" fontId="5" fillId="0" borderId="0" xfId="89" applyNumberFormat="1" applyFont="1" applyProtection="1"/>
    <xf numFmtId="1" fontId="5" fillId="0" borderId="0" xfId="92" applyNumberFormat="1" applyFont="1" applyProtection="1"/>
    <xf numFmtId="10" fontId="5" fillId="0" borderId="0" xfId="92" applyFont="1"/>
    <xf numFmtId="10" fontId="5" fillId="0" borderId="0" xfId="92" applyFont="1" applyAlignment="1">
      <alignment horizontal="centerContinuous"/>
    </xf>
    <xf numFmtId="1" fontId="5" fillId="0" borderId="0" xfId="92" applyNumberFormat="1" applyFont="1" applyAlignment="1" applyProtection="1">
      <alignment horizontal="center"/>
    </xf>
    <xf numFmtId="37" fontId="5" fillId="0" borderId="0" xfId="0" applyFont="1"/>
    <xf numFmtId="5" fontId="5" fillId="0" borderId="0" xfId="92" applyNumberFormat="1" applyFont="1" applyProtection="1"/>
    <xf numFmtId="165" fontId="5" fillId="0" borderId="0" xfId="92" applyNumberFormat="1" applyFont="1" applyProtection="1"/>
    <xf numFmtId="10" fontId="5" fillId="0" borderId="0" xfId="92" applyNumberFormat="1" applyFont="1" applyProtection="1"/>
    <xf numFmtId="37" fontId="5" fillId="0" borderId="0" xfId="90" applyFont="1"/>
    <xf numFmtId="37" fontId="5" fillId="0" borderId="0" xfId="90" applyFont="1" applyAlignment="1" applyProtection="1">
      <alignment horizontal="center"/>
    </xf>
    <xf numFmtId="37" fontId="7" fillId="0" borderId="0" xfId="90" applyFont="1" applyAlignment="1">
      <alignment horizontal="center"/>
    </xf>
    <xf numFmtId="5" fontId="5" fillId="0" borderId="0" xfId="90" applyNumberFormat="1" applyFont="1"/>
    <xf numFmtId="37" fontId="8" fillId="0" borderId="0" xfId="90" applyFont="1" applyFill="1"/>
    <xf numFmtId="15" fontId="5" fillId="0" borderId="0" xfId="90" applyNumberFormat="1" applyFont="1" applyProtection="1"/>
    <xf numFmtId="0" fontId="5" fillId="0" borderId="0" xfId="93" applyFont="1" applyAlignment="1" applyProtection="1">
      <alignment horizontal="left"/>
    </xf>
    <xf numFmtId="0" fontId="10" fillId="0" borderId="0" xfId="93" applyFont="1"/>
    <xf numFmtId="0" fontId="6" fillId="0" borderId="0" xfId="93" applyFont="1"/>
    <xf numFmtId="5" fontId="6" fillId="0" borderId="0" xfId="93" applyNumberFormat="1" applyFont="1" applyProtection="1"/>
    <xf numFmtId="37" fontId="3" fillId="0" borderId="0" xfId="89" applyFont="1" applyAlignment="1" applyProtection="1">
      <alignment horizontal="centerContinuous"/>
    </xf>
    <xf numFmtId="37" fontId="16" fillId="0" borderId="0" xfId="0" applyFont="1"/>
    <xf numFmtId="37" fontId="18" fillId="0" borderId="0" xfId="0" applyFont="1"/>
    <xf numFmtId="15" fontId="16" fillId="0" borderId="0" xfId="0" applyNumberFormat="1" applyFont="1" applyAlignment="1">
      <alignment horizontal="left"/>
    </xf>
    <xf numFmtId="37" fontId="16" fillId="0" borderId="0" xfId="0" applyFont="1" applyBorder="1"/>
    <xf numFmtId="37" fontId="20" fillId="0" borderId="0" xfId="0" applyFont="1" applyBorder="1" applyAlignment="1">
      <alignment horizontal="right"/>
    </xf>
    <xf numFmtId="37" fontId="20" fillId="0" borderId="0" xfId="0" applyFont="1" applyBorder="1" applyAlignment="1">
      <alignment horizontal="center"/>
    </xf>
    <xf numFmtId="14" fontId="16" fillId="0" borderId="0" xfId="0" applyNumberFormat="1" applyFont="1" applyFill="1" applyBorder="1"/>
    <xf numFmtId="170" fontId="16" fillId="0" borderId="0" xfId="55" applyNumberFormat="1" applyFont="1" applyBorder="1"/>
    <xf numFmtId="166" fontId="18" fillId="0" borderId="0" xfId="0" applyNumberFormat="1" applyFont="1" applyAlignment="1">
      <alignment horizontal="left"/>
    </xf>
    <xf numFmtId="37" fontId="12" fillId="0" borderId="0" xfId="90" applyFont="1" applyFill="1" applyAlignment="1">
      <alignment horizontal="center"/>
    </xf>
    <xf numFmtId="5" fontId="8" fillId="0" borderId="0" xfId="90" applyNumberFormat="1" applyFont="1" applyFill="1"/>
    <xf numFmtId="37" fontId="8" fillId="0" borderId="0" xfId="90" applyFont="1" applyFill="1" applyAlignment="1">
      <alignment horizontal="center"/>
    </xf>
    <xf numFmtId="37" fontId="8" fillId="0" borderId="0" xfId="0" applyFont="1" applyFill="1"/>
    <xf numFmtId="10" fontId="8" fillId="0" borderId="0" xfId="0" applyNumberFormat="1" applyFont="1" applyFill="1" applyAlignment="1">
      <alignment horizontal="left"/>
    </xf>
    <xf numFmtId="15" fontId="8" fillId="0" borderId="0" xfId="0" applyNumberFormat="1" applyFont="1" applyFill="1" applyAlignment="1">
      <alignment horizontal="center"/>
    </xf>
    <xf numFmtId="169" fontId="8" fillId="0" borderId="0" xfId="0" applyNumberFormat="1" applyFont="1" applyFill="1"/>
    <xf numFmtId="2" fontId="8" fillId="0" borderId="0" xfId="0" applyNumberFormat="1" applyFont="1" applyFill="1"/>
    <xf numFmtId="10" fontId="8" fillId="0" borderId="0" xfId="0" applyNumberFormat="1" applyFont="1" applyFill="1"/>
    <xf numFmtId="5" fontId="8" fillId="0" borderId="0" xfId="90" applyNumberFormat="1" applyFont="1" applyFill="1" applyProtection="1"/>
    <xf numFmtId="37" fontId="12" fillId="0" borderId="0" xfId="90" applyFont="1" applyFill="1" applyAlignment="1" applyProtection="1">
      <alignment horizontal="center"/>
    </xf>
    <xf numFmtId="10" fontId="8" fillId="0" borderId="0" xfId="90" applyNumberFormat="1" applyFont="1" applyFill="1" applyProtection="1"/>
    <xf numFmtId="168" fontId="8" fillId="0" borderId="0" xfId="90" applyNumberFormat="1" applyFont="1" applyFill="1" applyAlignment="1" applyProtection="1">
      <alignment horizontal="fill"/>
    </xf>
    <xf numFmtId="166" fontId="5" fillId="0" borderId="0" xfId="90" applyNumberFormat="1" applyFont="1" applyFill="1"/>
    <xf numFmtId="0" fontId="16" fillId="0" borderId="0" xfId="93" applyFont="1"/>
    <xf numFmtId="0" fontId="17" fillId="0" borderId="0" xfId="93" quotePrefix="1" applyFont="1" applyFill="1" applyAlignment="1" applyProtection="1">
      <alignment horizontal="center"/>
    </xf>
    <xf numFmtId="0" fontId="16" fillId="0" borderId="0" xfId="93" applyFont="1" applyFill="1"/>
    <xf numFmtId="0" fontId="18" fillId="0" borderId="0" xfId="93" applyFont="1" applyFill="1" applyAlignment="1" applyProtection="1">
      <alignment horizontal="center"/>
    </xf>
    <xf numFmtId="14" fontId="16" fillId="0" borderId="0" xfId="93" applyNumberFormat="1" applyFont="1" applyFill="1"/>
    <xf numFmtId="0" fontId="24" fillId="0" borderId="10" xfId="93" applyFont="1" applyFill="1" applyBorder="1" applyAlignment="1" applyProtection="1">
      <alignment horizontal="center" wrapText="1"/>
    </xf>
    <xf numFmtId="0" fontId="23" fillId="0" borderId="10" xfId="93" applyFont="1" applyFill="1" applyBorder="1" applyAlignment="1">
      <alignment horizontal="center"/>
    </xf>
    <xf numFmtId="7" fontId="16" fillId="0" borderId="0" xfId="93" applyNumberFormat="1" applyFont="1" applyFill="1"/>
    <xf numFmtId="0" fontId="18" fillId="0" borderId="0" xfId="93" quotePrefix="1" applyFont="1" applyFill="1" applyAlignment="1" applyProtection="1">
      <alignment horizontal="left"/>
    </xf>
    <xf numFmtId="37" fontId="13" fillId="0" borderId="0" xfId="89" applyFont="1"/>
    <xf numFmtId="37" fontId="15" fillId="0" borderId="0" xfId="89" applyFont="1"/>
    <xf numFmtId="37" fontId="15" fillId="0" borderId="0" xfId="89" applyFont="1" applyAlignment="1" applyProtection="1">
      <alignment horizontal="center"/>
    </xf>
    <xf numFmtId="37" fontId="27" fillId="0" borderId="0" xfId="89" applyFont="1" applyAlignment="1" applyProtection="1">
      <alignment horizontal="center"/>
    </xf>
    <xf numFmtId="37" fontId="13" fillId="0" borderId="0" xfId="89" applyFont="1" applyAlignment="1" applyProtection="1">
      <alignment horizontal="left"/>
    </xf>
    <xf numFmtId="37" fontId="13" fillId="0" borderId="0" xfId="89" applyFont="1" applyAlignment="1" applyProtection="1">
      <alignment horizontal="fill"/>
    </xf>
    <xf numFmtId="37" fontId="13" fillId="0" borderId="0" xfId="89" applyFont="1" applyAlignment="1" applyProtection="1">
      <alignment horizontal="center"/>
    </xf>
    <xf numFmtId="10" fontId="13" fillId="0" borderId="0" xfId="89" applyNumberFormat="1" applyFont="1" applyProtection="1"/>
    <xf numFmtId="37" fontId="13" fillId="0" borderId="0" xfId="89" applyNumberFormat="1" applyFont="1" applyProtection="1"/>
    <xf numFmtId="5" fontId="13" fillId="0" borderId="0" xfId="89" applyNumberFormat="1" applyFont="1" applyProtection="1"/>
    <xf numFmtId="5" fontId="13" fillId="0" borderId="0" xfId="89" applyNumberFormat="1" applyFont="1"/>
    <xf numFmtId="5" fontId="29" fillId="0" borderId="0" xfId="89" applyNumberFormat="1" applyFont="1"/>
    <xf numFmtId="5" fontId="29" fillId="0" borderId="0" xfId="89" applyNumberFormat="1" applyFont="1" applyProtection="1"/>
    <xf numFmtId="37" fontId="15" fillId="0" borderId="11" xfId="89" applyFont="1" applyBorder="1" applyAlignment="1" applyProtection="1">
      <alignment horizontal="left"/>
    </xf>
    <xf numFmtId="5" fontId="15" fillId="0" borderId="12" xfId="89" applyNumberFormat="1" applyFont="1" applyBorder="1" applyProtection="1"/>
    <xf numFmtId="5" fontId="15" fillId="0" borderId="12" xfId="89" applyNumberFormat="1" applyFont="1" applyBorder="1"/>
    <xf numFmtId="5" fontId="30" fillId="0" borderId="0" xfId="89" applyNumberFormat="1" applyFont="1" applyFill="1" applyProtection="1"/>
    <xf numFmtId="5" fontId="30" fillId="0" borderId="0" xfId="89" applyNumberFormat="1" applyFont="1" applyProtection="1"/>
    <xf numFmtId="5" fontId="30" fillId="0" borderId="0" xfId="89" applyNumberFormat="1" applyFont="1"/>
    <xf numFmtId="170" fontId="30" fillId="0" borderId="0" xfId="55" applyNumberFormat="1" applyFont="1"/>
    <xf numFmtId="5" fontId="31" fillId="0" borderId="0" xfId="89" applyNumberFormat="1" applyFont="1"/>
    <xf numFmtId="5" fontId="31" fillId="0" borderId="0" xfId="89" applyNumberFormat="1" applyFont="1" applyProtection="1"/>
    <xf numFmtId="37" fontId="0" fillId="0" borderId="0" xfId="0" applyBorder="1"/>
    <xf numFmtId="0" fontId="9" fillId="0" borderId="0" xfId="88" applyFont="1"/>
    <xf numFmtId="0" fontId="9" fillId="0" borderId="0" xfId="88" applyFont="1" applyFill="1"/>
    <xf numFmtId="164" fontId="9" fillId="0" borderId="0" xfId="88" applyNumberFormat="1" applyFont="1"/>
    <xf numFmtId="175" fontId="9" fillId="0" borderId="0" xfId="88" applyNumberFormat="1" applyFont="1" applyFill="1" applyBorder="1" applyProtection="1"/>
    <xf numFmtId="0" fontId="9" fillId="0" borderId="0" xfId="88" applyFont="1" applyBorder="1"/>
    <xf numFmtId="0" fontId="5" fillId="0" borderId="0" xfId="88" applyFont="1" applyBorder="1"/>
    <xf numFmtId="164" fontId="34" fillId="0" borderId="0" xfId="88" applyNumberFormat="1" applyFont="1" applyFill="1" applyProtection="1"/>
    <xf numFmtId="175" fontId="34" fillId="0" borderId="0" xfId="88" applyNumberFormat="1" applyFont="1" applyFill="1" applyProtection="1"/>
    <xf numFmtId="164" fontId="34" fillId="0" borderId="0" xfId="88" applyNumberFormat="1" applyFont="1" applyFill="1" applyBorder="1" applyProtection="1"/>
    <xf numFmtId="175" fontId="34" fillId="0" borderId="0" xfId="88" applyNumberFormat="1" applyFont="1" applyFill="1" applyBorder="1" applyProtection="1"/>
    <xf numFmtId="17" fontId="19" fillId="0" borderId="0" xfId="88" applyNumberFormat="1" applyFont="1" applyFill="1" applyAlignment="1" applyProtection="1">
      <alignment horizontal="center"/>
    </xf>
    <xf numFmtId="0" fontId="19" fillId="0" borderId="0" xfId="88" applyFont="1" applyAlignment="1" applyProtection="1">
      <alignment horizontal="center" wrapText="1"/>
    </xf>
    <xf numFmtId="0" fontId="18" fillId="0" borderId="0" xfId="88" applyFont="1" applyAlignment="1">
      <alignment horizontal="centerContinuous"/>
    </xf>
    <xf numFmtId="10" fontId="15" fillId="0" borderId="0" xfId="92" applyFont="1" applyAlignment="1">
      <alignment horizontal="centerContinuous"/>
    </xf>
    <xf numFmtId="10" fontId="13" fillId="0" borderId="0" xfId="92" applyFont="1"/>
    <xf numFmtId="10" fontId="13" fillId="0" borderId="0" xfId="92" applyFont="1" applyAlignment="1">
      <alignment horizontal="center"/>
    </xf>
    <xf numFmtId="10" fontId="15" fillId="0" borderId="0" xfId="92" applyFont="1" applyAlignment="1">
      <alignment horizontal="center"/>
    </xf>
    <xf numFmtId="10" fontId="15" fillId="0" borderId="0" xfId="92" applyFont="1" applyAlignment="1" applyProtection="1">
      <alignment horizontal="center"/>
    </xf>
    <xf numFmtId="10" fontId="27" fillId="0" borderId="0" xfId="92" applyFont="1" applyAlignment="1" applyProtection="1">
      <alignment horizontal="center"/>
    </xf>
    <xf numFmtId="10" fontId="13" fillId="0" borderId="0" xfId="92" applyFont="1" applyAlignment="1" applyProtection="1">
      <alignment horizontal="left"/>
    </xf>
    <xf numFmtId="10" fontId="15" fillId="0" borderId="0" xfId="92" applyFont="1" applyAlignment="1" applyProtection="1">
      <alignment horizontal="left"/>
    </xf>
    <xf numFmtId="10" fontId="15" fillId="0" borderId="0" xfId="92" applyFont="1"/>
    <xf numFmtId="10" fontId="13" fillId="0" borderId="0" xfId="92" applyFont="1" applyBorder="1"/>
    <xf numFmtId="0" fontId="18" fillId="0" borderId="0" xfId="93" quotePrefix="1" applyFont="1" applyFill="1" applyBorder="1" applyAlignment="1" applyProtection="1">
      <alignment horizontal="left"/>
    </xf>
    <xf numFmtId="0" fontId="24" fillId="0" borderId="10" xfId="93" applyFont="1" applyFill="1" applyBorder="1" applyAlignment="1" applyProtection="1">
      <alignment horizontal="left"/>
    </xf>
    <xf numFmtId="168" fontId="16" fillId="0" borderId="0" xfId="93" applyNumberFormat="1" applyFont="1" applyFill="1" applyAlignment="1">
      <alignment horizontal="left"/>
    </xf>
    <xf numFmtId="15" fontId="16" fillId="0" borderId="0" xfId="93" applyNumberFormat="1" applyFont="1" applyFill="1" applyAlignment="1">
      <alignment horizontal="center"/>
    </xf>
    <xf numFmtId="174" fontId="16" fillId="0" borderId="0" xfId="93" applyNumberFormat="1" applyFont="1" applyFill="1"/>
    <xf numFmtId="15" fontId="33" fillId="0" borderId="0" xfId="93" applyNumberFormat="1" applyFont="1" applyBorder="1" applyAlignment="1">
      <alignment horizontal="left"/>
    </xf>
    <xf numFmtId="0" fontId="22" fillId="0" borderId="0" xfId="93" applyFont="1"/>
    <xf numFmtId="0" fontId="33" fillId="0" borderId="0" xfId="93" quotePrefix="1" applyFont="1" applyAlignment="1">
      <alignment horizontal="left"/>
    </xf>
    <xf numFmtId="37" fontId="33" fillId="0" borderId="0" xfId="0" applyFont="1" applyBorder="1"/>
    <xf numFmtId="37" fontId="22" fillId="0" borderId="0" xfId="0" applyFont="1" applyBorder="1"/>
    <xf numFmtId="172" fontId="18" fillId="0" borderId="0" xfId="93" applyNumberFormat="1" applyFont="1" applyFill="1" applyAlignment="1">
      <alignment horizontal="left"/>
    </xf>
    <xf numFmtId="39" fontId="0" fillId="0" borderId="0" xfId="0" applyNumberFormat="1"/>
    <xf numFmtId="37" fontId="25" fillId="0" borderId="13" xfId="0" applyFont="1" applyBorder="1"/>
    <xf numFmtId="37" fontId="18" fillId="0" borderId="0" xfId="0" applyFont="1" applyBorder="1" applyAlignment="1">
      <alignment horizontal="left"/>
    </xf>
    <xf numFmtId="37" fontId="24" fillId="0" borderId="0" xfId="89" applyFont="1" applyAlignment="1" applyProtection="1">
      <alignment horizontal="center"/>
    </xf>
    <xf numFmtId="37" fontId="25" fillId="0" borderId="0" xfId="91" applyFont="1" applyBorder="1" applyAlignment="1" applyProtection="1">
      <alignment horizontal="left"/>
    </xf>
    <xf numFmtId="1" fontId="16" fillId="0" borderId="0" xfId="92" applyNumberFormat="1" applyFont="1" applyAlignment="1" applyProtection="1">
      <alignment horizontal="center"/>
    </xf>
    <xf numFmtId="37" fontId="18" fillId="0" borderId="0" xfId="89" applyFont="1" applyAlignment="1" applyProtection="1">
      <alignment horizontal="left"/>
    </xf>
    <xf numFmtId="37" fontId="26" fillId="0" borderId="0" xfId="89" applyFont="1" applyAlignment="1" applyProtection="1">
      <alignment horizontal="left"/>
    </xf>
    <xf numFmtId="37" fontId="25" fillId="0" borderId="0" xfId="90" applyNumberFormat="1" applyFont="1" applyAlignment="1">
      <alignment horizontal="center"/>
    </xf>
    <xf numFmtId="37" fontId="37" fillId="0" borderId="0" xfId="90" applyFont="1"/>
    <xf numFmtId="37" fontId="24" fillId="0" borderId="0" xfId="90" applyNumberFormat="1" applyFont="1"/>
    <xf numFmtId="37" fontId="25" fillId="0" borderId="0" xfId="90" applyNumberFormat="1" applyFont="1"/>
    <xf numFmtId="37" fontId="25" fillId="0" borderId="0" xfId="0" applyNumberFormat="1" applyFont="1"/>
    <xf numFmtId="171" fontId="25" fillId="0" borderId="0" xfId="0" applyNumberFormat="1" applyFont="1"/>
    <xf numFmtId="37" fontId="24" fillId="0" borderId="0" xfId="90" applyNumberFormat="1" applyFont="1" applyAlignment="1" applyProtection="1">
      <alignment horizontal="left"/>
    </xf>
    <xf numFmtId="38" fontId="13" fillId="0" borderId="0" xfId="92" applyNumberFormat="1" applyFont="1"/>
    <xf numFmtId="0" fontId="25" fillId="0" borderId="0" xfId="88" applyFont="1" applyAlignment="1" applyProtection="1">
      <alignment horizontal="left"/>
    </xf>
    <xf numFmtId="0" fontId="25" fillId="0" borderId="0" xfId="88" applyFont="1"/>
    <xf numFmtId="0" fontId="24" fillId="0" borderId="0" xfId="88" applyFont="1" applyAlignment="1" applyProtection="1">
      <alignment horizontal="left"/>
    </xf>
    <xf numFmtId="0" fontId="24" fillId="0" borderId="0" xfId="88" applyFont="1" applyAlignment="1" applyProtection="1">
      <alignment horizontal="centerContinuous"/>
    </xf>
    <xf numFmtId="0" fontId="37" fillId="0" borderId="0" xfId="88" applyFont="1" applyFill="1" applyAlignment="1">
      <alignment horizontal="centerContinuous"/>
    </xf>
    <xf numFmtId="37" fontId="16" fillId="0" borderId="14" xfId="0" applyFont="1" applyBorder="1" applyAlignment="1">
      <alignment horizontal="centerContinuous"/>
    </xf>
    <xf numFmtId="7" fontId="16" fillId="0" borderId="0" xfId="59" applyNumberFormat="1" applyFont="1" applyBorder="1"/>
    <xf numFmtId="5" fontId="16" fillId="0" borderId="0" xfId="93" applyNumberFormat="1" applyFont="1" applyProtection="1"/>
    <xf numFmtId="37" fontId="0" fillId="0" borderId="15" xfId="0" applyBorder="1"/>
    <xf numFmtId="37" fontId="0" fillId="0" borderId="16" xfId="0" applyBorder="1"/>
    <xf numFmtId="37" fontId="0" fillId="0" borderId="17" xfId="0" applyBorder="1"/>
    <xf numFmtId="37" fontId="0" fillId="0" borderId="18" xfId="0" applyBorder="1"/>
    <xf numFmtId="37" fontId="25" fillId="0" borderId="0" xfId="90" applyNumberFormat="1" applyFont="1" applyAlignment="1" applyProtection="1">
      <alignment horizontal="centerContinuous"/>
    </xf>
    <xf numFmtId="37" fontId="25" fillId="0" borderId="0" xfId="90" applyNumberFormat="1" applyFont="1" applyAlignment="1">
      <alignment horizontal="centerContinuous"/>
    </xf>
    <xf numFmtId="37" fontId="25" fillId="0" borderId="0" xfId="0" applyNumberFormat="1" applyFont="1" applyAlignment="1">
      <alignment horizontal="centerContinuous"/>
    </xf>
    <xf numFmtId="166" fontId="25" fillId="0" borderId="0" xfId="90" applyNumberFormat="1" applyFont="1" applyFill="1" applyAlignment="1">
      <alignment horizontal="centerContinuous"/>
    </xf>
    <xf numFmtId="166" fontId="25" fillId="0" borderId="0" xfId="0" applyNumberFormat="1" applyFont="1" applyFill="1" applyAlignment="1">
      <alignment horizontal="centerContinuous"/>
    </xf>
    <xf numFmtId="166" fontId="25" fillId="0" borderId="0" xfId="90" applyNumberFormat="1" applyFont="1" applyFill="1" applyAlignment="1" applyProtection="1">
      <alignment horizontal="centerContinuous"/>
    </xf>
    <xf numFmtId="37" fontId="25" fillId="0" borderId="0" xfId="0" applyFont="1"/>
    <xf numFmtId="14" fontId="25" fillId="0" borderId="0" xfId="0" applyNumberFormat="1" applyFont="1" applyBorder="1"/>
    <xf numFmtId="37" fontId="24" fillId="0" borderId="0" xfId="0" applyFont="1" applyBorder="1"/>
    <xf numFmtId="175" fontId="34" fillId="0" borderId="19" xfId="88" applyNumberFormat="1" applyFont="1" applyFill="1" applyBorder="1" applyProtection="1"/>
    <xf numFmtId="164" fontId="34" fillId="0" borderId="19" xfId="88" applyNumberFormat="1" applyFont="1" applyFill="1" applyBorder="1" applyProtection="1"/>
    <xf numFmtId="175" fontId="34" fillId="0" borderId="20" xfId="88" applyNumberFormat="1" applyFont="1" applyFill="1" applyBorder="1" applyProtection="1"/>
    <xf numFmtId="5" fontId="13" fillId="0" borderId="0" xfId="55" applyNumberFormat="1" applyFont="1" applyAlignment="1" applyProtection="1"/>
    <xf numFmtId="10" fontId="13" fillId="0" borderId="0" xfId="92" applyFont="1" applyAlignment="1" applyProtection="1"/>
    <xf numFmtId="5" fontId="13" fillId="0" borderId="0" xfId="92" applyNumberFormat="1" applyFont="1" applyAlignment="1" applyProtection="1"/>
    <xf numFmtId="10" fontId="13" fillId="0" borderId="0" xfId="92" applyFont="1" applyBorder="1" applyAlignment="1" applyProtection="1"/>
    <xf numFmtId="5" fontId="13" fillId="0" borderId="0" xfId="92" applyNumberFormat="1" applyFont="1" applyAlignment="1"/>
    <xf numFmtId="5" fontId="29" fillId="0" borderId="0" xfId="92" applyNumberFormat="1" applyFont="1" applyBorder="1" applyAlignment="1" applyProtection="1"/>
    <xf numFmtId="165" fontId="13" fillId="0" borderId="0" xfId="92" applyNumberFormat="1" applyFont="1" applyBorder="1" applyAlignment="1" applyProtection="1"/>
    <xf numFmtId="5" fontId="36" fillId="0" borderId="0" xfId="92" applyNumberFormat="1" applyFont="1" applyBorder="1" applyAlignment="1" applyProtection="1"/>
    <xf numFmtId="10" fontId="36" fillId="0" borderId="0" xfId="92" applyFont="1" applyBorder="1" applyAlignment="1"/>
    <xf numFmtId="5" fontId="34" fillId="0" borderId="0" xfId="88" applyNumberFormat="1" applyFont="1" applyFill="1" applyProtection="1"/>
    <xf numFmtId="37" fontId="25" fillId="0" borderId="0" xfId="90" applyNumberFormat="1" applyFont="1" applyAlignment="1">
      <alignment horizontal="right"/>
    </xf>
    <xf numFmtId="37" fontId="39" fillId="0" borderId="0" xfId="89" applyFont="1" applyAlignment="1" applyProtection="1">
      <alignment horizontal="center"/>
    </xf>
    <xf numFmtId="37" fontId="34" fillId="0" borderId="0" xfId="88" applyNumberFormat="1" applyFont="1" applyFill="1" applyProtection="1"/>
    <xf numFmtId="10" fontId="13" fillId="0" borderId="0" xfId="92" applyNumberFormat="1" applyFont="1" applyAlignment="1" applyProtection="1"/>
    <xf numFmtId="10" fontId="25" fillId="0" borderId="0" xfId="0" applyNumberFormat="1" applyFont="1"/>
    <xf numFmtId="37" fontId="18" fillId="0" borderId="0" xfId="0" applyFont="1" applyFill="1" applyBorder="1" applyAlignment="1">
      <alignment horizontal="left"/>
    </xf>
    <xf numFmtId="37" fontId="16" fillId="0" borderId="15" xfId="0" applyFont="1" applyBorder="1" applyAlignment="1">
      <alignment horizontal="centerContinuous"/>
    </xf>
    <xf numFmtId="37" fontId="18" fillId="0" borderId="16" xfId="0" applyFont="1" applyFill="1" applyBorder="1" applyAlignment="1">
      <alignment horizontal="left"/>
    </xf>
    <xf numFmtId="170" fontId="16" fillId="0" borderId="17" xfId="55" applyNumberFormat="1" applyFont="1" applyBorder="1"/>
    <xf numFmtId="37" fontId="24" fillId="0" borderId="17" xfId="0" applyFont="1" applyBorder="1"/>
    <xf numFmtId="37" fontId="0" fillId="0" borderId="21" xfId="0" applyBorder="1"/>
    <xf numFmtId="37" fontId="18" fillId="0" borderId="18" xfId="0" applyFont="1" applyFill="1" applyBorder="1" applyAlignment="1">
      <alignment horizontal="left"/>
    </xf>
    <xf numFmtId="7" fontId="16" fillId="0" borderId="18" xfId="59" applyNumberFormat="1" applyFont="1" applyBorder="1"/>
    <xf numFmtId="10" fontId="15" fillId="0" borderId="0" xfId="89" applyNumberFormat="1" applyFont="1" applyProtection="1"/>
    <xf numFmtId="37" fontId="25" fillId="0" borderId="0" xfId="89" applyFont="1" applyAlignment="1" applyProtection="1">
      <alignment horizontal="center"/>
    </xf>
    <xf numFmtId="1" fontId="25" fillId="0" borderId="0" xfId="92" applyNumberFormat="1" applyFont="1" applyAlignment="1" applyProtection="1">
      <alignment horizontal="center"/>
    </xf>
    <xf numFmtId="5" fontId="13" fillId="0" borderId="0" xfId="92" applyNumberFormat="1" applyFont="1"/>
    <xf numFmtId="10" fontId="5" fillId="0" borderId="0" xfId="92" applyFont="1" applyBorder="1"/>
    <xf numFmtId="1" fontId="16" fillId="0" borderId="0" xfId="92" applyNumberFormat="1" applyFont="1" applyFill="1" applyAlignment="1" applyProtection="1">
      <alignment horizontal="center"/>
    </xf>
    <xf numFmtId="164" fontId="34" fillId="0" borderId="22" xfId="88" applyNumberFormat="1" applyFont="1" applyFill="1" applyBorder="1" applyProtection="1"/>
    <xf numFmtId="17" fontId="44" fillId="0" borderId="0" xfId="88" applyNumberFormat="1" applyFont="1" applyFill="1" applyAlignment="1" applyProtection="1">
      <alignment horizontal="center"/>
    </xf>
    <xf numFmtId="175" fontId="43" fillId="0" borderId="0" xfId="88" applyNumberFormat="1" applyFont="1" applyFill="1" applyBorder="1" applyProtection="1"/>
    <xf numFmtId="164" fontId="25" fillId="0" borderId="0" xfId="88" applyNumberFormat="1" applyFont="1" applyFill="1" applyBorder="1" applyProtection="1"/>
    <xf numFmtId="0" fontId="18" fillId="0" borderId="0" xfId="93" quotePrefix="1" applyFont="1" applyFill="1" applyBorder="1" applyAlignment="1" applyProtection="1">
      <alignment horizontal="centerContinuous" vertical="center" wrapText="1"/>
    </xf>
    <xf numFmtId="172" fontId="44" fillId="0" borderId="0" xfId="93" quotePrefix="1" applyNumberFormat="1" applyFont="1" applyFill="1" applyBorder="1" applyAlignment="1" applyProtection="1">
      <alignment horizontal="centerContinuous" vertical="center" wrapText="1"/>
    </xf>
    <xf numFmtId="168" fontId="16" fillId="0" borderId="0" xfId="98" applyNumberFormat="1" applyFont="1"/>
    <xf numFmtId="178" fontId="16" fillId="0" borderId="0" xfId="98" applyNumberFormat="1" applyFont="1"/>
    <xf numFmtId="37" fontId="16" fillId="0" borderId="16" xfId="0" applyFont="1" applyFill="1" applyBorder="1"/>
    <xf numFmtId="37" fontId="16" fillId="0" borderId="0" xfId="0" applyFont="1" applyFill="1" applyBorder="1"/>
    <xf numFmtId="44" fontId="21" fillId="0" borderId="0" xfId="59" applyFont="1" applyFill="1" applyBorder="1"/>
    <xf numFmtId="167" fontId="21" fillId="0" borderId="0" xfId="0" applyNumberFormat="1" applyFont="1" applyFill="1" applyBorder="1"/>
    <xf numFmtId="37" fontId="16" fillId="0" borderId="18" xfId="0" applyFont="1" applyFill="1" applyBorder="1"/>
    <xf numFmtId="170" fontId="16" fillId="0" borderId="0" xfId="55" applyNumberFormat="1" applyFont="1" applyFill="1" applyBorder="1"/>
    <xf numFmtId="168" fontId="30" fillId="0" borderId="0" xfId="89" applyNumberFormat="1" applyFont="1" applyProtection="1"/>
    <xf numFmtId="168" fontId="30" fillId="0" borderId="0" xfId="89" applyNumberFormat="1" applyFont="1"/>
    <xf numFmtId="37" fontId="16" fillId="0" borderId="0" xfId="0" applyFont="1" applyFill="1" applyBorder="1" applyAlignment="1">
      <alignment horizontal="center"/>
    </xf>
    <xf numFmtId="37" fontId="20" fillId="0" borderId="0" xfId="0" applyFont="1" applyFill="1" applyBorder="1" applyAlignment="1">
      <alignment horizontal="center"/>
    </xf>
    <xf numFmtId="10" fontId="24" fillId="18" borderId="23" xfId="90" applyNumberFormat="1" applyFont="1" applyFill="1" applyBorder="1" applyProtection="1"/>
    <xf numFmtId="10" fontId="15" fillId="18" borderId="23" xfId="89" applyNumberFormat="1" applyFont="1" applyFill="1" applyBorder="1" applyAlignment="1" applyProtection="1">
      <alignment horizontal="center"/>
    </xf>
    <xf numFmtId="37" fontId="16" fillId="0" borderId="0" xfId="0" applyFont="1" applyBorder="1" applyAlignment="1">
      <alignment horizontal="center"/>
    </xf>
    <xf numFmtId="37" fontId="12" fillId="0" borderId="0" xfId="90" applyFont="1" applyAlignment="1">
      <alignment horizontal="center"/>
    </xf>
    <xf numFmtId="37" fontId="38" fillId="0" borderId="0" xfId="0" applyFont="1" applyAlignment="1">
      <alignment horizontal="right"/>
    </xf>
    <xf numFmtId="0" fontId="24" fillId="0" borderId="0" xfId="93" applyFont="1" applyFill="1" applyBorder="1" applyAlignment="1" applyProtection="1">
      <alignment horizontal="center" wrapText="1"/>
    </xf>
    <xf numFmtId="37" fontId="24" fillId="0" borderId="0" xfId="0" applyFont="1" applyFill="1" applyBorder="1"/>
    <xf numFmtId="0" fontId="48" fillId="0" borderId="0" xfId="93" applyFont="1"/>
    <xf numFmtId="0" fontId="9" fillId="0" borderId="0" xfId="88" applyFont="1" applyFill="1" applyBorder="1"/>
    <xf numFmtId="37" fontId="9" fillId="0" borderId="0" xfId="88" applyNumberFormat="1" applyFont="1" applyFill="1" applyBorder="1"/>
    <xf numFmtId="10" fontId="36" fillId="0" borderId="0" xfId="92" applyNumberFormat="1" applyFont="1" applyBorder="1" applyAlignment="1" applyProtection="1"/>
    <xf numFmtId="0" fontId="25" fillId="0" borderId="12" xfId="88" applyFont="1" applyBorder="1" applyAlignment="1" applyProtection="1">
      <alignment horizontal="left"/>
    </xf>
    <xf numFmtId="0" fontId="25" fillId="0" borderId="0" xfId="88" applyFont="1" applyBorder="1" applyAlignment="1" applyProtection="1">
      <alignment horizontal="left"/>
    </xf>
    <xf numFmtId="175" fontId="25" fillId="0" borderId="12" xfId="88" applyNumberFormat="1" applyFont="1" applyFill="1" applyBorder="1" applyProtection="1"/>
    <xf numFmtId="0" fontId="25" fillId="0" borderId="0" xfId="88" applyFont="1" applyBorder="1" applyAlignment="1" applyProtection="1">
      <alignment horizontal="left" indent="1"/>
    </xf>
    <xf numFmtId="0" fontId="25" fillId="0" borderId="12" xfId="88" applyFont="1" applyBorder="1" applyAlignment="1" applyProtection="1">
      <alignment horizontal="left" indent="2"/>
    </xf>
    <xf numFmtId="37" fontId="18" fillId="0" borderId="0" xfId="90" applyNumberFormat="1" applyFont="1" applyAlignment="1" applyProtection="1">
      <alignment horizontal="centerContinuous"/>
    </xf>
    <xf numFmtId="0" fontId="18" fillId="0" borderId="0" xfId="93" applyFont="1" applyFill="1" applyAlignment="1" applyProtection="1">
      <alignment horizontal="left"/>
    </xf>
    <xf numFmtId="0" fontId="6" fillId="0" borderId="0" xfId="93" applyFont="1" applyFill="1"/>
    <xf numFmtId="1" fontId="16" fillId="0" borderId="0" xfId="93" applyNumberFormat="1" applyFont="1" applyFill="1" applyAlignment="1" applyProtection="1">
      <alignment horizontal="center"/>
    </xf>
    <xf numFmtId="0" fontId="6" fillId="0" borderId="0" xfId="93" applyFont="1" applyAlignment="1">
      <alignment horizontal="center"/>
    </xf>
    <xf numFmtId="37" fontId="5" fillId="0" borderId="0" xfId="92" applyNumberFormat="1" applyFont="1"/>
    <xf numFmtId="37" fontId="20" fillId="0" borderId="0" xfId="0" applyFont="1"/>
    <xf numFmtId="167" fontId="5" fillId="0" borderId="0" xfId="92" applyNumberFormat="1" applyFont="1"/>
    <xf numFmtId="10" fontId="8" fillId="0" borderId="0" xfId="92" applyFont="1"/>
    <xf numFmtId="14" fontId="16" fillId="0" borderId="16" xfId="0" applyNumberFormat="1" applyFont="1" applyFill="1" applyBorder="1"/>
    <xf numFmtId="10" fontId="36" fillId="0" borderId="0" xfId="92" applyNumberFormat="1" applyFont="1" applyFill="1" applyBorder="1" applyAlignment="1" applyProtection="1"/>
    <xf numFmtId="10" fontId="24" fillId="0" borderId="0" xfId="90" applyNumberFormat="1" applyFont="1" applyFill="1" applyBorder="1" applyProtection="1"/>
    <xf numFmtId="175" fontId="35" fillId="0" borderId="19" xfId="88" applyNumberFormat="1" applyFont="1" applyFill="1" applyBorder="1" applyProtection="1"/>
    <xf numFmtId="164" fontId="35" fillId="0" borderId="24" xfId="88" applyNumberFormat="1" applyFont="1" applyFill="1" applyBorder="1" applyProtection="1"/>
    <xf numFmtId="0" fontId="24" fillId="0" borderId="0" xfId="93" applyFont="1" applyFill="1" applyAlignment="1" applyProtection="1">
      <alignment horizontal="center"/>
    </xf>
    <xf numFmtId="0" fontId="24" fillId="0" borderId="0" xfId="93" applyFont="1" applyFill="1" applyAlignment="1">
      <alignment horizontal="center"/>
    </xf>
    <xf numFmtId="10" fontId="45" fillId="0" borderId="0" xfId="92" applyFont="1" applyBorder="1"/>
    <xf numFmtId="37" fontId="5" fillId="0" borderId="0" xfId="92" applyNumberFormat="1" applyFont="1" applyBorder="1"/>
    <xf numFmtId="182" fontId="28" fillId="0" borderId="0" xfId="92" applyNumberFormat="1" applyFont="1" applyBorder="1" applyAlignment="1">
      <alignment horizontal="center"/>
    </xf>
    <xf numFmtId="37" fontId="13" fillId="0" borderId="0" xfId="92" applyNumberFormat="1" applyFont="1" applyBorder="1" applyAlignment="1">
      <alignment horizontal="center"/>
    </xf>
    <xf numFmtId="10" fontId="28" fillId="0" borderId="0" xfId="92" applyFont="1" applyBorder="1" applyAlignment="1" applyProtection="1"/>
    <xf numFmtId="10" fontId="13" fillId="0" borderId="0" xfId="92" applyNumberFormat="1" applyFont="1" applyBorder="1" applyAlignment="1" applyProtection="1"/>
    <xf numFmtId="181" fontId="41" fillId="0" borderId="0" xfId="92" applyNumberFormat="1" applyFont="1" applyBorder="1" applyAlignment="1" applyProtection="1">
      <alignment horizontal="centerContinuous" vertical="center" wrapText="1"/>
    </xf>
    <xf numFmtId="166" fontId="18" fillId="0" borderId="0" xfId="0" applyNumberFormat="1" applyFont="1" applyFill="1" applyBorder="1" applyAlignment="1">
      <alignment horizontal="centerContinuous" vertical="center" wrapText="1"/>
    </xf>
    <xf numFmtId="37" fontId="16" fillId="0" borderId="0" xfId="0" applyFont="1" applyFill="1" applyBorder="1" applyAlignment="1">
      <alignment horizontal="centerContinuous" vertical="center" wrapText="1"/>
    </xf>
    <xf numFmtId="37" fontId="16" fillId="0" borderId="0" xfId="0" applyFont="1" applyBorder="1" applyAlignment="1">
      <alignment horizontal="left" vertical="center" wrapText="1"/>
    </xf>
    <xf numFmtId="5" fontId="16" fillId="0" borderId="0" xfId="59" applyNumberFormat="1" applyFont="1" applyFill="1" applyBorder="1"/>
    <xf numFmtId="179" fontId="34" fillId="0" borderId="0" xfId="88" applyNumberFormat="1" applyFont="1" applyFill="1" applyProtection="1"/>
    <xf numFmtId="37" fontId="24" fillId="0" borderId="0" xfId="89" quotePrefix="1" applyFont="1" applyAlignment="1" applyProtection="1">
      <alignment horizontal="center"/>
    </xf>
    <xf numFmtId="14" fontId="18" fillId="0" borderId="16" xfId="0" applyNumberFormat="1" applyFont="1" applyFill="1" applyBorder="1"/>
    <xf numFmtId="14" fontId="16" fillId="0" borderId="16" xfId="0" applyNumberFormat="1" applyFont="1" applyFill="1" applyBorder="1" applyAlignment="1">
      <alignment horizontal="left" indent="1"/>
    </xf>
    <xf numFmtId="0" fontId="18" fillId="0" borderId="0" xfId="93" applyFont="1" applyAlignment="1" applyProtection="1">
      <alignment horizontal="left"/>
    </xf>
    <xf numFmtId="181" fontId="15" fillId="0" borderId="0" xfId="92" applyNumberFormat="1" applyFont="1" applyBorder="1" applyAlignment="1" applyProtection="1">
      <alignment horizontal="centerContinuous" vertical="center" wrapText="1"/>
    </xf>
    <xf numFmtId="181" fontId="18" fillId="0" borderId="0" xfId="90" applyNumberFormat="1" applyFont="1" applyFill="1" applyAlignment="1" applyProtection="1">
      <alignment horizontal="centerContinuous"/>
    </xf>
    <xf numFmtId="168" fontId="16" fillId="0" borderId="0" xfId="0" applyNumberFormat="1" applyFont="1" applyFill="1" applyBorder="1" applyAlignment="1">
      <alignment horizontal="center"/>
    </xf>
    <xf numFmtId="183" fontId="34" fillId="0" borderId="0" xfId="88" applyNumberFormat="1" applyFont="1" applyFill="1" applyProtection="1"/>
    <xf numFmtId="5" fontId="37" fillId="0" borderId="0" xfId="90" applyNumberFormat="1" applyFont="1" applyFill="1"/>
    <xf numFmtId="5" fontId="5" fillId="0" borderId="0" xfId="90" applyNumberFormat="1" applyFont="1" applyFill="1"/>
    <xf numFmtId="175" fontId="25" fillId="0" borderId="0" xfId="88" applyNumberFormat="1" applyFont="1" applyFill="1" applyProtection="1"/>
    <xf numFmtId="175" fontId="24" fillId="0" borderId="0" xfId="88" applyNumberFormat="1" applyFont="1" applyFill="1" applyProtection="1"/>
    <xf numFmtId="37" fontId="46" fillId="0" borderId="0" xfId="0" applyFont="1"/>
    <xf numFmtId="175" fontId="25" fillId="0" borderId="0" xfId="88" applyNumberFormat="1" applyFont="1" applyFill="1" applyBorder="1" applyProtection="1"/>
    <xf numFmtId="37" fontId="25" fillId="0" borderId="0" xfId="0" applyFont="1" applyFill="1" applyBorder="1"/>
    <xf numFmtId="37" fontId="26" fillId="0" borderId="0" xfId="0" applyNumberFormat="1" applyFont="1" applyFill="1" applyBorder="1" applyAlignment="1">
      <alignment horizontal="center"/>
    </xf>
    <xf numFmtId="37" fontId="47" fillId="0" borderId="0" xfId="0" applyFont="1" applyFill="1" applyBorder="1"/>
    <xf numFmtId="170" fontId="26" fillId="0" borderId="0" xfId="59" applyNumberFormat="1" applyFont="1" applyBorder="1"/>
    <xf numFmtId="14" fontId="26" fillId="0" borderId="0" xfId="0" applyNumberFormat="1" applyFont="1" applyFill="1" applyBorder="1"/>
    <xf numFmtId="168" fontId="25" fillId="0" borderId="0" xfId="0" applyNumberFormat="1" applyFont="1"/>
    <xf numFmtId="17" fontId="25" fillId="0" borderId="0" xfId="0" applyNumberFormat="1" applyFont="1" applyAlignment="1">
      <alignment horizontal="center"/>
    </xf>
    <xf numFmtId="39" fontId="25" fillId="0" borderId="0" xfId="0" applyNumberFormat="1" applyFont="1" applyFill="1" applyAlignment="1">
      <alignment horizontal="center"/>
    </xf>
    <xf numFmtId="171" fontId="25" fillId="0" borderId="0" xfId="0" applyNumberFormat="1" applyFont="1" applyFill="1" applyAlignment="1">
      <alignment horizontal="center"/>
    </xf>
    <xf numFmtId="175" fontId="24" fillId="0" borderId="12" xfId="88" applyNumberFormat="1" applyFont="1" applyFill="1" applyBorder="1" applyProtection="1"/>
    <xf numFmtId="171" fontId="25" fillId="0" borderId="0" xfId="0" applyNumberFormat="1" applyFont="1" applyFill="1"/>
    <xf numFmtId="175" fontId="24" fillId="0" borderId="0" xfId="88" applyNumberFormat="1" applyFont="1" applyFill="1" applyBorder="1" applyProtection="1"/>
    <xf numFmtId="2" fontId="25" fillId="0" borderId="0" xfId="0" applyNumberFormat="1" applyFont="1" applyFill="1" applyBorder="1" applyAlignment="1">
      <alignment horizontal="center"/>
    </xf>
    <xf numFmtId="175" fontId="24" fillId="0" borderId="25" xfId="88" applyNumberFormat="1" applyFont="1" applyFill="1" applyBorder="1" applyProtection="1"/>
    <xf numFmtId="37" fontId="47" fillId="0" borderId="0" xfId="90" applyNumberFormat="1" applyFont="1"/>
    <xf numFmtId="37" fontId="47" fillId="0" borderId="0" xfId="90" applyNumberFormat="1" applyFont="1" applyAlignment="1">
      <alignment horizontal="right"/>
    </xf>
    <xf numFmtId="175" fontId="47" fillId="0" borderId="0" xfId="88" applyNumberFormat="1" applyFont="1" applyFill="1" applyProtection="1"/>
    <xf numFmtId="37" fontId="5" fillId="0" borderId="0" xfId="90" applyFont="1" applyFill="1"/>
    <xf numFmtId="37" fontId="25" fillId="0" borderId="0" xfId="0" applyNumberFormat="1" applyFont="1" applyFill="1"/>
    <xf numFmtId="15" fontId="16" fillId="0" borderId="0" xfId="93" applyNumberFormat="1" applyFont="1" applyFill="1" applyAlignment="1">
      <alignment horizontal="right"/>
    </xf>
    <xf numFmtId="5" fontId="16" fillId="0" borderId="0" xfId="93" applyNumberFormat="1" applyFont="1" applyFill="1"/>
    <xf numFmtId="168" fontId="16" fillId="0" borderId="0" xfId="93" applyNumberFormat="1" applyFont="1" applyFill="1" applyAlignment="1" applyProtection="1">
      <alignment horizontal="left"/>
    </xf>
    <xf numFmtId="15" fontId="16" fillId="0" borderId="0" xfId="93" applyNumberFormat="1" applyFont="1" applyFill="1" applyAlignment="1" applyProtection="1">
      <alignment horizontal="center"/>
    </xf>
    <xf numFmtId="5" fontId="20" fillId="0" borderId="0" xfId="93" applyNumberFormat="1" applyFont="1" applyFill="1"/>
    <xf numFmtId="174" fontId="26" fillId="0" borderId="0" xfId="93" applyNumberFormat="1" applyFont="1" applyFill="1"/>
    <xf numFmtId="5" fontId="18" fillId="0" borderId="25" xfId="93" applyNumberFormat="1" applyFont="1" applyFill="1" applyBorder="1" applyAlignment="1" applyProtection="1">
      <alignment horizontal="right"/>
    </xf>
    <xf numFmtId="43" fontId="43" fillId="0" borderId="0" xfId="88" applyNumberFormat="1" applyFont="1" applyFill="1" applyProtection="1"/>
    <xf numFmtId="164" fontId="34" fillId="0" borderId="26" xfId="88" applyNumberFormat="1" applyFont="1" applyFill="1" applyBorder="1" applyProtection="1"/>
    <xf numFmtId="164" fontId="34" fillId="0" borderId="25" xfId="88" applyNumberFormat="1" applyFont="1" applyFill="1" applyBorder="1" applyProtection="1"/>
    <xf numFmtId="165" fontId="34" fillId="0" borderId="0" xfId="88" applyNumberFormat="1" applyFont="1" applyFill="1" applyProtection="1"/>
    <xf numFmtId="165" fontId="34" fillId="0" borderId="19" xfId="88" applyNumberFormat="1" applyFont="1" applyFill="1" applyBorder="1" applyProtection="1"/>
    <xf numFmtId="165" fontId="34" fillId="0" borderId="10" xfId="88" applyNumberFormat="1" applyFont="1" applyFill="1" applyBorder="1" applyProtection="1"/>
    <xf numFmtId="165" fontId="34" fillId="0" borderId="20" xfId="88" applyNumberFormat="1" applyFont="1" applyFill="1" applyBorder="1" applyProtection="1"/>
    <xf numFmtId="0" fontId="34" fillId="0" borderId="0" xfId="88" applyFont="1" applyFill="1"/>
    <xf numFmtId="37" fontId="24" fillId="0" borderId="0" xfId="89" applyFont="1" applyFill="1" applyAlignment="1" applyProtection="1">
      <alignment horizontal="center"/>
    </xf>
    <xf numFmtId="165" fontId="34" fillId="0" borderId="0" xfId="88" applyNumberFormat="1" applyFont="1" applyFill="1"/>
    <xf numFmtId="0" fontId="34" fillId="0" borderId="19" xfId="88" applyFont="1" applyFill="1" applyBorder="1"/>
    <xf numFmtId="165" fontId="34" fillId="0" borderId="27" xfId="88" applyNumberFormat="1" applyFont="1" applyFill="1" applyBorder="1" applyProtection="1"/>
    <xf numFmtId="165" fontId="34" fillId="0" borderId="28" xfId="88" applyNumberFormat="1" applyFont="1" applyFill="1" applyBorder="1" applyProtection="1"/>
    <xf numFmtId="164" fontId="43" fillId="0" borderId="0" xfId="88" applyNumberFormat="1" applyFont="1" applyFill="1" applyBorder="1" applyProtection="1"/>
    <xf numFmtId="164" fontId="25" fillId="0" borderId="12" xfId="88" applyNumberFormat="1" applyFont="1" applyFill="1" applyBorder="1" applyProtection="1"/>
    <xf numFmtId="37" fontId="12" fillId="0" borderId="0" xfId="90" applyFont="1" applyAlignment="1">
      <alignment horizontal="right"/>
    </xf>
    <xf numFmtId="5" fontId="46" fillId="0" borderId="0" xfId="59" applyNumberFormat="1" applyFont="1" applyFill="1" applyBorder="1"/>
    <xf numFmtId="180" fontId="46" fillId="0" borderId="0" xfId="0" applyNumberFormat="1" applyFont="1" applyFill="1" applyBorder="1"/>
    <xf numFmtId="169" fontId="46" fillId="0" borderId="0" xfId="0" applyNumberFormat="1" applyFont="1" applyFill="1" applyBorder="1"/>
    <xf numFmtId="10" fontId="46" fillId="0" borderId="0" xfId="0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/>
    </xf>
    <xf numFmtId="37" fontId="0" fillId="0" borderId="0" xfId="0" applyFill="1" applyBorder="1"/>
    <xf numFmtId="37" fontId="13" fillId="0" borderId="0" xfId="89" applyFont="1" applyAlignment="1">
      <alignment horizontal="left" indent="1"/>
    </xf>
    <xf numFmtId="5" fontId="13" fillId="0" borderId="26" xfId="89" applyNumberFormat="1" applyFont="1" applyBorder="1" applyProtection="1"/>
    <xf numFmtId="5" fontId="30" fillId="0" borderId="26" xfId="89" applyNumberFormat="1" applyFont="1" applyBorder="1"/>
    <xf numFmtId="168" fontId="30" fillId="0" borderId="26" xfId="89" applyNumberFormat="1" applyFont="1" applyBorder="1" applyProtection="1"/>
    <xf numFmtId="14" fontId="18" fillId="0" borderId="16" xfId="0" applyNumberFormat="1" applyFont="1" applyFill="1" applyBorder="1" applyAlignment="1">
      <alignment horizontal="left" indent="2"/>
    </xf>
    <xf numFmtId="37" fontId="18" fillId="0" borderId="16" xfId="0" applyFont="1" applyFill="1" applyBorder="1" applyAlignment="1">
      <alignment horizontal="left" indent="1"/>
    </xf>
    <xf numFmtId="0" fontId="15" fillId="0" borderId="0" xfId="93" quotePrefix="1" applyFont="1" applyFill="1" applyBorder="1" applyAlignment="1" applyProtection="1">
      <alignment horizontal="centerContinuous" vertical="center" wrapText="1"/>
    </xf>
    <xf numFmtId="181" fontId="15" fillId="0" borderId="0" xfId="93" quotePrefix="1" applyNumberFormat="1" applyFont="1" applyFill="1" applyBorder="1" applyAlignment="1" applyProtection="1">
      <alignment horizontal="centerContinuous" vertical="center" wrapText="1"/>
    </xf>
    <xf numFmtId="37" fontId="49" fillId="0" borderId="0" xfId="0" applyFont="1" applyBorder="1" applyAlignment="1">
      <alignment horizontal="center"/>
    </xf>
    <xf numFmtId="10" fontId="29" fillId="0" borderId="0" xfId="92" applyNumberFormat="1" applyFont="1" applyFill="1" applyAlignment="1" applyProtection="1"/>
    <xf numFmtId="10" fontId="34" fillId="0" borderId="0" xfId="98" applyNumberFormat="1" applyFont="1" applyFill="1" applyBorder="1" applyProtection="1"/>
    <xf numFmtId="10" fontId="34" fillId="0" borderId="10" xfId="88" applyNumberFormat="1" applyFont="1" applyFill="1" applyBorder="1" applyProtection="1"/>
    <xf numFmtId="184" fontId="34" fillId="0" borderId="0" xfId="88" applyNumberFormat="1" applyFont="1" applyFill="1" applyBorder="1" applyProtection="1"/>
    <xf numFmtId="0" fontId="32" fillId="0" borderId="0" xfId="88" applyFont="1" applyBorder="1" applyAlignment="1" applyProtection="1">
      <alignment horizontal="centerContinuous" vertical="center" wrapText="1"/>
    </xf>
    <xf numFmtId="10" fontId="32" fillId="0" borderId="0" xfId="92" applyFont="1" applyBorder="1" applyAlignment="1" applyProtection="1">
      <alignment horizontal="centerContinuous" vertical="center" wrapText="1"/>
    </xf>
    <xf numFmtId="172" fontId="32" fillId="0" borderId="0" xfId="92" applyNumberFormat="1" applyFont="1" applyBorder="1" applyAlignment="1" applyProtection="1">
      <alignment horizontal="centerContinuous" vertical="center" wrapText="1"/>
    </xf>
    <xf numFmtId="180" fontId="49" fillId="0" borderId="0" xfId="0" applyNumberFormat="1" applyFont="1" applyFill="1" applyBorder="1" applyAlignment="1">
      <alignment horizontal="left" indent="1"/>
    </xf>
    <xf numFmtId="1" fontId="16" fillId="0" borderId="0" xfId="0" applyNumberFormat="1" applyFont="1" applyFill="1" applyBorder="1" applyAlignment="1">
      <alignment horizontal="center"/>
    </xf>
    <xf numFmtId="37" fontId="24" fillId="0" borderId="13" xfId="0" applyFont="1" applyFill="1" applyBorder="1"/>
    <xf numFmtId="5" fontId="13" fillId="0" borderId="0" xfId="89" applyNumberFormat="1" applyFont="1" applyFill="1" applyProtection="1"/>
    <xf numFmtId="10" fontId="13" fillId="0" borderId="0" xfId="92" applyFont="1" applyFill="1" applyAlignment="1" applyProtection="1"/>
    <xf numFmtId="37" fontId="15" fillId="0" borderId="0" xfId="89" applyFont="1" applyBorder="1" applyAlignment="1" applyProtection="1">
      <alignment horizontal="center"/>
    </xf>
    <xf numFmtId="37" fontId="40" fillId="0" borderId="29" xfId="0" applyFont="1" applyFill="1" applyBorder="1"/>
    <xf numFmtId="37" fontId="16" fillId="0" borderId="15" xfId="0" applyFont="1" applyFill="1" applyBorder="1"/>
    <xf numFmtId="37" fontId="0" fillId="0" borderId="14" xfId="0" applyBorder="1"/>
    <xf numFmtId="37" fontId="16" fillId="0" borderId="17" xfId="0" applyFont="1" applyBorder="1"/>
    <xf numFmtId="37" fontId="16" fillId="0" borderId="18" xfId="0" applyFont="1" applyBorder="1"/>
    <xf numFmtId="37" fontId="16" fillId="0" borderId="21" xfId="0" applyFont="1" applyBorder="1"/>
    <xf numFmtId="10" fontId="13" fillId="0" borderId="0" xfId="92" applyNumberFormat="1" applyFont="1" applyAlignment="1"/>
    <xf numFmtId="10" fontId="29" fillId="0" borderId="0" xfId="92" applyNumberFormat="1" applyFont="1" applyAlignment="1" applyProtection="1"/>
    <xf numFmtId="37" fontId="25" fillId="0" borderId="0" xfId="90" applyNumberFormat="1" applyFont="1" applyBorder="1" applyAlignment="1">
      <alignment horizontal="center"/>
    </xf>
    <xf numFmtId="37" fontId="24" fillId="0" borderId="0" xfId="90" applyNumberFormat="1" applyFont="1" applyBorder="1" applyAlignment="1" applyProtection="1">
      <alignment horizontal="center" wrapText="1"/>
    </xf>
    <xf numFmtId="17" fontId="18" fillId="0" borderId="0" xfId="88" applyNumberFormat="1" applyFont="1" applyFill="1" applyAlignment="1" applyProtection="1">
      <alignment horizontal="right"/>
    </xf>
    <xf numFmtId="164" fontId="25" fillId="0" borderId="0" xfId="88" applyNumberFormat="1" applyFont="1" applyFill="1" applyProtection="1"/>
    <xf numFmtId="164" fontId="25" fillId="0" borderId="26" xfId="88" applyNumberFormat="1" applyFont="1" applyFill="1" applyBorder="1" applyProtection="1"/>
    <xf numFmtId="39" fontId="43" fillId="0" borderId="0" xfId="0" applyNumberFormat="1" applyFont="1"/>
    <xf numFmtId="168" fontId="46" fillId="0" borderId="0" xfId="98" applyNumberFormat="1" applyFont="1" applyFill="1" applyBorder="1"/>
    <xf numFmtId="168" fontId="16" fillId="0" borderId="0" xfId="98" applyNumberFormat="1" applyFont="1" applyFill="1" applyBorder="1" applyAlignment="1">
      <alignment horizontal="left"/>
    </xf>
    <xf numFmtId="169" fontId="46" fillId="0" borderId="0" xfId="0" applyNumberFormat="1" applyFont="1" applyFill="1" applyBorder="1" applyAlignment="1">
      <alignment horizontal="center"/>
    </xf>
    <xf numFmtId="5" fontId="16" fillId="0" borderId="25" xfId="59" applyNumberFormat="1" applyFont="1" applyBorder="1"/>
    <xf numFmtId="5" fontId="16" fillId="0" borderId="25" xfId="55" applyNumberFormat="1" applyFont="1" applyFill="1" applyBorder="1"/>
    <xf numFmtId="168" fontId="16" fillId="0" borderId="25" xfId="98" applyNumberFormat="1" applyFont="1" applyFill="1" applyBorder="1" applyAlignment="1">
      <alignment horizontal="center"/>
    </xf>
    <xf numFmtId="5" fontId="18" fillId="0" borderId="25" xfId="55" applyNumberFormat="1" applyFont="1" applyFill="1" applyBorder="1"/>
    <xf numFmtId="10" fontId="18" fillId="0" borderId="0" xfId="92" applyFont="1" applyAlignment="1" applyProtection="1">
      <alignment horizontal="left"/>
    </xf>
    <xf numFmtId="176" fontId="43" fillId="0" borderId="0" xfId="88" applyNumberFormat="1" applyFont="1" applyFill="1" applyProtection="1"/>
    <xf numFmtId="164" fontId="43" fillId="0" borderId="0" xfId="88" applyNumberFormat="1" applyFont="1" applyFill="1" applyProtection="1"/>
    <xf numFmtId="175" fontId="43" fillId="0" borderId="0" xfId="88" applyNumberFormat="1" applyFont="1" applyFill="1" applyProtection="1"/>
    <xf numFmtId="0" fontId="43" fillId="0" borderId="0" xfId="88" applyFont="1" applyFill="1"/>
    <xf numFmtId="5" fontId="46" fillId="0" borderId="0" xfId="55" applyNumberFormat="1" applyFont="1" applyFill="1" applyBorder="1"/>
    <xf numFmtId="168" fontId="46" fillId="0" borderId="0" xfId="0" applyNumberFormat="1" applyFont="1" applyFill="1" applyBorder="1" applyAlignment="1">
      <alignment horizontal="center"/>
    </xf>
    <xf numFmtId="37" fontId="26" fillId="0" borderId="0" xfId="0" applyFont="1"/>
    <xf numFmtId="37" fontId="18" fillId="0" borderId="0" xfId="89" applyFont="1" applyAlignment="1" applyProtection="1">
      <alignment horizontal="center"/>
    </xf>
    <xf numFmtId="37" fontId="18" fillId="0" borderId="10" xfId="0" applyFont="1" applyBorder="1"/>
    <xf numFmtId="37" fontId="18" fillId="0" borderId="0" xfId="0" applyFont="1" applyBorder="1"/>
    <xf numFmtId="37" fontId="18" fillId="0" borderId="0" xfId="0" applyFont="1" applyFill="1" applyBorder="1" applyAlignment="1">
      <alignment horizontal="center"/>
    </xf>
    <xf numFmtId="37" fontId="18" fillId="0" borderId="0" xfId="0" applyFont="1" applyBorder="1" applyAlignment="1">
      <alignment horizontal="center"/>
    </xf>
    <xf numFmtId="37" fontId="18" fillId="0" borderId="0" xfId="0" applyFont="1" applyAlignment="1">
      <alignment horizontal="center"/>
    </xf>
    <xf numFmtId="174" fontId="18" fillId="0" borderId="10" xfId="93" applyNumberFormat="1" applyFont="1" applyFill="1" applyBorder="1" applyAlignment="1">
      <alignment horizontal="center"/>
    </xf>
    <xf numFmtId="37" fontId="26" fillId="0" borderId="0" xfId="0" applyFont="1" applyFill="1" applyBorder="1"/>
    <xf numFmtId="37" fontId="26" fillId="0" borderId="0" xfId="0" applyNumberFormat="1" applyFont="1"/>
    <xf numFmtId="37" fontId="46" fillId="0" borderId="0" xfId="0" applyNumberFormat="1" applyFont="1"/>
    <xf numFmtId="37" fontId="16" fillId="0" borderId="0" xfId="0" applyNumberFormat="1" applyFont="1"/>
    <xf numFmtId="37" fontId="46" fillId="0" borderId="0" xfId="0" applyNumberFormat="1" applyFont="1" applyFill="1"/>
    <xf numFmtId="37" fontId="18" fillId="0" borderId="12" xfId="0" applyFont="1" applyFill="1" applyBorder="1"/>
    <xf numFmtId="37" fontId="26" fillId="0" borderId="0" xfId="0" applyNumberFormat="1" applyFont="1" applyBorder="1"/>
    <xf numFmtId="37" fontId="26" fillId="0" borderId="0" xfId="0" applyFont="1" applyFill="1" applyBorder="1" applyAlignment="1">
      <alignment horizontal="left" indent="1"/>
    </xf>
    <xf numFmtId="37" fontId="16" fillId="0" borderId="0" xfId="0" applyFont="1" applyFill="1" applyBorder="1" applyAlignment="1">
      <alignment horizontal="left" indent="1"/>
    </xf>
    <xf numFmtId="37" fontId="18" fillId="0" borderId="0" xfId="0" applyFont="1" applyFill="1" applyBorder="1"/>
    <xf numFmtId="39" fontId="16" fillId="0" borderId="0" xfId="0" applyNumberFormat="1" applyFont="1"/>
    <xf numFmtId="5" fontId="18" fillId="0" borderId="12" xfId="59" applyNumberFormat="1" applyFont="1" applyFill="1" applyBorder="1"/>
    <xf numFmtId="5" fontId="18" fillId="0" borderId="23" xfId="59" applyNumberFormat="1" applyFont="1" applyFill="1" applyBorder="1"/>
    <xf numFmtId="5" fontId="16" fillId="0" borderId="25" xfId="59" applyNumberFormat="1" applyFont="1" applyFill="1" applyBorder="1"/>
    <xf numFmtId="173" fontId="46" fillId="0" borderId="0" xfId="0" applyNumberFormat="1" applyFont="1" applyBorder="1" applyAlignment="1">
      <alignment horizontal="left" indent="1"/>
    </xf>
    <xf numFmtId="1" fontId="46" fillId="0" borderId="0" xfId="0" applyNumberFormat="1" applyFont="1" applyFill="1" applyBorder="1" applyAlignment="1">
      <alignment horizontal="center"/>
    </xf>
    <xf numFmtId="37" fontId="24" fillId="0" borderId="0" xfId="89" applyFont="1" applyAlignment="1" applyProtection="1">
      <alignment horizontal="left"/>
    </xf>
    <xf numFmtId="37" fontId="24" fillId="0" borderId="10" xfId="90" applyNumberFormat="1" applyFont="1" applyBorder="1" applyAlignment="1" applyProtection="1">
      <alignment horizontal="center" wrapText="1"/>
    </xf>
    <xf numFmtId="175" fontId="35" fillId="0" borderId="12" xfId="88" applyNumberFormat="1" applyFont="1" applyFill="1" applyBorder="1" applyProtection="1"/>
    <xf numFmtId="10" fontId="24" fillId="19" borderId="23" xfId="90" applyNumberFormat="1" applyFont="1" applyFill="1" applyBorder="1" applyProtection="1"/>
    <xf numFmtId="186" fontId="43" fillId="0" borderId="0" xfId="88" applyNumberFormat="1" applyFont="1" applyFill="1" applyBorder="1" applyProtection="1"/>
    <xf numFmtId="5" fontId="16" fillId="0" borderId="0" xfId="55" applyNumberFormat="1" applyFont="1" applyFill="1" applyBorder="1"/>
    <xf numFmtId="176" fontId="19" fillId="0" borderId="0" xfId="88" applyNumberFormat="1" applyFont="1" applyAlignment="1" applyProtection="1">
      <alignment horizontal="center" wrapText="1"/>
    </xf>
    <xf numFmtId="0" fontId="66" fillId="0" borderId="0" xfId="88" applyFont="1"/>
    <xf numFmtId="10" fontId="28" fillId="0" borderId="0" xfId="92" applyNumberFormat="1" applyFont="1" applyFill="1" applyBorder="1" applyAlignment="1" applyProtection="1"/>
    <xf numFmtId="181" fontId="18" fillId="0" borderId="0" xfId="0" applyNumberFormat="1" applyFont="1" applyBorder="1" applyAlignment="1">
      <alignment horizontal="left"/>
    </xf>
    <xf numFmtId="10" fontId="68" fillId="0" borderId="0" xfId="92" applyNumberFormat="1" applyFont="1" applyFill="1" applyAlignment="1" applyProtection="1"/>
    <xf numFmtId="10" fontId="13" fillId="0" borderId="0" xfId="89" applyNumberFormat="1" applyFont="1"/>
    <xf numFmtId="5" fontId="46" fillId="0" borderId="0" xfId="59" applyNumberFormat="1" applyFont="1" applyFill="1"/>
    <xf numFmtId="188" fontId="13" fillId="0" borderId="0" xfId="55" applyNumberFormat="1" applyFont="1" applyBorder="1" applyAlignment="1"/>
    <xf numFmtId="37" fontId="69" fillId="0" borderId="0" xfId="0" applyFont="1"/>
    <xf numFmtId="37" fontId="0" fillId="0" borderId="0" xfId="0" applyNumberFormat="1" applyFont="1"/>
    <xf numFmtId="10" fontId="21" fillId="0" borderId="0" xfId="98" applyNumberFormat="1" applyFont="1" applyFill="1" applyBorder="1"/>
    <xf numFmtId="10" fontId="16" fillId="0" borderId="0" xfId="98" applyNumberFormat="1" applyFont="1"/>
    <xf numFmtId="10" fontId="16" fillId="0" borderId="0" xfId="98" applyNumberFormat="1" applyFont="1" applyFill="1"/>
    <xf numFmtId="187" fontId="45" fillId="0" borderId="0" xfId="92" applyNumberFormat="1" applyFont="1" applyBorder="1"/>
    <xf numFmtId="5" fontId="19" fillId="0" borderId="0" xfId="59" applyNumberFormat="1" applyFont="1" applyFill="1" applyBorder="1"/>
    <xf numFmtId="37" fontId="18" fillId="0" borderId="16" xfId="0" applyFont="1" applyFill="1" applyBorder="1"/>
    <xf numFmtId="10" fontId="25" fillId="0" borderId="0" xfId="99" applyNumberFormat="1" applyFont="1" applyFill="1"/>
    <xf numFmtId="37" fontId="24" fillId="0" borderId="0" xfId="87" applyNumberFormat="1" applyFont="1" applyFill="1" applyBorder="1"/>
    <xf numFmtId="37" fontId="47" fillId="0" borderId="0" xfId="0" applyFont="1" applyBorder="1"/>
    <xf numFmtId="37" fontId="16" fillId="0" borderId="0" xfId="0" applyFont="1" applyBorder="1" applyAlignment="1">
      <alignment horizontal="right"/>
    </xf>
    <xf numFmtId="37" fontId="47" fillId="0" borderId="0" xfId="0" applyFont="1" applyFill="1" applyBorder="1" applyAlignment="1">
      <alignment horizontal="center"/>
    </xf>
    <xf numFmtId="170" fontId="16" fillId="0" borderId="25" xfId="59" applyNumberFormat="1" applyFont="1" applyBorder="1"/>
    <xf numFmtId="5" fontId="18" fillId="0" borderId="0" xfId="55" applyNumberFormat="1" applyFont="1" applyFill="1" applyBorder="1"/>
    <xf numFmtId="168" fontId="16" fillId="0" borderId="0" xfId="98" applyNumberFormat="1" applyFont="1" applyFill="1" applyBorder="1" applyAlignment="1">
      <alignment horizontal="center"/>
    </xf>
    <xf numFmtId="175" fontId="35" fillId="0" borderId="0" xfId="88" applyNumberFormat="1" applyFont="1" applyFill="1" applyBorder="1" applyProtection="1"/>
    <xf numFmtId="10" fontId="0" fillId="0" borderId="0" xfId="98" applyNumberFormat="1" applyFont="1"/>
    <xf numFmtId="10" fontId="22" fillId="0" borderId="0" xfId="98" applyNumberFormat="1" applyFont="1"/>
    <xf numFmtId="168" fontId="5" fillId="0" borderId="0" xfId="98" applyNumberFormat="1" applyFont="1"/>
    <xf numFmtId="37" fontId="25" fillId="0" borderId="0" xfId="90" applyNumberFormat="1" applyFont="1" applyFill="1" applyAlignment="1">
      <alignment horizontal="center"/>
    </xf>
    <xf numFmtId="168" fontId="25" fillId="0" borderId="0" xfId="0" applyNumberFormat="1" applyFont="1" applyFill="1"/>
    <xf numFmtId="17" fontId="25" fillId="0" borderId="0" xfId="0" applyNumberFormat="1" applyFont="1" applyFill="1" applyAlignment="1">
      <alignment horizontal="center"/>
    </xf>
    <xf numFmtId="10" fontId="25" fillId="0" borderId="0" xfId="0" applyNumberFormat="1" applyFont="1" applyFill="1"/>
    <xf numFmtId="10" fontId="13" fillId="0" borderId="0" xfId="92" applyFont="1" applyFill="1" applyBorder="1" applyAlignment="1" applyProtection="1"/>
    <xf numFmtId="14" fontId="5" fillId="0" borderId="0" xfId="90" applyNumberFormat="1" applyFont="1"/>
    <xf numFmtId="10" fontId="9" fillId="0" borderId="0" xfId="98" applyNumberFormat="1" applyFont="1" applyFill="1"/>
    <xf numFmtId="10" fontId="2" fillId="0" borderId="0" xfId="92" applyNumberFormat="1" applyFont="1" applyFill="1" applyBorder="1" applyAlignment="1" applyProtection="1"/>
    <xf numFmtId="168" fontId="13" fillId="0" borderId="0" xfId="92" applyNumberFormat="1" applyFont="1" applyAlignment="1" applyProtection="1"/>
    <xf numFmtId="0" fontId="25" fillId="0" borderId="0" xfId="88" applyFont="1" applyFill="1" applyBorder="1" applyAlignment="1" applyProtection="1">
      <alignment horizontal="left" indent="1"/>
    </xf>
    <xf numFmtId="164" fontId="35" fillId="0" borderId="23" xfId="88" applyNumberFormat="1" applyFont="1" applyFill="1" applyBorder="1" applyProtection="1"/>
    <xf numFmtId="0" fontId="66" fillId="0" borderId="0" xfId="88" applyFont="1" applyFill="1"/>
    <xf numFmtId="0" fontId="5" fillId="0" borderId="0" xfId="88" applyFont="1" applyFill="1" applyBorder="1"/>
    <xf numFmtId="37" fontId="25" fillId="0" borderId="0" xfId="90" applyNumberFormat="1" applyFont="1" applyFill="1" applyBorder="1" applyAlignment="1">
      <alignment horizontal="center"/>
    </xf>
    <xf numFmtId="37" fontId="25" fillId="0" borderId="0" xfId="90" applyNumberFormat="1" applyFont="1" applyFill="1" applyAlignment="1" applyProtection="1"/>
    <xf numFmtId="17" fontId="25" fillId="0" borderId="0" xfId="90" applyNumberFormat="1" applyFont="1" applyFill="1" applyProtection="1"/>
    <xf numFmtId="17" fontId="25" fillId="0" borderId="0" xfId="90" applyNumberFormat="1" applyFont="1" applyFill="1" applyAlignment="1" applyProtection="1">
      <alignment horizontal="center"/>
    </xf>
    <xf numFmtId="164" fontId="9" fillId="0" borderId="0" xfId="88" applyNumberFormat="1" applyFont="1" applyFill="1" applyBorder="1"/>
    <xf numFmtId="0" fontId="24" fillId="0" borderId="0" xfId="88" applyFont="1" applyAlignment="1" applyProtection="1">
      <alignment horizontal="right"/>
    </xf>
    <xf numFmtId="189" fontId="43" fillId="0" borderId="0" xfId="88" applyNumberFormat="1" applyFont="1" applyFill="1" applyBorder="1" applyProtection="1"/>
    <xf numFmtId="0" fontId="24" fillId="0" borderId="0" xfId="88" applyFont="1" applyBorder="1" applyAlignment="1" applyProtection="1">
      <alignment horizontal="right"/>
    </xf>
    <xf numFmtId="0" fontId="24" fillId="0" borderId="0" xfId="88" applyFont="1" applyFill="1" applyBorder="1" applyAlignment="1" applyProtection="1">
      <alignment horizontal="right"/>
    </xf>
    <xf numFmtId="7" fontId="6" fillId="0" borderId="0" xfId="93" applyNumberFormat="1" applyFont="1" applyFill="1"/>
    <xf numFmtId="0" fontId="10" fillId="0" borderId="0" xfId="93" applyFont="1" applyFill="1"/>
    <xf numFmtId="1" fontId="43" fillId="0" borderId="0" xfId="88" applyNumberFormat="1" applyFont="1" applyFill="1" applyBorder="1" applyProtection="1"/>
    <xf numFmtId="0" fontId="7" fillId="0" borderId="0" xfId="88" applyFont="1" applyBorder="1"/>
    <xf numFmtId="37" fontId="72" fillId="0" borderId="0" xfId="90" applyFont="1" applyFill="1" applyAlignment="1">
      <alignment horizontal="right"/>
    </xf>
    <xf numFmtId="0" fontId="35" fillId="0" borderId="0" xfId="88" applyFont="1" applyFill="1" applyAlignment="1" applyProtection="1">
      <alignment horizontal="center" wrapText="1"/>
    </xf>
    <xf numFmtId="175" fontId="35" fillId="0" borderId="23" xfId="88" applyNumberFormat="1" applyFont="1" applyFill="1" applyBorder="1" applyProtection="1"/>
    <xf numFmtId="164" fontId="9" fillId="0" borderId="0" xfId="88" applyNumberFormat="1" applyFont="1" applyFill="1"/>
    <xf numFmtId="0" fontId="24" fillId="0" borderId="0" xfId="88" applyFont="1" applyAlignment="1" applyProtection="1">
      <alignment horizontal="center"/>
    </xf>
    <xf numFmtId="0" fontId="42" fillId="0" borderId="0" xfId="88" applyFont="1" applyFill="1" applyBorder="1" applyAlignment="1" applyProtection="1">
      <alignment horizontal="center" vertical="center" wrapText="1"/>
    </xf>
    <xf numFmtId="37" fontId="18" fillId="0" borderId="16" xfId="0" applyFont="1" applyFill="1" applyBorder="1" applyAlignment="1">
      <alignment horizontal="left"/>
    </xf>
    <xf numFmtId="37" fontId="18" fillId="0" borderId="0" xfId="0" applyFont="1" applyFill="1" applyBorder="1" applyAlignment="1">
      <alignment horizontal="left"/>
    </xf>
    <xf numFmtId="37" fontId="40" fillId="0" borderId="29" xfId="0" applyFont="1" applyFill="1" applyBorder="1" applyAlignment="1">
      <alignment horizontal="left"/>
    </xf>
    <xf numFmtId="37" fontId="40" fillId="0" borderId="15" xfId="0" applyFont="1" applyFill="1" applyBorder="1" applyAlignment="1">
      <alignment horizontal="left"/>
    </xf>
    <xf numFmtId="181" fontId="18" fillId="0" borderId="0" xfId="93" applyNumberFormat="1" applyFont="1" applyFill="1" applyAlignment="1">
      <alignment horizontal="left"/>
    </xf>
  </cellXfs>
  <cellStyles count="111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3" xfId="57"/>
    <cellStyle name="Comma 4" xfId="108"/>
    <cellStyle name="Comma0" xfId="58"/>
    <cellStyle name="Currency" xfId="59" builtinId="4"/>
    <cellStyle name="Currency 2" xfId="60"/>
    <cellStyle name="Currency 3" xfId="61"/>
    <cellStyle name="Currency 4" xfId="109"/>
    <cellStyle name="Currency0" xfId="62"/>
    <cellStyle name="Date" xfId="63"/>
    <cellStyle name="Explanatory Text" xfId="64" builtinId="53" customBuiltin="1"/>
    <cellStyle name="Explanatory Text 2" xfId="65"/>
    <cellStyle name="Good" xfId="66" builtinId="26" customBuiltin="1"/>
    <cellStyle name="Good 2" xfId="67"/>
    <cellStyle name="Heading 1" xfId="68" builtinId="16" customBuiltin="1"/>
    <cellStyle name="Heading 1 2" xfId="69"/>
    <cellStyle name="Heading 2" xfId="70" builtinId="17" customBuiltin="1"/>
    <cellStyle name="Heading 2 2" xfId="71"/>
    <cellStyle name="Heading 3" xfId="72" builtinId="18" customBuiltin="1"/>
    <cellStyle name="Heading 3 2" xfId="73"/>
    <cellStyle name="Heading 4" xfId="74" builtinId="19" customBuiltin="1"/>
    <cellStyle name="Heading 4 2" xfId="75"/>
    <cellStyle name="Input" xfId="76" builtinId="20" customBuiltin="1"/>
    <cellStyle name="Input 2" xfId="77"/>
    <cellStyle name="Linked Cell" xfId="78" builtinId="24" customBuiltin="1"/>
    <cellStyle name="Linked Cell 2" xfId="79"/>
    <cellStyle name="Lisa" xfId="80"/>
    <cellStyle name="Neutral" xfId="81" builtinId="28" customBuiltin="1"/>
    <cellStyle name="Neutral 2" xfId="82"/>
    <cellStyle name="Normal" xfId="0" builtinId="0"/>
    <cellStyle name="Normal 2" xfId="83"/>
    <cellStyle name="Normal 2 2" xfId="84"/>
    <cellStyle name="Normal 2 2 2" xfId="85"/>
    <cellStyle name="Normal 2 3" xfId="86"/>
    <cellStyle name="Normal 3" xfId="87"/>
    <cellStyle name="Normal 4" xfId="107"/>
    <cellStyle name="Normal_AMACAPST" xfId="88"/>
    <cellStyle name="Normal_COSTOF" xfId="89"/>
    <cellStyle name="Normal_COSTOFD" xfId="90"/>
    <cellStyle name="Normal_COSTOFPR" xfId="91"/>
    <cellStyle name="Normal_RATEOFRE" xfId="92"/>
    <cellStyle name="Normal_SCHEDULE" xfId="93"/>
    <cellStyle name="Note" xfId="94" builtinId="10" customBuiltin="1"/>
    <cellStyle name="Note 2" xfId="95"/>
    <cellStyle name="Output" xfId="96" builtinId="21" customBuiltin="1"/>
    <cellStyle name="Output 2" xfId="97"/>
    <cellStyle name="Percent" xfId="98" builtinId="5"/>
    <cellStyle name="Percent 2" xfId="99"/>
    <cellStyle name="Percent 3" xfId="100"/>
    <cellStyle name="Percent 4" xfId="110"/>
    <cellStyle name="Title" xfId="101" builtinId="15" customBuiltin="1"/>
    <cellStyle name="Title 2" xfId="102"/>
    <cellStyle name="Total" xfId="103" builtinId="25" customBuiltin="1"/>
    <cellStyle name="Total 2" xfId="104"/>
    <cellStyle name="Warning Text" xfId="105" builtinId="11" customBuiltin="1"/>
    <cellStyle name="Warning Text 2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I42" sqref="I42"/>
    </sheetView>
  </sheetViews>
  <sheetFormatPr defaultColWidth="11.42578125" defaultRowHeight="13.2"/>
  <cols>
    <col min="1" max="1" width="3.85546875" style="16" customWidth="1"/>
    <col min="2" max="2" width="37.28515625" style="16" customWidth="1"/>
    <col min="3" max="3" width="18.140625" style="16" customWidth="1"/>
    <col min="4" max="4" width="13.42578125" style="16" customWidth="1"/>
    <col min="5" max="5" width="13.140625" style="16" customWidth="1"/>
    <col min="6" max="6" width="13.42578125" style="16" customWidth="1"/>
    <col min="7" max="7" width="11.42578125" style="16" customWidth="1"/>
    <col min="8" max="8" width="13.85546875" style="16" customWidth="1"/>
    <col min="9" max="9" width="17.7109375" style="16" customWidth="1"/>
    <col min="10" max="10" width="8.42578125" style="16" customWidth="1"/>
    <col min="11" max="11" width="9" style="16" customWidth="1"/>
    <col min="12" max="12" width="8.7109375" style="16" customWidth="1"/>
    <col min="13" max="16384" width="11.42578125" style="16"/>
  </cols>
  <sheetData>
    <row r="1" spans="1:12" ht="15.6">
      <c r="B1" s="329" t="s">
        <v>4</v>
      </c>
      <c r="C1" s="329"/>
      <c r="D1" s="329"/>
      <c r="E1" s="329"/>
      <c r="F1" s="329"/>
    </row>
    <row r="2" spans="1:12">
      <c r="A2" s="102"/>
      <c r="B2" s="17"/>
      <c r="C2" s="17"/>
      <c r="D2" s="17"/>
      <c r="E2" s="17"/>
      <c r="F2" s="17"/>
    </row>
    <row r="3" spans="1:12" ht="15.6">
      <c r="B3" s="330" t="s">
        <v>6</v>
      </c>
      <c r="C3" s="330"/>
      <c r="D3" s="330"/>
      <c r="E3" s="330"/>
      <c r="F3" s="330"/>
    </row>
    <row r="4" spans="1:12" ht="15.6">
      <c r="B4" s="331" t="s">
        <v>58</v>
      </c>
      <c r="C4" s="331"/>
      <c r="D4" s="331"/>
      <c r="E4" s="331"/>
      <c r="F4" s="331"/>
      <c r="H4" s="231"/>
      <c r="L4" s="233"/>
    </row>
    <row r="5" spans="1:12">
      <c r="A5" s="103"/>
      <c r="B5" s="248" t="s">
        <v>196</v>
      </c>
      <c r="C5" s="248"/>
      <c r="D5" s="248"/>
      <c r="E5" s="248"/>
      <c r="F5" s="248"/>
      <c r="H5" s="231"/>
      <c r="L5" s="233"/>
    </row>
    <row r="6" spans="1:12">
      <c r="A6" s="18"/>
      <c r="C6" s="19"/>
      <c r="H6" s="231"/>
      <c r="L6" s="233"/>
    </row>
    <row r="7" spans="1:12">
      <c r="A7" s="18"/>
      <c r="B7" s="103"/>
      <c r="C7" s="103"/>
      <c r="D7" s="103"/>
      <c r="E7" s="103"/>
      <c r="F7" s="103"/>
      <c r="H7" s="231"/>
      <c r="L7" s="233"/>
    </row>
    <row r="8" spans="1:12">
      <c r="A8" s="188">
        <v>1</v>
      </c>
      <c r="B8" s="126" t="s">
        <v>5</v>
      </c>
      <c r="C8" s="126" t="s">
        <v>27</v>
      </c>
      <c r="D8" s="126" t="s">
        <v>52</v>
      </c>
      <c r="E8" s="126" t="s">
        <v>64</v>
      </c>
      <c r="F8" s="126" t="s">
        <v>65</v>
      </c>
      <c r="H8" s="231"/>
      <c r="L8" s="233"/>
    </row>
    <row r="9" spans="1:12">
      <c r="A9" s="188">
        <f>+A8+1</f>
        <v>2</v>
      </c>
      <c r="B9" s="103"/>
      <c r="C9" s="103"/>
      <c r="D9" s="103"/>
      <c r="E9" s="103"/>
      <c r="F9" s="103"/>
      <c r="H9" s="231"/>
      <c r="L9" s="233"/>
    </row>
    <row r="10" spans="1:12">
      <c r="A10" s="188">
        <f t="shared" ref="A10:A17" si="0">+A9+1</f>
        <v>3</v>
      </c>
      <c r="B10" s="104" t="s">
        <v>2</v>
      </c>
      <c r="C10" s="105"/>
      <c r="D10" s="105"/>
      <c r="E10" s="105"/>
      <c r="F10" s="105" t="s">
        <v>7</v>
      </c>
      <c r="H10" s="231"/>
      <c r="L10" s="233"/>
    </row>
    <row r="11" spans="1:12">
      <c r="A11" s="188">
        <f t="shared" si="0"/>
        <v>4</v>
      </c>
      <c r="B11" s="105"/>
      <c r="C11" s="106"/>
      <c r="D11" s="105"/>
      <c r="E11" s="105"/>
      <c r="F11" s="106" t="s">
        <v>8</v>
      </c>
      <c r="H11" s="231"/>
      <c r="L11" s="233"/>
    </row>
    <row r="12" spans="1:12">
      <c r="A12" s="188">
        <f t="shared" si="0"/>
        <v>5</v>
      </c>
      <c r="B12" s="107" t="s">
        <v>9</v>
      </c>
      <c r="C12" s="107" t="s">
        <v>79</v>
      </c>
      <c r="D12" s="107" t="s">
        <v>10</v>
      </c>
      <c r="E12" s="107" t="s">
        <v>11</v>
      </c>
      <c r="F12" s="107" t="s">
        <v>12</v>
      </c>
      <c r="H12" s="231"/>
      <c r="L12" s="233"/>
    </row>
    <row r="13" spans="1:12">
      <c r="A13" s="188">
        <f t="shared" si="0"/>
        <v>6</v>
      </c>
      <c r="B13" s="108"/>
      <c r="C13" s="108"/>
      <c r="D13" s="108"/>
      <c r="E13" s="108"/>
      <c r="F13" s="108"/>
      <c r="H13" s="231"/>
      <c r="L13" s="233"/>
    </row>
    <row r="14" spans="1:12">
      <c r="A14" s="188">
        <f t="shared" si="0"/>
        <v>7</v>
      </c>
      <c r="B14" s="108" t="s">
        <v>13</v>
      </c>
      <c r="C14" s="163">
        <f>'Pg 2 CapStructure'!Q10</f>
        <v>167423333</v>
      </c>
      <c r="D14" s="432">
        <f>ROUND(C14/$C$30,4)</f>
        <v>1.9E-2</v>
      </c>
      <c r="E14" s="336">
        <f>'Pg 6 LTD Cost '!H30</f>
        <v>6.4000000000000003E-3</v>
      </c>
      <c r="F14" s="176">
        <f>ROUND(D14*E14,4)</f>
        <v>1E-4</v>
      </c>
      <c r="L14" s="231"/>
    </row>
    <row r="15" spans="1:12">
      <c r="A15" s="188">
        <f t="shared" si="0"/>
        <v>8</v>
      </c>
      <c r="B15" s="108"/>
      <c r="C15" s="165"/>
      <c r="D15" s="176"/>
      <c r="E15" s="164"/>
      <c r="F15" s="176"/>
      <c r="L15" s="231"/>
    </row>
    <row r="16" spans="1:12">
      <c r="A16" s="188">
        <f t="shared" si="0"/>
        <v>9</v>
      </c>
      <c r="B16" s="108" t="s">
        <v>14</v>
      </c>
      <c r="C16" s="165">
        <f>'Pg 2 CapStructure'!Q16</f>
        <v>4337088837</v>
      </c>
      <c r="D16" s="400">
        <f>ROUND(C16/$C$30,4)</f>
        <v>0.49280000000000002</v>
      </c>
      <c r="E16" s="166">
        <f>'Pg 6 LTD Cost '!H28</f>
        <v>5.2900000000000003E-2</v>
      </c>
      <c r="F16" s="176">
        <f>ROUND(D16*E16,4)</f>
        <v>2.6100000000000002E-2</v>
      </c>
      <c r="L16" s="231"/>
    </row>
    <row r="17" spans="1:12">
      <c r="A17" s="188">
        <f t="shared" si="0"/>
        <v>10</v>
      </c>
      <c r="B17" s="110"/>
      <c r="C17" s="167"/>
      <c r="D17" s="176"/>
      <c r="E17" s="166"/>
      <c r="F17" s="344"/>
      <c r="H17" s="242"/>
      <c r="I17" s="190"/>
      <c r="J17" s="190"/>
      <c r="K17" s="190"/>
      <c r="L17" s="243"/>
    </row>
    <row r="18" spans="1:12">
      <c r="A18" s="188">
        <v>11</v>
      </c>
      <c r="B18" s="103" t="s">
        <v>182</v>
      </c>
      <c r="C18" s="167"/>
      <c r="D18" s="176">
        <f>ROUND((C14+C16)/C30,4)</f>
        <v>0.51180000000000003</v>
      </c>
      <c r="E18" s="166">
        <f>'Pg 6 LTD Cost '!H32</f>
        <v>5.1200000000000002E-2</v>
      </c>
      <c r="F18" s="344">
        <f>F16+F14</f>
        <v>2.6200000000000001E-2</v>
      </c>
      <c r="H18" s="409"/>
      <c r="I18" s="190"/>
      <c r="J18" s="190"/>
      <c r="K18" s="190"/>
      <c r="L18" s="243"/>
    </row>
    <row r="19" spans="1:12">
      <c r="A19" s="188">
        <v>12</v>
      </c>
      <c r="B19" s="110"/>
      <c r="C19" s="167"/>
      <c r="D19" s="176"/>
      <c r="E19" s="166"/>
      <c r="F19" s="344"/>
      <c r="H19" s="242"/>
      <c r="I19" s="190"/>
      <c r="J19" s="190"/>
      <c r="K19" s="190"/>
      <c r="L19" s="243"/>
    </row>
    <row r="20" spans="1:12">
      <c r="A20" s="188">
        <v>13</v>
      </c>
      <c r="B20" s="103" t="s">
        <v>54</v>
      </c>
      <c r="C20" s="167"/>
      <c r="D20" s="176"/>
      <c r="E20" s="166"/>
      <c r="F20" s="344">
        <f>'Pg 4 STD OS &amp; Comm Fees'!F20</f>
        <v>2.0000000000000001E-4</v>
      </c>
      <c r="H20" s="242"/>
      <c r="I20" s="190"/>
      <c r="J20" s="190"/>
      <c r="K20" s="190"/>
      <c r="L20" s="243"/>
    </row>
    <row r="21" spans="1:12">
      <c r="A21" s="188">
        <v>14</v>
      </c>
      <c r="B21" s="110"/>
      <c r="C21" s="167"/>
      <c r="D21" s="176"/>
      <c r="E21" s="166"/>
      <c r="F21" s="344"/>
      <c r="H21" s="242"/>
      <c r="I21" s="190"/>
      <c r="J21" s="190"/>
      <c r="K21" s="190"/>
      <c r="L21" s="243"/>
    </row>
    <row r="22" spans="1:12">
      <c r="A22" s="188">
        <v>15</v>
      </c>
      <c r="B22" s="103" t="s">
        <v>183</v>
      </c>
      <c r="C22" s="167"/>
      <c r="D22" s="176"/>
      <c r="E22" s="166"/>
      <c r="F22" s="344">
        <f>'Pg 5 STD Amort'!G35</f>
        <v>1E-4</v>
      </c>
      <c r="H22" s="242"/>
      <c r="I22" s="190"/>
      <c r="J22" s="190"/>
      <c r="K22" s="190"/>
      <c r="L22" s="243"/>
    </row>
    <row r="23" spans="1:12">
      <c r="A23" s="188">
        <v>16</v>
      </c>
      <c r="B23" s="110"/>
      <c r="C23" s="167"/>
      <c r="D23" s="176"/>
      <c r="E23" s="166"/>
      <c r="F23" s="344"/>
      <c r="H23" s="242"/>
      <c r="I23" s="190"/>
      <c r="J23" s="190"/>
      <c r="K23" s="190"/>
      <c r="L23" s="243"/>
    </row>
    <row r="24" spans="1:12">
      <c r="A24" s="188">
        <v>17</v>
      </c>
      <c r="B24" s="103" t="s">
        <v>184</v>
      </c>
      <c r="C24" s="167"/>
      <c r="D24" s="176"/>
      <c r="E24" s="166"/>
      <c r="F24" s="344">
        <f>'Pg 7 Reacquired Debt'!I35</f>
        <v>2.0000000000000001E-4</v>
      </c>
      <c r="H24" s="242"/>
      <c r="I24" s="190"/>
      <c r="J24" s="190"/>
      <c r="K24" s="190"/>
      <c r="L24" s="243"/>
    </row>
    <row r="25" spans="1:12">
      <c r="A25" s="188">
        <v>18</v>
      </c>
      <c r="B25" s="110"/>
      <c r="C25" s="167"/>
      <c r="D25" s="176"/>
      <c r="E25" s="166"/>
      <c r="F25" s="344"/>
      <c r="H25" s="242"/>
      <c r="I25" s="190"/>
      <c r="J25" s="190"/>
      <c r="K25" s="190"/>
      <c r="L25" s="243"/>
    </row>
    <row r="26" spans="1:12">
      <c r="A26" s="188">
        <v>19</v>
      </c>
      <c r="B26" s="110" t="s">
        <v>185</v>
      </c>
      <c r="C26" s="167">
        <f>C16+C14</f>
        <v>4504512170</v>
      </c>
      <c r="D26" s="176">
        <f>D18</f>
        <v>0.51180000000000003</v>
      </c>
      <c r="E26" s="166"/>
      <c r="F26" s="428">
        <f>SUM(F18:F25)</f>
        <v>2.6699999999999998E-2</v>
      </c>
      <c r="G26" s="423"/>
      <c r="H26" s="242"/>
      <c r="I26" s="190"/>
      <c r="J26" s="190"/>
      <c r="K26" s="190"/>
      <c r="L26" s="243"/>
    </row>
    <row r="27" spans="1:12">
      <c r="A27" s="188">
        <v>20</v>
      </c>
      <c r="B27" s="110"/>
      <c r="C27" s="167"/>
      <c r="D27" s="176"/>
      <c r="E27" s="166"/>
      <c r="F27" s="344"/>
      <c r="H27" s="242"/>
      <c r="I27" s="190"/>
      <c r="J27" s="190"/>
      <c r="K27" s="190"/>
      <c r="L27" s="243"/>
    </row>
    <row r="28" spans="1:12">
      <c r="A28" s="188">
        <v>21</v>
      </c>
      <c r="B28" s="109" t="s">
        <v>15</v>
      </c>
      <c r="C28" s="168">
        <f>'Pg 2 CapStructure'!Q20</f>
        <v>4297150270</v>
      </c>
      <c r="D28" s="325">
        <f>ROUND(C28/$C$30,4)</f>
        <v>0.48820000000000002</v>
      </c>
      <c r="E28" s="431">
        <v>9.4700000000000006E-2</v>
      </c>
      <c r="F28" s="345">
        <f>ROUND(D28*E28,4)</f>
        <v>4.6199999999999998E-2</v>
      </c>
      <c r="H28" s="244"/>
      <c r="I28" s="431"/>
      <c r="J28" s="245"/>
      <c r="K28" s="246"/>
      <c r="L28" s="166"/>
    </row>
    <row r="29" spans="1:12">
      <c r="A29" s="188">
        <v>22</v>
      </c>
      <c r="B29" s="110"/>
      <c r="C29" s="166"/>
      <c r="D29" s="169"/>
      <c r="E29" s="398"/>
      <c r="F29" s="166"/>
      <c r="H29" s="244"/>
      <c r="I29" s="431"/>
      <c r="J29" s="245"/>
      <c r="K29" s="246"/>
      <c r="L29" s="166"/>
    </row>
    <row r="30" spans="1:12">
      <c r="A30" s="188">
        <v>23</v>
      </c>
      <c r="B30" s="109" t="s">
        <v>16</v>
      </c>
      <c r="C30" s="170">
        <f>C28+C26</f>
        <v>8801662440</v>
      </c>
      <c r="D30" s="236">
        <f>D28+D18</f>
        <v>1</v>
      </c>
      <c r="E30" s="403"/>
      <c r="F30" s="220">
        <f>F28+F26</f>
        <v>7.2899999999999993E-2</v>
      </c>
      <c r="H30" s="111"/>
      <c r="I30" s="111"/>
      <c r="J30" s="245"/>
      <c r="K30" s="166"/>
      <c r="L30" s="247"/>
    </row>
    <row r="31" spans="1:12">
      <c r="A31" s="188">
        <v>24</v>
      </c>
      <c r="B31" s="103"/>
      <c r="C31" s="111"/>
      <c r="D31" s="111"/>
      <c r="E31" s="171"/>
      <c r="F31" s="111"/>
      <c r="H31" s="103"/>
      <c r="I31" s="103"/>
      <c r="J31" s="103"/>
    </row>
    <row r="32" spans="1:12">
      <c r="A32" s="188">
        <v>25</v>
      </c>
      <c r="B32" s="103"/>
      <c r="C32" s="103"/>
      <c r="D32" s="103"/>
      <c r="E32" s="111"/>
      <c r="F32" s="103"/>
    </row>
    <row r="33" spans="1:7">
      <c r="A33" s="188">
        <v>26</v>
      </c>
      <c r="B33" s="359" t="s">
        <v>164</v>
      </c>
      <c r="C33" s="103"/>
      <c r="D33" s="103"/>
      <c r="E33" s="138"/>
      <c r="F33" s="103"/>
      <c r="G33" s="234"/>
    </row>
    <row r="34" spans="1:7">
      <c r="A34" s="15"/>
      <c r="B34" s="103"/>
      <c r="C34" s="103"/>
      <c r="D34" s="103"/>
      <c r="E34" s="103"/>
      <c r="F34" s="103"/>
    </row>
    <row r="35" spans="1:7">
      <c r="A35" s="15"/>
      <c r="B35" s="103"/>
      <c r="C35" s="165"/>
      <c r="D35" s="103"/>
      <c r="E35" s="103"/>
      <c r="F35" s="103"/>
    </row>
    <row r="36" spans="1:7">
      <c r="A36" s="15"/>
      <c r="B36" s="103"/>
      <c r="C36" s="165"/>
      <c r="D36" s="103"/>
      <c r="E36" s="103"/>
      <c r="F36" s="103"/>
    </row>
    <row r="37" spans="1:7">
      <c r="A37" s="15"/>
      <c r="B37" s="103"/>
      <c r="C37" s="165"/>
      <c r="D37" s="103"/>
      <c r="E37" s="103"/>
      <c r="F37" s="103"/>
    </row>
    <row r="38" spans="1:7">
      <c r="A38" s="15"/>
      <c r="B38" s="103"/>
      <c r="D38" s="103"/>
      <c r="E38" s="103"/>
      <c r="F38" s="103"/>
    </row>
    <row r="39" spans="1:7">
      <c r="A39" s="15"/>
      <c r="B39" s="103"/>
      <c r="C39" s="189"/>
      <c r="D39" s="103"/>
      <c r="E39" s="103"/>
      <c r="F39" s="103"/>
    </row>
    <row r="40" spans="1:7">
      <c r="A40" s="15"/>
      <c r="B40" s="103"/>
      <c r="C40" s="103"/>
      <c r="D40" s="103"/>
      <c r="E40" s="103"/>
      <c r="F40" s="103"/>
    </row>
    <row r="41" spans="1:7">
      <c r="A41" s="15"/>
      <c r="B41" s="103"/>
      <c r="C41" s="103"/>
      <c r="D41" s="103"/>
      <c r="E41" s="103"/>
      <c r="F41" s="103"/>
    </row>
    <row r="42" spans="1:7">
      <c r="B42" s="103"/>
      <c r="C42" s="103"/>
      <c r="D42" s="103"/>
      <c r="E42" s="103"/>
      <c r="F42" s="103"/>
    </row>
    <row r="43" spans="1:7">
      <c r="B43" s="103"/>
      <c r="C43" s="103"/>
      <c r="D43" s="103"/>
      <c r="E43" s="103"/>
      <c r="F43" s="103"/>
    </row>
    <row r="44" spans="1:7">
      <c r="E44" s="103"/>
    </row>
    <row r="46" spans="1:7">
      <c r="C46" s="20"/>
      <c r="D46" s="21"/>
    </row>
    <row r="47" spans="1:7">
      <c r="D47" s="21"/>
    </row>
    <row r="48" spans="1:7">
      <c r="C48" s="20"/>
      <c r="D48" s="21"/>
    </row>
    <row r="49" spans="3:4">
      <c r="C49" s="20"/>
      <c r="D49" s="21"/>
    </row>
    <row r="50" spans="3:4">
      <c r="C50" s="20"/>
      <c r="D50" s="21"/>
    </row>
    <row r="51" spans="3:4">
      <c r="C51" s="20"/>
      <c r="D51" s="21"/>
    </row>
    <row r="52" spans="3:4">
      <c r="D52" s="21"/>
    </row>
    <row r="53" spans="3:4">
      <c r="C53" s="20"/>
      <c r="D53" s="21"/>
    </row>
    <row r="54" spans="3:4">
      <c r="D54" s="22"/>
    </row>
  </sheetData>
  <pageMargins left="0.7" right="0.7" top="0.75" bottom="0.75" header="0.3" footer="0.3"/>
  <pageSetup orientation="portrait" r:id="rId1"/>
  <headerFooter>
    <oddFooter>&amp;CPg 1 Cost of Capital&amp;R&amp;F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B677"/>
  <sheetViews>
    <sheetView zoomScale="130" zoomScaleNormal="130" workbookViewId="0">
      <pane xSplit="2" ySplit="6" topLeftCell="C7" activePane="bottomRight" state="frozen"/>
      <selection activeCell="D31" sqref="D31"/>
      <selection pane="topRight" activeCell="D31" sqref="D31"/>
      <selection pane="bottomLeft" activeCell="D31" sqref="D31"/>
      <selection pane="bottomRight" activeCell="H24" sqref="H24"/>
    </sheetView>
  </sheetViews>
  <sheetFormatPr defaultColWidth="15.85546875" defaultRowHeight="13.2"/>
  <cols>
    <col min="1" max="1" width="3.28515625" style="1" customWidth="1"/>
    <col min="2" max="2" width="32.28515625" style="1" customWidth="1"/>
    <col min="3" max="3" width="14.140625" style="2" customWidth="1"/>
    <col min="4" max="4" width="11" style="2" customWidth="1"/>
    <col min="5" max="5" width="11.140625" style="2" customWidth="1"/>
    <col min="6" max="7" width="10.85546875" style="2" customWidth="1"/>
    <col min="8" max="9" width="10.42578125" style="2" customWidth="1"/>
    <col min="10" max="11" width="10.85546875" style="2" customWidth="1"/>
    <col min="12" max="14" width="10.7109375" style="2" customWidth="1"/>
    <col min="15" max="15" width="11.42578125" style="2" customWidth="1"/>
    <col min="16" max="16" width="10.7109375" style="2" customWidth="1"/>
    <col min="17" max="17" width="12.42578125" style="2" customWidth="1"/>
    <col min="18" max="18" width="10.28515625" style="1" customWidth="1"/>
    <col min="19" max="19" width="17.85546875" style="1" customWidth="1"/>
    <col min="20" max="21" width="10.28515625" style="1" customWidth="1"/>
    <col min="22" max="22" width="16.28515625" style="1" bestFit="1" customWidth="1"/>
    <col min="23" max="32" width="8.85546875" style="1" customWidth="1"/>
    <col min="33" max="33" width="10.140625" style="1" customWidth="1"/>
    <col min="34" max="16384" width="15.85546875" style="1"/>
  </cols>
  <sheetData>
    <row r="1" spans="1:53">
      <c r="B1" s="142" t="s">
        <v>0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53">
      <c r="B2" s="142" t="s">
        <v>35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</row>
    <row r="3" spans="1:53" ht="12.75" customHeight="1">
      <c r="B3" s="455" t="s">
        <v>197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</row>
    <row r="4" spans="1:53">
      <c r="B4" s="454" t="s">
        <v>59</v>
      </c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</row>
    <row r="5" spans="1:53">
      <c r="A5" s="128">
        <v>1</v>
      </c>
      <c r="B5" s="126" t="s">
        <v>5</v>
      </c>
      <c r="C5" s="302" t="s">
        <v>27</v>
      </c>
      <c r="D5" s="302" t="s">
        <v>52</v>
      </c>
      <c r="E5" s="302" t="s">
        <v>64</v>
      </c>
      <c r="F5" s="302" t="s">
        <v>65</v>
      </c>
      <c r="G5" s="302" t="s">
        <v>66</v>
      </c>
      <c r="H5" s="302" t="s">
        <v>67</v>
      </c>
      <c r="I5" s="302" t="s">
        <v>68</v>
      </c>
      <c r="J5" s="302" t="s">
        <v>69</v>
      </c>
      <c r="K5" s="302" t="s">
        <v>71</v>
      </c>
      <c r="L5" s="302" t="s">
        <v>72</v>
      </c>
      <c r="M5" s="302" t="s">
        <v>73</v>
      </c>
      <c r="N5" s="302" t="s">
        <v>74</v>
      </c>
      <c r="O5" s="302" t="s">
        <v>75</v>
      </c>
      <c r="P5" s="302"/>
      <c r="Q5" s="302" t="s">
        <v>76</v>
      </c>
    </row>
    <row r="6" spans="1:53" ht="35.1" customHeight="1">
      <c r="A6" s="128">
        <f>+A5+1</f>
        <v>2</v>
      </c>
      <c r="B6" s="101" t="s">
        <v>1</v>
      </c>
      <c r="C6" s="193">
        <v>43830</v>
      </c>
      <c r="D6" s="193">
        <v>43861</v>
      </c>
      <c r="E6" s="193">
        <v>43890</v>
      </c>
      <c r="F6" s="193">
        <v>43921</v>
      </c>
      <c r="G6" s="193">
        <v>43951</v>
      </c>
      <c r="H6" s="193">
        <v>43982</v>
      </c>
      <c r="I6" s="193">
        <v>44012</v>
      </c>
      <c r="J6" s="193">
        <v>44043</v>
      </c>
      <c r="K6" s="193">
        <v>44074</v>
      </c>
      <c r="L6" s="193">
        <v>44104</v>
      </c>
      <c r="M6" s="193">
        <v>44135</v>
      </c>
      <c r="N6" s="193">
        <v>44165</v>
      </c>
      <c r="O6" s="193">
        <v>44196</v>
      </c>
      <c r="P6" s="193"/>
      <c r="Q6" s="451" t="s">
        <v>107</v>
      </c>
      <c r="R6" s="100"/>
      <c r="S6" s="8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</row>
    <row r="7" spans="1:53">
      <c r="A7" s="128">
        <f>+A6+1</f>
        <v>3</v>
      </c>
      <c r="B7" s="140" t="s">
        <v>36</v>
      </c>
      <c r="C7" s="360">
        <v>176000000</v>
      </c>
      <c r="D7" s="360">
        <v>103380000</v>
      </c>
      <c r="E7" s="360">
        <v>40000000</v>
      </c>
      <c r="F7" s="360">
        <v>16000000</v>
      </c>
      <c r="G7" s="360">
        <v>20000000</v>
      </c>
      <c r="H7" s="360">
        <v>35000000</v>
      </c>
      <c r="I7" s="360">
        <v>140000000</v>
      </c>
      <c r="J7" s="360">
        <v>163000000</v>
      </c>
      <c r="K7" s="360">
        <v>156000000</v>
      </c>
      <c r="L7" s="360">
        <v>221000000</v>
      </c>
      <c r="M7" s="360">
        <v>293000000</v>
      </c>
      <c r="N7" s="360">
        <v>356800000</v>
      </c>
      <c r="O7" s="360">
        <v>373800000</v>
      </c>
      <c r="P7" s="360"/>
      <c r="Q7" s="160">
        <f>ROUND(((C7+O7)+(SUM(D7:N7)*2))/24,0)</f>
        <v>151590000</v>
      </c>
      <c r="R7" s="396"/>
      <c r="S7" s="397"/>
      <c r="T7" s="397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</row>
    <row r="8" spans="1:53">
      <c r="A8" s="128">
        <f>+A7+1</f>
        <v>4</v>
      </c>
      <c r="B8" s="140" t="s">
        <v>160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160">
        <f>ROUND(((C8+L8)+(SUM(D8:N8)*2))/24,0)</f>
        <v>0</v>
      </c>
      <c r="R8" s="396"/>
      <c r="S8" s="397"/>
      <c r="T8" s="397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</row>
    <row r="9" spans="1:53" ht="13.8" thickBot="1">
      <c r="A9" s="128">
        <f>+A8+1</f>
        <v>5</v>
      </c>
      <c r="B9" s="140" t="s">
        <v>148</v>
      </c>
      <c r="C9" s="360"/>
      <c r="D9" s="360"/>
      <c r="E9" s="360"/>
      <c r="F9" s="360">
        <v>60000000</v>
      </c>
      <c r="G9" s="360">
        <v>130000000</v>
      </c>
      <c r="H9" s="360"/>
      <c r="I9" s="360"/>
      <c r="J9" s="360"/>
      <c r="K9" s="360"/>
      <c r="L9" s="360"/>
      <c r="M9" s="360"/>
      <c r="N9" s="360"/>
      <c r="O9" s="360"/>
      <c r="P9" s="360"/>
      <c r="Q9" s="160">
        <f>ROUND(((C9+O9)+(SUM(D9:N9)*2))/24,0)</f>
        <v>15833333</v>
      </c>
      <c r="R9" s="100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</row>
    <row r="10" spans="1:53" ht="13.8" thickBot="1">
      <c r="A10" s="128">
        <f>+A9+1</f>
        <v>6</v>
      </c>
      <c r="B10" s="141" t="s">
        <v>30</v>
      </c>
      <c r="C10" s="350">
        <f t="shared" ref="C10:H10" si="0">SUM(C7:C9)</f>
        <v>176000000</v>
      </c>
      <c r="D10" s="350">
        <f t="shared" si="0"/>
        <v>103380000</v>
      </c>
      <c r="E10" s="350">
        <f t="shared" si="0"/>
        <v>40000000</v>
      </c>
      <c r="F10" s="350">
        <f t="shared" si="0"/>
        <v>76000000</v>
      </c>
      <c r="G10" s="350">
        <f t="shared" si="0"/>
        <v>150000000</v>
      </c>
      <c r="H10" s="350">
        <f t="shared" si="0"/>
        <v>35000000</v>
      </c>
      <c r="I10" s="350">
        <f t="shared" ref="I10:Q10" si="1">SUM(I7:I9)</f>
        <v>140000000</v>
      </c>
      <c r="J10" s="350">
        <f t="shared" si="1"/>
        <v>163000000</v>
      </c>
      <c r="K10" s="350">
        <f t="shared" si="1"/>
        <v>156000000</v>
      </c>
      <c r="L10" s="350">
        <f t="shared" si="1"/>
        <v>221000000</v>
      </c>
      <c r="M10" s="350">
        <f t="shared" si="1"/>
        <v>293000000</v>
      </c>
      <c r="N10" s="350">
        <f t="shared" si="1"/>
        <v>356800000</v>
      </c>
      <c r="O10" s="350">
        <f t="shared" si="1"/>
        <v>373800000</v>
      </c>
      <c r="P10" s="195"/>
      <c r="Q10" s="434">
        <f t="shared" si="1"/>
        <v>167423333</v>
      </c>
      <c r="R10" s="96"/>
      <c r="T10" s="96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1"/>
      <c r="AG10" s="91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</row>
    <row r="11" spans="1:53" ht="6.9" customHeight="1" thickBot="1">
      <c r="A11" s="128"/>
      <c r="B11" s="13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160"/>
      <c r="R11" s="96"/>
      <c r="T11" s="96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1"/>
      <c r="AG11" s="91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</row>
    <row r="12" spans="1:53" ht="13.8" thickBot="1">
      <c r="A12" s="128">
        <f>+A10+1</f>
        <v>7</v>
      </c>
      <c r="B12" s="141" t="s">
        <v>121</v>
      </c>
      <c r="C12" s="361">
        <v>4336141648</v>
      </c>
      <c r="D12" s="361">
        <v>4336292780</v>
      </c>
      <c r="E12" s="361">
        <v>4336452008</v>
      </c>
      <c r="F12" s="361">
        <v>4336611236</v>
      </c>
      <c r="G12" s="361">
        <v>4336769866</v>
      </c>
      <c r="H12" s="361">
        <v>4336929095</v>
      </c>
      <c r="I12" s="361">
        <v>4337088324</v>
      </c>
      <c r="J12" s="361">
        <v>4337247554</v>
      </c>
      <c r="K12" s="361">
        <v>4337406783</v>
      </c>
      <c r="L12" s="361">
        <v>4337566012</v>
      </c>
      <c r="M12" s="361">
        <v>4337725242</v>
      </c>
      <c r="N12" s="361">
        <v>4337884471</v>
      </c>
      <c r="O12" s="361">
        <v>4338043700</v>
      </c>
      <c r="P12" s="361"/>
      <c r="Q12" s="434">
        <f>ROUND(((C12+O12)+(SUM(D12:N12)*2))/24,0)</f>
        <v>4337088837</v>
      </c>
      <c r="R12" s="96"/>
      <c r="S12" s="397"/>
      <c r="T12" s="397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1"/>
      <c r="AG12" s="91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</row>
    <row r="13" spans="1:53" ht="6" customHeight="1">
      <c r="A13" s="128"/>
      <c r="B13" s="141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161"/>
      <c r="R13" s="96"/>
      <c r="T13" s="96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</row>
    <row r="14" spans="1:53" ht="13.5" customHeight="1">
      <c r="A14" s="128">
        <f>+A12+1</f>
        <v>8</v>
      </c>
      <c r="B14" s="141" t="s">
        <v>116</v>
      </c>
      <c r="C14" s="362"/>
      <c r="D14" s="362">
        <v>0</v>
      </c>
      <c r="E14" s="362">
        <v>0</v>
      </c>
      <c r="F14" s="362">
        <v>0</v>
      </c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238">
        <f>ROUND(((C14+O14)+(SUM(D14:N14)*2))/24,0)</f>
        <v>0</v>
      </c>
      <c r="R14" s="96"/>
      <c r="S14" s="397"/>
      <c r="T14" s="397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</row>
    <row r="15" spans="1:53" ht="5.25" customHeight="1" thickBot="1">
      <c r="A15" s="128"/>
      <c r="B15" s="141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161"/>
      <c r="R15" s="96"/>
      <c r="S15" s="96"/>
      <c r="T15" s="96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</row>
    <row r="16" spans="1:53" ht="13.5" customHeight="1" thickBot="1">
      <c r="A16" s="128">
        <f>+A14+1</f>
        <v>9</v>
      </c>
      <c r="B16" s="141" t="s">
        <v>14</v>
      </c>
      <c r="C16" s="295">
        <f>SUM(C12:C14)</f>
        <v>4336141648</v>
      </c>
      <c r="D16" s="295">
        <f>SUM(D12:D14)</f>
        <v>4336292780</v>
      </c>
      <c r="E16" s="295">
        <f>SUM(E12:E14)</f>
        <v>4336452008</v>
      </c>
      <c r="F16" s="295">
        <f>SUM(F12:F14)</f>
        <v>4336611236</v>
      </c>
      <c r="G16" s="295">
        <f t="shared" ref="G16:O16" si="2">SUM(G12:G14)</f>
        <v>4336769866</v>
      </c>
      <c r="H16" s="295">
        <f t="shared" si="2"/>
        <v>4336929095</v>
      </c>
      <c r="I16" s="295">
        <f t="shared" si="2"/>
        <v>4337088324</v>
      </c>
      <c r="J16" s="295">
        <f t="shared" si="2"/>
        <v>4337247554</v>
      </c>
      <c r="K16" s="295">
        <f t="shared" si="2"/>
        <v>4337406783</v>
      </c>
      <c r="L16" s="295">
        <f t="shared" si="2"/>
        <v>4337566012</v>
      </c>
      <c r="M16" s="295">
        <f t="shared" si="2"/>
        <v>4337725242</v>
      </c>
      <c r="N16" s="295">
        <f t="shared" si="2"/>
        <v>4337884471</v>
      </c>
      <c r="O16" s="295">
        <f t="shared" si="2"/>
        <v>4338043700</v>
      </c>
      <c r="P16" s="97"/>
      <c r="Q16" s="434">
        <f>SUM(Q12:Q14)</f>
        <v>4337088837</v>
      </c>
      <c r="R16" s="96"/>
      <c r="S16" s="261"/>
      <c r="T16" s="96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</row>
    <row r="17" spans="1:53" ht="6.75" customHeight="1" thickBot="1">
      <c r="A17" s="128"/>
      <c r="B17" s="141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161"/>
      <c r="R17" s="96"/>
      <c r="S17" s="96"/>
      <c r="T17" s="96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</row>
    <row r="18" spans="1:53" ht="13.8" thickBot="1">
      <c r="A18" s="128">
        <f>+A16+1</f>
        <v>10</v>
      </c>
      <c r="B18" s="141" t="s">
        <v>82</v>
      </c>
      <c r="C18" s="294">
        <v>0</v>
      </c>
      <c r="D18" s="294">
        <v>0</v>
      </c>
      <c r="E18" s="294">
        <v>0</v>
      </c>
      <c r="F18" s="294">
        <v>0</v>
      </c>
      <c r="G18" s="294">
        <v>0</v>
      </c>
      <c r="H18" s="294">
        <v>0</v>
      </c>
      <c r="I18" s="294">
        <v>0</v>
      </c>
      <c r="J18" s="294">
        <v>0</v>
      </c>
      <c r="K18" s="294">
        <v>0</v>
      </c>
      <c r="L18" s="294">
        <v>0</v>
      </c>
      <c r="M18" s="294">
        <v>0</v>
      </c>
      <c r="N18" s="294">
        <v>0</v>
      </c>
      <c r="O18" s="294">
        <v>0</v>
      </c>
      <c r="P18" s="294"/>
      <c r="Q18" s="452"/>
      <c r="R18" s="96"/>
      <c r="S18" s="175"/>
      <c r="T18" s="96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</row>
    <row r="19" spans="1:53" ht="6.9" customHeight="1" thickBot="1">
      <c r="A19" s="128"/>
      <c r="B19" s="141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160"/>
      <c r="R19" s="96"/>
      <c r="S19" s="96"/>
      <c r="T19" s="96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</row>
    <row r="20" spans="1:53" ht="13.8" thickBot="1">
      <c r="A20" s="128">
        <f>+A18+1</f>
        <v>11</v>
      </c>
      <c r="B20" s="141" t="s">
        <v>97</v>
      </c>
      <c r="C20" s="307">
        <v>4228197192</v>
      </c>
      <c r="D20" s="307">
        <v>4274443916</v>
      </c>
      <c r="E20" s="307">
        <v>4314388188</v>
      </c>
      <c r="F20" s="307">
        <v>4324198041</v>
      </c>
      <c r="G20" s="307">
        <v>4343227000</v>
      </c>
      <c r="H20" s="307">
        <v>4336316000</v>
      </c>
      <c r="I20" s="307">
        <v>4281574000</v>
      </c>
      <c r="J20" s="307">
        <v>4269289000</v>
      </c>
      <c r="K20" s="307">
        <v>4276748000</v>
      </c>
      <c r="L20" s="307">
        <v>4255467000</v>
      </c>
      <c r="M20" s="307">
        <v>4273886000</v>
      </c>
      <c r="N20" s="307">
        <v>4318644000</v>
      </c>
      <c r="O20" s="307">
        <v>4367047000</v>
      </c>
      <c r="P20" s="267"/>
      <c r="Q20" s="452">
        <f>ROUND(((C20+O20)+(SUM(D20:N20)*2))/24,0)</f>
        <v>4297150270</v>
      </c>
      <c r="R20" s="96"/>
      <c r="S20" s="96"/>
      <c r="T20" s="96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</row>
    <row r="21" spans="1:53" ht="6.9" customHeight="1">
      <c r="A21" s="128"/>
      <c r="B21" s="141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162"/>
      <c r="R21" s="96"/>
      <c r="S21" s="96"/>
      <c r="T21" s="96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</row>
    <row r="22" spans="1:53" ht="13.8" thickBot="1">
      <c r="A22" s="128">
        <f>+A20+1</f>
        <v>12</v>
      </c>
      <c r="B22" s="141" t="s">
        <v>86</v>
      </c>
      <c r="C22" s="296">
        <f t="shared" ref="C22" si="3">C10+C16+C18+C20-1000</f>
        <v>8740337840</v>
      </c>
      <c r="D22" s="296">
        <f>D10+D16+D18+D20</f>
        <v>8714116696</v>
      </c>
      <c r="E22" s="296">
        <f>E10+E16+E18+E20</f>
        <v>8690840196</v>
      </c>
      <c r="F22" s="296">
        <f>F10+F16+F18+F20</f>
        <v>8736809277</v>
      </c>
      <c r="G22" s="296">
        <f>G10+G16+G18+G20</f>
        <v>8829996866</v>
      </c>
      <c r="H22" s="296">
        <f t="shared" ref="H22" si="4">H10+H16+H18+H20</f>
        <v>8708245095</v>
      </c>
      <c r="I22" s="296">
        <f>I10+I16+I18+I20</f>
        <v>8758662324</v>
      </c>
      <c r="J22" s="296">
        <f>J10+J16+J18+J20</f>
        <v>8769536554</v>
      </c>
      <c r="K22" s="296">
        <f t="shared" ref="K22:O22" si="5">K10+K16+K18+K20</f>
        <v>8770154783</v>
      </c>
      <c r="L22" s="296">
        <f>L10+L16+L18+L20</f>
        <v>8814033012</v>
      </c>
      <c r="M22" s="296">
        <f t="shared" si="5"/>
        <v>8904611242</v>
      </c>
      <c r="N22" s="296">
        <f t="shared" si="5"/>
        <v>9013328471</v>
      </c>
      <c r="O22" s="296">
        <f t="shared" si="5"/>
        <v>9078890700</v>
      </c>
      <c r="P22" s="296"/>
      <c r="Q22" s="239">
        <f>Q10+Q16+Q18+Q20</f>
        <v>8801662440</v>
      </c>
      <c r="R22" s="96"/>
      <c r="S22" s="96"/>
      <c r="T22" s="96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</row>
    <row r="23" spans="1:53" ht="13.8" thickTop="1">
      <c r="A23" s="128"/>
      <c r="B23" s="141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192"/>
      <c r="R23" s="96"/>
      <c r="S23" s="96"/>
      <c r="T23" s="96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</row>
    <row r="24" spans="1:53">
      <c r="A24" s="128">
        <f>+A22+1</f>
        <v>13</v>
      </c>
      <c r="B24" s="127" t="s">
        <v>30</v>
      </c>
      <c r="C24" s="297">
        <f t="shared" ref="C24:H24" si="6">C10/C$22</f>
        <v>2.0136521404760712E-2</v>
      </c>
      <c r="D24" s="297">
        <f t="shared" si="6"/>
        <v>1.186350878769549E-2</v>
      </c>
      <c r="E24" s="297">
        <f t="shared" si="6"/>
        <v>4.6025469457383634E-3</v>
      </c>
      <c r="F24" s="297">
        <f t="shared" si="6"/>
        <v>8.6988278661493772E-3</v>
      </c>
      <c r="G24" s="297">
        <f t="shared" si="6"/>
        <v>1.698754849818539E-2</v>
      </c>
      <c r="H24" s="297">
        <f t="shared" si="6"/>
        <v>4.0191794808457906E-3</v>
      </c>
      <c r="I24" s="297">
        <f>I10/I$22</f>
        <v>1.5984175987282873E-2</v>
      </c>
      <c r="J24" s="297">
        <f>J10/J$22</f>
        <v>1.8587071163487165E-2</v>
      </c>
      <c r="K24" s="297">
        <f>K10/K$22</f>
        <v>1.778759940501725E-2</v>
      </c>
      <c r="L24" s="297">
        <f>L10/L$22</f>
        <v>2.5073652401700352E-2</v>
      </c>
      <c r="M24" s="297">
        <f t="shared" ref="M24:O24" si="7">M10/M$22</f>
        <v>3.2904300034797634E-2</v>
      </c>
      <c r="N24" s="297">
        <f t="shared" si="7"/>
        <v>3.9585820171536938E-2</v>
      </c>
      <c r="O24" s="297">
        <f t="shared" si="7"/>
        <v>4.1172430900616529E-2</v>
      </c>
      <c r="P24" s="297"/>
      <c r="Q24" s="298">
        <f>Q10/Q$22</f>
        <v>1.9021785275373501E-2</v>
      </c>
      <c r="R24" s="96"/>
      <c r="S24" s="96"/>
      <c r="T24" s="96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</row>
    <row r="25" spans="1:53">
      <c r="A25" s="128">
        <f>+A24+1</f>
        <v>14</v>
      </c>
      <c r="B25" s="127" t="s">
        <v>31</v>
      </c>
      <c r="C25" s="299">
        <f t="shared" ref="C25:H25" si="8">C16/C$22</f>
        <v>0.49610686993764991</v>
      </c>
      <c r="D25" s="299">
        <f t="shared" si="8"/>
        <v>0.49761701974802197</v>
      </c>
      <c r="E25" s="299">
        <f t="shared" si="8"/>
        <v>0.49896809861903485</v>
      </c>
      <c r="F25" s="299">
        <f t="shared" si="8"/>
        <v>0.49636098242596444</v>
      </c>
      <c r="G25" s="299">
        <f t="shared" si="8"/>
        <v>0.49114058949429301</v>
      </c>
      <c r="H25" s="299">
        <f t="shared" si="8"/>
        <v>0.49802561224306008</v>
      </c>
      <c r="I25" s="299">
        <f>I16/I$22</f>
        <v>0.4951770217371837</v>
      </c>
      <c r="J25" s="299">
        <f>J16/J$22</f>
        <v>0.49458115914023704</v>
      </c>
      <c r="K25" s="299">
        <f>K16/K$22</f>
        <v>0.49456445072184996</v>
      </c>
      <c r="L25" s="299">
        <f>L16/L$22</f>
        <v>0.49212046359419742</v>
      </c>
      <c r="M25" s="299">
        <f t="shared" ref="M25:O25" si="9">M16/M$22</f>
        <v>0.48713246700096646</v>
      </c>
      <c r="N25" s="299">
        <f t="shared" si="9"/>
        <v>0.48127442431028206</v>
      </c>
      <c r="O25" s="299">
        <f t="shared" si="9"/>
        <v>0.47781649139139876</v>
      </c>
      <c r="P25" s="299"/>
      <c r="Q25" s="300">
        <f>Q16/Q$22</f>
        <v>0.49275791551487858</v>
      </c>
      <c r="R25" s="96"/>
      <c r="S25" s="96"/>
      <c r="T25" s="96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</row>
    <row r="26" spans="1:53">
      <c r="A26" s="128">
        <f>+A25+1</f>
        <v>15</v>
      </c>
      <c r="B26" s="127" t="s">
        <v>103</v>
      </c>
      <c r="C26" s="297">
        <f t="shared" ref="C26:H26" si="10">SUM(C24:C25)</f>
        <v>0.5162433913424106</v>
      </c>
      <c r="D26" s="297">
        <f t="shared" si="10"/>
        <v>0.50948052853571746</v>
      </c>
      <c r="E26" s="297">
        <f t="shared" si="10"/>
        <v>0.50357064556477327</v>
      </c>
      <c r="F26" s="297">
        <f t="shared" si="10"/>
        <v>0.50505981029211378</v>
      </c>
      <c r="G26" s="297">
        <f t="shared" si="10"/>
        <v>0.50812813799247836</v>
      </c>
      <c r="H26" s="297">
        <f t="shared" si="10"/>
        <v>0.50204479172390581</v>
      </c>
      <c r="I26" s="297">
        <f>SUM(I24:I25)</f>
        <v>0.51116119772446655</v>
      </c>
      <c r="J26" s="297">
        <f>SUM(J24:J25)</f>
        <v>0.51316823030372416</v>
      </c>
      <c r="K26" s="297">
        <f>SUM(K24:K25)</f>
        <v>0.51235205012686724</v>
      </c>
      <c r="L26" s="297">
        <f>SUM(L24:L25)</f>
        <v>0.51719411599589782</v>
      </c>
      <c r="M26" s="297">
        <f t="shared" ref="M26:O26" si="11">SUM(M24:M25)</f>
        <v>0.52003676703576407</v>
      </c>
      <c r="N26" s="297">
        <f t="shared" si="11"/>
        <v>0.520860244481819</v>
      </c>
      <c r="O26" s="297">
        <f t="shared" si="11"/>
        <v>0.51898892229201532</v>
      </c>
      <c r="P26" s="297"/>
      <c r="Q26" s="298">
        <f>SUM(Q24:Q25)</f>
        <v>0.51177970079025203</v>
      </c>
      <c r="R26" s="96"/>
      <c r="S26" s="96"/>
      <c r="T26" s="96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</row>
    <row r="27" spans="1:53">
      <c r="A27" s="128">
        <f>+A26+1</f>
        <v>16</v>
      </c>
      <c r="B27" s="127" t="s">
        <v>104</v>
      </c>
      <c r="C27" s="297">
        <f>C18/C$22</f>
        <v>0</v>
      </c>
      <c r="D27" s="297">
        <f>D18/D$22</f>
        <v>0</v>
      </c>
      <c r="E27" s="297">
        <f>E18/E$22</f>
        <v>0</v>
      </c>
      <c r="F27" s="297">
        <f>F18/F$22</f>
        <v>0</v>
      </c>
      <c r="G27" s="297">
        <f t="shared" ref="G27:O27" si="12">G18/G$22</f>
        <v>0</v>
      </c>
      <c r="H27" s="297">
        <f t="shared" si="12"/>
        <v>0</v>
      </c>
      <c r="I27" s="297">
        <f t="shared" si="12"/>
        <v>0</v>
      </c>
      <c r="J27" s="297">
        <f t="shared" si="12"/>
        <v>0</v>
      </c>
      <c r="K27" s="297">
        <f t="shared" si="12"/>
        <v>0</v>
      </c>
      <c r="L27" s="297">
        <f t="shared" si="12"/>
        <v>0</v>
      </c>
      <c r="M27" s="297">
        <f t="shared" si="12"/>
        <v>0</v>
      </c>
      <c r="N27" s="297">
        <f t="shared" si="12"/>
        <v>0</v>
      </c>
      <c r="O27" s="297">
        <f t="shared" si="12"/>
        <v>0</v>
      </c>
      <c r="P27" s="297"/>
      <c r="Q27" s="298">
        <f>Q18/Q$22</f>
        <v>0</v>
      </c>
      <c r="R27" s="96"/>
      <c r="S27" s="96"/>
      <c r="T27" s="96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</row>
    <row r="28" spans="1:53">
      <c r="A28" s="128">
        <f>+A27+1</f>
        <v>17</v>
      </c>
      <c r="B28" s="127" t="s">
        <v>105</v>
      </c>
      <c r="C28" s="327">
        <f>C20/C$22</f>
        <v>0.48375672306964279</v>
      </c>
      <c r="D28" s="327">
        <f>D20/D$22</f>
        <v>0.49051947146428254</v>
      </c>
      <c r="E28" s="327">
        <f>E20/E$22</f>
        <v>0.49642935443522679</v>
      </c>
      <c r="F28" s="327">
        <f>F20/F$22</f>
        <v>0.49494018970788617</v>
      </c>
      <c r="G28" s="327">
        <f t="shared" ref="G28:O28" si="13">G20/G$22</f>
        <v>0.49187186200752159</v>
      </c>
      <c r="H28" s="327">
        <f t="shared" si="13"/>
        <v>0.49795520827609413</v>
      </c>
      <c r="I28" s="327">
        <f t="shared" si="13"/>
        <v>0.48883880227553339</v>
      </c>
      <c r="J28" s="327">
        <f t="shared" si="13"/>
        <v>0.48683176969627578</v>
      </c>
      <c r="K28" s="327">
        <f t="shared" si="13"/>
        <v>0.48764794987313281</v>
      </c>
      <c r="L28" s="327">
        <f t="shared" si="13"/>
        <v>0.48280588400410224</v>
      </c>
      <c r="M28" s="327">
        <f t="shared" si="13"/>
        <v>0.47996323296423588</v>
      </c>
      <c r="N28" s="327">
        <f t="shared" si="13"/>
        <v>0.479139755518181</v>
      </c>
      <c r="O28" s="327">
        <f t="shared" si="13"/>
        <v>0.48101107770798474</v>
      </c>
      <c r="P28" s="327"/>
      <c r="Q28" s="300">
        <f>Q20/Q$22</f>
        <v>0.48822029920974791</v>
      </c>
      <c r="R28" s="96"/>
      <c r="S28" s="96"/>
      <c r="T28" s="96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</row>
    <row r="29" spans="1:53">
      <c r="A29" s="191"/>
      <c r="B29" s="127"/>
      <c r="C29" s="303"/>
      <c r="D29" s="301"/>
      <c r="E29" s="301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4"/>
      <c r="R29" s="96"/>
      <c r="S29" s="96"/>
      <c r="T29" s="96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</row>
    <row r="30" spans="1:53" ht="13.8" thickBot="1">
      <c r="A30" s="128">
        <f>+A28+1</f>
        <v>18</v>
      </c>
      <c r="B30" s="127" t="s">
        <v>106</v>
      </c>
      <c r="C30" s="305">
        <f>SUM(C26:C28)</f>
        <v>1.0000001144120534</v>
      </c>
      <c r="D30" s="305">
        <f>SUM(D26:D28)</f>
        <v>1</v>
      </c>
      <c r="E30" s="305">
        <f>SUM(E26:E28)</f>
        <v>1</v>
      </c>
      <c r="F30" s="305">
        <f>SUM(F26:F28)</f>
        <v>1</v>
      </c>
      <c r="G30" s="305">
        <f t="shared" ref="G30:O30" si="14">SUM(G26:G28)</f>
        <v>1</v>
      </c>
      <c r="H30" s="305">
        <f t="shared" si="14"/>
        <v>1</v>
      </c>
      <c r="I30" s="305">
        <f t="shared" si="14"/>
        <v>1</v>
      </c>
      <c r="J30" s="305">
        <f t="shared" si="14"/>
        <v>1</v>
      </c>
      <c r="K30" s="305">
        <f t="shared" si="14"/>
        <v>1</v>
      </c>
      <c r="L30" s="305">
        <f t="shared" si="14"/>
        <v>1</v>
      </c>
      <c r="M30" s="305">
        <f t="shared" si="14"/>
        <v>1</v>
      </c>
      <c r="N30" s="305">
        <f t="shared" si="14"/>
        <v>1</v>
      </c>
      <c r="O30" s="305">
        <f t="shared" si="14"/>
        <v>1</v>
      </c>
      <c r="P30" s="305"/>
      <c r="Q30" s="306">
        <f>SUM(Q26:Q28)</f>
        <v>1</v>
      </c>
      <c r="R30" s="96"/>
      <c r="S30" s="96"/>
      <c r="T30" s="96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</row>
    <row r="31" spans="1:53" ht="13.8" thickTop="1">
      <c r="A31" s="128"/>
      <c r="B31" s="141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6"/>
      <c r="S31" s="96"/>
      <c r="T31" s="96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</row>
    <row r="32" spans="1:53">
      <c r="A32" s="128"/>
      <c r="B32" s="141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97"/>
      <c r="R32" s="96"/>
      <c r="S32" s="96"/>
      <c r="T32" s="96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</row>
    <row r="33" spans="1:54" ht="13.8" thickBot="1">
      <c r="A33" s="128"/>
      <c r="B33" s="141"/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97"/>
      <c r="R33" s="96"/>
      <c r="S33" s="96"/>
      <c r="T33" s="96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</row>
    <row r="34" spans="1:54" ht="13.8" thickBot="1">
      <c r="A34" s="128">
        <f>+A30+1</f>
        <v>19</v>
      </c>
      <c r="B34" s="141" t="s">
        <v>81</v>
      </c>
      <c r="C34" s="307">
        <v>4048680000</v>
      </c>
      <c r="D34" s="307">
        <v>4059042000</v>
      </c>
      <c r="E34" s="307">
        <v>4099579000</v>
      </c>
      <c r="F34" s="307">
        <v>4114013000</v>
      </c>
      <c r="G34" s="307">
        <v>4161940000</v>
      </c>
      <c r="H34" s="307">
        <v>4150600000</v>
      </c>
      <c r="I34" s="307">
        <v>4086991000</v>
      </c>
      <c r="J34" s="307">
        <v>4080606000</v>
      </c>
      <c r="K34" s="307">
        <v>4119488000</v>
      </c>
      <c r="L34" s="307">
        <v>4097604735</v>
      </c>
      <c r="M34" s="307">
        <v>4135983497</v>
      </c>
      <c r="N34" s="307">
        <v>4150351354</v>
      </c>
      <c r="O34" s="307">
        <v>4181410458</v>
      </c>
      <c r="P34" s="307"/>
      <c r="Q34" s="434">
        <f>ROUND(((C34+O34)+(SUM(D34:N34)*2))/24,0)</f>
        <v>4114270318</v>
      </c>
      <c r="R34" s="89"/>
      <c r="S34" s="397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</row>
    <row r="35" spans="1:54" ht="13.8" thickBot="1">
      <c r="A35" s="128">
        <f>+A34+1</f>
        <v>20</v>
      </c>
      <c r="B35" s="139" t="s">
        <v>32</v>
      </c>
      <c r="C35" s="363"/>
      <c r="D35" s="363"/>
      <c r="E35" s="363"/>
      <c r="F35" s="363"/>
      <c r="P35" s="363"/>
      <c r="Q35" s="172"/>
      <c r="R35" s="89"/>
      <c r="S35" s="397"/>
      <c r="T35" s="89"/>
      <c r="U35" s="93"/>
      <c r="V35" s="139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4"/>
    </row>
    <row r="36" spans="1:54" ht="13.8" thickBot="1">
      <c r="A36" s="128">
        <f>+A35+1</f>
        <v>21</v>
      </c>
      <c r="B36" s="139" t="s">
        <v>33</v>
      </c>
      <c r="C36" s="194">
        <v>-20292289</v>
      </c>
      <c r="D36" s="194">
        <v>-20292289</v>
      </c>
      <c r="E36" s="194">
        <v>-20292289</v>
      </c>
      <c r="F36" s="194">
        <v>-20420029</v>
      </c>
      <c r="G36" s="194">
        <v>-20420029</v>
      </c>
      <c r="H36" s="194">
        <v>-20420029</v>
      </c>
      <c r="I36" s="194">
        <v>-20529857</v>
      </c>
      <c r="J36" s="194">
        <v>-20529857</v>
      </c>
      <c r="K36" s="194">
        <v>-20529857</v>
      </c>
      <c r="L36" s="194">
        <v>-20656071</v>
      </c>
      <c r="M36" s="194">
        <v>-20656071</v>
      </c>
      <c r="N36" s="194">
        <v>-20656071</v>
      </c>
      <c r="O36" s="194">
        <v>-20759387</v>
      </c>
      <c r="P36" s="194"/>
      <c r="Q36" s="434">
        <f>ROUND(((C36+O36)+(SUM(D36:N36)*2))/24,0)</f>
        <v>-20494024</v>
      </c>
      <c r="R36" s="97"/>
      <c r="S36" s="397"/>
      <c r="T36" s="397"/>
      <c r="U36" s="93"/>
      <c r="V36" s="98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4"/>
    </row>
    <row r="37" spans="1:54" ht="13.8" thickBot="1">
      <c r="A37" s="128">
        <f>+A36+1</f>
        <v>22</v>
      </c>
      <c r="B37" s="139" t="s">
        <v>3</v>
      </c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R37" s="97"/>
      <c r="S37" s="397"/>
      <c r="T37" s="92"/>
      <c r="U37" s="92"/>
      <c r="V37" s="98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3"/>
      <c r="AT37" s="93"/>
      <c r="AU37" s="93"/>
      <c r="AV37" s="93"/>
      <c r="AW37" s="93"/>
      <c r="AX37" s="93"/>
      <c r="AY37" s="93"/>
      <c r="AZ37" s="93"/>
      <c r="BA37" s="93"/>
      <c r="BB37" s="94"/>
    </row>
    <row r="38" spans="1:54" ht="13.8" thickBot="1">
      <c r="A38" s="128">
        <f t="shared" ref="A38:A44" si="15">+A37+1</f>
        <v>23</v>
      </c>
      <c r="B38" s="221" t="s">
        <v>34</v>
      </c>
      <c r="C38" s="308">
        <f t="shared" ref="C38:H38" si="16">SUM(C36:C37)</f>
        <v>-20292289</v>
      </c>
      <c r="D38" s="308">
        <f t="shared" si="16"/>
        <v>-20292289</v>
      </c>
      <c r="E38" s="308">
        <f t="shared" si="16"/>
        <v>-20292289</v>
      </c>
      <c r="F38" s="308">
        <f t="shared" si="16"/>
        <v>-20420029</v>
      </c>
      <c r="G38" s="308">
        <f t="shared" si="16"/>
        <v>-20420029</v>
      </c>
      <c r="H38" s="308">
        <f t="shared" si="16"/>
        <v>-20420029</v>
      </c>
      <c r="I38" s="308">
        <f>SUM(I36:I37)</f>
        <v>-20529857</v>
      </c>
      <c r="J38" s="308">
        <f>SUM(J36:J37)</f>
        <v>-20529857</v>
      </c>
      <c r="K38" s="308">
        <f>SUM(K36:K37)</f>
        <v>-20529857</v>
      </c>
      <c r="L38" s="308">
        <f>SUM(L36:L37)</f>
        <v>-20656071</v>
      </c>
      <c r="M38" s="308">
        <f>SUM(M36:M37)</f>
        <v>-20656071</v>
      </c>
      <c r="N38" s="308">
        <f t="shared" ref="N38:O38" si="17">SUM(N36:N37)</f>
        <v>-20656071</v>
      </c>
      <c r="O38" s="308">
        <f t="shared" si="17"/>
        <v>-20759387</v>
      </c>
      <c r="P38" s="195"/>
      <c r="Q38" s="434">
        <f>ROUND(((C38+O38)+(SUM(D38:N38)*2))/24,0)</f>
        <v>-20494024</v>
      </c>
      <c r="R38" s="97"/>
      <c r="S38" s="397"/>
      <c r="T38" s="89"/>
      <c r="U38" s="93"/>
      <c r="V38" s="89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4"/>
    </row>
    <row r="39" spans="1:54" ht="13.8" thickBot="1">
      <c r="A39" s="128">
        <f t="shared" si="15"/>
        <v>24</v>
      </c>
      <c r="B39" s="222" t="s">
        <v>158</v>
      </c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96"/>
      <c r="R39" s="97"/>
      <c r="S39" s="397"/>
      <c r="T39" s="89"/>
      <c r="U39" s="93"/>
      <c r="V39" s="89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4"/>
    </row>
    <row r="40" spans="1:54" s="2" customFormat="1" ht="13.8" thickBot="1">
      <c r="A40" s="191">
        <f t="shared" si="15"/>
        <v>25</v>
      </c>
      <c r="B40" s="433" t="s">
        <v>159</v>
      </c>
      <c r="C40" s="307">
        <f>7767000+21485000</f>
        <v>29252000</v>
      </c>
      <c r="D40" s="307">
        <f>-28993000+21485000</f>
        <v>-7508000</v>
      </c>
      <c r="E40" s="307">
        <f>-30208000+21485000</f>
        <v>-8723000</v>
      </c>
      <c r="F40" s="307">
        <f>-30580000+21485000</f>
        <v>-9095000</v>
      </c>
      <c r="G40" s="307">
        <f>-3001000+21485000</f>
        <v>18484000</v>
      </c>
      <c r="H40" s="307">
        <f>-9073000+21485000</f>
        <v>12412000</v>
      </c>
      <c r="I40" s="307">
        <f>-20972000+21485000+2147000</f>
        <v>2660000</v>
      </c>
      <c r="J40" s="307">
        <f>-13520000+21485000</f>
        <v>7965000</v>
      </c>
      <c r="K40" s="307">
        <f>16556000+21485000</f>
        <v>38041000</v>
      </c>
      <c r="L40" s="307">
        <f>10582000+21485000+4149000</f>
        <v>36216000</v>
      </c>
      <c r="M40" s="307">
        <f>25808000+21485000+7537000</f>
        <v>54830000</v>
      </c>
      <c r="N40" s="307">
        <f>-4104000+21485000+5710000</f>
        <v>23091000</v>
      </c>
      <c r="O40" s="307">
        <f>-13411000+21485000+8003000</f>
        <v>16077000</v>
      </c>
      <c r="P40" s="195"/>
      <c r="Q40" s="434">
        <f>ROUND(((C40+O40)+(SUM(D40:N40)*2))/24,0)</f>
        <v>15919792</v>
      </c>
      <c r="R40" s="97"/>
      <c r="S40" s="435"/>
      <c r="T40" s="90"/>
      <c r="U40" s="218"/>
      <c r="V40" s="90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436"/>
    </row>
    <row r="41" spans="1:54" ht="13.8" thickBot="1">
      <c r="A41" s="128">
        <f t="shared" si="15"/>
        <v>26</v>
      </c>
      <c r="B41" s="224" t="s">
        <v>112</v>
      </c>
      <c r="C41" s="194">
        <v>-5353474</v>
      </c>
      <c r="D41" s="194">
        <v>-5321370</v>
      </c>
      <c r="E41" s="194">
        <v>-5289267</v>
      </c>
      <c r="F41" s="194">
        <f>-5257164</f>
        <v>-5257164</v>
      </c>
      <c r="G41" s="194">
        <v>-5225061</v>
      </c>
      <c r="H41" s="194">
        <f>-5192957-1000</f>
        <v>-5193957</v>
      </c>
      <c r="I41" s="194">
        <f>-5160854-2000</f>
        <v>-5162854</v>
      </c>
      <c r="J41" s="194">
        <v>-5128751</v>
      </c>
      <c r="K41" s="194">
        <f>-5096648-1000</f>
        <v>-5097648</v>
      </c>
      <c r="L41" s="194">
        <v>-5064545</v>
      </c>
      <c r="M41" s="194">
        <f>-5032441</f>
        <v>-5032441</v>
      </c>
      <c r="N41" s="194">
        <v>-5000338</v>
      </c>
      <c r="O41" s="194">
        <v>-4968234</v>
      </c>
      <c r="P41" s="194"/>
      <c r="Q41" s="434">
        <f>ROUND(((C41+O41)+(SUM(D41:N41)*2))/24,0)</f>
        <v>-5161188</v>
      </c>
      <c r="R41" s="97"/>
      <c r="S41" s="397"/>
      <c r="T41" s="89"/>
      <c r="U41" s="93"/>
      <c r="V41" s="25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4"/>
    </row>
    <row r="42" spans="1:54" ht="13.8" thickBot="1">
      <c r="A42" s="128">
        <f t="shared" si="15"/>
        <v>27</v>
      </c>
      <c r="B42" s="224" t="s">
        <v>113</v>
      </c>
      <c r="C42" s="194">
        <v>-183123429</v>
      </c>
      <c r="D42" s="194">
        <v>-182280257</v>
      </c>
      <c r="E42" s="194">
        <f>-180504632</f>
        <v>-180504632</v>
      </c>
      <c r="F42" s="194">
        <v>-175412848</v>
      </c>
      <c r="G42" s="194">
        <v>-174125482</v>
      </c>
      <c r="H42" s="194">
        <v>-172514225</v>
      </c>
      <c r="I42" s="194">
        <v>-171550750</v>
      </c>
      <c r="J42" s="194">
        <v>-170989012</v>
      </c>
      <c r="K42" s="194">
        <v>-169673457</v>
      </c>
      <c r="L42" s="194">
        <v>-168357902</v>
      </c>
      <c r="M42" s="194">
        <f>-167042347-2000</f>
        <v>-167044347</v>
      </c>
      <c r="N42" s="194">
        <v>-165726792</v>
      </c>
      <c r="O42" s="194">
        <f>-175986902+1000</f>
        <v>-175985902</v>
      </c>
      <c r="P42" s="194"/>
      <c r="Q42" s="434">
        <f>ROUND(((C42+O42)+(SUM(D42:N42)*2))/24,0)</f>
        <v>-173144531</v>
      </c>
      <c r="R42" s="97"/>
      <c r="S42" s="397"/>
      <c r="T42" s="89"/>
      <c r="U42" s="93"/>
      <c r="V42" s="25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4"/>
    </row>
    <row r="43" spans="1:54" ht="13.8" thickBot="1">
      <c r="A43" s="128">
        <f t="shared" si="15"/>
        <v>28</v>
      </c>
      <c r="B43" s="225" t="s">
        <v>114</v>
      </c>
      <c r="C43" s="223">
        <f t="shared" ref="C43:H43" si="18">SUM(C40:C42)</f>
        <v>-159224903</v>
      </c>
      <c r="D43" s="223">
        <f t="shared" si="18"/>
        <v>-195109627</v>
      </c>
      <c r="E43" s="223">
        <f t="shared" si="18"/>
        <v>-194516899</v>
      </c>
      <c r="F43" s="223">
        <f t="shared" si="18"/>
        <v>-189765012</v>
      </c>
      <c r="G43" s="223">
        <f t="shared" si="18"/>
        <v>-160866543</v>
      </c>
      <c r="H43" s="223">
        <f t="shared" si="18"/>
        <v>-165296182</v>
      </c>
      <c r="I43" s="223">
        <f>SUM(I40:I42)</f>
        <v>-174053604</v>
      </c>
      <c r="J43" s="223">
        <f>SUM(J40:J42)</f>
        <v>-168152763</v>
      </c>
      <c r="K43" s="223">
        <f>SUM(K40:K42)</f>
        <v>-136730105</v>
      </c>
      <c r="L43" s="223">
        <f>SUM(L40:L42)</f>
        <v>-137206447</v>
      </c>
      <c r="M43" s="223">
        <f t="shared" ref="M43:O43" si="19">SUM(M40:M42)</f>
        <v>-117246788</v>
      </c>
      <c r="N43" s="223">
        <f t="shared" si="19"/>
        <v>-147636130</v>
      </c>
      <c r="O43" s="223">
        <f t="shared" si="19"/>
        <v>-164877136</v>
      </c>
      <c r="P43" s="267"/>
      <c r="Q43" s="434">
        <f>ROUND(((C43+O43)+(SUM(D43:N43)*2))/24,0)</f>
        <v>-162385927</v>
      </c>
      <c r="R43" s="97"/>
      <c r="S43" s="89"/>
      <c r="T43" s="89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4"/>
    </row>
    <row r="44" spans="1:54" ht="13.8" thickBot="1">
      <c r="A44" s="128">
        <f t="shared" si="15"/>
        <v>29</v>
      </c>
      <c r="B44" s="442" t="s">
        <v>97</v>
      </c>
      <c r="C44" s="295">
        <f t="shared" ref="C44:O44" si="20">+C34-C38-C43</f>
        <v>4228197192</v>
      </c>
      <c r="D44" s="295">
        <f t="shared" si="20"/>
        <v>4274443916</v>
      </c>
      <c r="E44" s="295">
        <f t="shared" si="20"/>
        <v>4314388188</v>
      </c>
      <c r="F44" s="295">
        <f t="shared" si="20"/>
        <v>4324198041</v>
      </c>
      <c r="G44" s="295">
        <f t="shared" si="20"/>
        <v>4343226572</v>
      </c>
      <c r="H44" s="295">
        <f t="shared" si="20"/>
        <v>4336316211</v>
      </c>
      <c r="I44" s="295">
        <f t="shared" si="20"/>
        <v>4281574461</v>
      </c>
      <c r="J44" s="295">
        <f t="shared" si="20"/>
        <v>4269288620</v>
      </c>
      <c r="K44" s="295">
        <f t="shared" si="20"/>
        <v>4276747962</v>
      </c>
      <c r="L44" s="295">
        <f t="shared" si="20"/>
        <v>4255467253</v>
      </c>
      <c r="M44" s="295">
        <f t="shared" si="20"/>
        <v>4273886356</v>
      </c>
      <c r="N44" s="295">
        <f t="shared" si="20"/>
        <v>4318643555</v>
      </c>
      <c r="O44" s="295">
        <f t="shared" si="20"/>
        <v>4367046981</v>
      </c>
      <c r="P44" s="97"/>
      <c r="Q44" s="434">
        <f>ROUND(((C44+O44)+(SUM(D44:N44)*2))/24,0)</f>
        <v>4297150268</v>
      </c>
      <c r="R44" s="97"/>
      <c r="S44" s="89"/>
      <c r="T44" s="89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4"/>
    </row>
    <row r="45" spans="1:54">
      <c r="B45" s="444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0"/>
      <c r="R45" s="97"/>
      <c r="S45" s="89"/>
      <c r="T45" s="89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4"/>
    </row>
    <row r="46" spans="1:54">
      <c r="B46" s="449" t="s">
        <v>193</v>
      </c>
      <c r="C46" s="448">
        <f t="shared" ref="C46:J46" si="21">MROUND(C20,1000)-MROUND(C44,1000)</f>
        <v>0</v>
      </c>
      <c r="D46" s="448">
        <f t="shared" si="21"/>
        <v>0</v>
      </c>
      <c r="E46" s="448">
        <f t="shared" si="21"/>
        <v>0</v>
      </c>
      <c r="F46" s="448">
        <f t="shared" si="21"/>
        <v>0</v>
      </c>
      <c r="G46" s="448">
        <f t="shared" si="21"/>
        <v>0</v>
      </c>
      <c r="H46" s="448">
        <f t="shared" si="21"/>
        <v>0</v>
      </c>
      <c r="I46" s="448">
        <f t="shared" si="21"/>
        <v>0</v>
      </c>
      <c r="J46" s="448">
        <f t="shared" si="21"/>
        <v>0</v>
      </c>
      <c r="K46" s="448">
        <f>MROUND(K20,1000)-MROUND(K44,1000)</f>
        <v>0</v>
      </c>
      <c r="L46" s="448">
        <f t="shared" ref="L46:O46" si="22">MROUND(L20,1000)-MROUND(L44,1000)</f>
        <v>0</v>
      </c>
      <c r="M46" s="448">
        <f t="shared" si="22"/>
        <v>0</v>
      </c>
      <c r="N46" s="448">
        <f t="shared" si="22"/>
        <v>0</v>
      </c>
      <c r="O46" s="448">
        <f t="shared" si="22"/>
        <v>0</v>
      </c>
      <c r="P46" s="194"/>
      <c r="Q46" s="90"/>
      <c r="R46" s="97"/>
      <c r="S46" s="89"/>
      <c r="T46" s="89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4"/>
    </row>
    <row r="47" spans="1:54">
      <c r="B47" s="94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194"/>
      <c r="Q47" s="90"/>
      <c r="R47" s="97"/>
      <c r="S47" s="89"/>
      <c r="T47" s="89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4"/>
    </row>
    <row r="48" spans="1:54">
      <c r="B48" s="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90"/>
      <c r="R48" s="97"/>
      <c r="S48" s="89"/>
      <c r="T48" s="89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4"/>
    </row>
    <row r="49" spans="2:54">
      <c r="B49" s="94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194"/>
      <c r="Q49" s="90"/>
      <c r="R49" s="97"/>
      <c r="S49" s="89"/>
      <c r="T49" s="89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4"/>
    </row>
    <row r="50" spans="2:54">
      <c r="B50" s="444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194"/>
      <c r="Q50" s="420"/>
      <c r="R50" s="97"/>
      <c r="S50" s="89"/>
      <c r="T50" s="89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4"/>
    </row>
    <row r="51" spans="2:54">
      <c r="B51" s="444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194"/>
      <c r="Q51" s="453"/>
      <c r="R51" s="97"/>
      <c r="S51" s="89"/>
      <c r="T51" s="89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4"/>
    </row>
    <row r="52" spans="2:54">
      <c r="B52" s="94"/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195"/>
      <c r="Q52" s="90"/>
      <c r="R52" s="97"/>
      <c r="S52" s="89"/>
      <c r="T52" s="89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4"/>
    </row>
    <row r="53" spans="2:54"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430"/>
      <c r="R53" s="97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</row>
    <row r="54" spans="2:54">
      <c r="C54" s="441"/>
      <c r="D54" s="441"/>
      <c r="E54" s="441"/>
      <c r="F54" s="441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430"/>
      <c r="R54" s="97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</row>
    <row r="55" spans="2:54"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90"/>
      <c r="R55" s="97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</row>
    <row r="56" spans="2:54">
      <c r="C56" s="90"/>
      <c r="D56" s="90"/>
      <c r="E56" s="90"/>
      <c r="F56" s="90"/>
      <c r="G56" s="90"/>
      <c r="H56" s="218"/>
      <c r="I56" s="218"/>
      <c r="J56" s="218"/>
      <c r="K56" s="443"/>
      <c r="L56" s="218"/>
      <c r="M56" s="430"/>
      <c r="N56" s="90"/>
      <c r="O56" s="90"/>
      <c r="P56" s="90"/>
      <c r="Q56" s="90"/>
      <c r="R56" s="97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</row>
    <row r="57" spans="2:54">
      <c r="C57" s="90"/>
      <c r="D57" s="90"/>
      <c r="E57" s="90"/>
      <c r="F57" s="90"/>
      <c r="G57" s="90"/>
      <c r="H57" s="218"/>
      <c r="I57" s="218"/>
      <c r="J57" s="445"/>
      <c r="K57" s="97"/>
      <c r="L57" s="218"/>
      <c r="M57" s="90"/>
      <c r="N57" s="90"/>
      <c r="O57" s="90"/>
      <c r="P57" s="90"/>
      <c r="Q57" s="90"/>
      <c r="R57" s="97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</row>
    <row r="58" spans="2:54">
      <c r="C58" s="90"/>
      <c r="D58" s="90"/>
      <c r="E58" s="90"/>
      <c r="F58" s="90"/>
      <c r="G58" s="90"/>
      <c r="H58" s="218"/>
      <c r="I58" s="218"/>
      <c r="J58" s="445"/>
      <c r="K58" s="97"/>
      <c r="L58" s="218"/>
      <c r="M58" s="90"/>
      <c r="N58" s="90"/>
      <c r="O58" s="90"/>
      <c r="P58" s="90"/>
      <c r="Q58" s="90"/>
      <c r="R58" s="97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</row>
    <row r="59" spans="2:54">
      <c r="C59" s="90"/>
      <c r="D59" s="90"/>
      <c r="E59" s="90"/>
      <c r="F59" s="90"/>
      <c r="G59" s="90"/>
      <c r="H59" s="218"/>
      <c r="I59" s="218"/>
      <c r="J59" s="218"/>
      <c r="K59" s="194"/>
      <c r="L59" s="218"/>
      <c r="M59" s="90"/>
      <c r="N59" s="90"/>
      <c r="O59" s="90"/>
      <c r="P59" s="90"/>
      <c r="Q59" s="90"/>
      <c r="R59" s="97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</row>
    <row r="60" spans="2:54">
      <c r="C60" s="90"/>
      <c r="D60" s="90"/>
      <c r="E60" s="90"/>
      <c r="F60" s="90"/>
      <c r="G60" s="90"/>
      <c r="H60" s="218"/>
      <c r="I60" s="218"/>
      <c r="J60" s="218"/>
      <c r="K60" s="218"/>
      <c r="L60" s="218"/>
      <c r="M60" s="90"/>
      <c r="N60" s="90"/>
      <c r="O60" s="90"/>
      <c r="P60" s="90"/>
      <c r="Q60" s="90"/>
      <c r="R60" s="97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</row>
    <row r="61" spans="2:54"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7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</row>
    <row r="62" spans="2:54"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7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</row>
    <row r="63" spans="2:54"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7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</row>
    <row r="64" spans="2:54"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</row>
    <row r="65" spans="3:53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</row>
    <row r="66" spans="3:53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</row>
    <row r="67" spans="3:53"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</row>
    <row r="68" spans="3:53"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</row>
    <row r="69" spans="3:53"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</row>
    <row r="70" spans="3:53"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</row>
    <row r="71" spans="3:53"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</row>
    <row r="72" spans="3:53"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</row>
    <row r="73" spans="3:53"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</row>
    <row r="74" spans="3:53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</row>
    <row r="75" spans="3:53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</row>
    <row r="76" spans="3:53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</row>
    <row r="77" spans="3:53"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</row>
    <row r="78" spans="3:53"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</row>
    <row r="79" spans="3:53"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</row>
    <row r="80" spans="3:53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</row>
    <row r="81" spans="3:53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</row>
    <row r="82" spans="3:53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</row>
    <row r="83" spans="3:53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</row>
    <row r="84" spans="3:53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</row>
    <row r="85" spans="3:53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</row>
    <row r="86" spans="3:53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</row>
    <row r="87" spans="3:53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</row>
    <row r="88" spans="3:53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</row>
    <row r="89" spans="3:53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</row>
    <row r="90" spans="3:53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</row>
    <row r="91" spans="3:53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</row>
    <row r="92" spans="3:53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</row>
    <row r="93" spans="3:53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</row>
    <row r="94" spans="3:53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</row>
    <row r="95" spans="3:53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</row>
    <row r="96" spans="3:53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</row>
    <row r="97" spans="3:53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</row>
    <row r="98" spans="3:53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</row>
    <row r="99" spans="3:53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</row>
    <row r="100" spans="3:53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</row>
    <row r="101" spans="3:53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</row>
    <row r="102" spans="3:53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</row>
    <row r="103" spans="3:53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</row>
    <row r="104" spans="3:53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</row>
    <row r="105" spans="3:53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</row>
    <row r="106" spans="3:53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</row>
    <row r="107" spans="3:53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</row>
    <row r="108" spans="3:53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</row>
    <row r="109" spans="3:53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</row>
    <row r="110" spans="3:53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</row>
    <row r="111" spans="3:53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</row>
    <row r="112" spans="3:53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</row>
    <row r="113" spans="3:53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</row>
    <row r="114" spans="3:53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</row>
    <row r="115" spans="3:53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</row>
    <row r="116" spans="3:53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</row>
    <row r="117" spans="3:53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</row>
    <row r="118" spans="3:53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</row>
    <row r="119" spans="3:53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</row>
    <row r="120" spans="3:53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</row>
    <row r="121" spans="3:53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</row>
    <row r="122" spans="3:53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</row>
    <row r="123" spans="3:53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</row>
    <row r="124" spans="3:53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</row>
    <row r="125" spans="3:53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</row>
    <row r="126" spans="3:53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</row>
    <row r="127" spans="3:53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</row>
    <row r="128" spans="3:53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</row>
    <row r="129" spans="3:53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</row>
    <row r="130" spans="3:53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</row>
    <row r="131" spans="3:53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</row>
    <row r="132" spans="3:53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</row>
    <row r="133" spans="3:53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</row>
    <row r="134" spans="3:53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</row>
    <row r="135" spans="3:53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</row>
    <row r="136" spans="3:53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</row>
    <row r="137" spans="3:53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</row>
    <row r="138" spans="3:53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</row>
    <row r="139" spans="3:53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</row>
    <row r="140" spans="3:53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</row>
    <row r="141" spans="3:53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</row>
    <row r="142" spans="3:53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</row>
    <row r="143" spans="3:53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</row>
    <row r="144" spans="3:53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</row>
    <row r="145" spans="3:53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</row>
    <row r="146" spans="3:53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</row>
    <row r="147" spans="3:53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</row>
    <row r="148" spans="3:53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  <c r="BA148" s="89"/>
    </row>
    <row r="149" spans="3:53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</row>
    <row r="150" spans="3:53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</row>
    <row r="151" spans="3:53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</row>
    <row r="152" spans="3:53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</row>
    <row r="153" spans="3:53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</row>
    <row r="154" spans="3:53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  <c r="AY154" s="89"/>
      <c r="AZ154" s="89"/>
      <c r="BA154" s="89"/>
    </row>
    <row r="155" spans="3:53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</row>
    <row r="156" spans="3:53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</row>
    <row r="157" spans="3:53"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</row>
    <row r="158" spans="3:53"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</row>
    <row r="159" spans="3:53"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</row>
    <row r="160" spans="3:53"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</row>
    <row r="161" spans="3:53"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  <c r="BA161" s="89"/>
    </row>
    <row r="162" spans="3:53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</row>
    <row r="163" spans="3:53"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</row>
    <row r="164" spans="3:53"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</row>
    <row r="165" spans="3:53"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</row>
    <row r="166" spans="3:53"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</row>
    <row r="167" spans="3:53"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</row>
    <row r="168" spans="3:53"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</row>
    <row r="169" spans="3:53"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</row>
    <row r="170" spans="3:53"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</row>
    <row r="171" spans="3:53"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  <c r="BA171" s="89"/>
    </row>
    <row r="172" spans="3:53"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9"/>
      <c r="AY172" s="89"/>
      <c r="AZ172" s="89"/>
      <c r="BA172" s="89"/>
    </row>
    <row r="173" spans="3:53"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</row>
    <row r="174" spans="3:53"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</row>
    <row r="175" spans="3:53"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</row>
    <row r="176" spans="3:53"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</row>
    <row r="177" spans="3:53"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</row>
    <row r="178" spans="3:53"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</row>
    <row r="179" spans="3:53"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</row>
    <row r="180" spans="3:53"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</row>
    <row r="181" spans="3:53"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</row>
    <row r="182" spans="3:53"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</row>
    <row r="183" spans="3:53"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</row>
    <row r="184" spans="3:53"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</row>
    <row r="185" spans="3:53"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</row>
    <row r="186" spans="3:53"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</row>
    <row r="187" spans="3:53"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</row>
    <row r="188" spans="3:53"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</row>
    <row r="189" spans="3:53"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  <c r="BA189" s="89"/>
    </row>
    <row r="190" spans="3:53"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  <c r="BA190" s="89"/>
    </row>
    <row r="191" spans="3:53"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</row>
    <row r="192" spans="3:53"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</row>
    <row r="193" spans="3:53"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</row>
    <row r="194" spans="3:53"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</row>
    <row r="195" spans="3:53"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</row>
    <row r="196" spans="3:53"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</row>
    <row r="197" spans="3:53"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</row>
    <row r="198" spans="3:53"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</row>
    <row r="199" spans="3:53"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</row>
    <row r="200" spans="3:53"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</row>
    <row r="201" spans="3:53"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</row>
    <row r="202" spans="3:53"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</row>
    <row r="203" spans="3:53"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</row>
    <row r="204" spans="3:53"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</row>
    <row r="205" spans="3:53"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</row>
    <row r="206" spans="3:53"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</row>
    <row r="207" spans="3:53"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</row>
    <row r="208" spans="3:53"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</row>
    <row r="209" spans="3:53"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  <c r="AX209" s="89"/>
      <c r="AY209" s="89"/>
      <c r="AZ209" s="89"/>
      <c r="BA209" s="89"/>
    </row>
    <row r="210" spans="3:53"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</row>
    <row r="211" spans="3:53"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</row>
    <row r="212" spans="3:53"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</row>
    <row r="213" spans="3:53"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</row>
    <row r="214" spans="3:53"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</row>
    <row r="215" spans="3:53"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</row>
    <row r="216" spans="3:53"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</row>
    <row r="217" spans="3:53"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</row>
    <row r="218" spans="3:53"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</row>
    <row r="219" spans="3:53"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</row>
    <row r="220" spans="3:53"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</row>
    <row r="221" spans="3:53"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</row>
    <row r="222" spans="3:53"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</row>
    <row r="223" spans="3:53"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</row>
    <row r="224" spans="3:53"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</row>
    <row r="225" spans="3:53"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</row>
    <row r="226" spans="3:53"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</row>
    <row r="227" spans="3:53"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</row>
    <row r="228" spans="3:53"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</row>
    <row r="229" spans="3:53"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  <c r="BA229" s="89"/>
    </row>
    <row r="230" spans="3:53"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  <c r="BA230" s="89"/>
    </row>
    <row r="231" spans="3:53"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</row>
    <row r="232" spans="3:53"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</row>
    <row r="233" spans="3:53"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</row>
    <row r="234" spans="3:53"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</row>
    <row r="235" spans="3:53"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  <c r="BA235" s="89"/>
    </row>
    <row r="236" spans="3:53"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  <c r="BA236" s="89"/>
    </row>
    <row r="237" spans="3:53"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</row>
    <row r="238" spans="3:53"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</row>
    <row r="239" spans="3:53"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</row>
    <row r="240" spans="3:53"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</row>
    <row r="241" spans="3:53"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</row>
    <row r="242" spans="3:53"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  <c r="AX242" s="89"/>
      <c r="AY242" s="89"/>
      <c r="AZ242" s="89"/>
      <c r="BA242" s="89"/>
    </row>
    <row r="243" spans="3:53"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  <c r="BA243" s="89"/>
    </row>
    <row r="244" spans="3:53"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  <c r="AV244" s="89"/>
      <c r="AW244" s="89"/>
      <c r="AX244" s="89"/>
      <c r="AY244" s="89"/>
      <c r="AZ244" s="89"/>
      <c r="BA244" s="89"/>
    </row>
    <row r="245" spans="3:53"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  <c r="AV245" s="89"/>
      <c r="AW245" s="89"/>
      <c r="AX245" s="89"/>
      <c r="AY245" s="89"/>
      <c r="AZ245" s="89"/>
      <c r="BA245" s="89"/>
    </row>
    <row r="246" spans="3:53"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  <c r="AV246" s="89"/>
      <c r="AW246" s="89"/>
      <c r="AX246" s="89"/>
      <c r="AY246" s="89"/>
      <c r="AZ246" s="89"/>
      <c r="BA246" s="89"/>
    </row>
    <row r="247" spans="3:53"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  <c r="AV247" s="89"/>
      <c r="AW247" s="89"/>
      <c r="AX247" s="89"/>
      <c r="AY247" s="89"/>
      <c r="AZ247" s="89"/>
      <c r="BA247" s="89"/>
    </row>
    <row r="248" spans="3:53"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  <c r="AV248" s="89"/>
      <c r="AW248" s="89"/>
      <c r="AX248" s="89"/>
      <c r="AY248" s="89"/>
      <c r="AZ248" s="89"/>
      <c r="BA248" s="89"/>
    </row>
    <row r="249" spans="3:53"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  <c r="AV249" s="89"/>
      <c r="AW249" s="89"/>
      <c r="AX249" s="89"/>
      <c r="AY249" s="89"/>
      <c r="AZ249" s="89"/>
      <c r="BA249" s="89"/>
    </row>
    <row r="250" spans="3:53"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</row>
    <row r="251" spans="3:53"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  <c r="AV251" s="89"/>
      <c r="AW251" s="89"/>
      <c r="AX251" s="89"/>
      <c r="AY251" s="89"/>
      <c r="AZ251" s="89"/>
      <c r="BA251" s="89"/>
    </row>
    <row r="252" spans="3:53"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  <c r="BA252" s="89"/>
    </row>
    <row r="253" spans="3:53"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  <c r="AV253" s="89"/>
      <c r="AW253" s="89"/>
      <c r="AX253" s="89"/>
      <c r="AY253" s="89"/>
      <c r="AZ253" s="89"/>
      <c r="BA253" s="89"/>
    </row>
    <row r="254" spans="3:53"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  <c r="AV254" s="89"/>
      <c r="AW254" s="89"/>
      <c r="AX254" s="89"/>
      <c r="AY254" s="89"/>
      <c r="AZ254" s="89"/>
      <c r="BA254" s="89"/>
    </row>
    <row r="255" spans="3:53"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  <c r="AV255" s="89"/>
      <c r="AW255" s="89"/>
      <c r="AX255" s="89"/>
      <c r="AY255" s="89"/>
      <c r="AZ255" s="89"/>
      <c r="BA255" s="89"/>
    </row>
    <row r="256" spans="3:53"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  <c r="AV256" s="89"/>
      <c r="AW256" s="89"/>
      <c r="AX256" s="89"/>
      <c r="AY256" s="89"/>
      <c r="AZ256" s="89"/>
      <c r="BA256" s="89"/>
    </row>
    <row r="257" spans="3:53"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  <c r="AV257" s="89"/>
      <c r="AW257" s="89"/>
      <c r="AX257" s="89"/>
      <c r="AY257" s="89"/>
      <c r="AZ257" s="89"/>
      <c r="BA257" s="89"/>
    </row>
    <row r="258" spans="3:53"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</row>
    <row r="259" spans="3:53"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</row>
    <row r="260" spans="3:53"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</row>
    <row r="261" spans="3:53"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</row>
    <row r="262" spans="3:53"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</row>
    <row r="263" spans="3:53"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</row>
    <row r="264" spans="3:53"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</row>
    <row r="265" spans="3:53"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</row>
    <row r="266" spans="3:53"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</row>
    <row r="267" spans="3:53"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</row>
    <row r="268" spans="3:53"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  <c r="AR268" s="89"/>
      <c r="AS268" s="89"/>
      <c r="AT268" s="89"/>
      <c r="AU268" s="89"/>
      <c r="AV268" s="89"/>
      <c r="AW268" s="89"/>
      <c r="AX268" s="89"/>
      <c r="AY268" s="89"/>
      <c r="AZ268" s="89"/>
      <c r="BA268" s="89"/>
    </row>
    <row r="269" spans="3:53"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  <c r="AI269" s="89"/>
      <c r="AJ269" s="89"/>
      <c r="AK269" s="89"/>
      <c r="AL269" s="89"/>
      <c r="AM269" s="89"/>
      <c r="AN269" s="89"/>
      <c r="AO269" s="89"/>
      <c r="AP269" s="89"/>
      <c r="AQ269" s="89"/>
      <c r="AR269" s="89"/>
      <c r="AS269" s="89"/>
      <c r="AT269" s="89"/>
      <c r="AU269" s="89"/>
      <c r="AV269" s="89"/>
      <c r="AW269" s="89"/>
      <c r="AX269" s="89"/>
      <c r="AY269" s="89"/>
      <c r="AZ269" s="89"/>
      <c r="BA269" s="89"/>
    </row>
    <row r="270" spans="3:53"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  <c r="AI270" s="89"/>
      <c r="AJ270" s="89"/>
      <c r="AK270" s="89"/>
      <c r="AL270" s="89"/>
      <c r="AM270" s="89"/>
      <c r="AN270" s="89"/>
      <c r="AO270" s="89"/>
      <c r="AP270" s="89"/>
      <c r="AQ270" s="89"/>
      <c r="AR270" s="89"/>
      <c r="AS270" s="89"/>
      <c r="AT270" s="89"/>
      <c r="AU270" s="89"/>
      <c r="AV270" s="89"/>
      <c r="AW270" s="89"/>
      <c r="AX270" s="89"/>
      <c r="AY270" s="89"/>
      <c r="AZ270" s="89"/>
      <c r="BA270" s="89"/>
    </row>
    <row r="271" spans="3:53"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89"/>
      <c r="AV271" s="89"/>
      <c r="AW271" s="89"/>
      <c r="AX271" s="89"/>
      <c r="AY271" s="89"/>
      <c r="AZ271" s="89"/>
      <c r="BA271" s="89"/>
    </row>
    <row r="272" spans="3:53"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  <c r="AJ272" s="89"/>
      <c r="AK272" s="89"/>
      <c r="AL272" s="89"/>
      <c r="AM272" s="89"/>
      <c r="AN272" s="89"/>
      <c r="AO272" s="89"/>
      <c r="AP272" s="89"/>
      <c r="AQ272" s="89"/>
      <c r="AR272" s="89"/>
      <c r="AS272" s="89"/>
      <c r="AT272" s="89"/>
      <c r="AU272" s="89"/>
      <c r="AV272" s="89"/>
      <c r="AW272" s="89"/>
      <c r="AX272" s="89"/>
      <c r="AY272" s="89"/>
      <c r="AZ272" s="89"/>
      <c r="BA272" s="89"/>
    </row>
    <row r="273" spans="3:53"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  <c r="AR273" s="89"/>
      <c r="AS273" s="89"/>
      <c r="AT273" s="89"/>
      <c r="AU273" s="89"/>
      <c r="AV273" s="89"/>
      <c r="AW273" s="89"/>
      <c r="AX273" s="89"/>
      <c r="AY273" s="89"/>
      <c r="AZ273" s="89"/>
      <c r="BA273" s="89"/>
    </row>
    <row r="274" spans="3:53"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  <c r="BA274" s="89"/>
    </row>
    <row r="275" spans="3:53"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  <c r="AR275" s="89"/>
      <c r="AS275" s="89"/>
      <c r="AT275" s="89"/>
      <c r="AU275" s="89"/>
      <c r="AV275" s="89"/>
      <c r="AW275" s="89"/>
      <c r="AX275" s="89"/>
      <c r="AY275" s="89"/>
      <c r="AZ275" s="89"/>
      <c r="BA275" s="89"/>
    </row>
    <row r="276" spans="3:53"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89"/>
      <c r="AG276" s="89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  <c r="AR276" s="89"/>
      <c r="AS276" s="89"/>
      <c r="AT276" s="89"/>
      <c r="AU276" s="89"/>
      <c r="AV276" s="89"/>
      <c r="AW276" s="89"/>
      <c r="AX276" s="89"/>
      <c r="AY276" s="89"/>
      <c r="AZ276" s="89"/>
      <c r="BA276" s="89"/>
    </row>
    <row r="277" spans="3:53"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  <c r="AU277" s="89"/>
      <c r="AV277" s="89"/>
      <c r="AW277" s="89"/>
      <c r="AX277" s="89"/>
      <c r="AY277" s="89"/>
      <c r="AZ277" s="89"/>
      <c r="BA277" s="89"/>
    </row>
    <row r="278" spans="3:53"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</row>
    <row r="279" spans="3:53"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  <c r="AV279" s="89"/>
      <c r="AW279" s="89"/>
      <c r="AX279" s="89"/>
      <c r="AY279" s="89"/>
      <c r="AZ279" s="89"/>
      <c r="BA279" s="89"/>
    </row>
    <row r="280" spans="3:53"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  <c r="AV280" s="89"/>
      <c r="AW280" s="89"/>
      <c r="AX280" s="89"/>
      <c r="AY280" s="89"/>
      <c r="AZ280" s="89"/>
      <c r="BA280" s="89"/>
    </row>
    <row r="281" spans="3:53"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  <c r="AV281" s="89"/>
      <c r="AW281" s="89"/>
      <c r="AX281" s="89"/>
      <c r="AY281" s="89"/>
      <c r="AZ281" s="89"/>
      <c r="BA281" s="89"/>
    </row>
    <row r="282" spans="3:53"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  <c r="AV282" s="89"/>
      <c r="AW282" s="89"/>
      <c r="AX282" s="89"/>
      <c r="AY282" s="89"/>
      <c r="AZ282" s="89"/>
      <c r="BA282" s="89"/>
    </row>
    <row r="283" spans="3:53"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  <c r="AV283" s="89"/>
      <c r="AW283" s="89"/>
      <c r="AX283" s="89"/>
      <c r="AY283" s="89"/>
      <c r="AZ283" s="89"/>
      <c r="BA283" s="89"/>
    </row>
    <row r="284" spans="3:53"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</row>
    <row r="285" spans="3:53"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</row>
    <row r="286" spans="3:53"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</row>
    <row r="287" spans="3:53"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</row>
    <row r="288" spans="3:53"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</row>
    <row r="289" spans="3:53"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</row>
    <row r="290" spans="3:53"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9"/>
      <c r="AD290" s="89"/>
      <c r="AE290" s="89"/>
      <c r="AF290" s="89"/>
      <c r="AG290" s="89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89"/>
      <c r="AS290" s="89"/>
      <c r="AT290" s="89"/>
      <c r="AU290" s="89"/>
      <c r="AV290" s="89"/>
      <c r="AW290" s="89"/>
      <c r="AX290" s="89"/>
      <c r="AY290" s="89"/>
      <c r="AZ290" s="89"/>
      <c r="BA290" s="89"/>
    </row>
    <row r="291" spans="3:53"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</row>
    <row r="292" spans="3:53"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</row>
    <row r="293" spans="3:53"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</row>
    <row r="294" spans="3:53"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</row>
    <row r="295" spans="3:53"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</row>
    <row r="296" spans="3:53"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</row>
    <row r="297" spans="3:53"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  <c r="AD297" s="89"/>
      <c r="AE297" s="89"/>
      <c r="AF297" s="89"/>
      <c r="AG297" s="89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  <c r="AV297" s="89"/>
      <c r="AW297" s="89"/>
      <c r="AX297" s="89"/>
      <c r="AY297" s="89"/>
      <c r="AZ297" s="89"/>
      <c r="BA297" s="89"/>
    </row>
    <row r="298" spans="3:53"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</row>
    <row r="299" spans="3:53"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</row>
    <row r="300" spans="3:53"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</row>
    <row r="301" spans="3:53"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</row>
    <row r="302" spans="3:53"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</row>
    <row r="303" spans="3:53"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</row>
    <row r="304" spans="3:53"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89"/>
      <c r="AF304" s="89"/>
      <c r="AG304" s="89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  <c r="AV304" s="89"/>
      <c r="AW304" s="89"/>
      <c r="AX304" s="89"/>
      <c r="AY304" s="89"/>
      <c r="AZ304" s="89"/>
      <c r="BA304" s="89"/>
    </row>
    <row r="305" spans="3:53"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</row>
    <row r="306" spans="3:53"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</row>
    <row r="307" spans="3:53"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</row>
    <row r="308" spans="3:53"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</row>
    <row r="309" spans="3:53"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89"/>
      <c r="AX309" s="89"/>
      <c r="AY309" s="89"/>
      <c r="AZ309" s="89"/>
      <c r="BA309" s="89"/>
    </row>
    <row r="310" spans="3:53"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  <c r="AV310" s="89"/>
      <c r="AW310" s="89"/>
      <c r="AX310" s="89"/>
      <c r="AY310" s="89"/>
      <c r="AZ310" s="89"/>
      <c r="BA310" s="89"/>
    </row>
    <row r="311" spans="3:53"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</row>
    <row r="312" spans="3:53"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</row>
    <row r="313" spans="3:53"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</row>
    <row r="314" spans="3:53"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</row>
    <row r="315" spans="3:53"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  <c r="AV315" s="89"/>
      <c r="AW315" s="89"/>
      <c r="AX315" s="89"/>
      <c r="AY315" s="89"/>
      <c r="AZ315" s="89"/>
      <c r="BA315" s="89"/>
    </row>
    <row r="316" spans="3:53"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C316" s="89"/>
      <c r="AD316" s="89"/>
      <c r="AE316" s="89"/>
      <c r="AF316" s="89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  <c r="AV316" s="89"/>
      <c r="AW316" s="89"/>
      <c r="AX316" s="89"/>
      <c r="AY316" s="89"/>
      <c r="AZ316" s="89"/>
      <c r="BA316" s="89"/>
    </row>
    <row r="317" spans="3:53"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89"/>
      <c r="AS317" s="89"/>
      <c r="AT317" s="89"/>
      <c r="AU317" s="89"/>
      <c r="AV317" s="89"/>
      <c r="AW317" s="89"/>
      <c r="AX317" s="89"/>
      <c r="AY317" s="89"/>
      <c r="AZ317" s="89"/>
      <c r="BA317" s="89"/>
    </row>
    <row r="318" spans="3:53"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</row>
    <row r="319" spans="3:53"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</row>
    <row r="320" spans="3:53"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</row>
    <row r="321" spans="3:53"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</row>
    <row r="322" spans="3:53"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89"/>
      <c r="AS322" s="89"/>
      <c r="AT322" s="89"/>
      <c r="AU322" s="89"/>
      <c r="AV322" s="89"/>
      <c r="AW322" s="89"/>
      <c r="AX322" s="89"/>
      <c r="AY322" s="89"/>
      <c r="AZ322" s="89"/>
      <c r="BA322" s="89"/>
    </row>
    <row r="323" spans="3:53"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89"/>
      <c r="AS323" s="89"/>
      <c r="AT323" s="89"/>
      <c r="AU323" s="89"/>
      <c r="AV323" s="89"/>
      <c r="AW323" s="89"/>
      <c r="AX323" s="89"/>
      <c r="AY323" s="89"/>
      <c r="AZ323" s="89"/>
      <c r="BA323" s="89"/>
    </row>
    <row r="324" spans="3:53"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89"/>
      <c r="AS324" s="89"/>
      <c r="AT324" s="89"/>
      <c r="AU324" s="89"/>
      <c r="AV324" s="89"/>
      <c r="AW324" s="89"/>
      <c r="AX324" s="89"/>
      <c r="AY324" s="89"/>
      <c r="AZ324" s="89"/>
      <c r="BA324" s="89"/>
    </row>
    <row r="325" spans="3:53"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</row>
    <row r="326" spans="3:53"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</row>
    <row r="327" spans="3:53"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</row>
    <row r="328" spans="3:53"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</row>
    <row r="329" spans="3:53"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89"/>
      <c r="AS329" s="89"/>
      <c r="AT329" s="89"/>
      <c r="AU329" s="89"/>
      <c r="AV329" s="89"/>
      <c r="AW329" s="89"/>
      <c r="AX329" s="89"/>
      <c r="AY329" s="89"/>
      <c r="AZ329" s="89"/>
      <c r="BA329" s="89"/>
    </row>
    <row r="330" spans="3:53"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  <c r="AF330" s="89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89"/>
      <c r="AS330" s="89"/>
      <c r="AT330" s="89"/>
      <c r="AU330" s="89"/>
      <c r="AV330" s="89"/>
      <c r="AW330" s="89"/>
      <c r="AX330" s="89"/>
      <c r="AY330" s="89"/>
      <c r="AZ330" s="89"/>
      <c r="BA330" s="89"/>
    </row>
    <row r="331" spans="3:53"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89"/>
      <c r="AS331" s="89"/>
      <c r="AT331" s="89"/>
      <c r="AU331" s="89"/>
      <c r="AV331" s="89"/>
      <c r="AW331" s="89"/>
      <c r="AX331" s="89"/>
      <c r="AY331" s="89"/>
      <c r="AZ331" s="89"/>
      <c r="BA331" s="89"/>
    </row>
    <row r="332" spans="3:53"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</row>
    <row r="333" spans="3:53"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</row>
    <row r="334" spans="3:53"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</row>
    <row r="335" spans="3:53"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</row>
    <row r="336" spans="3:53"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  <c r="AV336" s="89"/>
      <c r="AW336" s="89"/>
      <c r="AX336" s="89"/>
      <c r="AY336" s="89"/>
      <c r="AZ336" s="89"/>
      <c r="BA336" s="89"/>
    </row>
    <row r="337" spans="3:53"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89"/>
      <c r="AS337" s="89"/>
      <c r="AT337" s="89"/>
      <c r="AU337" s="89"/>
      <c r="AV337" s="89"/>
      <c r="AW337" s="89"/>
      <c r="AX337" s="89"/>
      <c r="AY337" s="89"/>
      <c r="AZ337" s="89"/>
      <c r="BA337" s="89"/>
    </row>
    <row r="338" spans="3:53"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  <c r="AF338" s="89"/>
      <c r="AG338" s="89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89"/>
      <c r="AS338" s="89"/>
      <c r="AT338" s="89"/>
      <c r="AU338" s="89"/>
      <c r="AV338" s="89"/>
      <c r="AW338" s="89"/>
      <c r="AX338" s="89"/>
      <c r="AY338" s="89"/>
      <c r="AZ338" s="89"/>
      <c r="BA338" s="89"/>
    </row>
    <row r="339" spans="3:53"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</row>
    <row r="340" spans="3:53"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</row>
    <row r="341" spans="3:53"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</row>
    <row r="342" spans="3:53"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</row>
    <row r="343" spans="3:53"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</row>
    <row r="344" spans="3:53"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</row>
    <row r="345" spans="3:53"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  <c r="AI345" s="89"/>
      <c r="AJ345" s="89"/>
      <c r="AK345" s="89"/>
      <c r="AL345" s="89"/>
      <c r="AM345" s="89"/>
      <c r="AN345" s="89"/>
      <c r="AO345" s="89"/>
      <c r="AP345" s="89"/>
      <c r="AQ345" s="89"/>
      <c r="AR345" s="89"/>
      <c r="AS345" s="89"/>
      <c r="AT345" s="89"/>
      <c r="AU345" s="89"/>
      <c r="AV345" s="89"/>
      <c r="AW345" s="89"/>
      <c r="AX345" s="89"/>
      <c r="AY345" s="89"/>
      <c r="AZ345" s="89"/>
      <c r="BA345" s="89"/>
    </row>
    <row r="346" spans="3:53"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</row>
    <row r="347" spans="3:53"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</row>
    <row r="348" spans="3:53"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</row>
    <row r="349" spans="3:53"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</row>
    <row r="350" spans="3:53"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</row>
    <row r="351" spans="3:53"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</row>
    <row r="352" spans="3:53"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  <c r="AV352" s="89"/>
      <c r="AW352" s="89"/>
      <c r="AX352" s="89"/>
      <c r="AY352" s="89"/>
      <c r="AZ352" s="89"/>
      <c r="BA352" s="89"/>
    </row>
    <row r="353" spans="3:53"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</row>
    <row r="354" spans="3:53"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</row>
    <row r="355" spans="3:53"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</row>
    <row r="356" spans="3:53"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</row>
    <row r="357" spans="3:53"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</row>
    <row r="358" spans="3:53"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</row>
    <row r="359" spans="3:53"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  <c r="AV359" s="89"/>
      <c r="AW359" s="89"/>
      <c r="AX359" s="89"/>
      <c r="AY359" s="89"/>
      <c r="AZ359" s="89"/>
      <c r="BA359" s="89"/>
    </row>
    <row r="360" spans="3:53"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</row>
    <row r="361" spans="3:53"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</row>
    <row r="362" spans="3:53"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</row>
    <row r="363" spans="3:53"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</row>
    <row r="364" spans="3:53"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  <c r="AV364" s="89"/>
      <c r="AW364" s="89"/>
      <c r="AX364" s="89"/>
      <c r="AY364" s="89"/>
      <c r="AZ364" s="89"/>
      <c r="BA364" s="89"/>
    </row>
    <row r="365" spans="3:53"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  <c r="AV365" s="89"/>
      <c r="AW365" s="89"/>
      <c r="AX365" s="89"/>
      <c r="AY365" s="89"/>
      <c r="AZ365" s="89"/>
      <c r="BA365" s="89"/>
    </row>
    <row r="366" spans="3:53"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</row>
    <row r="367" spans="3:53"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</row>
    <row r="368" spans="3:53"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</row>
    <row r="369" spans="3:53"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</row>
    <row r="370" spans="3:53"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  <c r="AV370" s="89"/>
      <c r="AW370" s="89"/>
      <c r="AX370" s="89"/>
      <c r="AY370" s="89"/>
      <c r="AZ370" s="89"/>
      <c r="BA370" s="89"/>
    </row>
    <row r="371" spans="3:53"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  <c r="AV371" s="89"/>
      <c r="AW371" s="89"/>
      <c r="AX371" s="89"/>
      <c r="AY371" s="89"/>
      <c r="AZ371" s="89"/>
      <c r="BA371" s="89"/>
    </row>
    <row r="372" spans="3:53"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  <c r="AV372" s="89"/>
      <c r="AW372" s="89"/>
      <c r="AX372" s="89"/>
      <c r="AY372" s="89"/>
      <c r="AZ372" s="89"/>
      <c r="BA372" s="89"/>
    </row>
    <row r="373" spans="3:53"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</row>
    <row r="374" spans="3:53"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</row>
    <row r="375" spans="3:53"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</row>
    <row r="376" spans="3:53"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</row>
    <row r="377" spans="3:53"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  <c r="AU377" s="89"/>
      <c r="AV377" s="89"/>
      <c r="AW377" s="89"/>
      <c r="AX377" s="89"/>
      <c r="AY377" s="89"/>
      <c r="AZ377" s="89"/>
      <c r="BA377" s="89"/>
    </row>
    <row r="378" spans="3:53"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  <c r="AV378" s="89"/>
      <c r="AW378" s="89"/>
      <c r="AX378" s="89"/>
      <c r="AY378" s="89"/>
      <c r="AZ378" s="89"/>
      <c r="BA378" s="89"/>
    </row>
    <row r="379" spans="3:53"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  <c r="AV379" s="89"/>
      <c r="AW379" s="89"/>
      <c r="AX379" s="89"/>
      <c r="AY379" s="89"/>
      <c r="AZ379" s="89"/>
      <c r="BA379" s="89"/>
    </row>
    <row r="380" spans="3:53"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</row>
    <row r="381" spans="3:53"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</row>
    <row r="382" spans="3:53"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</row>
    <row r="383" spans="3:53"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</row>
    <row r="384" spans="3:53"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  <c r="BA384" s="89"/>
    </row>
    <row r="385" spans="3:53"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  <c r="AV385" s="89"/>
      <c r="AW385" s="89"/>
      <c r="AX385" s="89"/>
      <c r="AY385" s="89"/>
      <c r="AZ385" s="89"/>
      <c r="BA385" s="89"/>
    </row>
    <row r="386" spans="3:53"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  <c r="AV386" s="89"/>
      <c r="AW386" s="89"/>
      <c r="AX386" s="89"/>
      <c r="AY386" s="89"/>
      <c r="AZ386" s="89"/>
      <c r="BA386" s="89"/>
    </row>
    <row r="387" spans="3:53"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</row>
    <row r="388" spans="3:53"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</row>
    <row r="389" spans="3:53"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</row>
    <row r="390" spans="3:53"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</row>
    <row r="391" spans="3:53"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  <c r="AV391" s="89"/>
      <c r="AW391" s="89"/>
      <c r="AX391" s="89"/>
      <c r="AY391" s="89"/>
      <c r="AZ391" s="89"/>
      <c r="BA391" s="89"/>
    </row>
    <row r="392" spans="3:53"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  <c r="AV392" s="89"/>
      <c r="AW392" s="89"/>
      <c r="AX392" s="89"/>
      <c r="AY392" s="89"/>
      <c r="AZ392" s="89"/>
      <c r="BA392" s="89"/>
    </row>
    <row r="393" spans="3:53"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  <c r="AU393" s="89"/>
      <c r="AV393" s="89"/>
      <c r="AW393" s="89"/>
      <c r="AX393" s="89"/>
      <c r="AY393" s="89"/>
      <c r="AZ393" s="89"/>
      <c r="BA393" s="89"/>
    </row>
    <row r="394" spans="3:53"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  <c r="AV394" s="89"/>
      <c r="AW394" s="89"/>
      <c r="AX394" s="89"/>
      <c r="AY394" s="89"/>
      <c r="AZ394" s="89"/>
      <c r="BA394" s="89"/>
    </row>
    <row r="395" spans="3:53"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  <c r="AV395" s="89"/>
      <c r="AW395" s="89"/>
      <c r="AX395" s="89"/>
      <c r="AY395" s="89"/>
      <c r="AZ395" s="89"/>
      <c r="BA395" s="89"/>
    </row>
    <row r="396" spans="3:53"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  <c r="AU396" s="89"/>
      <c r="AV396" s="89"/>
      <c r="AW396" s="89"/>
      <c r="AX396" s="89"/>
      <c r="AY396" s="89"/>
      <c r="AZ396" s="89"/>
      <c r="BA396" s="89"/>
    </row>
    <row r="397" spans="3:53"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  <c r="AV397" s="89"/>
      <c r="AW397" s="89"/>
      <c r="AX397" s="89"/>
      <c r="AY397" s="89"/>
      <c r="AZ397" s="89"/>
      <c r="BA397" s="89"/>
    </row>
    <row r="398" spans="3:53"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  <c r="AU398" s="89"/>
      <c r="AV398" s="89"/>
      <c r="AW398" s="89"/>
      <c r="AX398" s="89"/>
      <c r="AY398" s="89"/>
      <c r="AZ398" s="89"/>
      <c r="BA398" s="89"/>
    </row>
    <row r="399" spans="3:53"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  <c r="AU399" s="89"/>
      <c r="AV399" s="89"/>
      <c r="AW399" s="89"/>
      <c r="AX399" s="89"/>
      <c r="AY399" s="89"/>
      <c r="AZ399" s="89"/>
      <c r="BA399" s="89"/>
    </row>
    <row r="400" spans="3:53"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  <c r="AU400" s="89"/>
      <c r="AV400" s="89"/>
      <c r="AW400" s="89"/>
      <c r="AX400" s="89"/>
      <c r="AY400" s="89"/>
      <c r="AZ400" s="89"/>
      <c r="BA400" s="89"/>
    </row>
    <row r="401" spans="3:53"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  <c r="AU401" s="89"/>
      <c r="AV401" s="89"/>
      <c r="AW401" s="89"/>
      <c r="AX401" s="89"/>
      <c r="AY401" s="89"/>
      <c r="AZ401" s="89"/>
      <c r="BA401" s="89"/>
    </row>
    <row r="402" spans="3:53"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  <c r="AV402" s="89"/>
      <c r="AW402" s="89"/>
      <c r="AX402" s="89"/>
      <c r="AY402" s="89"/>
      <c r="AZ402" s="89"/>
      <c r="BA402" s="89"/>
    </row>
    <row r="403" spans="3:53"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  <c r="AV403" s="89"/>
      <c r="AW403" s="89"/>
      <c r="AX403" s="89"/>
      <c r="AY403" s="89"/>
      <c r="AZ403" s="89"/>
      <c r="BA403" s="89"/>
    </row>
    <row r="404" spans="3:53"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  <c r="AU404" s="89"/>
      <c r="AV404" s="89"/>
      <c r="AW404" s="89"/>
      <c r="AX404" s="89"/>
      <c r="AY404" s="89"/>
      <c r="AZ404" s="89"/>
      <c r="BA404" s="89"/>
    </row>
    <row r="405" spans="3:53"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  <c r="AV405" s="89"/>
      <c r="AW405" s="89"/>
      <c r="AX405" s="89"/>
      <c r="AY405" s="89"/>
      <c r="AZ405" s="89"/>
      <c r="BA405" s="89"/>
    </row>
    <row r="406" spans="3:53"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  <c r="AU406" s="89"/>
      <c r="AV406" s="89"/>
      <c r="AW406" s="89"/>
      <c r="AX406" s="89"/>
      <c r="AY406" s="89"/>
      <c r="AZ406" s="89"/>
      <c r="BA406" s="89"/>
    </row>
    <row r="407" spans="3:53"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  <c r="AV407" s="89"/>
      <c r="AW407" s="89"/>
      <c r="AX407" s="89"/>
      <c r="AY407" s="89"/>
      <c r="AZ407" s="89"/>
      <c r="BA407" s="89"/>
    </row>
    <row r="408" spans="3:53"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  <c r="AU408" s="89"/>
      <c r="AV408" s="89"/>
      <c r="AW408" s="89"/>
      <c r="AX408" s="89"/>
      <c r="AY408" s="89"/>
      <c r="AZ408" s="89"/>
      <c r="BA408" s="89"/>
    </row>
    <row r="409" spans="3:53"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  <c r="AV409" s="89"/>
      <c r="AW409" s="89"/>
      <c r="AX409" s="89"/>
      <c r="AY409" s="89"/>
      <c r="AZ409" s="89"/>
      <c r="BA409" s="89"/>
    </row>
    <row r="410" spans="3:53"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  <c r="AV410" s="89"/>
      <c r="AW410" s="89"/>
      <c r="AX410" s="89"/>
      <c r="AY410" s="89"/>
      <c r="AZ410" s="89"/>
      <c r="BA410" s="89"/>
    </row>
    <row r="411" spans="3:53"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  <c r="AV411" s="89"/>
      <c r="AW411" s="89"/>
      <c r="AX411" s="89"/>
      <c r="AY411" s="89"/>
      <c r="AZ411" s="89"/>
      <c r="BA411" s="89"/>
    </row>
    <row r="412" spans="3:53"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  <c r="AV412" s="89"/>
      <c r="AW412" s="89"/>
      <c r="AX412" s="89"/>
      <c r="AY412" s="89"/>
      <c r="AZ412" s="89"/>
      <c r="BA412" s="89"/>
    </row>
    <row r="413" spans="3:53"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  <c r="AV413" s="89"/>
      <c r="AW413" s="89"/>
      <c r="AX413" s="89"/>
      <c r="AY413" s="89"/>
      <c r="AZ413" s="89"/>
      <c r="BA413" s="89"/>
    </row>
    <row r="414" spans="3:53"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  <c r="AU414" s="89"/>
      <c r="AV414" s="89"/>
      <c r="AW414" s="89"/>
      <c r="AX414" s="89"/>
      <c r="AY414" s="89"/>
      <c r="AZ414" s="89"/>
      <c r="BA414" s="89"/>
    </row>
    <row r="415" spans="3:53"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  <c r="AV415" s="89"/>
      <c r="AW415" s="89"/>
      <c r="AX415" s="89"/>
      <c r="AY415" s="89"/>
      <c r="AZ415" s="89"/>
      <c r="BA415" s="89"/>
    </row>
    <row r="416" spans="3:53"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  <c r="AV416" s="89"/>
      <c r="AW416" s="89"/>
      <c r="AX416" s="89"/>
      <c r="AY416" s="89"/>
      <c r="AZ416" s="89"/>
      <c r="BA416" s="89"/>
    </row>
    <row r="417" spans="3:53"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  <c r="AV417" s="89"/>
      <c r="AW417" s="89"/>
      <c r="AX417" s="89"/>
      <c r="AY417" s="89"/>
      <c r="AZ417" s="89"/>
      <c r="BA417" s="89"/>
    </row>
    <row r="418" spans="3:53"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  <c r="AV418" s="89"/>
      <c r="AW418" s="89"/>
      <c r="AX418" s="89"/>
      <c r="AY418" s="89"/>
      <c r="AZ418" s="89"/>
      <c r="BA418" s="89"/>
    </row>
    <row r="419" spans="3:53"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  <c r="AV419" s="89"/>
      <c r="AW419" s="89"/>
      <c r="AX419" s="89"/>
      <c r="AY419" s="89"/>
      <c r="AZ419" s="89"/>
      <c r="BA419" s="89"/>
    </row>
    <row r="420" spans="3:53"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  <c r="AU420" s="89"/>
      <c r="AV420" s="89"/>
      <c r="AW420" s="89"/>
      <c r="AX420" s="89"/>
      <c r="AY420" s="89"/>
      <c r="AZ420" s="89"/>
      <c r="BA420" s="89"/>
    </row>
    <row r="421" spans="3:53"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  <c r="AV421" s="89"/>
      <c r="AW421" s="89"/>
      <c r="AX421" s="89"/>
      <c r="AY421" s="89"/>
      <c r="AZ421" s="89"/>
      <c r="BA421" s="89"/>
    </row>
    <row r="422" spans="3:53"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  <c r="AV422" s="89"/>
      <c r="AW422" s="89"/>
      <c r="AX422" s="89"/>
      <c r="AY422" s="89"/>
      <c r="AZ422" s="89"/>
      <c r="BA422" s="89"/>
    </row>
    <row r="423" spans="3:53"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  <c r="AV423" s="89"/>
      <c r="AW423" s="89"/>
      <c r="AX423" s="89"/>
      <c r="AY423" s="89"/>
      <c r="AZ423" s="89"/>
      <c r="BA423" s="89"/>
    </row>
    <row r="424" spans="3:53"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  <c r="AV424" s="89"/>
      <c r="AW424" s="89"/>
      <c r="AX424" s="89"/>
      <c r="AY424" s="89"/>
      <c r="AZ424" s="89"/>
      <c r="BA424" s="89"/>
    </row>
    <row r="425" spans="3:53"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  <c r="AV425" s="89"/>
      <c r="AW425" s="89"/>
      <c r="AX425" s="89"/>
      <c r="AY425" s="89"/>
      <c r="AZ425" s="89"/>
      <c r="BA425" s="89"/>
    </row>
    <row r="426" spans="3:53"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89"/>
      <c r="AV426" s="89"/>
      <c r="AW426" s="89"/>
      <c r="AX426" s="89"/>
      <c r="AY426" s="89"/>
      <c r="AZ426" s="89"/>
      <c r="BA426" s="89"/>
    </row>
    <row r="427" spans="3:53"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  <c r="AU427" s="89"/>
      <c r="AV427" s="89"/>
      <c r="AW427" s="89"/>
      <c r="AX427" s="89"/>
      <c r="AY427" s="89"/>
      <c r="AZ427" s="89"/>
      <c r="BA427" s="89"/>
    </row>
    <row r="428" spans="3:53"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  <c r="AV428" s="89"/>
      <c r="AW428" s="89"/>
      <c r="AX428" s="89"/>
      <c r="AY428" s="89"/>
      <c r="AZ428" s="89"/>
      <c r="BA428" s="89"/>
    </row>
    <row r="429" spans="3:53"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  <c r="AV429" s="89"/>
      <c r="AW429" s="89"/>
      <c r="AX429" s="89"/>
      <c r="AY429" s="89"/>
      <c r="AZ429" s="89"/>
      <c r="BA429" s="89"/>
    </row>
    <row r="430" spans="3:53"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  <c r="AV430" s="89"/>
      <c r="AW430" s="89"/>
      <c r="AX430" s="89"/>
      <c r="AY430" s="89"/>
      <c r="AZ430" s="89"/>
      <c r="BA430" s="89"/>
    </row>
    <row r="431" spans="3:53"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  <c r="AU431" s="89"/>
      <c r="AV431" s="89"/>
      <c r="AW431" s="89"/>
      <c r="AX431" s="89"/>
      <c r="AY431" s="89"/>
      <c r="AZ431" s="89"/>
      <c r="BA431" s="89"/>
    </row>
    <row r="432" spans="3:53"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  <c r="AU432" s="89"/>
      <c r="AV432" s="89"/>
      <c r="AW432" s="89"/>
      <c r="AX432" s="89"/>
      <c r="AY432" s="89"/>
      <c r="AZ432" s="89"/>
      <c r="BA432" s="89"/>
    </row>
    <row r="433" spans="3:53"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  <c r="AU433" s="89"/>
      <c r="AV433" s="89"/>
      <c r="AW433" s="89"/>
      <c r="AX433" s="89"/>
      <c r="AY433" s="89"/>
      <c r="AZ433" s="89"/>
      <c r="BA433" s="89"/>
    </row>
    <row r="434" spans="3:53"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  <c r="AU434" s="89"/>
      <c r="AV434" s="89"/>
      <c r="AW434" s="89"/>
      <c r="AX434" s="89"/>
      <c r="AY434" s="89"/>
      <c r="AZ434" s="89"/>
      <c r="BA434" s="89"/>
    </row>
    <row r="435" spans="3:53"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  <c r="AU435" s="89"/>
      <c r="AV435" s="89"/>
      <c r="AW435" s="89"/>
      <c r="AX435" s="89"/>
      <c r="AY435" s="89"/>
      <c r="AZ435" s="89"/>
      <c r="BA435" s="89"/>
    </row>
    <row r="436" spans="3:53"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  <c r="AU436" s="89"/>
      <c r="AV436" s="89"/>
      <c r="AW436" s="89"/>
      <c r="AX436" s="89"/>
      <c r="AY436" s="89"/>
      <c r="AZ436" s="89"/>
      <c r="BA436" s="89"/>
    </row>
    <row r="437" spans="3:53"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  <c r="AU437" s="89"/>
      <c r="AV437" s="89"/>
      <c r="AW437" s="89"/>
      <c r="AX437" s="89"/>
      <c r="AY437" s="89"/>
      <c r="AZ437" s="89"/>
      <c r="BA437" s="89"/>
    </row>
    <row r="438" spans="3:53"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  <c r="AV438" s="89"/>
      <c r="AW438" s="89"/>
      <c r="AX438" s="89"/>
      <c r="AY438" s="89"/>
      <c r="AZ438" s="89"/>
      <c r="BA438" s="89"/>
    </row>
    <row r="439" spans="3:53"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  <c r="AV439" s="89"/>
      <c r="AW439" s="89"/>
      <c r="AX439" s="89"/>
      <c r="AY439" s="89"/>
      <c r="AZ439" s="89"/>
      <c r="BA439" s="89"/>
    </row>
    <row r="440" spans="3:53"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  <c r="AV440" s="89"/>
      <c r="AW440" s="89"/>
      <c r="AX440" s="89"/>
      <c r="AY440" s="89"/>
      <c r="AZ440" s="89"/>
      <c r="BA440" s="89"/>
    </row>
    <row r="441" spans="3:53"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  <c r="AV441" s="89"/>
      <c r="AW441" s="89"/>
      <c r="AX441" s="89"/>
      <c r="AY441" s="89"/>
      <c r="AZ441" s="89"/>
      <c r="BA441" s="89"/>
    </row>
    <row r="442" spans="3:53"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  <c r="AV442" s="89"/>
      <c r="AW442" s="89"/>
      <c r="AX442" s="89"/>
      <c r="AY442" s="89"/>
      <c r="AZ442" s="89"/>
      <c r="BA442" s="89"/>
    </row>
    <row r="443" spans="3:53"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  <c r="AV443" s="89"/>
      <c r="AW443" s="89"/>
      <c r="AX443" s="89"/>
      <c r="AY443" s="89"/>
      <c r="AZ443" s="89"/>
      <c r="BA443" s="89"/>
    </row>
    <row r="444" spans="3:53"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  <c r="AU444" s="89"/>
      <c r="AV444" s="89"/>
      <c r="AW444" s="89"/>
      <c r="AX444" s="89"/>
      <c r="AY444" s="89"/>
      <c r="AZ444" s="89"/>
      <c r="BA444" s="89"/>
    </row>
    <row r="445" spans="3:53"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  <c r="AV445" s="89"/>
      <c r="AW445" s="89"/>
      <c r="AX445" s="89"/>
      <c r="AY445" s="89"/>
      <c r="AZ445" s="89"/>
      <c r="BA445" s="89"/>
    </row>
    <row r="446" spans="3:53"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  <c r="AU446" s="89"/>
      <c r="AV446" s="89"/>
      <c r="AW446" s="89"/>
      <c r="AX446" s="89"/>
      <c r="AY446" s="89"/>
      <c r="AZ446" s="89"/>
      <c r="BA446" s="89"/>
    </row>
    <row r="447" spans="3:53"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  <c r="AU447" s="89"/>
      <c r="AV447" s="89"/>
      <c r="AW447" s="89"/>
      <c r="AX447" s="89"/>
      <c r="AY447" s="89"/>
      <c r="AZ447" s="89"/>
      <c r="BA447" s="89"/>
    </row>
    <row r="448" spans="3:53"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  <c r="AU448" s="89"/>
      <c r="AV448" s="89"/>
      <c r="AW448" s="89"/>
      <c r="AX448" s="89"/>
      <c r="AY448" s="89"/>
      <c r="AZ448" s="89"/>
      <c r="BA448" s="89"/>
    </row>
    <row r="449" spans="3:53"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  <c r="AV449" s="89"/>
      <c r="AW449" s="89"/>
      <c r="AX449" s="89"/>
      <c r="AY449" s="89"/>
      <c r="AZ449" s="89"/>
      <c r="BA449" s="89"/>
    </row>
    <row r="450" spans="3:53"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  <c r="AV450" s="89"/>
      <c r="AW450" s="89"/>
      <c r="AX450" s="89"/>
      <c r="AY450" s="89"/>
      <c r="AZ450" s="89"/>
      <c r="BA450" s="89"/>
    </row>
    <row r="451" spans="3:53"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  <c r="AU451" s="89"/>
      <c r="AV451" s="89"/>
      <c r="AW451" s="89"/>
      <c r="AX451" s="89"/>
      <c r="AY451" s="89"/>
      <c r="AZ451" s="89"/>
      <c r="BA451" s="89"/>
    </row>
    <row r="452" spans="3:53"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  <c r="AV452" s="89"/>
      <c r="AW452" s="89"/>
      <c r="AX452" s="89"/>
      <c r="AY452" s="89"/>
      <c r="AZ452" s="89"/>
      <c r="BA452" s="89"/>
    </row>
    <row r="453" spans="3:53"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  <c r="AV453" s="89"/>
      <c r="AW453" s="89"/>
      <c r="AX453" s="89"/>
      <c r="AY453" s="89"/>
      <c r="AZ453" s="89"/>
      <c r="BA453" s="89"/>
    </row>
    <row r="454" spans="3:53"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  <c r="AV454" s="89"/>
      <c r="AW454" s="89"/>
      <c r="AX454" s="89"/>
      <c r="AY454" s="89"/>
      <c r="AZ454" s="89"/>
      <c r="BA454" s="89"/>
    </row>
    <row r="455" spans="3:53"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  <c r="AV455" s="89"/>
      <c r="AW455" s="89"/>
      <c r="AX455" s="89"/>
      <c r="AY455" s="89"/>
      <c r="AZ455" s="89"/>
      <c r="BA455" s="89"/>
    </row>
    <row r="456" spans="3:53"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  <c r="AV456" s="89"/>
      <c r="AW456" s="89"/>
      <c r="AX456" s="89"/>
      <c r="AY456" s="89"/>
      <c r="AZ456" s="89"/>
      <c r="BA456" s="89"/>
    </row>
    <row r="457" spans="3:53"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  <c r="AV457" s="89"/>
      <c r="AW457" s="89"/>
      <c r="AX457" s="89"/>
      <c r="AY457" s="89"/>
      <c r="AZ457" s="89"/>
      <c r="BA457" s="89"/>
    </row>
    <row r="458" spans="3:53"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  <c r="AV458" s="89"/>
      <c r="AW458" s="89"/>
      <c r="AX458" s="89"/>
      <c r="AY458" s="89"/>
      <c r="AZ458" s="89"/>
      <c r="BA458" s="89"/>
    </row>
    <row r="459" spans="3:53"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  <c r="AV459" s="89"/>
      <c r="AW459" s="89"/>
      <c r="AX459" s="89"/>
      <c r="AY459" s="89"/>
      <c r="AZ459" s="89"/>
      <c r="BA459" s="89"/>
    </row>
    <row r="460" spans="3:53"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  <c r="AV460" s="89"/>
      <c r="AW460" s="89"/>
      <c r="AX460" s="89"/>
      <c r="AY460" s="89"/>
      <c r="AZ460" s="89"/>
      <c r="BA460" s="89"/>
    </row>
    <row r="461" spans="3:53"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  <c r="AV461" s="89"/>
      <c r="AW461" s="89"/>
      <c r="AX461" s="89"/>
      <c r="AY461" s="89"/>
      <c r="AZ461" s="89"/>
      <c r="BA461" s="89"/>
    </row>
    <row r="462" spans="3:53"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  <c r="AV462" s="89"/>
      <c r="AW462" s="89"/>
      <c r="AX462" s="89"/>
      <c r="AY462" s="89"/>
      <c r="AZ462" s="89"/>
      <c r="BA462" s="89"/>
    </row>
    <row r="463" spans="3:53"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  <c r="AV463" s="89"/>
      <c r="AW463" s="89"/>
      <c r="AX463" s="89"/>
      <c r="AY463" s="89"/>
      <c r="AZ463" s="89"/>
      <c r="BA463" s="89"/>
    </row>
    <row r="464" spans="3:53"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  <c r="AV464" s="89"/>
      <c r="AW464" s="89"/>
      <c r="AX464" s="89"/>
      <c r="AY464" s="89"/>
      <c r="AZ464" s="89"/>
      <c r="BA464" s="89"/>
    </row>
    <row r="465" spans="3:53"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  <c r="AV465" s="89"/>
      <c r="AW465" s="89"/>
      <c r="AX465" s="89"/>
      <c r="AY465" s="89"/>
      <c r="AZ465" s="89"/>
      <c r="BA465" s="89"/>
    </row>
    <row r="466" spans="3:53"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  <c r="AV466" s="89"/>
      <c r="AW466" s="89"/>
      <c r="AX466" s="89"/>
      <c r="AY466" s="89"/>
      <c r="AZ466" s="89"/>
      <c r="BA466" s="89"/>
    </row>
    <row r="467" spans="3:53"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  <c r="AV467" s="89"/>
      <c r="AW467" s="89"/>
      <c r="AX467" s="89"/>
      <c r="AY467" s="89"/>
      <c r="AZ467" s="89"/>
      <c r="BA467" s="89"/>
    </row>
    <row r="468" spans="3:53"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  <c r="AU468" s="89"/>
      <c r="AV468" s="89"/>
      <c r="AW468" s="89"/>
      <c r="AX468" s="89"/>
      <c r="AY468" s="89"/>
      <c r="AZ468" s="89"/>
      <c r="BA468" s="89"/>
    </row>
    <row r="469" spans="3:53"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  <c r="AV469" s="89"/>
      <c r="AW469" s="89"/>
      <c r="AX469" s="89"/>
      <c r="AY469" s="89"/>
      <c r="AZ469" s="89"/>
      <c r="BA469" s="89"/>
    </row>
    <row r="470" spans="3:53"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  <c r="AU470" s="89"/>
      <c r="AV470" s="89"/>
      <c r="AW470" s="89"/>
      <c r="AX470" s="89"/>
      <c r="AY470" s="89"/>
      <c r="AZ470" s="89"/>
      <c r="BA470" s="89"/>
    </row>
    <row r="471" spans="3:53"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  <c r="AV471" s="89"/>
      <c r="AW471" s="89"/>
      <c r="AX471" s="89"/>
      <c r="AY471" s="89"/>
      <c r="AZ471" s="89"/>
      <c r="BA471" s="89"/>
    </row>
    <row r="472" spans="3:53"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  <c r="AV472" s="89"/>
      <c r="AW472" s="89"/>
      <c r="AX472" s="89"/>
      <c r="AY472" s="89"/>
      <c r="AZ472" s="89"/>
      <c r="BA472" s="89"/>
    </row>
    <row r="473" spans="3:53"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  <c r="AV473" s="89"/>
      <c r="AW473" s="89"/>
      <c r="AX473" s="89"/>
      <c r="AY473" s="89"/>
      <c r="AZ473" s="89"/>
      <c r="BA473" s="89"/>
    </row>
    <row r="474" spans="3:53"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  <c r="AU474" s="89"/>
      <c r="AV474" s="89"/>
      <c r="AW474" s="89"/>
      <c r="AX474" s="89"/>
      <c r="AY474" s="89"/>
      <c r="AZ474" s="89"/>
      <c r="BA474" s="89"/>
    </row>
    <row r="475" spans="3:53"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  <c r="AU475" s="89"/>
      <c r="AV475" s="89"/>
      <c r="AW475" s="89"/>
      <c r="AX475" s="89"/>
      <c r="AY475" s="89"/>
      <c r="AZ475" s="89"/>
      <c r="BA475" s="89"/>
    </row>
    <row r="476" spans="3:53"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  <c r="AN476" s="89"/>
      <c r="AO476" s="89"/>
      <c r="AP476" s="89"/>
      <c r="AQ476" s="89"/>
      <c r="AR476" s="89"/>
      <c r="AS476" s="89"/>
      <c r="AT476" s="89"/>
      <c r="AU476" s="89"/>
      <c r="AV476" s="89"/>
      <c r="AW476" s="89"/>
      <c r="AX476" s="89"/>
      <c r="AY476" s="89"/>
      <c r="AZ476" s="89"/>
      <c r="BA476" s="89"/>
    </row>
    <row r="477" spans="3:53"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89"/>
      <c r="AE477" s="89"/>
      <c r="AF477" s="89"/>
      <c r="AG477" s="89"/>
      <c r="AH477" s="89"/>
      <c r="AI477" s="89"/>
      <c r="AJ477" s="89"/>
      <c r="AK477" s="89"/>
      <c r="AL477" s="89"/>
      <c r="AM477" s="89"/>
      <c r="AN477" s="89"/>
      <c r="AO477" s="89"/>
      <c r="AP477" s="89"/>
      <c r="AQ477" s="89"/>
      <c r="AR477" s="89"/>
      <c r="AS477" s="89"/>
      <c r="AT477" s="89"/>
      <c r="AU477" s="89"/>
      <c r="AV477" s="89"/>
      <c r="AW477" s="89"/>
      <c r="AX477" s="89"/>
      <c r="AY477" s="89"/>
      <c r="AZ477" s="89"/>
      <c r="BA477" s="89"/>
    </row>
    <row r="478" spans="3:53"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89"/>
      <c r="AE478" s="89"/>
      <c r="AF478" s="89"/>
      <c r="AG478" s="89"/>
      <c r="AH478" s="89"/>
      <c r="AI478" s="89"/>
      <c r="AJ478" s="89"/>
      <c r="AK478" s="89"/>
      <c r="AL478" s="89"/>
      <c r="AM478" s="89"/>
      <c r="AN478" s="89"/>
      <c r="AO478" s="89"/>
      <c r="AP478" s="89"/>
      <c r="AQ478" s="89"/>
      <c r="AR478" s="89"/>
      <c r="AS478" s="89"/>
      <c r="AT478" s="89"/>
      <c r="AU478" s="89"/>
      <c r="AV478" s="89"/>
      <c r="AW478" s="89"/>
      <c r="AX478" s="89"/>
      <c r="AY478" s="89"/>
      <c r="AZ478" s="89"/>
      <c r="BA478" s="89"/>
    </row>
    <row r="479" spans="3:53"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  <c r="AF479" s="89"/>
      <c r="AG479" s="89"/>
      <c r="AH479" s="89"/>
      <c r="AI479" s="89"/>
      <c r="AJ479" s="89"/>
      <c r="AK479" s="89"/>
      <c r="AL479" s="89"/>
      <c r="AM479" s="89"/>
      <c r="AN479" s="89"/>
      <c r="AO479" s="89"/>
      <c r="AP479" s="89"/>
      <c r="AQ479" s="89"/>
      <c r="AR479" s="89"/>
      <c r="AS479" s="89"/>
      <c r="AT479" s="89"/>
      <c r="AU479" s="89"/>
      <c r="AV479" s="89"/>
      <c r="AW479" s="89"/>
      <c r="AX479" s="89"/>
      <c r="AY479" s="89"/>
      <c r="AZ479" s="89"/>
      <c r="BA479" s="89"/>
    </row>
    <row r="480" spans="3:53"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  <c r="AV480" s="89"/>
      <c r="AW480" s="89"/>
      <c r="AX480" s="89"/>
      <c r="AY480" s="89"/>
      <c r="AZ480" s="89"/>
      <c r="BA480" s="89"/>
    </row>
    <row r="481" spans="3:53"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89"/>
      <c r="AE481" s="89"/>
      <c r="AF481" s="89"/>
      <c r="AG481" s="89"/>
      <c r="AH481" s="89"/>
      <c r="AI481" s="89"/>
      <c r="AJ481" s="89"/>
      <c r="AK481" s="89"/>
      <c r="AL481" s="89"/>
      <c r="AM481" s="89"/>
      <c r="AN481" s="89"/>
      <c r="AO481" s="89"/>
      <c r="AP481" s="89"/>
      <c r="AQ481" s="89"/>
      <c r="AR481" s="89"/>
      <c r="AS481" s="89"/>
      <c r="AT481" s="89"/>
      <c r="AU481" s="89"/>
      <c r="AV481" s="89"/>
      <c r="AW481" s="89"/>
      <c r="AX481" s="89"/>
      <c r="AY481" s="89"/>
      <c r="AZ481" s="89"/>
      <c r="BA481" s="89"/>
    </row>
    <row r="482" spans="3:53"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  <c r="AF482" s="89"/>
      <c r="AG482" s="89"/>
      <c r="AH482" s="89"/>
      <c r="AI482" s="89"/>
      <c r="AJ482" s="89"/>
      <c r="AK482" s="89"/>
      <c r="AL482" s="89"/>
      <c r="AM482" s="89"/>
      <c r="AN482" s="89"/>
      <c r="AO482" s="89"/>
      <c r="AP482" s="89"/>
      <c r="AQ482" s="89"/>
      <c r="AR482" s="89"/>
      <c r="AS482" s="89"/>
      <c r="AT482" s="89"/>
      <c r="AU482" s="89"/>
      <c r="AV482" s="89"/>
      <c r="AW482" s="89"/>
      <c r="AX482" s="89"/>
      <c r="AY482" s="89"/>
      <c r="AZ482" s="89"/>
      <c r="BA482" s="89"/>
    </row>
    <row r="483" spans="3:53"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  <c r="AN483" s="89"/>
      <c r="AO483" s="89"/>
      <c r="AP483" s="89"/>
      <c r="AQ483" s="89"/>
      <c r="AR483" s="89"/>
      <c r="AS483" s="89"/>
      <c r="AT483" s="89"/>
      <c r="AU483" s="89"/>
      <c r="AV483" s="89"/>
      <c r="AW483" s="89"/>
      <c r="AX483" s="89"/>
      <c r="AY483" s="89"/>
      <c r="AZ483" s="89"/>
      <c r="BA483" s="89"/>
    </row>
    <row r="484" spans="3:53"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  <c r="AS484" s="89"/>
      <c r="AT484" s="89"/>
      <c r="AU484" s="89"/>
      <c r="AV484" s="89"/>
      <c r="AW484" s="89"/>
      <c r="AX484" s="89"/>
      <c r="AY484" s="89"/>
      <c r="AZ484" s="89"/>
      <c r="BA484" s="89"/>
    </row>
    <row r="485" spans="3:53"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  <c r="AF485" s="89"/>
      <c r="AG485" s="89"/>
      <c r="AH485" s="89"/>
      <c r="AI485" s="89"/>
      <c r="AJ485" s="89"/>
      <c r="AK485" s="89"/>
      <c r="AL485" s="89"/>
      <c r="AM485" s="89"/>
      <c r="AN485" s="89"/>
      <c r="AO485" s="89"/>
      <c r="AP485" s="89"/>
      <c r="AQ485" s="89"/>
      <c r="AR485" s="89"/>
      <c r="AS485" s="89"/>
      <c r="AT485" s="89"/>
      <c r="AU485" s="89"/>
      <c r="AV485" s="89"/>
      <c r="AW485" s="89"/>
      <c r="AX485" s="89"/>
      <c r="AY485" s="89"/>
      <c r="AZ485" s="89"/>
      <c r="BA485" s="89"/>
    </row>
    <row r="486" spans="3:53"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  <c r="AN486" s="89"/>
      <c r="AO486" s="89"/>
      <c r="AP486" s="89"/>
      <c r="AQ486" s="89"/>
      <c r="AR486" s="89"/>
      <c r="AS486" s="89"/>
      <c r="AT486" s="89"/>
      <c r="AU486" s="89"/>
      <c r="AV486" s="89"/>
      <c r="AW486" s="89"/>
      <c r="AX486" s="89"/>
      <c r="AY486" s="89"/>
      <c r="AZ486" s="89"/>
      <c r="BA486" s="89"/>
    </row>
    <row r="487" spans="3:53"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  <c r="AF487" s="89"/>
      <c r="AG487" s="89"/>
      <c r="AH487" s="89"/>
      <c r="AI487" s="89"/>
      <c r="AJ487" s="89"/>
      <c r="AK487" s="89"/>
      <c r="AL487" s="89"/>
      <c r="AM487" s="89"/>
      <c r="AN487" s="89"/>
      <c r="AO487" s="89"/>
      <c r="AP487" s="89"/>
      <c r="AQ487" s="89"/>
      <c r="AR487" s="89"/>
      <c r="AS487" s="89"/>
      <c r="AT487" s="89"/>
      <c r="AU487" s="89"/>
      <c r="AV487" s="89"/>
      <c r="AW487" s="89"/>
      <c r="AX487" s="89"/>
      <c r="AY487" s="89"/>
      <c r="AZ487" s="89"/>
      <c r="BA487" s="89"/>
    </row>
    <row r="488" spans="3:53"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89"/>
      <c r="AF488" s="89"/>
      <c r="AG488" s="89"/>
      <c r="AH488" s="89"/>
      <c r="AI488" s="89"/>
      <c r="AJ488" s="89"/>
      <c r="AK488" s="89"/>
      <c r="AL488" s="89"/>
      <c r="AM488" s="89"/>
      <c r="AN488" s="89"/>
      <c r="AO488" s="89"/>
      <c r="AP488" s="89"/>
      <c r="AQ488" s="89"/>
      <c r="AR488" s="89"/>
      <c r="AS488" s="89"/>
      <c r="AT488" s="89"/>
      <c r="AU488" s="89"/>
      <c r="AV488" s="89"/>
      <c r="AW488" s="89"/>
      <c r="AX488" s="89"/>
      <c r="AY488" s="89"/>
      <c r="AZ488" s="89"/>
      <c r="BA488" s="89"/>
    </row>
    <row r="489" spans="3:53"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89"/>
      <c r="AF489" s="89"/>
      <c r="AG489" s="89"/>
      <c r="AH489" s="89"/>
      <c r="AI489" s="89"/>
      <c r="AJ489" s="89"/>
      <c r="AK489" s="89"/>
      <c r="AL489" s="89"/>
      <c r="AM489" s="89"/>
      <c r="AN489" s="89"/>
      <c r="AO489" s="89"/>
      <c r="AP489" s="89"/>
      <c r="AQ489" s="89"/>
      <c r="AR489" s="89"/>
      <c r="AS489" s="89"/>
      <c r="AT489" s="89"/>
      <c r="AU489" s="89"/>
      <c r="AV489" s="89"/>
      <c r="AW489" s="89"/>
      <c r="AX489" s="89"/>
      <c r="AY489" s="89"/>
      <c r="AZ489" s="89"/>
      <c r="BA489" s="89"/>
    </row>
    <row r="490" spans="3:53"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  <c r="AN490" s="89"/>
      <c r="AO490" s="89"/>
      <c r="AP490" s="89"/>
      <c r="AQ490" s="89"/>
      <c r="AR490" s="89"/>
      <c r="AS490" s="89"/>
      <c r="AT490" s="89"/>
      <c r="AU490" s="89"/>
      <c r="AV490" s="89"/>
      <c r="AW490" s="89"/>
      <c r="AX490" s="89"/>
      <c r="AY490" s="89"/>
      <c r="AZ490" s="89"/>
      <c r="BA490" s="89"/>
    </row>
    <row r="491" spans="3:53"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89"/>
      <c r="AF491" s="89"/>
      <c r="AG491" s="89"/>
      <c r="AH491" s="89"/>
      <c r="AI491" s="89"/>
      <c r="AJ491" s="89"/>
      <c r="AK491" s="89"/>
      <c r="AL491" s="89"/>
      <c r="AM491" s="89"/>
      <c r="AN491" s="89"/>
      <c r="AO491" s="89"/>
      <c r="AP491" s="89"/>
      <c r="AQ491" s="89"/>
      <c r="AR491" s="89"/>
      <c r="AS491" s="89"/>
      <c r="AT491" s="89"/>
      <c r="AU491" s="89"/>
      <c r="AV491" s="89"/>
      <c r="AW491" s="89"/>
      <c r="AX491" s="89"/>
      <c r="AY491" s="89"/>
      <c r="AZ491" s="89"/>
      <c r="BA491" s="89"/>
    </row>
    <row r="492" spans="3:53"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  <c r="AN492" s="89"/>
      <c r="AO492" s="89"/>
      <c r="AP492" s="89"/>
      <c r="AQ492" s="89"/>
      <c r="AR492" s="89"/>
      <c r="AS492" s="89"/>
      <c r="AT492" s="89"/>
      <c r="AU492" s="89"/>
      <c r="AV492" s="89"/>
      <c r="AW492" s="89"/>
      <c r="AX492" s="89"/>
      <c r="AY492" s="89"/>
      <c r="AZ492" s="89"/>
      <c r="BA492" s="89"/>
    </row>
    <row r="493" spans="3:53"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  <c r="AV493" s="89"/>
      <c r="AW493" s="89"/>
      <c r="AX493" s="89"/>
      <c r="AY493" s="89"/>
      <c r="AZ493" s="89"/>
      <c r="BA493" s="89"/>
    </row>
    <row r="494" spans="3:53"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89"/>
      <c r="AE494" s="89"/>
      <c r="AF494" s="89"/>
      <c r="AG494" s="89"/>
      <c r="AH494" s="89"/>
      <c r="AI494" s="89"/>
      <c r="AJ494" s="89"/>
      <c r="AK494" s="89"/>
      <c r="AL494" s="89"/>
      <c r="AM494" s="89"/>
      <c r="AN494" s="89"/>
      <c r="AO494" s="89"/>
      <c r="AP494" s="89"/>
      <c r="AQ494" s="89"/>
      <c r="AR494" s="89"/>
      <c r="AS494" s="89"/>
      <c r="AT494" s="89"/>
      <c r="AU494" s="89"/>
      <c r="AV494" s="89"/>
      <c r="AW494" s="89"/>
      <c r="AX494" s="89"/>
      <c r="AY494" s="89"/>
      <c r="AZ494" s="89"/>
      <c r="BA494" s="89"/>
    </row>
    <row r="495" spans="3:53"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89"/>
      <c r="AE495" s="89"/>
      <c r="AF495" s="89"/>
      <c r="AG495" s="89"/>
      <c r="AH495" s="89"/>
      <c r="AI495" s="89"/>
      <c r="AJ495" s="89"/>
      <c r="AK495" s="89"/>
      <c r="AL495" s="89"/>
      <c r="AM495" s="89"/>
      <c r="AN495" s="89"/>
      <c r="AO495" s="89"/>
      <c r="AP495" s="89"/>
      <c r="AQ495" s="89"/>
      <c r="AR495" s="89"/>
      <c r="AS495" s="89"/>
      <c r="AT495" s="89"/>
      <c r="AU495" s="89"/>
      <c r="AV495" s="89"/>
      <c r="AW495" s="89"/>
      <c r="AX495" s="89"/>
      <c r="AY495" s="89"/>
      <c r="AZ495" s="89"/>
      <c r="BA495" s="89"/>
    </row>
    <row r="496" spans="3:53"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  <c r="AS496" s="89"/>
      <c r="AT496" s="89"/>
      <c r="AU496" s="89"/>
      <c r="AV496" s="89"/>
      <c r="AW496" s="89"/>
      <c r="AX496" s="89"/>
      <c r="AY496" s="89"/>
      <c r="AZ496" s="89"/>
      <c r="BA496" s="89"/>
    </row>
    <row r="497" spans="3:53"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  <c r="AG497" s="89"/>
      <c r="AH497" s="89"/>
      <c r="AI497" s="89"/>
      <c r="AJ497" s="89"/>
      <c r="AK497" s="89"/>
      <c r="AL497" s="89"/>
      <c r="AM497" s="89"/>
      <c r="AN497" s="89"/>
      <c r="AO497" s="89"/>
      <c r="AP497" s="89"/>
      <c r="AQ497" s="89"/>
      <c r="AR497" s="89"/>
      <c r="AS497" s="89"/>
      <c r="AT497" s="89"/>
      <c r="AU497" s="89"/>
      <c r="AV497" s="89"/>
      <c r="AW497" s="89"/>
      <c r="AX497" s="89"/>
      <c r="AY497" s="89"/>
      <c r="AZ497" s="89"/>
      <c r="BA497" s="89"/>
    </row>
    <row r="498" spans="3:53"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  <c r="AS498" s="89"/>
      <c r="AT498" s="89"/>
      <c r="AU498" s="89"/>
      <c r="AV498" s="89"/>
      <c r="AW498" s="89"/>
      <c r="AX498" s="89"/>
      <c r="AY498" s="89"/>
      <c r="AZ498" s="89"/>
      <c r="BA498" s="89"/>
    </row>
    <row r="499" spans="3:53"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89"/>
      <c r="AE499" s="89"/>
      <c r="AF499" s="89"/>
      <c r="AG499" s="89"/>
      <c r="AH499" s="89"/>
      <c r="AI499" s="89"/>
      <c r="AJ499" s="89"/>
      <c r="AK499" s="89"/>
      <c r="AL499" s="89"/>
      <c r="AM499" s="89"/>
      <c r="AN499" s="89"/>
      <c r="AO499" s="89"/>
      <c r="AP499" s="89"/>
      <c r="AQ499" s="89"/>
      <c r="AR499" s="89"/>
      <c r="AS499" s="89"/>
      <c r="AT499" s="89"/>
      <c r="AU499" s="89"/>
      <c r="AV499" s="89"/>
      <c r="AW499" s="89"/>
      <c r="AX499" s="89"/>
      <c r="AY499" s="89"/>
      <c r="AZ499" s="89"/>
      <c r="BA499" s="89"/>
    </row>
    <row r="500" spans="3:53"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  <c r="AS500" s="89"/>
      <c r="AT500" s="89"/>
      <c r="AU500" s="89"/>
      <c r="AV500" s="89"/>
      <c r="AW500" s="89"/>
      <c r="AX500" s="89"/>
      <c r="AY500" s="89"/>
      <c r="AZ500" s="89"/>
      <c r="BA500" s="89"/>
    </row>
    <row r="501" spans="3:53"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89"/>
      <c r="AF501" s="89"/>
      <c r="AG501" s="89"/>
      <c r="AH501" s="89"/>
      <c r="AI501" s="89"/>
      <c r="AJ501" s="89"/>
      <c r="AK501" s="89"/>
      <c r="AL501" s="89"/>
      <c r="AM501" s="89"/>
      <c r="AN501" s="89"/>
      <c r="AO501" s="89"/>
      <c r="AP501" s="89"/>
      <c r="AQ501" s="89"/>
      <c r="AR501" s="89"/>
      <c r="AS501" s="89"/>
      <c r="AT501" s="89"/>
      <c r="AU501" s="89"/>
      <c r="AV501" s="89"/>
      <c r="AW501" s="89"/>
      <c r="AX501" s="89"/>
      <c r="AY501" s="89"/>
      <c r="AZ501" s="89"/>
      <c r="BA501" s="89"/>
    </row>
    <row r="502" spans="3:53"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89"/>
      <c r="AE502" s="89"/>
      <c r="AF502" s="89"/>
      <c r="AG502" s="89"/>
      <c r="AH502" s="89"/>
      <c r="AI502" s="89"/>
      <c r="AJ502" s="89"/>
      <c r="AK502" s="89"/>
      <c r="AL502" s="89"/>
      <c r="AM502" s="89"/>
      <c r="AN502" s="89"/>
      <c r="AO502" s="89"/>
      <c r="AP502" s="89"/>
      <c r="AQ502" s="89"/>
      <c r="AR502" s="89"/>
      <c r="AS502" s="89"/>
      <c r="AT502" s="89"/>
      <c r="AU502" s="89"/>
      <c r="AV502" s="89"/>
      <c r="AW502" s="89"/>
      <c r="AX502" s="89"/>
      <c r="AY502" s="89"/>
      <c r="AZ502" s="89"/>
      <c r="BA502" s="89"/>
    </row>
    <row r="503" spans="3:53"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89"/>
      <c r="AE503" s="89"/>
      <c r="AF503" s="89"/>
      <c r="AG503" s="89"/>
      <c r="AH503" s="89"/>
      <c r="AI503" s="89"/>
      <c r="AJ503" s="89"/>
      <c r="AK503" s="89"/>
      <c r="AL503" s="89"/>
      <c r="AM503" s="89"/>
      <c r="AN503" s="89"/>
      <c r="AO503" s="89"/>
      <c r="AP503" s="89"/>
      <c r="AQ503" s="89"/>
      <c r="AR503" s="89"/>
      <c r="AS503" s="89"/>
      <c r="AT503" s="89"/>
      <c r="AU503" s="89"/>
      <c r="AV503" s="89"/>
      <c r="AW503" s="89"/>
      <c r="AX503" s="89"/>
      <c r="AY503" s="89"/>
      <c r="AZ503" s="89"/>
      <c r="BA503" s="89"/>
    </row>
    <row r="504" spans="3:53"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89"/>
      <c r="AF504" s="89"/>
      <c r="AG504" s="89"/>
      <c r="AH504" s="89"/>
      <c r="AI504" s="89"/>
      <c r="AJ504" s="89"/>
      <c r="AK504" s="89"/>
      <c r="AL504" s="89"/>
      <c r="AM504" s="89"/>
      <c r="AN504" s="89"/>
      <c r="AO504" s="89"/>
      <c r="AP504" s="89"/>
      <c r="AQ504" s="89"/>
      <c r="AR504" s="89"/>
      <c r="AS504" s="89"/>
      <c r="AT504" s="89"/>
      <c r="AU504" s="89"/>
      <c r="AV504" s="89"/>
      <c r="AW504" s="89"/>
      <c r="AX504" s="89"/>
      <c r="AY504" s="89"/>
      <c r="AZ504" s="89"/>
      <c r="BA504" s="89"/>
    </row>
    <row r="505" spans="3:53"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89"/>
      <c r="AE505" s="89"/>
      <c r="AF505" s="89"/>
      <c r="AG505" s="89"/>
      <c r="AH505" s="89"/>
      <c r="AI505" s="89"/>
      <c r="AJ505" s="89"/>
      <c r="AK505" s="89"/>
      <c r="AL505" s="89"/>
      <c r="AM505" s="89"/>
      <c r="AN505" s="89"/>
      <c r="AO505" s="89"/>
      <c r="AP505" s="89"/>
      <c r="AQ505" s="89"/>
      <c r="AR505" s="89"/>
      <c r="AS505" s="89"/>
      <c r="AT505" s="89"/>
      <c r="AU505" s="89"/>
      <c r="AV505" s="89"/>
      <c r="AW505" s="89"/>
      <c r="AX505" s="89"/>
      <c r="AY505" s="89"/>
      <c r="AZ505" s="89"/>
      <c r="BA505" s="89"/>
    </row>
    <row r="506" spans="3:53"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89"/>
      <c r="AE506" s="89"/>
      <c r="AF506" s="89"/>
      <c r="AG506" s="89"/>
      <c r="AH506" s="89"/>
      <c r="AI506" s="89"/>
      <c r="AJ506" s="89"/>
      <c r="AK506" s="89"/>
      <c r="AL506" s="89"/>
      <c r="AM506" s="89"/>
      <c r="AN506" s="89"/>
      <c r="AO506" s="89"/>
      <c r="AP506" s="89"/>
      <c r="AQ506" s="89"/>
      <c r="AR506" s="89"/>
      <c r="AS506" s="89"/>
      <c r="AT506" s="89"/>
      <c r="AU506" s="89"/>
      <c r="AV506" s="89"/>
      <c r="AW506" s="89"/>
      <c r="AX506" s="89"/>
      <c r="AY506" s="89"/>
      <c r="AZ506" s="89"/>
      <c r="BA506" s="89"/>
    </row>
    <row r="507" spans="3:53"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89"/>
      <c r="AE507" s="89"/>
      <c r="AF507" s="89"/>
      <c r="AG507" s="89"/>
      <c r="AH507" s="89"/>
      <c r="AI507" s="89"/>
      <c r="AJ507" s="89"/>
      <c r="AK507" s="89"/>
      <c r="AL507" s="89"/>
      <c r="AM507" s="89"/>
      <c r="AN507" s="89"/>
      <c r="AO507" s="89"/>
      <c r="AP507" s="89"/>
      <c r="AQ507" s="89"/>
      <c r="AR507" s="89"/>
      <c r="AS507" s="89"/>
      <c r="AT507" s="89"/>
      <c r="AU507" s="89"/>
      <c r="AV507" s="89"/>
      <c r="AW507" s="89"/>
      <c r="AX507" s="89"/>
      <c r="AY507" s="89"/>
      <c r="AZ507" s="89"/>
      <c r="BA507" s="89"/>
    </row>
    <row r="508" spans="3:53"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89"/>
      <c r="AE508" s="89"/>
      <c r="AF508" s="89"/>
      <c r="AG508" s="89"/>
      <c r="AH508" s="89"/>
      <c r="AI508" s="89"/>
      <c r="AJ508" s="89"/>
      <c r="AK508" s="89"/>
      <c r="AL508" s="89"/>
      <c r="AM508" s="89"/>
      <c r="AN508" s="89"/>
      <c r="AO508" s="89"/>
      <c r="AP508" s="89"/>
      <c r="AQ508" s="89"/>
      <c r="AR508" s="89"/>
      <c r="AS508" s="89"/>
      <c r="AT508" s="89"/>
      <c r="AU508" s="89"/>
      <c r="AV508" s="89"/>
      <c r="AW508" s="89"/>
      <c r="AX508" s="89"/>
      <c r="AY508" s="89"/>
      <c r="AZ508" s="89"/>
      <c r="BA508" s="89"/>
    </row>
    <row r="509" spans="3:53"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  <c r="AF509" s="89"/>
      <c r="AG509" s="89"/>
      <c r="AH509" s="89"/>
      <c r="AI509" s="89"/>
      <c r="AJ509" s="89"/>
      <c r="AK509" s="89"/>
      <c r="AL509" s="89"/>
      <c r="AM509" s="89"/>
      <c r="AN509" s="89"/>
      <c r="AO509" s="89"/>
      <c r="AP509" s="89"/>
      <c r="AQ509" s="89"/>
      <c r="AR509" s="89"/>
      <c r="AS509" s="89"/>
      <c r="AT509" s="89"/>
      <c r="AU509" s="89"/>
      <c r="AV509" s="89"/>
      <c r="AW509" s="89"/>
      <c r="AX509" s="89"/>
      <c r="AY509" s="89"/>
      <c r="AZ509" s="89"/>
      <c r="BA509" s="89"/>
    </row>
    <row r="510" spans="3:53"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89"/>
      <c r="AE510" s="89"/>
      <c r="AF510" s="89"/>
      <c r="AG510" s="89"/>
      <c r="AH510" s="89"/>
      <c r="AI510" s="89"/>
      <c r="AJ510" s="89"/>
      <c r="AK510" s="89"/>
      <c r="AL510" s="89"/>
      <c r="AM510" s="89"/>
      <c r="AN510" s="89"/>
      <c r="AO510" s="89"/>
      <c r="AP510" s="89"/>
      <c r="AQ510" s="89"/>
      <c r="AR510" s="89"/>
      <c r="AS510" s="89"/>
      <c r="AT510" s="89"/>
      <c r="AU510" s="89"/>
      <c r="AV510" s="89"/>
      <c r="AW510" s="89"/>
      <c r="AX510" s="89"/>
      <c r="AY510" s="89"/>
      <c r="AZ510" s="89"/>
      <c r="BA510" s="89"/>
    </row>
    <row r="511" spans="3:53"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89"/>
      <c r="AE511" s="89"/>
      <c r="AF511" s="89"/>
      <c r="AG511" s="89"/>
      <c r="AH511" s="89"/>
      <c r="AI511" s="89"/>
      <c r="AJ511" s="89"/>
      <c r="AK511" s="89"/>
      <c r="AL511" s="89"/>
      <c r="AM511" s="89"/>
      <c r="AN511" s="89"/>
      <c r="AO511" s="89"/>
      <c r="AP511" s="89"/>
      <c r="AQ511" s="89"/>
      <c r="AR511" s="89"/>
      <c r="AS511" s="89"/>
      <c r="AT511" s="89"/>
      <c r="AU511" s="89"/>
      <c r="AV511" s="89"/>
      <c r="AW511" s="89"/>
      <c r="AX511" s="89"/>
      <c r="AY511" s="89"/>
      <c r="AZ511" s="89"/>
      <c r="BA511" s="89"/>
    </row>
    <row r="512" spans="3:53"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  <c r="AI512" s="89"/>
      <c r="AJ512" s="89"/>
      <c r="AK512" s="89"/>
      <c r="AL512" s="89"/>
      <c r="AM512" s="89"/>
      <c r="AN512" s="89"/>
      <c r="AO512" s="89"/>
      <c r="AP512" s="89"/>
      <c r="AQ512" s="89"/>
      <c r="AR512" s="89"/>
      <c r="AS512" s="89"/>
      <c r="AT512" s="89"/>
      <c r="AU512" s="89"/>
      <c r="AV512" s="89"/>
      <c r="AW512" s="89"/>
      <c r="AX512" s="89"/>
      <c r="AY512" s="89"/>
      <c r="AZ512" s="89"/>
      <c r="BA512" s="89"/>
    </row>
    <row r="513" spans="3:53"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89"/>
      <c r="AE513" s="89"/>
      <c r="AF513" s="89"/>
      <c r="AG513" s="89"/>
      <c r="AH513" s="89"/>
      <c r="AI513" s="89"/>
      <c r="AJ513" s="89"/>
      <c r="AK513" s="89"/>
      <c r="AL513" s="89"/>
      <c r="AM513" s="89"/>
      <c r="AN513" s="89"/>
      <c r="AO513" s="89"/>
      <c r="AP513" s="89"/>
      <c r="AQ513" s="89"/>
      <c r="AR513" s="89"/>
      <c r="AS513" s="89"/>
      <c r="AT513" s="89"/>
      <c r="AU513" s="89"/>
      <c r="AV513" s="89"/>
      <c r="AW513" s="89"/>
      <c r="AX513" s="89"/>
      <c r="AY513" s="89"/>
      <c r="AZ513" s="89"/>
      <c r="BA513" s="89"/>
    </row>
    <row r="514" spans="3:53"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89"/>
      <c r="AF514" s="89"/>
      <c r="AG514" s="89"/>
      <c r="AH514" s="89"/>
      <c r="AI514" s="89"/>
      <c r="AJ514" s="89"/>
      <c r="AK514" s="89"/>
      <c r="AL514" s="89"/>
      <c r="AM514" s="89"/>
      <c r="AN514" s="89"/>
      <c r="AO514" s="89"/>
      <c r="AP514" s="89"/>
      <c r="AQ514" s="89"/>
      <c r="AR514" s="89"/>
      <c r="AS514" s="89"/>
      <c r="AT514" s="89"/>
      <c r="AU514" s="89"/>
      <c r="AV514" s="89"/>
      <c r="AW514" s="89"/>
      <c r="AX514" s="89"/>
      <c r="AY514" s="89"/>
      <c r="AZ514" s="89"/>
      <c r="BA514" s="89"/>
    </row>
    <row r="515" spans="3:53"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89"/>
      <c r="AE515" s="89"/>
      <c r="AF515" s="89"/>
      <c r="AG515" s="89"/>
      <c r="AH515" s="89"/>
      <c r="AI515" s="89"/>
      <c r="AJ515" s="89"/>
      <c r="AK515" s="89"/>
      <c r="AL515" s="89"/>
      <c r="AM515" s="89"/>
      <c r="AN515" s="89"/>
      <c r="AO515" s="89"/>
      <c r="AP515" s="89"/>
      <c r="AQ515" s="89"/>
      <c r="AR515" s="89"/>
      <c r="AS515" s="89"/>
      <c r="AT515" s="89"/>
      <c r="AU515" s="89"/>
      <c r="AV515" s="89"/>
      <c r="AW515" s="89"/>
      <c r="AX515" s="89"/>
      <c r="AY515" s="89"/>
      <c r="AZ515" s="89"/>
      <c r="BA515" s="89"/>
    </row>
    <row r="516" spans="3:53"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89"/>
      <c r="AE516" s="89"/>
      <c r="AF516" s="89"/>
      <c r="AG516" s="89"/>
      <c r="AH516" s="89"/>
      <c r="AI516" s="89"/>
      <c r="AJ516" s="89"/>
      <c r="AK516" s="89"/>
      <c r="AL516" s="89"/>
      <c r="AM516" s="89"/>
      <c r="AN516" s="89"/>
      <c r="AO516" s="89"/>
      <c r="AP516" s="89"/>
      <c r="AQ516" s="89"/>
      <c r="AR516" s="89"/>
      <c r="AS516" s="89"/>
      <c r="AT516" s="89"/>
      <c r="AU516" s="89"/>
      <c r="AV516" s="89"/>
      <c r="AW516" s="89"/>
      <c r="AX516" s="89"/>
      <c r="AY516" s="89"/>
      <c r="AZ516" s="89"/>
      <c r="BA516" s="89"/>
    </row>
    <row r="517" spans="3:53"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89"/>
      <c r="AE517" s="89"/>
      <c r="AF517" s="89"/>
      <c r="AG517" s="89"/>
      <c r="AH517" s="89"/>
      <c r="AI517" s="89"/>
      <c r="AJ517" s="89"/>
      <c r="AK517" s="89"/>
      <c r="AL517" s="89"/>
      <c r="AM517" s="89"/>
      <c r="AN517" s="89"/>
      <c r="AO517" s="89"/>
      <c r="AP517" s="89"/>
      <c r="AQ517" s="89"/>
      <c r="AR517" s="89"/>
      <c r="AS517" s="89"/>
      <c r="AT517" s="89"/>
      <c r="AU517" s="89"/>
      <c r="AV517" s="89"/>
      <c r="AW517" s="89"/>
      <c r="AX517" s="89"/>
      <c r="AY517" s="89"/>
      <c r="AZ517" s="89"/>
      <c r="BA517" s="89"/>
    </row>
    <row r="518" spans="3:53"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  <c r="AI518" s="89"/>
      <c r="AJ518" s="89"/>
      <c r="AK518" s="89"/>
      <c r="AL518" s="89"/>
      <c r="AM518" s="89"/>
      <c r="AN518" s="89"/>
      <c r="AO518" s="89"/>
      <c r="AP518" s="89"/>
      <c r="AQ518" s="89"/>
      <c r="AR518" s="89"/>
      <c r="AS518" s="89"/>
      <c r="AT518" s="89"/>
      <c r="AU518" s="89"/>
      <c r="AV518" s="89"/>
      <c r="AW518" s="89"/>
      <c r="AX518" s="89"/>
      <c r="AY518" s="89"/>
      <c r="AZ518" s="89"/>
      <c r="BA518" s="89"/>
    </row>
    <row r="519" spans="3:53"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89"/>
      <c r="AE519" s="89"/>
      <c r="AF519" s="89"/>
      <c r="AG519" s="89"/>
      <c r="AH519" s="89"/>
      <c r="AI519" s="89"/>
      <c r="AJ519" s="89"/>
      <c r="AK519" s="89"/>
      <c r="AL519" s="89"/>
      <c r="AM519" s="89"/>
      <c r="AN519" s="89"/>
      <c r="AO519" s="89"/>
      <c r="AP519" s="89"/>
      <c r="AQ519" s="89"/>
      <c r="AR519" s="89"/>
      <c r="AS519" s="89"/>
      <c r="AT519" s="89"/>
      <c r="AU519" s="89"/>
      <c r="AV519" s="89"/>
      <c r="AW519" s="89"/>
      <c r="AX519" s="89"/>
      <c r="AY519" s="89"/>
      <c r="AZ519" s="89"/>
      <c r="BA519" s="89"/>
    </row>
    <row r="520" spans="3:53"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89"/>
      <c r="AE520" s="89"/>
      <c r="AF520" s="89"/>
      <c r="AG520" s="89"/>
      <c r="AH520" s="89"/>
      <c r="AI520" s="89"/>
      <c r="AJ520" s="89"/>
      <c r="AK520" s="89"/>
      <c r="AL520" s="89"/>
      <c r="AM520" s="89"/>
      <c r="AN520" s="89"/>
      <c r="AO520" s="89"/>
      <c r="AP520" s="89"/>
      <c r="AQ520" s="89"/>
      <c r="AR520" s="89"/>
      <c r="AS520" s="89"/>
      <c r="AT520" s="89"/>
      <c r="AU520" s="89"/>
      <c r="AV520" s="89"/>
      <c r="AW520" s="89"/>
      <c r="AX520" s="89"/>
      <c r="AY520" s="89"/>
      <c r="AZ520" s="89"/>
      <c r="BA520" s="89"/>
    </row>
    <row r="521" spans="3:53"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89"/>
      <c r="AD521" s="89"/>
      <c r="AE521" s="89"/>
      <c r="AF521" s="89"/>
      <c r="AG521" s="89"/>
      <c r="AH521" s="89"/>
      <c r="AI521" s="89"/>
      <c r="AJ521" s="89"/>
      <c r="AK521" s="89"/>
      <c r="AL521" s="89"/>
      <c r="AM521" s="89"/>
      <c r="AN521" s="89"/>
      <c r="AO521" s="89"/>
      <c r="AP521" s="89"/>
      <c r="AQ521" s="89"/>
      <c r="AR521" s="89"/>
      <c r="AS521" s="89"/>
      <c r="AT521" s="89"/>
      <c r="AU521" s="89"/>
      <c r="AV521" s="89"/>
      <c r="AW521" s="89"/>
      <c r="AX521" s="89"/>
      <c r="AY521" s="89"/>
      <c r="AZ521" s="89"/>
      <c r="BA521" s="89"/>
    </row>
    <row r="522" spans="3:53"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89"/>
      <c r="AC522" s="89"/>
      <c r="AD522" s="89"/>
      <c r="AE522" s="89"/>
      <c r="AF522" s="89"/>
      <c r="AG522" s="89"/>
      <c r="AH522" s="89"/>
      <c r="AI522" s="89"/>
      <c r="AJ522" s="89"/>
      <c r="AK522" s="89"/>
      <c r="AL522" s="89"/>
      <c r="AM522" s="89"/>
      <c r="AN522" s="89"/>
      <c r="AO522" s="89"/>
      <c r="AP522" s="89"/>
      <c r="AQ522" s="89"/>
      <c r="AR522" s="89"/>
      <c r="AS522" s="89"/>
      <c r="AT522" s="89"/>
      <c r="AU522" s="89"/>
      <c r="AV522" s="89"/>
      <c r="AW522" s="89"/>
      <c r="AX522" s="89"/>
      <c r="AY522" s="89"/>
      <c r="AZ522" s="89"/>
      <c r="BA522" s="89"/>
    </row>
    <row r="523" spans="3:53"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  <c r="AF523" s="89"/>
      <c r="AG523" s="89"/>
      <c r="AH523" s="89"/>
      <c r="AI523" s="89"/>
      <c r="AJ523" s="89"/>
      <c r="AK523" s="89"/>
      <c r="AL523" s="89"/>
      <c r="AM523" s="89"/>
      <c r="AN523" s="89"/>
      <c r="AO523" s="89"/>
      <c r="AP523" s="89"/>
      <c r="AQ523" s="89"/>
      <c r="AR523" s="89"/>
      <c r="AS523" s="89"/>
      <c r="AT523" s="89"/>
      <c r="AU523" s="89"/>
      <c r="AV523" s="89"/>
      <c r="AW523" s="89"/>
      <c r="AX523" s="89"/>
      <c r="AY523" s="89"/>
      <c r="AZ523" s="89"/>
      <c r="BA523" s="89"/>
    </row>
    <row r="524" spans="3:53"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89"/>
      <c r="AD524" s="89"/>
      <c r="AE524" s="89"/>
      <c r="AF524" s="89"/>
      <c r="AG524" s="89"/>
      <c r="AH524" s="89"/>
      <c r="AI524" s="89"/>
      <c r="AJ524" s="89"/>
      <c r="AK524" s="89"/>
      <c r="AL524" s="89"/>
      <c r="AM524" s="89"/>
      <c r="AN524" s="89"/>
      <c r="AO524" s="89"/>
      <c r="AP524" s="89"/>
      <c r="AQ524" s="89"/>
      <c r="AR524" s="89"/>
      <c r="AS524" s="89"/>
      <c r="AT524" s="89"/>
      <c r="AU524" s="89"/>
      <c r="AV524" s="89"/>
      <c r="AW524" s="89"/>
      <c r="AX524" s="89"/>
      <c r="AY524" s="89"/>
      <c r="AZ524" s="89"/>
      <c r="BA524" s="89"/>
    </row>
    <row r="525" spans="3:53"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  <c r="AF525" s="89"/>
      <c r="AG525" s="89"/>
      <c r="AH525" s="89"/>
      <c r="AI525" s="89"/>
      <c r="AJ525" s="89"/>
      <c r="AK525" s="89"/>
      <c r="AL525" s="89"/>
      <c r="AM525" s="89"/>
      <c r="AN525" s="89"/>
      <c r="AO525" s="89"/>
      <c r="AP525" s="89"/>
      <c r="AQ525" s="89"/>
      <c r="AR525" s="89"/>
      <c r="AS525" s="89"/>
      <c r="AT525" s="89"/>
      <c r="AU525" s="89"/>
      <c r="AV525" s="89"/>
      <c r="AW525" s="89"/>
      <c r="AX525" s="89"/>
      <c r="AY525" s="89"/>
      <c r="AZ525" s="89"/>
      <c r="BA525" s="89"/>
    </row>
    <row r="526" spans="3:53"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89"/>
      <c r="AF526" s="89"/>
      <c r="AG526" s="89"/>
      <c r="AH526" s="89"/>
      <c r="AI526" s="89"/>
      <c r="AJ526" s="89"/>
      <c r="AK526" s="89"/>
      <c r="AL526" s="89"/>
      <c r="AM526" s="89"/>
      <c r="AN526" s="89"/>
      <c r="AO526" s="89"/>
      <c r="AP526" s="89"/>
      <c r="AQ526" s="89"/>
      <c r="AR526" s="89"/>
      <c r="AS526" s="89"/>
      <c r="AT526" s="89"/>
      <c r="AU526" s="89"/>
      <c r="AV526" s="89"/>
      <c r="AW526" s="89"/>
      <c r="AX526" s="89"/>
      <c r="AY526" s="89"/>
      <c r="AZ526" s="89"/>
      <c r="BA526" s="89"/>
    </row>
    <row r="527" spans="3:53"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89"/>
      <c r="AF527" s="89"/>
      <c r="AG527" s="89"/>
      <c r="AH527" s="89"/>
      <c r="AI527" s="89"/>
      <c r="AJ527" s="89"/>
      <c r="AK527" s="89"/>
      <c r="AL527" s="89"/>
      <c r="AM527" s="89"/>
      <c r="AN527" s="89"/>
      <c r="AO527" s="89"/>
      <c r="AP527" s="89"/>
      <c r="AQ527" s="89"/>
      <c r="AR527" s="89"/>
      <c r="AS527" s="89"/>
      <c r="AT527" s="89"/>
      <c r="AU527" s="89"/>
      <c r="AV527" s="89"/>
      <c r="AW527" s="89"/>
      <c r="AX527" s="89"/>
      <c r="AY527" s="89"/>
      <c r="AZ527" s="89"/>
      <c r="BA527" s="89"/>
    </row>
    <row r="528" spans="3:53"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89"/>
      <c r="AC528" s="89"/>
      <c r="AD528" s="89"/>
      <c r="AE528" s="89"/>
      <c r="AF528" s="89"/>
      <c r="AG528" s="89"/>
      <c r="AH528" s="89"/>
      <c r="AI528" s="89"/>
      <c r="AJ528" s="89"/>
      <c r="AK528" s="89"/>
      <c r="AL528" s="89"/>
      <c r="AM528" s="89"/>
      <c r="AN528" s="89"/>
      <c r="AO528" s="89"/>
      <c r="AP528" s="89"/>
      <c r="AQ528" s="89"/>
      <c r="AR528" s="89"/>
      <c r="AS528" s="89"/>
      <c r="AT528" s="89"/>
      <c r="AU528" s="89"/>
      <c r="AV528" s="89"/>
      <c r="AW528" s="89"/>
      <c r="AX528" s="89"/>
      <c r="AY528" s="89"/>
      <c r="AZ528" s="89"/>
      <c r="BA528" s="89"/>
    </row>
    <row r="529" spans="3:53"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  <c r="AI529" s="89"/>
      <c r="AJ529" s="89"/>
      <c r="AK529" s="89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  <c r="AV529" s="89"/>
      <c r="AW529" s="89"/>
      <c r="AX529" s="89"/>
      <c r="AY529" s="89"/>
      <c r="AZ529" s="89"/>
      <c r="BA529" s="89"/>
    </row>
    <row r="530" spans="3:53"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89"/>
      <c r="AF530" s="89"/>
      <c r="AG530" s="89"/>
      <c r="AH530" s="89"/>
      <c r="AI530" s="89"/>
      <c r="AJ530" s="89"/>
      <c r="AK530" s="89"/>
      <c r="AL530" s="89"/>
      <c r="AM530" s="89"/>
      <c r="AN530" s="89"/>
      <c r="AO530" s="89"/>
      <c r="AP530" s="89"/>
      <c r="AQ530" s="89"/>
      <c r="AR530" s="89"/>
      <c r="AS530" s="89"/>
      <c r="AT530" s="89"/>
      <c r="AU530" s="89"/>
      <c r="AV530" s="89"/>
      <c r="AW530" s="89"/>
      <c r="AX530" s="89"/>
      <c r="AY530" s="89"/>
      <c r="AZ530" s="89"/>
      <c r="BA530" s="89"/>
    </row>
    <row r="531" spans="3:53"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89"/>
      <c r="AF531" s="89"/>
      <c r="AG531" s="89"/>
      <c r="AH531" s="89"/>
      <c r="AI531" s="89"/>
      <c r="AJ531" s="89"/>
      <c r="AK531" s="89"/>
      <c r="AL531" s="89"/>
      <c r="AM531" s="89"/>
      <c r="AN531" s="89"/>
      <c r="AO531" s="89"/>
      <c r="AP531" s="89"/>
      <c r="AQ531" s="89"/>
      <c r="AR531" s="89"/>
      <c r="AS531" s="89"/>
      <c r="AT531" s="89"/>
      <c r="AU531" s="89"/>
      <c r="AV531" s="89"/>
      <c r="AW531" s="89"/>
      <c r="AX531" s="89"/>
      <c r="AY531" s="89"/>
      <c r="AZ531" s="89"/>
      <c r="BA531" s="89"/>
    </row>
    <row r="532" spans="3:53"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  <c r="AF532" s="89"/>
      <c r="AG532" s="89"/>
      <c r="AH532" s="89"/>
      <c r="AI532" s="89"/>
      <c r="AJ532" s="89"/>
      <c r="AK532" s="89"/>
      <c r="AL532" s="89"/>
      <c r="AM532" s="89"/>
      <c r="AN532" s="89"/>
      <c r="AO532" s="89"/>
      <c r="AP532" s="89"/>
      <c r="AQ532" s="89"/>
      <c r="AR532" s="89"/>
      <c r="AS532" s="89"/>
      <c r="AT532" s="89"/>
      <c r="AU532" s="89"/>
      <c r="AV532" s="89"/>
      <c r="AW532" s="89"/>
      <c r="AX532" s="89"/>
      <c r="AY532" s="89"/>
      <c r="AZ532" s="89"/>
      <c r="BA532" s="89"/>
    </row>
    <row r="533" spans="3:53"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  <c r="AF533" s="89"/>
      <c r="AG533" s="89"/>
      <c r="AH533" s="89"/>
      <c r="AI533" s="89"/>
      <c r="AJ533" s="89"/>
      <c r="AK533" s="89"/>
      <c r="AL533" s="89"/>
      <c r="AM533" s="89"/>
      <c r="AN533" s="89"/>
      <c r="AO533" s="89"/>
      <c r="AP533" s="89"/>
      <c r="AQ533" s="89"/>
      <c r="AR533" s="89"/>
      <c r="AS533" s="89"/>
      <c r="AT533" s="89"/>
      <c r="AU533" s="89"/>
      <c r="AV533" s="89"/>
      <c r="AW533" s="89"/>
      <c r="AX533" s="89"/>
      <c r="AY533" s="89"/>
      <c r="AZ533" s="89"/>
      <c r="BA533" s="89"/>
    </row>
    <row r="534" spans="3:53"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  <c r="AF534" s="89"/>
      <c r="AG534" s="89"/>
      <c r="AH534" s="89"/>
      <c r="AI534" s="89"/>
      <c r="AJ534" s="89"/>
      <c r="AK534" s="89"/>
      <c r="AL534" s="89"/>
      <c r="AM534" s="89"/>
      <c r="AN534" s="89"/>
      <c r="AO534" s="89"/>
      <c r="AP534" s="89"/>
      <c r="AQ534" s="89"/>
      <c r="AR534" s="89"/>
      <c r="AS534" s="89"/>
      <c r="AT534" s="89"/>
      <c r="AU534" s="89"/>
      <c r="AV534" s="89"/>
      <c r="AW534" s="89"/>
      <c r="AX534" s="89"/>
      <c r="AY534" s="89"/>
      <c r="AZ534" s="89"/>
      <c r="BA534" s="89"/>
    </row>
    <row r="535" spans="3:53"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  <c r="AF535" s="89"/>
      <c r="AG535" s="89"/>
      <c r="AH535" s="89"/>
      <c r="AI535" s="89"/>
      <c r="AJ535" s="89"/>
      <c r="AK535" s="89"/>
      <c r="AL535" s="89"/>
      <c r="AM535" s="89"/>
      <c r="AN535" s="89"/>
      <c r="AO535" s="89"/>
      <c r="AP535" s="89"/>
      <c r="AQ535" s="89"/>
      <c r="AR535" s="89"/>
      <c r="AS535" s="89"/>
      <c r="AT535" s="89"/>
      <c r="AU535" s="89"/>
      <c r="AV535" s="89"/>
      <c r="AW535" s="89"/>
      <c r="AX535" s="89"/>
      <c r="AY535" s="89"/>
      <c r="AZ535" s="89"/>
      <c r="BA535" s="89"/>
    </row>
    <row r="536" spans="3:53"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  <c r="AF536" s="89"/>
      <c r="AG536" s="89"/>
      <c r="AH536" s="89"/>
      <c r="AI536" s="89"/>
      <c r="AJ536" s="89"/>
      <c r="AK536" s="89"/>
      <c r="AL536" s="89"/>
      <c r="AM536" s="89"/>
      <c r="AN536" s="89"/>
      <c r="AO536" s="89"/>
      <c r="AP536" s="89"/>
      <c r="AQ536" s="89"/>
      <c r="AR536" s="89"/>
      <c r="AS536" s="89"/>
      <c r="AT536" s="89"/>
      <c r="AU536" s="89"/>
      <c r="AV536" s="89"/>
      <c r="AW536" s="89"/>
      <c r="AX536" s="89"/>
      <c r="AY536" s="89"/>
      <c r="AZ536" s="89"/>
      <c r="BA536" s="89"/>
    </row>
    <row r="537" spans="3:53"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89"/>
      <c r="AF537" s="89"/>
      <c r="AG537" s="89"/>
      <c r="AH537" s="89"/>
      <c r="AI537" s="89"/>
      <c r="AJ537" s="89"/>
      <c r="AK537" s="89"/>
      <c r="AL537" s="89"/>
      <c r="AM537" s="89"/>
      <c r="AN537" s="89"/>
      <c r="AO537" s="89"/>
      <c r="AP537" s="89"/>
      <c r="AQ537" s="89"/>
      <c r="AR537" s="89"/>
      <c r="AS537" s="89"/>
      <c r="AT537" s="89"/>
      <c r="AU537" s="89"/>
      <c r="AV537" s="89"/>
      <c r="AW537" s="89"/>
      <c r="AX537" s="89"/>
      <c r="AY537" s="89"/>
      <c r="AZ537" s="89"/>
      <c r="BA537" s="89"/>
    </row>
    <row r="538" spans="3:53"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  <c r="AF538" s="89"/>
      <c r="AG538" s="89"/>
      <c r="AH538" s="89"/>
      <c r="AI538" s="89"/>
      <c r="AJ538" s="89"/>
      <c r="AK538" s="89"/>
      <c r="AL538" s="89"/>
      <c r="AM538" s="89"/>
      <c r="AN538" s="89"/>
      <c r="AO538" s="89"/>
      <c r="AP538" s="89"/>
      <c r="AQ538" s="89"/>
      <c r="AR538" s="89"/>
      <c r="AS538" s="89"/>
      <c r="AT538" s="89"/>
      <c r="AU538" s="89"/>
      <c r="AV538" s="89"/>
      <c r="AW538" s="89"/>
      <c r="AX538" s="89"/>
      <c r="AY538" s="89"/>
      <c r="AZ538" s="89"/>
      <c r="BA538" s="89"/>
    </row>
    <row r="539" spans="3:53"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89"/>
      <c r="AF539" s="89"/>
      <c r="AG539" s="89"/>
      <c r="AH539" s="89"/>
      <c r="AI539" s="89"/>
      <c r="AJ539" s="89"/>
      <c r="AK539" s="89"/>
      <c r="AL539" s="89"/>
      <c r="AM539" s="89"/>
      <c r="AN539" s="89"/>
      <c r="AO539" s="89"/>
      <c r="AP539" s="89"/>
      <c r="AQ539" s="89"/>
      <c r="AR539" s="89"/>
      <c r="AS539" s="89"/>
      <c r="AT539" s="89"/>
      <c r="AU539" s="89"/>
      <c r="AV539" s="89"/>
      <c r="AW539" s="89"/>
      <c r="AX539" s="89"/>
      <c r="AY539" s="89"/>
      <c r="AZ539" s="89"/>
      <c r="BA539" s="89"/>
    </row>
    <row r="540" spans="3:53"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89"/>
      <c r="AF540" s="89"/>
      <c r="AG540" s="89"/>
      <c r="AH540" s="89"/>
      <c r="AI540" s="89"/>
      <c r="AJ540" s="89"/>
      <c r="AK540" s="89"/>
      <c r="AL540" s="89"/>
      <c r="AM540" s="89"/>
      <c r="AN540" s="89"/>
      <c r="AO540" s="89"/>
      <c r="AP540" s="89"/>
      <c r="AQ540" s="89"/>
      <c r="AR540" s="89"/>
      <c r="AS540" s="89"/>
      <c r="AT540" s="89"/>
      <c r="AU540" s="89"/>
      <c r="AV540" s="89"/>
      <c r="AW540" s="89"/>
      <c r="AX540" s="89"/>
      <c r="AY540" s="89"/>
      <c r="AZ540" s="89"/>
      <c r="BA540" s="89"/>
    </row>
    <row r="541" spans="3:53"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89"/>
      <c r="AD541" s="89"/>
      <c r="AE541" s="89"/>
      <c r="AF541" s="89"/>
      <c r="AG541" s="89"/>
      <c r="AH541" s="89"/>
      <c r="AI541" s="89"/>
      <c r="AJ541" s="89"/>
      <c r="AK541" s="89"/>
      <c r="AL541" s="89"/>
      <c r="AM541" s="89"/>
      <c r="AN541" s="89"/>
      <c r="AO541" s="89"/>
      <c r="AP541" s="89"/>
      <c r="AQ541" s="89"/>
      <c r="AR541" s="89"/>
      <c r="AS541" s="89"/>
      <c r="AT541" s="89"/>
      <c r="AU541" s="89"/>
      <c r="AV541" s="89"/>
      <c r="AW541" s="89"/>
      <c r="AX541" s="89"/>
      <c r="AY541" s="89"/>
      <c r="AZ541" s="89"/>
      <c r="BA541" s="89"/>
    </row>
    <row r="542" spans="3:53"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  <c r="AK542" s="89"/>
      <c r="AL542" s="89"/>
      <c r="AM542" s="89"/>
      <c r="AN542" s="89"/>
      <c r="AO542" s="89"/>
      <c r="AP542" s="89"/>
      <c r="AQ542" s="89"/>
      <c r="AR542" s="89"/>
      <c r="AS542" s="89"/>
      <c r="AT542" s="89"/>
      <c r="AU542" s="89"/>
      <c r="AV542" s="89"/>
      <c r="AW542" s="89"/>
      <c r="AX542" s="89"/>
      <c r="AY542" s="89"/>
      <c r="AZ542" s="89"/>
      <c r="BA542" s="89"/>
    </row>
    <row r="543" spans="3:53"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  <c r="AI543" s="89"/>
      <c r="AJ543" s="89"/>
      <c r="AK543" s="89"/>
      <c r="AL543" s="89"/>
      <c r="AM543" s="89"/>
      <c r="AN543" s="89"/>
      <c r="AO543" s="89"/>
      <c r="AP543" s="89"/>
      <c r="AQ543" s="89"/>
      <c r="AR543" s="89"/>
      <c r="AS543" s="89"/>
      <c r="AT543" s="89"/>
      <c r="AU543" s="89"/>
      <c r="AV543" s="89"/>
      <c r="AW543" s="89"/>
      <c r="AX543" s="89"/>
      <c r="AY543" s="89"/>
      <c r="AZ543" s="89"/>
      <c r="BA543" s="89"/>
    </row>
    <row r="544" spans="3:53"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89"/>
      <c r="AF544" s="89"/>
      <c r="AG544" s="89"/>
      <c r="AH544" s="89"/>
      <c r="AI544" s="89"/>
      <c r="AJ544" s="89"/>
      <c r="AK544" s="89"/>
      <c r="AL544" s="89"/>
      <c r="AM544" s="89"/>
      <c r="AN544" s="89"/>
      <c r="AO544" s="89"/>
      <c r="AP544" s="89"/>
      <c r="AQ544" s="89"/>
      <c r="AR544" s="89"/>
      <c r="AS544" s="89"/>
      <c r="AT544" s="89"/>
      <c r="AU544" s="89"/>
      <c r="AV544" s="89"/>
      <c r="AW544" s="89"/>
      <c r="AX544" s="89"/>
      <c r="AY544" s="89"/>
      <c r="AZ544" s="89"/>
      <c r="BA544" s="89"/>
    </row>
    <row r="545" spans="3:53"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  <c r="AI545" s="89"/>
      <c r="AJ545" s="89"/>
      <c r="AK545" s="89"/>
      <c r="AL545" s="89"/>
      <c r="AM545" s="89"/>
      <c r="AN545" s="89"/>
      <c r="AO545" s="89"/>
      <c r="AP545" s="89"/>
      <c r="AQ545" s="89"/>
      <c r="AR545" s="89"/>
      <c r="AS545" s="89"/>
      <c r="AT545" s="89"/>
      <c r="AU545" s="89"/>
      <c r="AV545" s="89"/>
      <c r="AW545" s="89"/>
      <c r="AX545" s="89"/>
      <c r="AY545" s="89"/>
      <c r="AZ545" s="89"/>
      <c r="BA545" s="89"/>
    </row>
    <row r="546" spans="3:53"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  <c r="AF546" s="89"/>
      <c r="AG546" s="89"/>
      <c r="AH546" s="89"/>
      <c r="AI546" s="89"/>
      <c r="AJ546" s="89"/>
      <c r="AK546" s="89"/>
      <c r="AL546" s="89"/>
      <c r="AM546" s="89"/>
      <c r="AN546" s="89"/>
      <c r="AO546" s="89"/>
      <c r="AP546" s="89"/>
      <c r="AQ546" s="89"/>
      <c r="AR546" s="89"/>
      <c r="AS546" s="89"/>
      <c r="AT546" s="89"/>
      <c r="AU546" s="89"/>
      <c r="AV546" s="89"/>
      <c r="AW546" s="89"/>
      <c r="AX546" s="89"/>
      <c r="AY546" s="89"/>
      <c r="AZ546" s="89"/>
      <c r="BA546" s="89"/>
    </row>
    <row r="547" spans="3:53"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  <c r="AF547" s="89"/>
      <c r="AG547" s="89"/>
      <c r="AH547" s="89"/>
      <c r="AI547" s="89"/>
      <c r="AJ547" s="89"/>
      <c r="AK547" s="89"/>
      <c r="AL547" s="89"/>
      <c r="AM547" s="89"/>
      <c r="AN547" s="89"/>
      <c r="AO547" s="89"/>
      <c r="AP547" s="89"/>
      <c r="AQ547" s="89"/>
      <c r="AR547" s="89"/>
      <c r="AS547" s="89"/>
      <c r="AT547" s="89"/>
      <c r="AU547" s="89"/>
      <c r="AV547" s="89"/>
      <c r="AW547" s="89"/>
      <c r="AX547" s="89"/>
      <c r="AY547" s="89"/>
      <c r="AZ547" s="89"/>
      <c r="BA547" s="89"/>
    </row>
    <row r="548" spans="3:53"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89"/>
      <c r="AF548" s="89"/>
      <c r="AG548" s="89"/>
      <c r="AH548" s="89"/>
      <c r="AI548" s="89"/>
      <c r="AJ548" s="89"/>
      <c r="AK548" s="89"/>
      <c r="AL548" s="89"/>
      <c r="AM548" s="89"/>
      <c r="AN548" s="89"/>
      <c r="AO548" s="89"/>
      <c r="AP548" s="89"/>
      <c r="AQ548" s="89"/>
      <c r="AR548" s="89"/>
      <c r="AS548" s="89"/>
      <c r="AT548" s="89"/>
      <c r="AU548" s="89"/>
      <c r="AV548" s="89"/>
      <c r="AW548" s="89"/>
      <c r="AX548" s="89"/>
      <c r="AY548" s="89"/>
      <c r="AZ548" s="89"/>
      <c r="BA548" s="89"/>
    </row>
    <row r="549" spans="3:53"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89"/>
      <c r="AF549" s="89"/>
      <c r="AG549" s="89"/>
      <c r="AH549" s="89"/>
      <c r="AI549" s="89"/>
      <c r="AJ549" s="89"/>
      <c r="AK549" s="89"/>
      <c r="AL549" s="89"/>
      <c r="AM549" s="89"/>
      <c r="AN549" s="89"/>
      <c r="AO549" s="89"/>
      <c r="AP549" s="89"/>
      <c r="AQ549" s="89"/>
      <c r="AR549" s="89"/>
      <c r="AS549" s="89"/>
      <c r="AT549" s="89"/>
      <c r="AU549" s="89"/>
      <c r="AV549" s="89"/>
      <c r="AW549" s="89"/>
      <c r="AX549" s="89"/>
      <c r="AY549" s="89"/>
      <c r="AZ549" s="89"/>
      <c r="BA549" s="89"/>
    </row>
    <row r="550" spans="3:53"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89"/>
      <c r="AD550" s="89"/>
      <c r="AE550" s="89"/>
      <c r="AF550" s="89"/>
      <c r="AG550" s="89"/>
      <c r="AH550" s="89"/>
      <c r="AI550" s="89"/>
      <c r="AJ550" s="89"/>
      <c r="AK550" s="89"/>
      <c r="AL550" s="89"/>
      <c r="AM550" s="89"/>
      <c r="AN550" s="89"/>
      <c r="AO550" s="89"/>
      <c r="AP550" s="89"/>
      <c r="AQ550" s="89"/>
      <c r="AR550" s="89"/>
      <c r="AS550" s="89"/>
      <c r="AT550" s="89"/>
      <c r="AU550" s="89"/>
      <c r="AV550" s="89"/>
      <c r="AW550" s="89"/>
      <c r="AX550" s="89"/>
      <c r="AY550" s="89"/>
      <c r="AZ550" s="89"/>
      <c r="BA550" s="89"/>
    </row>
    <row r="551" spans="3:53"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89"/>
      <c r="AF551" s="89"/>
      <c r="AG551" s="89"/>
      <c r="AH551" s="89"/>
      <c r="AI551" s="89"/>
      <c r="AJ551" s="89"/>
      <c r="AK551" s="89"/>
      <c r="AL551" s="89"/>
      <c r="AM551" s="89"/>
      <c r="AN551" s="89"/>
      <c r="AO551" s="89"/>
      <c r="AP551" s="89"/>
      <c r="AQ551" s="89"/>
      <c r="AR551" s="89"/>
      <c r="AS551" s="89"/>
      <c r="AT551" s="89"/>
      <c r="AU551" s="89"/>
      <c r="AV551" s="89"/>
      <c r="AW551" s="89"/>
      <c r="AX551" s="89"/>
      <c r="AY551" s="89"/>
      <c r="AZ551" s="89"/>
      <c r="BA551" s="89"/>
    </row>
    <row r="552" spans="3:53"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89"/>
      <c r="AD552" s="89"/>
      <c r="AE552" s="89"/>
      <c r="AF552" s="89"/>
      <c r="AG552" s="89"/>
      <c r="AH552" s="89"/>
      <c r="AI552" s="89"/>
      <c r="AJ552" s="89"/>
      <c r="AK552" s="89"/>
      <c r="AL552" s="89"/>
      <c r="AM552" s="89"/>
      <c r="AN552" s="89"/>
      <c r="AO552" s="89"/>
      <c r="AP552" s="89"/>
      <c r="AQ552" s="89"/>
      <c r="AR552" s="89"/>
      <c r="AS552" s="89"/>
      <c r="AT552" s="89"/>
      <c r="AU552" s="89"/>
      <c r="AV552" s="89"/>
      <c r="AW552" s="89"/>
      <c r="AX552" s="89"/>
      <c r="AY552" s="89"/>
      <c r="AZ552" s="89"/>
      <c r="BA552" s="89"/>
    </row>
    <row r="553" spans="3:53"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89"/>
      <c r="AD553" s="89"/>
      <c r="AE553" s="89"/>
      <c r="AF553" s="89"/>
      <c r="AG553" s="89"/>
      <c r="AH553" s="89"/>
      <c r="AI553" s="89"/>
      <c r="AJ553" s="89"/>
      <c r="AK553" s="89"/>
      <c r="AL553" s="89"/>
      <c r="AM553" s="89"/>
      <c r="AN553" s="89"/>
      <c r="AO553" s="89"/>
      <c r="AP553" s="89"/>
      <c r="AQ553" s="89"/>
      <c r="AR553" s="89"/>
      <c r="AS553" s="89"/>
      <c r="AT553" s="89"/>
      <c r="AU553" s="89"/>
      <c r="AV553" s="89"/>
      <c r="AW553" s="89"/>
      <c r="AX553" s="89"/>
      <c r="AY553" s="89"/>
      <c r="AZ553" s="89"/>
      <c r="BA553" s="89"/>
    </row>
    <row r="554" spans="3:53"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89"/>
      <c r="AD554" s="89"/>
      <c r="AE554" s="89"/>
      <c r="AF554" s="89"/>
      <c r="AG554" s="89"/>
      <c r="AH554" s="89"/>
      <c r="AI554" s="89"/>
      <c r="AJ554" s="89"/>
      <c r="AK554" s="89"/>
      <c r="AL554" s="89"/>
      <c r="AM554" s="89"/>
      <c r="AN554" s="89"/>
      <c r="AO554" s="89"/>
      <c r="AP554" s="89"/>
      <c r="AQ554" s="89"/>
      <c r="AR554" s="89"/>
      <c r="AS554" s="89"/>
      <c r="AT554" s="89"/>
      <c r="AU554" s="89"/>
      <c r="AV554" s="89"/>
      <c r="AW554" s="89"/>
      <c r="AX554" s="89"/>
      <c r="AY554" s="89"/>
      <c r="AZ554" s="89"/>
      <c r="BA554" s="89"/>
    </row>
    <row r="555" spans="3:53"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  <c r="AF555" s="89"/>
      <c r="AG555" s="89"/>
      <c r="AH555" s="89"/>
      <c r="AI555" s="89"/>
      <c r="AJ555" s="89"/>
      <c r="AK555" s="89"/>
      <c r="AL555" s="89"/>
      <c r="AM555" s="89"/>
      <c r="AN555" s="89"/>
      <c r="AO555" s="89"/>
      <c r="AP555" s="89"/>
      <c r="AQ555" s="89"/>
      <c r="AR555" s="89"/>
      <c r="AS555" s="89"/>
      <c r="AT555" s="89"/>
      <c r="AU555" s="89"/>
      <c r="AV555" s="89"/>
      <c r="AW555" s="89"/>
      <c r="AX555" s="89"/>
      <c r="AY555" s="89"/>
      <c r="AZ555" s="89"/>
      <c r="BA555" s="89"/>
    </row>
    <row r="556" spans="3:53"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89"/>
      <c r="AD556" s="89"/>
      <c r="AE556" s="89"/>
      <c r="AF556" s="89"/>
      <c r="AG556" s="89"/>
      <c r="AH556" s="89"/>
      <c r="AI556" s="89"/>
      <c r="AJ556" s="89"/>
      <c r="AK556" s="89"/>
      <c r="AL556" s="89"/>
      <c r="AM556" s="89"/>
      <c r="AN556" s="89"/>
      <c r="AO556" s="89"/>
      <c r="AP556" s="89"/>
      <c r="AQ556" s="89"/>
      <c r="AR556" s="89"/>
      <c r="AS556" s="89"/>
      <c r="AT556" s="89"/>
      <c r="AU556" s="89"/>
      <c r="AV556" s="89"/>
      <c r="AW556" s="89"/>
      <c r="AX556" s="89"/>
      <c r="AY556" s="89"/>
      <c r="AZ556" s="89"/>
      <c r="BA556" s="89"/>
    </row>
    <row r="557" spans="3:53"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  <c r="AD557" s="89"/>
      <c r="AE557" s="89"/>
      <c r="AF557" s="89"/>
      <c r="AG557" s="89"/>
      <c r="AH557" s="89"/>
      <c r="AI557" s="89"/>
      <c r="AJ557" s="89"/>
      <c r="AK557" s="89"/>
      <c r="AL557" s="89"/>
      <c r="AM557" s="89"/>
      <c r="AN557" s="89"/>
      <c r="AO557" s="89"/>
      <c r="AP557" s="89"/>
      <c r="AQ557" s="89"/>
      <c r="AR557" s="89"/>
      <c r="AS557" s="89"/>
      <c r="AT557" s="89"/>
      <c r="AU557" s="89"/>
      <c r="AV557" s="89"/>
      <c r="AW557" s="89"/>
      <c r="AX557" s="89"/>
      <c r="AY557" s="89"/>
      <c r="AZ557" s="89"/>
      <c r="BA557" s="89"/>
    </row>
    <row r="558" spans="3:53"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  <c r="AF558" s="89"/>
      <c r="AG558" s="89"/>
      <c r="AH558" s="89"/>
      <c r="AI558" s="89"/>
      <c r="AJ558" s="89"/>
      <c r="AK558" s="89"/>
      <c r="AL558" s="89"/>
      <c r="AM558" s="89"/>
      <c r="AN558" s="89"/>
      <c r="AO558" s="89"/>
      <c r="AP558" s="89"/>
      <c r="AQ558" s="89"/>
      <c r="AR558" s="89"/>
      <c r="AS558" s="89"/>
      <c r="AT558" s="89"/>
      <c r="AU558" s="89"/>
      <c r="AV558" s="89"/>
      <c r="AW558" s="89"/>
      <c r="AX558" s="89"/>
      <c r="AY558" s="89"/>
      <c r="AZ558" s="89"/>
      <c r="BA558" s="89"/>
    </row>
    <row r="559" spans="3:53"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89"/>
      <c r="AK559" s="89"/>
      <c r="AL559" s="89"/>
      <c r="AM559" s="89"/>
      <c r="AN559" s="89"/>
      <c r="AO559" s="89"/>
      <c r="AP559" s="89"/>
      <c r="AQ559" s="89"/>
      <c r="AR559" s="89"/>
      <c r="AS559" s="89"/>
      <c r="AT559" s="89"/>
      <c r="AU559" s="89"/>
      <c r="AV559" s="89"/>
      <c r="AW559" s="89"/>
      <c r="AX559" s="89"/>
      <c r="AY559" s="89"/>
      <c r="AZ559" s="89"/>
      <c r="BA559" s="89"/>
    </row>
    <row r="560" spans="3:53"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89"/>
      <c r="AD560" s="89"/>
      <c r="AE560" s="89"/>
      <c r="AF560" s="89"/>
      <c r="AG560" s="89"/>
      <c r="AH560" s="89"/>
      <c r="AI560" s="89"/>
      <c r="AJ560" s="89"/>
      <c r="AK560" s="89"/>
      <c r="AL560" s="89"/>
      <c r="AM560" s="89"/>
      <c r="AN560" s="89"/>
      <c r="AO560" s="89"/>
      <c r="AP560" s="89"/>
      <c r="AQ560" s="89"/>
      <c r="AR560" s="89"/>
      <c r="AS560" s="89"/>
      <c r="AT560" s="89"/>
      <c r="AU560" s="89"/>
      <c r="AV560" s="89"/>
      <c r="AW560" s="89"/>
      <c r="AX560" s="89"/>
      <c r="AY560" s="89"/>
      <c r="AZ560" s="89"/>
      <c r="BA560" s="89"/>
    </row>
    <row r="561" spans="3:53"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  <c r="AN561" s="89"/>
      <c r="AO561" s="89"/>
      <c r="AP561" s="89"/>
      <c r="AQ561" s="89"/>
      <c r="AR561" s="89"/>
      <c r="AS561" s="89"/>
      <c r="AT561" s="89"/>
      <c r="AU561" s="89"/>
      <c r="AV561" s="89"/>
      <c r="AW561" s="89"/>
      <c r="AX561" s="89"/>
      <c r="AY561" s="89"/>
      <c r="AZ561" s="89"/>
      <c r="BA561" s="89"/>
    </row>
    <row r="562" spans="3:53"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  <c r="AD562" s="89"/>
      <c r="AE562" s="89"/>
      <c r="AF562" s="89"/>
      <c r="AG562" s="89"/>
      <c r="AH562" s="89"/>
      <c r="AI562" s="89"/>
      <c r="AJ562" s="89"/>
      <c r="AK562" s="89"/>
      <c r="AL562" s="89"/>
      <c r="AM562" s="89"/>
      <c r="AN562" s="89"/>
      <c r="AO562" s="89"/>
      <c r="AP562" s="89"/>
      <c r="AQ562" s="89"/>
      <c r="AR562" s="89"/>
      <c r="AS562" s="89"/>
      <c r="AT562" s="89"/>
      <c r="AU562" s="89"/>
      <c r="AV562" s="89"/>
      <c r="AW562" s="89"/>
      <c r="AX562" s="89"/>
      <c r="AY562" s="89"/>
      <c r="AZ562" s="89"/>
      <c r="BA562" s="89"/>
    </row>
    <row r="563" spans="3:53"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89"/>
      <c r="AF563" s="89"/>
      <c r="AG563" s="89"/>
      <c r="AH563" s="89"/>
      <c r="AI563" s="89"/>
      <c r="AJ563" s="89"/>
      <c r="AK563" s="89"/>
      <c r="AL563" s="89"/>
      <c r="AM563" s="89"/>
      <c r="AN563" s="89"/>
      <c r="AO563" s="89"/>
      <c r="AP563" s="89"/>
      <c r="AQ563" s="89"/>
      <c r="AR563" s="89"/>
      <c r="AS563" s="89"/>
      <c r="AT563" s="89"/>
      <c r="AU563" s="89"/>
      <c r="AV563" s="89"/>
      <c r="AW563" s="89"/>
      <c r="AX563" s="89"/>
      <c r="AY563" s="89"/>
      <c r="AZ563" s="89"/>
      <c r="BA563" s="89"/>
    </row>
    <row r="564" spans="3:53"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89"/>
      <c r="AF564" s="89"/>
      <c r="AG564" s="89"/>
      <c r="AH564" s="89"/>
      <c r="AI564" s="89"/>
      <c r="AJ564" s="89"/>
      <c r="AK564" s="89"/>
      <c r="AL564" s="89"/>
      <c r="AM564" s="89"/>
      <c r="AN564" s="89"/>
      <c r="AO564" s="89"/>
      <c r="AP564" s="89"/>
      <c r="AQ564" s="89"/>
      <c r="AR564" s="89"/>
      <c r="AS564" s="89"/>
      <c r="AT564" s="89"/>
      <c r="AU564" s="89"/>
      <c r="AV564" s="89"/>
      <c r="AW564" s="89"/>
      <c r="AX564" s="89"/>
      <c r="AY564" s="89"/>
      <c r="AZ564" s="89"/>
      <c r="BA564" s="89"/>
    </row>
    <row r="565" spans="3:53"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89"/>
      <c r="AF565" s="89"/>
      <c r="AG565" s="89"/>
      <c r="AH565" s="89"/>
      <c r="AI565" s="89"/>
      <c r="AJ565" s="89"/>
      <c r="AK565" s="89"/>
      <c r="AL565" s="89"/>
      <c r="AM565" s="89"/>
      <c r="AN565" s="89"/>
      <c r="AO565" s="89"/>
      <c r="AP565" s="89"/>
      <c r="AQ565" s="89"/>
      <c r="AR565" s="89"/>
      <c r="AS565" s="89"/>
      <c r="AT565" s="89"/>
      <c r="AU565" s="89"/>
      <c r="AV565" s="89"/>
      <c r="AW565" s="89"/>
      <c r="AX565" s="89"/>
      <c r="AY565" s="89"/>
      <c r="AZ565" s="89"/>
      <c r="BA565" s="89"/>
    </row>
    <row r="566" spans="3:53"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  <c r="AF566" s="89"/>
      <c r="AG566" s="89"/>
      <c r="AH566" s="89"/>
      <c r="AI566" s="89"/>
      <c r="AJ566" s="89"/>
      <c r="AK566" s="89"/>
      <c r="AL566" s="89"/>
      <c r="AM566" s="89"/>
      <c r="AN566" s="89"/>
      <c r="AO566" s="89"/>
      <c r="AP566" s="89"/>
      <c r="AQ566" s="89"/>
      <c r="AR566" s="89"/>
      <c r="AS566" s="89"/>
      <c r="AT566" s="89"/>
      <c r="AU566" s="89"/>
      <c r="AV566" s="89"/>
      <c r="AW566" s="89"/>
      <c r="AX566" s="89"/>
      <c r="AY566" s="89"/>
      <c r="AZ566" s="89"/>
      <c r="BA566" s="89"/>
    </row>
    <row r="567" spans="3:53"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89"/>
      <c r="AF567" s="89"/>
      <c r="AG567" s="89"/>
      <c r="AH567" s="89"/>
      <c r="AI567" s="89"/>
      <c r="AJ567" s="89"/>
      <c r="AK567" s="89"/>
      <c r="AL567" s="89"/>
      <c r="AM567" s="89"/>
      <c r="AN567" s="89"/>
      <c r="AO567" s="89"/>
      <c r="AP567" s="89"/>
      <c r="AQ567" s="89"/>
      <c r="AR567" s="89"/>
      <c r="AS567" s="89"/>
      <c r="AT567" s="89"/>
      <c r="AU567" s="89"/>
      <c r="AV567" s="89"/>
      <c r="AW567" s="89"/>
      <c r="AX567" s="89"/>
      <c r="AY567" s="89"/>
      <c r="AZ567" s="89"/>
      <c r="BA567" s="89"/>
    </row>
    <row r="568" spans="3:53"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89"/>
      <c r="AF568" s="89"/>
      <c r="AG568" s="89"/>
      <c r="AH568" s="89"/>
      <c r="AI568" s="89"/>
      <c r="AJ568" s="89"/>
      <c r="AK568" s="89"/>
      <c r="AL568" s="89"/>
      <c r="AM568" s="89"/>
      <c r="AN568" s="89"/>
      <c r="AO568" s="89"/>
      <c r="AP568" s="89"/>
      <c r="AQ568" s="89"/>
      <c r="AR568" s="89"/>
      <c r="AS568" s="89"/>
      <c r="AT568" s="89"/>
      <c r="AU568" s="89"/>
      <c r="AV568" s="89"/>
      <c r="AW568" s="89"/>
      <c r="AX568" s="89"/>
      <c r="AY568" s="89"/>
      <c r="AZ568" s="89"/>
      <c r="BA568" s="89"/>
    </row>
    <row r="569" spans="3:53"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  <c r="AN569" s="89"/>
      <c r="AO569" s="89"/>
      <c r="AP569" s="89"/>
      <c r="AQ569" s="89"/>
      <c r="AR569" s="89"/>
      <c r="AS569" s="89"/>
      <c r="AT569" s="89"/>
      <c r="AU569" s="89"/>
      <c r="AV569" s="89"/>
      <c r="AW569" s="89"/>
      <c r="AX569" s="89"/>
      <c r="AY569" s="89"/>
      <c r="AZ569" s="89"/>
      <c r="BA569" s="89"/>
    </row>
    <row r="570" spans="3:53"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  <c r="AV570" s="89"/>
      <c r="AW570" s="89"/>
      <c r="AX570" s="89"/>
      <c r="AY570" s="89"/>
      <c r="AZ570" s="89"/>
      <c r="BA570" s="89"/>
    </row>
    <row r="571" spans="3:53"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89"/>
      <c r="AI571" s="89"/>
      <c r="AJ571" s="89"/>
      <c r="AK571" s="89"/>
      <c r="AL571" s="89"/>
      <c r="AM571" s="89"/>
      <c r="AN571" s="89"/>
      <c r="AO571" s="89"/>
      <c r="AP571" s="89"/>
      <c r="AQ571" s="89"/>
      <c r="AR571" s="89"/>
      <c r="AS571" s="89"/>
      <c r="AT571" s="89"/>
      <c r="AU571" s="89"/>
      <c r="AV571" s="89"/>
      <c r="AW571" s="89"/>
      <c r="AX571" s="89"/>
      <c r="AY571" s="89"/>
      <c r="AZ571" s="89"/>
      <c r="BA571" s="89"/>
    </row>
    <row r="572" spans="3:53"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89"/>
      <c r="AD572" s="89"/>
      <c r="AE572" s="89"/>
      <c r="AF572" s="89"/>
      <c r="AG572" s="89"/>
      <c r="AH572" s="89"/>
      <c r="AI572" s="89"/>
      <c r="AJ572" s="89"/>
      <c r="AK572" s="89"/>
      <c r="AL572" s="89"/>
      <c r="AM572" s="89"/>
      <c r="AN572" s="89"/>
      <c r="AO572" s="89"/>
      <c r="AP572" s="89"/>
      <c r="AQ572" s="89"/>
      <c r="AR572" s="89"/>
      <c r="AS572" s="89"/>
      <c r="AT572" s="89"/>
      <c r="AU572" s="89"/>
      <c r="AV572" s="89"/>
      <c r="AW572" s="89"/>
      <c r="AX572" s="89"/>
      <c r="AY572" s="89"/>
      <c r="AZ572" s="89"/>
      <c r="BA572" s="89"/>
    </row>
    <row r="573" spans="3:53"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89"/>
      <c r="AD573" s="89"/>
      <c r="AE573" s="89"/>
      <c r="AF573" s="89"/>
      <c r="AG573" s="89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  <c r="AV573" s="89"/>
      <c r="AW573" s="89"/>
      <c r="AX573" s="89"/>
      <c r="AY573" s="89"/>
      <c r="AZ573" s="89"/>
      <c r="BA573" s="89"/>
    </row>
    <row r="574" spans="3:53"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89"/>
      <c r="AN574" s="89"/>
      <c r="AO574" s="89"/>
      <c r="AP574" s="89"/>
      <c r="AQ574" s="89"/>
      <c r="AR574" s="89"/>
      <c r="AS574" s="89"/>
      <c r="AT574" s="89"/>
      <c r="AU574" s="89"/>
      <c r="AV574" s="89"/>
      <c r="AW574" s="89"/>
      <c r="AX574" s="89"/>
      <c r="AY574" s="89"/>
      <c r="AZ574" s="89"/>
      <c r="BA574" s="89"/>
    </row>
    <row r="575" spans="3:53"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  <c r="AF575" s="89"/>
      <c r="AG575" s="89"/>
      <c r="AH575" s="89"/>
      <c r="AI575" s="89"/>
      <c r="AJ575" s="89"/>
      <c r="AK575" s="89"/>
      <c r="AL575" s="89"/>
      <c r="AM575" s="89"/>
      <c r="AN575" s="89"/>
      <c r="AO575" s="89"/>
      <c r="AP575" s="89"/>
      <c r="AQ575" s="89"/>
      <c r="AR575" s="89"/>
      <c r="AS575" s="89"/>
      <c r="AT575" s="89"/>
      <c r="AU575" s="89"/>
      <c r="AV575" s="89"/>
      <c r="AW575" s="89"/>
      <c r="AX575" s="89"/>
      <c r="AY575" s="89"/>
      <c r="AZ575" s="89"/>
      <c r="BA575" s="89"/>
    </row>
    <row r="576" spans="3:53"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89"/>
      <c r="AD576" s="89"/>
      <c r="AE576" s="89"/>
      <c r="AF576" s="89"/>
      <c r="AG576" s="89"/>
      <c r="AH576" s="89"/>
      <c r="AI576" s="89"/>
      <c r="AJ576" s="89"/>
      <c r="AK576" s="89"/>
      <c r="AL576" s="89"/>
      <c r="AM576" s="89"/>
      <c r="AN576" s="89"/>
      <c r="AO576" s="89"/>
      <c r="AP576" s="89"/>
      <c r="AQ576" s="89"/>
      <c r="AR576" s="89"/>
      <c r="AS576" s="89"/>
      <c r="AT576" s="89"/>
      <c r="AU576" s="89"/>
      <c r="AV576" s="89"/>
      <c r="AW576" s="89"/>
      <c r="AX576" s="89"/>
      <c r="AY576" s="89"/>
      <c r="AZ576" s="89"/>
      <c r="BA576" s="89"/>
    </row>
    <row r="577" spans="3:53"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  <c r="AD577" s="89"/>
      <c r="AE577" s="89"/>
      <c r="AF577" s="89"/>
      <c r="AG577" s="89"/>
      <c r="AH577" s="89"/>
      <c r="AI577" s="89"/>
      <c r="AJ577" s="89"/>
      <c r="AK577" s="89"/>
      <c r="AL577" s="89"/>
      <c r="AM577" s="89"/>
      <c r="AN577" s="89"/>
      <c r="AO577" s="89"/>
      <c r="AP577" s="89"/>
      <c r="AQ577" s="89"/>
      <c r="AR577" s="89"/>
      <c r="AS577" s="89"/>
      <c r="AT577" s="89"/>
      <c r="AU577" s="89"/>
      <c r="AV577" s="89"/>
      <c r="AW577" s="89"/>
      <c r="AX577" s="89"/>
      <c r="AY577" s="89"/>
      <c r="AZ577" s="89"/>
      <c r="BA577" s="89"/>
    </row>
    <row r="578" spans="3:53"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89"/>
      <c r="AF578" s="89"/>
      <c r="AG578" s="89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  <c r="AV578" s="89"/>
      <c r="AW578" s="89"/>
      <c r="AX578" s="89"/>
      <c r="AY578" s="89"/>
      <c r="AZ578" s="89"/>
      <c r="BA578" s="89"/>
    </row>
    <row r="579" spans="3:53"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89"/>
    </row>
    <row r="580" spans="3:53"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89"/>
      <c r="AD580" s="89"/>
      <c r="AE580" s="89"/>
      <c r="AF580" s="89"/>
      <c r="AG580" s="89"/>
      <c r="AH580" s="89"/>
      <c r="AI580" s="89"/>
      <c r="AJ580" s="89"/>
      <c r="AK580" s="89"/>
      <c r="AL580" s="89"/>
      <c r="AM580" s="89"/>
      <c r="AN580" s="89"/>
      <c r="AO580" s="89"/>
      <c r="AP580" s="89"/>
      <c r="AQ580" s="89"/>
      <c r="AR580" s="89"/>
      <c r="AS580" s="89"/>
      <c r="AT580" s="89"/>
      <c r="AU580" s="89"/>
      <c r="AV580" s="89"/>
      <c r="AW580" s="89"/>
      <c r="AX580" s="89"/>
      <c r="AY580" s="89"/>
      <c r="AZ580" s="89"/>
      <c r="BA580" s="89"/>
    </row>
    <row r="581" spans="3:53"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  <c r="AD581" s="89"/>
      <c r="AE581" s="89"/>
      <c r="AF581" s="89"/>
      <c r="AG581" s="89"/>
      <c r="AH581" s="89"/>
      <c r="AI581" s="89"/>
      <c r="AJ581" s="89"/>
      <c r="AK581" s="89"/>
      <c r="AL581" s="89"/>
      <c r="AM581" s="89"/>
      <c r="AN581" s="89"/>
      <c r="AO581" s="89"/>
      <c r="AP581" s="89"/>
      <c r="AQ581" s="89"/>
      <c r="AR581" s="89"/>
      <c r="AS581" s="89"/>
      <c r="AT581" s="89"/>
      <c r="AU581" s="89"/>
      <c r="AV581" s="89"/>
      <c r="AW581" s="89"/>
      <c r="AX581" s="89"/>
      <c r="AY581" s="89"/>
      <c r="AZ581" s="89"/>
      <c r="BA581" s="89"/>
    </row>
    <row r="582" spans="3:53"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  <c r="AD582" s="89"/>
      <c r="AE582" s="89"/>
      <c r="AF582" s="89"/>
      <c r="AG582" s="89"/>
      <c r="AH582" s="89"/>
      <c r="AI582" s="89"/>
      <c r="AJ582" s="89"/>
      <c r="AK582" s="89"/>
      <c r="AL582" s="89"/>
      <c r="AM582" s="89"/>
      <c r="AN582" s="89"/>
      <c r="AO582" s="89"/>
      <c r="AP582" s="89"/>
      <c r="AQ582" s="89"/>
      <c r="AR582" s="89"/>
      <c r="AS582" s="89"/>
      <c r="AT582" s="89"/>
      <c r="AU582" s="89"/>
      <c r="AV582" s="89"/>
      <c r="AW582" s="89"/>
      <c r="AX582" s="89"/>
      <c r="AY582" s="89"/>
      <c r="AZ582" s="89"/>
      <c r="BA582" s="89"/>
    </row>
    <row r="583" spans="3:53"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  <c r="AD583" s="89"/>
      <c r="AE583" s="89"/>
      <c r="AF583" s="89"/>
      <c r="AG583" s="89"/>
      <c r="AH583" s="89"/>
      <c r="AI583" s="89"/>
      <c r="AJ583" s="89"/>
      <c r="AK583" s="89"/>
      <c r="AL583" s="89"/>
      <c r="AM583" s="89"/>
      <c r="AN583" s="89"/>
      <c r="AO583" s="89"/>
      <c r="AP583" s="89"/>
      <c r="AQ583" s="89"/>
      <c r="AR583" s="89"/>
      <c r="AS583" s="89"/>
      <c r="AT583" s="89"/>
      <c r="AU583" s="89"/>
      <c r="AV583" s="89"/>
      <c r="AW583" s="89"/>
      <c r="AX583" s="89"/>
      <c r="AY583" s="89"/>
      <c r="AZ583" s="89"/>
      <c r="BA583" s="89"/>
    </row>
    <row r="584" spans="3:53"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  <c r="AD584" s="89"/>
      <c r="AE584" s="89"/>
      <c r="AF584" s="89"/>
      <c r="AG584" s="89"/>
      <c r="AH584" s="89"/>
      <c r="AI584" s="89"/>
      <c r="AJ584" s="89"/>
      <c r="AK584" s="89"/>
      <c r="AL584" s="89"/>
      <c r="AM584" s="89"/>
      <c r="AN584" s="89"/>
      <c r="AO584" s="89"/>
      <c r="AP584" s="89"/>
      <c r="AQ584" s="89"/>
      <c r="AR584" s="89"/>
      <c r="AS584" s="89"/>
      <c r="AT584" s="89"/>
      <c r="AU584" s="89"/>
      <c r="AV584" s="89"/>
      <c r="AW584" s="89"/>
      <c r="AX584" s="89"/>
      <c r="AY584" s="89"/>
      <c r="AZ584" s="89"/>
      <c r="BA584" s="89"/>
    </row>
    <row r="585" spans="3:53"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/>
      <c r="AL585" s="89"/>
      <c r="AM585" s="89"/>
      <c r="AN585" s="89"/>
      <c r="AO585" s="89"/>
      <c r="AP585" s="89"/>
      <c r="AQ585" s="89"/>
      <c r="AR585" s="89"/>
      <c r="AS585" s="89"/>
      <c r="AT585" s="89"/>
      <c r="AU585" s="89"/>
      <c r="AV585" s="89"/>
      <c r="AW585" s="89"/>
      <c r="AX585" s="89"/>
      <c r="AY585" s="89"/>
      <c r="AZ585" s="89"/>
      <c r="BA585" s="89"/>
    </row>
    <row r="586" spans="3:53"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89"/>
      <c r="AD586" s="89"/>
      <c r="AE586" s="89"/>
      <c r="AF586" s="89"/>
      <c r="AG586" s="89"/>
      <c r="AH586" s="89"/>
      <c r="AI586" s="89"/>
      <c r="AJ586" s="89"/>
      <c r="AK586" s="89"/>
      <c r="AL586" s="89"/>
      <c r="AM586" s="89"/>
      <c r="AN586" s="89"/>
      <c r="AO586" s="89"/>
      <c r="AP586" s="89"/>
      <c r="AQ586" s="89"/>
      <c r="AR586" s="89"/>
      <c r="AS586" s="89"/>
      <c r="AT586" s="89"/>
      <c r="AU586" s="89"/>
      <c r="AV586" s="89"/>
      <c r="AW586" s="89"/>
      <c r="AX586" s="89"/>
      <c r="AY586" s="89"/>
      <c r="AZ586" s="89"/>
      <c r="BA586" s="89"/>
    </row>
    <row r="587" spans="3:53"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  <c r="AF587" s="89"/>
      <c r="AG587" s="89"/>
      <c r="AH587" s="89"/>
      <c r="AI587" s="89"/>
      <c r="AJ587" s="89"/>
      <c r="AK587" s="89"/>
      <c r="AL587" s="89"/>
      <c r="AM587" s="89"/>
      <c r="AN587" s="89"/>
      <c r="AO587" s="89"/>
      <c r="AP587" s="89"/>
      <c r="AQ587" s="89"/>
      <c r="AR587" s="89"/>
      <c r="AS587" s="89"/>
      <c r="AT587" s="89"/>
      <c r="AU587" s="89"/>
      <c r="AV587" s="89"/>
      <c r="AW587" s="89"/>
      <c r="AX587" s="89"/>
      <c r="AY587" s="89"/>
      <c r="AZ587" s="89"/>
      <c r="BA587" s="89"/>
    </row>
    <row r="588" spans="3:53"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  <c r="AF588" s="89"/>
      <c r="AG588" s="89"/>
      <c r="AH588" s="89"/>
      <c r="AI588" s="89"/>
      <c r="AJ588" s="89"/>
      <c r="AK588" s="89"/>
      <c r="AL588" s="89"/>
      <c r="AM588" s="89"/>
      <c r="AN588" s="89"/>
      <c r="AO588" s="89"/>
      <c r="AP588" s="89"/>
      <c r="AQ588" s="89"/>
      <c r="AR588" s="89"/>
      <c r="AS588" s="89"/>
      <c r="AT588" s="89"/>
      <c r="AU588" s="89"/>
      <c r="AV588" s="89"/>
      <c r="AW588" s="89"/>
      <c r="AX588" s="89"/>
      <c r="AY588" s="89"/>
      <c r="AZ588" s="89"/>
      <c r="BA588" s="89"/>
    </row>
    <row r="589" spans="3:53"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  <c r="AD589" s="89"/>
      <c r="AE589" s="89"/>
      <c r="AF589" s="89"/>
      <c r="AG589" s="89"/>
      <c r="AH589" s="89"/>
      <c r="AI589" s="89"/>
      <c r="AJ589" s="89"/>
      <c r="AK589" s="89"/>
      <c r="AL589" s="89"/>
      <c r="AM589" s="89"/>
      <c r="AN589" s="89"/>
      <c r="AO589" s="89"/>
      <c r="AP589" s="89"/>
      <c r="AQ589" s="89"/>
      <c r="AR589" s="89"/>
      <c r="AS589" s="89"/>
      <c r="AT589" s="89"/>
      <c r="AU589" s="89"/>
      <c r="AV589" s="89"/>
      <c r="AW589" s="89"/>
      <c r="AX589" s="89"/>
      <c r="AY589" s="89"/>
      <c r="AZ589" s="89"/>
      <c r="BA589" s="89"/>
    </row>
    <row r="590" spans="3:53"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89"/>
      <c r="AD590" s="89"/>
      <c r="AE590" s="89"/>
      <c r="AF590" s="89"/>
      <c r="AG590" s="89"/>
      <c r="AH590" s="89"/>
      <c r="AI590" s="89"/>
      <c r="AJ590" s="89"/>
      <c r="AK590" s="89"/>
      <c r="AL590" s="89"/>
      <c r="AM590" s="89"/>
      <c r="AN590" s="89"/>
      <c r="AO590" s="89"/>
      <c r="AP590" s="89"/>
      <c r="AQ590" s="89"/>
      <c r="AR590" s="89"/>
      <c r="AS590" s="89"/>
      <c r="AT590" s="89"/>
      <c r="AU590" s="89"/>
      <c r="AV590" s="89"/>
      <c r="AW590" s="89"/>
      <c r="AX590" s="89"/>
      <c r="AY590" s="89"/>
      <c r="AZ590" s="89"/>
      <c r="BA590" s="89"/>
    </row>
    <row r="591" spans="3:53"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  <c r="AD591" s="89"/>
      <c r="AE591" s="89"/>
      <c r="AF591" s="89"/>
      <c r="AG591" s="89"/>
      <c r="AH591" s="89"/>
      <c r="AI591" s="89"/>
      <c r="AJ591" s="89"/>
      <c r="AK591" s="89"/>
      <c r="AL591" s="89"/>
      <c r="AM591" s="89"/>
      <c r="AN591" s="89"/>
      <c r="AO591" s="89"/>
      <c r="AP591" s="89"/>
      <c r="AQ591" s="89"/>
      <c r="AR591" s="89"/>
      <c r="AS591" s="89"/>
      <c r="AT591" s="89"/>
      <c r="AU591" s="89"/>
      <c r="AV591" s="89"/>
      <c r="AW591" s="89"/>
      <c r="AX591" s="89"/>
      <c r="AY591" s="89"/>
      <c r="AZ591" s="89"/>
      <c r="BA591" s="89"/>
    </row>
    <row r="592" spans="3:53"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  <c r="AD592" s="89"/>
      <c r="AE592" s="89"/>
      <c r="AF592" s="89"/>
      <c r="AG592" s="89"/>
      <c r="AH592" s="89"/>
      <c r="AI592" s="89"/>
      <c r="AJ592" s="89"/>
      <c r="AK592" s="89"/>
      <c r="AL592" s="89"/>
      <c r="AM592" s="89"/>
      <c r="AN592" s="89"/>
      <c r="AO592" s="89"/>
      <c r="AP592" s="89"/>
      <c r="AQ592" s="89"/>
      <c r="AR592" s="89"/>
      <c r="AS592" s="89"/>
      <c r="AT592" s="89"/>
      <c r="AU592" s="89"/>
      <c r="AV592" s="89"/>
      <c r="AW592" s="89"/>
      <c r="AX592" s="89"/>
      <c r="AY592" s="89"/>
      <c r="AZ592" s="89"/>
      <c r="BA592" s="89"/>
    </row>
    <row r="593" spans="3:53"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89"/>
      <c r="AD593" s="89"/>
      <c r="AE593" s="89"/>
      <c r="AF593" s="89"/>
      <c r="AG593" s="89"/>
      <c r="AH593" s="89"/>
      <c r="AI593" s="89"/>
      <c r="AJ593" s="89"/>
      <c r="AK593" s="89"/>
      <c r="AL593" s="89"/>
      <c r="AM593" s="89"/>
      <c r="AN593" s="89"/>
      <c r="AO593" s="89"/>
      <c r="AP593" s="89"/>
      <c r="AQ593" s="89"/>
      <c r="AR593" s="89"/>
      <c r="AS593" s="89"/>
      <c r="AT593" s="89"/>
      <c r="AU593" s="89"/>
      <c r="AV593" s="89"/>
      <c r="AW593" s="89"/>
      <c r="AX593" s="89"/>
      <c r="AY593" s="89"/>
      <c r="AZ593" s="89"/>
      <c r="BA593" s="89"/>
    </row>
    <row r="594" spans="3:53"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  <c r="AD594" s="89"/>
      <c r="AE594" s="89"/>
      <c r="AF594" s="89"/>
      <c r="AG594" s="89"/>
      <c r="AH594" s="89"/>
      <c r="AI594" s="89"/>
      <c r="AJ594" s="89"/>
      <c r="AK594" s="89"/>
      <c r="AL594" s="89"/>
      <c r="AM594" s="89"/>
      <c r="AN594" s="89"/>
      <c r="AO594" s="89"/>
      <c r="AP594" s="89"/>
      <c r="AQ594" s="89"/>
      <c r="AR594" s="89"/>
      <c r="AS594" s="89"/>
      <c r="AT594" s="89"/>
      <c r="AU594" s="89"/>
      <c r="AV594" s="89"/>
      <c r="AW594" s="89"/>
      <c r="AX594" s="89"/>
      <c r="AY594" s="89"/>
      <c r="AZ594" s="89"/>
      <c r="BA594" s="89"/>
    </row>
    <row r="595" spans="3:53"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89"/>
      <c r="AD595" s="89"/>
      <c r="AE595" s="89"/>
      <c r="AF595" s="89"/>
      <c r="AG595" s="89"/>
      <c r="AH595" s="89"/>
      <c r="AI595" s="89"/>
      <c r="AJ595" s="89"/>
      <c r="AK595" s="89"/>
      <c r="AL595" s="89"/>
      <c r="AM595" s="89"/>
      <c r="AN595" s="89"/>
      <c r="AO595" s="89"/>
      <c r="AP595" s="89"/>
      <c r="AQ595" s="89"/>
      <c r="AR595" s="89"/>
      <c r="AS595" s="89"/>
      <c r="AT595" s="89"/>
      <c r="AU595" s="89"/>
      <c r="AV595" s="89"/>
      <c r="AW595" s="89"/>
      <c r="AX595" s="89"/>
      <c r="AY595" s="89"/>
      <c r="AZ595" s="89"/>
      <c r="BA595" s="89"/>
    </row>
    <row r="596" spans="3:53"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89"/>
      <c r="AF596" s="89"/>
      <c r="AG596" s="89"/>
      <c r="AH596" s="89"/>
      <c r="AI596" s="89"/>
      <c r="AJ596" s="89"/>
      <c r="AK596" s="89"/>
      <c r="AL596" s="89"/>
      <c r="AM596" s="89"/>
      <c r="AN596" s="89"/>
      <c r="AO596" s="89"/>
      <c r="AP596" s="89"/>
      <c r="AQ596" s="89"/>
      <c r="AR596" s="89"/>
      <c r="AS596" s="89"/>
      <c r="AT596" s="89"/>
      <c r="AU596" s="89"/>
      <c r="AV596" s="89"/>
      <c r="AW596" s="89"/>
      <c r="AX596" s="89"/>
      <c r="AY596" s="89"/>
      <c r="AZ596" s="89"/>
      <c r="BA596" s="89"/>
    </row>
    <row r="597" spans="3:53"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89"/>
      <c r="AC597" s="89"/>
      <c r="AD597" s="89"/>
      <c r="AE597" s="89"/>
      <c r="AF597" s="89"/>
      <c r="AG597" s="89"/>
      <c r="AH597" s="89"/>
      <c r="AI597" s="89"/>
      <c r="AJ597" s="89"/>
      <c r="AK597" s="89"/>
      <c r="AL597" s="89"/>
      <c r="AM597" s="89"/>
      <c r="AN597" s="89"/>
      <c r="AO597" s="89"/>
      <c r="AP597" s="89"/>
      <c r="AQ597" s="89"/>
      <c r="AR597" s="89"/>
      <c r="AS597" s="89"/>
      <c r="AT597" s="89"/>
      <c r="AU597" s="89"/>
      <c r="AV597" s="89"/>
      <c r="AW597" s="89"/>
      <c r="AX597" s="89"/>
      <c r="AY597" s="89"/>
      <c r="AZ597" s="89"/>
      <c r="BA597" s="89"/>
    </row>
    <row r="598" spans="3:53"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89"/>
      <c r="AC598" s="89"/>
      <c r="AD598" s="89"/>
      <c r="AE598" s="89"/>
      <c r="AF598" s="89"/>
      <c r="AG598" s="89"/>
      <c r="AH598" s="89"/>
      <c r="AI598" s="89"/>
      <c r="AJ598" s="89"/>
      <c r="AK598" s="89"/>
      <c r="AL598" s="89"/>
      <c r="AM598" s="89"/>
      <c r="AN598" s="89"/>
      <c r="AO598" s="89"/>
      <c r="AP598" s="89"/>
      <c r="AQ598" s="89"/>
      <c r="AR598" s="89"/>
      <c r="AS598" s="89"/>
      <c r="AT598" s="89"/>
      <c r="AU598" s="89"/>
      <c r="AV598" s="89"/>
      <c r="AW598" s="89"/>
      <c r="AX598" s="89"/>
      <c r="AY598" s="89"/>
      <c r="AZ598" s="89"/>
      <c r="BA598" s="89"/>
    </row>
    <row r="599" spans="3:53"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89"/>
      <c r="AC599" s="89"/>
      <c r="AD599" s="89"/>
      <c r="AE599" s="89"/>
      <c r="AF599" s="89"/>
      <c r="AG599" s="89"/>
      <c r="AH599" s="89"/>
      <c r="AI599" s="89"/>
      <c r="AJ599" s="89"/>
      <c r="AK599" s="89"/>
      <c r="AL599" s="89"/>
      <c r="AM599" s="89"/>
      <c r="AN599" s="89"/>
      <c r="AO599" s="89"/>
      <c r="AP599" s="89"/>
      <c r="AQ599" s="89"/>
      <c r="AR599" s="89"/>
      <c r="AS599" s="89"/>
      <c r="AT599" s="89"/>
      <c r="AU599" s="89"/>
      <c r="AV599" s="89"/>
      <c r="AW599" s="89"/>
      <c r="AX599" s="89"/>
      <c r="AY599" s="89"/>
      <c r="AZ599" s="89"/>
      <c r="BA599" s="89"/>
    </row>
    <row r="600" spans="3:53"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89"/>
      <c r="AC600" s="89"/>
      <c r="AD600" s="89"/>
      <c r="AE600" s="89"/>
      <c r="AF600" s="89"/>
      <c r="AG600" s="89"/>
      <c r="AH600" s="89"/>
      <c r="AI600" s="89"/>
      <c r="AJ600" s="89"/>
      <c r="AK600" s="89"/>
      <c r="AL600" s="89"/>
      <c r="AM600" s="89"/>
      <c r="AN600" s="89"/>
      <c r="AO600" s="89"/>
      <c r="AP600" s="89"/>
      <c r="AQ600" s="89"/>
      <c r="AR600" s="89"/>
      <c r="AS600" s="89"/>
      <c r="AT600" s="89"/>
      <c r="AU600" s="89"/>
      <c r="AV600" s="89"/>
      <c r="AW600" s="89"/>
      <c r="AX600" s="89"/>
      <c r="AY600" s="89"/>
      <c r="AZ600" s="89"/>
      <c r="BA600" s="89"/>
    </row>
    <row r="601" spans="3:53"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89"/>
      <c r="AC601" s="89"/>
      <c r="AD601" s="89"/>
      <c r="AE601" s="89"/>
      <c r="AF601" s="89"/>
      <c r="AG601" s="89"/>
      <c r="AH601" s="89"/>
      <c r="AI601" s="89"/>
      <c r="AJ601" s="89"/>
      <c r="AK601" s="89"/>
      <c r="AL601" s="89"/>
      <c r="AM601" s="89"/>
      <c r="AN601" s="89"/>
      <c r="AO601" s="89"/>
      <c r="AP601" s="89"/>
      <c r="AQ601" s="89"/>
      <c r="AR601" s="89"/>
      <c r="AS601" s="89"/>
      <c r="AT601" s="89"/>
      <c r="AU601" s="89"/>
      <c r="AV601" s="89"/>
      <c r="AW601" s="89"/>
      <c r="AX601" s="89"/>
      <c r="AY601" s="89"/>
      <c r="AZ601" s="89"/>
      <c r="BA601" s="89"/>
    </row>
    <row r="602" spans="3:53"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89"/>
      <c r="AC602" s="89"/>
      <c r="AD602" s="89"/>
      <c r="AE602" s="89"/>
      <c r="AF602" s="89"/>
      <c r="AG602" s="89"/>
      <c r="AH602" s="89"/>
      <c r="AI602" s="89"/>
      <c r="AJ602" s="89"/>
      <c r="AK602" s="89"/>
      <c r="AL602" s="89"/>
      <c r="AM602" s="89"/>
      <c r="AN602" s="89"/>
      <c r="AO602" s="89"/>
      <c r="AP602" s="89"/>
      <c r="AQ602" s="89"/>
      <c r="AR602" s="89"/>
      <c r="AS602" s="89"/>
      <c r="AT602" s="89"/>
      <c r="AU602" s="89"/>
      <c r="AV602" s="89"/>
      <c r="AW602" s="89"/>
      <c r="AX602" s="89"/>
      <c r="AY602" s="89"/>
      <c r="AZ602" s="89"/>
      <c r="BA602" s="89"/>
    </row>
    <row r="603" spans="3:53"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89"/>
      <c r="AC603" s="89"/>
      <c r="AD603" s="89"/>
      <c r="AE603" s="89"/>
      <c r="AF603" s="89"/>
      <c r="AG603" s="89"/>
      <c r="AH603" s="89"/>
      <c r="AI603" s="89"/>
      <c r="AJ603" s="89"/>
      <c r="AK603" s="89"/>
      <c r="AL603" s="89"/>
      <c r="AM603" s="89"/>
      <c r="AN603" s="89"/>
      <c r="AO603" s="89"/>
      <c r="AP603" s="89"/>
      <c r="AQ603" s="89"/>
      <c r="AR603" s="89"/>
      <c r="AS603" s="89"/>
      <c r="AT603" s="89"/>
      <c r="AU603" s="89"/>
      <c r="AV603" s="89"/>
      <c r="AW603" s="89"/>
      <c r="AX603" s="89"/>
      <c r="AY603" s="89"/>
      <c r="AZ603" s="89"/>
      <c r="BA603" s="89"/>
    </row>
    <row r="604" spans="3:53"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89"/>
      <c r="AC604" s="89"/>
      <c r="AD604" s="89"/>
      <c r="AE604" s="89"/>
      <c r="AF604" s="89"/>
      <c r="AG604" s="89"/>
      <c r="AH604" s="89"/>
      <c r="AI604" s="89"/>
      <c r="AJ604" s="89"/>
      <c r="AK604" s="89"/>
      <c r="AL604" s="89"/>
      <c r="AM604" s="89"/>
      <c r="AN604" s="89"/>
      <c r="AO604" s="89"/>
      <c r="AP604" s="89"/>
      <c r="AQ604" s="89"/>
      <c r="AR604" s="89"/>
      <c r="AS604" s="89"/>
      <c r="AT604" s="89"/>
      <c r="AU604" s="89"/>
      <c r="AV604" s="89"/>
      <c r="AW604" s="89"/>
      <c r="AX604" s="89"/>
      <c r="AY604" s="89"/>
      <c r="AZ604" s="89"/>
      <c r="BA604" s="89"/>
    </row>
    <row r="605" spans="3:53"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89"/>
      <c r="AD605" s="89"/>
      <c r="AE605" s="89"/>
      <c r="AF605" s="89"/>
      <c r="AG605" s="89"/>
      <c r="AH605" s="89"/>
      <c r="AI605" s="89"/>
      <c r="AJ605" s="89"/>
      <c r="AK605" s="89"/>
      <c r="AL605" s="89"/>
      <c r="AM605" s="89"/>
      <c r="AN605" s="89"/>
      <c r="AO605" s="89"/>
      <c r="AP605" s="89"/>
      <c r="AQ605" s="89"/>
      <c r="AR605" s="89"/>
      <c r="AS605" s="89"/>
      <c r="AT605" s="89"/>
      <c r="AU605" s="89"/>
      <c r="AV605" s="89"/>
      <c r="AW605" s="89"/>
      <c r="AX605" s="89"/>
      <c r="AY605" s="89"/>
      <c r="AZ605" s="89"/>
      <c r="BA605" s="89"/>
    </row>
    <row r="606" spans="3:53"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89"/>
      <c r="AD606" s="89"/>
      <c r="AE606" s="89"/>
      <c r="AF606" s="89"/>
      <c r="AG606" s="89"/>
      <c r="AH606" s="89"/>
      <c r="AI606" s="89"/>
      <c r="AJ606" s="89"/>
      <c r="AK606" s="89"/>
      <c r="AL606" s="89"/>
      <c r="AM606" s="89"/>
      <c r="AN606" s="89"/>
      <c r="AO606" s="89"/>
      <c r="AP606" s="89"/>
      <c r="AQ606" s="89"/>
      <c r="AR606" s="89"/>
      <c r="AS606" s="89"/>
      <c r="AT606" s="89"/>
      <c r="AU606" s="89"/>
      <c r="AV606" s="89"/>
      <c r="AW606" s="89"/>
      <c r="AX606" s="89"/>
      <c r="AY606" s="89"/>
      <c r="AZ606" s="89"/>
      <c r="BA606" s="89"/>
    </row>
    <row r="607" spans="3:53"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89"/>
      <c r="AD607" s="89"/>
      <c r="AE607" s="89"/>
      <c r="AF607" s="89"/>
      <c r="AG607" s="89"/>
      <c r="AH607" s="89"/>
      <c r="AI607" s="89"/>
      <c r="AJ607" s="89"/>
      <c r="AK607" s="89"/>
      <c r="AL607" s="89"/>
      <c r="AM607" s="89"/>
      <c r="AN607" s="89"/>
      <c r="AO607" s="89"/>
      <c r="AP607" s="89"/>
      <c r="AQ607" s="89"/>
      <c r="AR607" s="89"/>
      <c r="AS607" s="89"/>
      <c r="AT607" s="89"/>
      <c r="AU607" s="89"/>
      <c r="AV607" s="89"/>
      <c r="AW607" s="89"/>
      <c r="AX607" s="89"/>
      <c r="AY607" s="89"/>
      <c r="AZ607" s="89"/>
      <c r="BA607" s="89"/>
    </row>
    <row r="608" spans="3:53"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89"/>
      <c r="AC608" s="89"/>
      <c r="AD608" s="89"/>
      <c r="AE608" s="89"/>
      <c r="AF608" s="89"/>
      <c r="AG608" s="89"/>
      <c r="AH608" s="89"/>
      <c r="AI608" s="89"/>
      <c r="AJ608" s="89"/>
      <c r="AK608" s="89"/>
      <c r="AL608" s="89"/>
      <c r="AM608" s="89"/>
      <c r="AN608" s="89"/>
      <c r="AO608" s="89"/>
      <c r="AP608" s="89"/>
      <c r="AQ608" s="89"/>
      <c r="AR608" s="89"/>
      <c r="AS608" s="89"/>
      <c r="AT608" s="89"/>
      <c r="AU608" s="89"/>
      <c r="AV608" s="89"/>
      <c r="AW608" s="89"/>
      <c r="AX608" s="89"/>
      <c r="AY608" s="89"/>
      <c r="AZ608" s="89"/>
      <c r="BA608" s="89"/>
    </row>
    <row r="609" spans="3:53"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89"/>
      <c r="AC609" s="89"/>
      <c r="AD609" s="89"/>
      <c r="AE609" s="89"/>
      <c r="AF609" s="89"/>
      <c r="AG609" s="89"/>
      <c r="AH609" s="89"/>
      <c r="AI609" s="89"/>
      <c r="AJ609" s="89"/>
      <c r="AK609" s="89"/>
      <c r="AL609" s="89"/>
      <c r="AM609" s="89"/>
      <c r="AN609" s="89"/>
      <c r="AO609" s="89"/>
      <c r="AP609" s="89"/>
      <c r="AQ609" s="89"/>
      <c r="AR609" s="89"/>
      <c r="AS609" s="89"/>
      <c r="AT609" s="89"/>
      <c r="AU609" s="89"/>
      <c r="AV609" s="89"/>
      <c r="AW609" s="89"/>
      <c r="AX609" s="89"/>
      <c r="AY609" s="89"/>
      <c r="AZ609" s="89"/>
      <c r="BA609" s="89"/>
    </row>
    <row r="610" spans="3:53"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89"/>
      <c r="AF610" s="89"/>
      <c r="AG610" s="89"/>
      <c r="AH610" s="89"/>
      <c r="AI610" s="89"/>
      <c r="AJ610" s="89"/>
      <c r="AK610" s="89"/>
      <c r="AL610" s="89"/>
      <c r="AM610" s="89"/>
      <c r="AN610" s="89"/>
      <c r="AO610" s="89"/>
      <c r="AP610" s="89"/>
      <c r="AQ610" s="89"/>
      <c r="AR610" s="89"/>
      <c r="AS610" s="89"/>
      <c r="AT610" s="89"/>
      <c r="AU610" s="89"/>
      <c r="AV610" s="89"/>
      <c r="AW610" s="89"/>
      <c r="AX610" s="89"/>
      <c r="AY610" s="89"/>
      <c r="AZ610" s="89"/>
      <c r="BA610" s="89"/>
    </row>
    <row r="611" spans="3:53"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89"/>
      <c r="AC611" s="89"/>
      <c r="AD611" s="89"/>
      <c r="AE611" s="89"/>
      <c r="AF611" s="89"/>
      <c r="AG611" s="89"/>
      <c r="AH611" s="89"/>
      <c r="AI611" s="89"/>
      <c r="AJ611" s="89"/>
      <c r="AK611" s="89"/>
      <c r="AL611" s="89"/>
      <c r="AM611" s="89"/>
      <c r="AN611" s="89"/>
      <c r="AO611" s="89"/>
      <c r="AP611" s="89"/>
      <c r="AQ611" s="89"/>
      <c r="AR611" s="89"/>
      <c r="AS611" s="89"/>
      <c r="AT611" s="89"/>
      <c r="AU611" s="89"/>
      <c r="AV611" s="89"/>
      <c r="AW611" s="89"/>
      <c r="AX611" s="89"/>
      <c r="AY611" s="89"/>
      <c r="AZ611" s="89"/>
      <c r="BA611" s="89"/>
    </row>
    <row r="612" spans="3:53"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89"/>
      <c r="AC612" s="89"/>
      <c r="AD612" s="89"/>
      <c r="AE612" s="89"/>
      <c r="AF612" s="89"/>
      <c r="AG612" s="89"/>
      <c r="AH612" s="89"/>
      <c r="AI612" s="89"/>
      <c r="AJ612" s="89"/>
      <c r="AK612" s="89"/>
      <c r="AL612" s="89"/>
      <c r="AM612" s="89"/>
      <c r="AN612" s="89"/>
      <c r="AO612" s="89"/>
      <c r="AP612" s="89"/>
      <c r="AQ612" s="89"/>
      <c r="AR612" s="89"/>
      <c r="AS612" s="89"/>
      <c r="AT612" s="89"/>
      <c r="AU612" s="89"/>
      <c r="AV612" s="89"/>
      <c r="AW612" s="89"/>
      <c r="AX612" s="89"/>
      <c r="AY612" s="89"/>
      <c r="AZ612" s="89"/>
      <c r="BA612" s="89"/>
    </row>
    <row r="613" spans="3:53"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  <c r="AF613" s="89"/>
      <c r="AG613" s="89"/>
      <c r="AH613" s="89"/>
      <c r="AI613" s="89"/>
      <c r="AJ613" s="89"/>
      <c r="AK613" s="89"/>
      <c r="AL613" s="89"/>
      <c r="AM613" s="89"/>
      <c r="AN613" s="89"/>
      <c r="AO613" s="89"/>
      <c r="AP613" s="89"/>
      <c r="AQ613" s="89"/>
      <c r="AR613" s="89"/>
      <c r="AS613" s="89"/>
      <c r="AT613" s="89"/>
      <c r="AU613" s="89"/>
      <c r="AV613" s="89"/>
      <c r="AW613" s="89"/>
      <c r="AX613" s="89"/>
      <c r="AY613" s="89"/>
      <c r="AZ613" s="89"/>
      <c r="BA613" s="89"/>
    </row>
    <row r="614" spans="3:53"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  <c r="AF614" s="89"/>
      <c r="AG614" s="89"/>
      <c r="AH614" s="89"/>
      <c r="AI614" s="89"/>
      <c r="AJ614" s="89"/>
      <c r="AK614" s="89"/>
      <c r="AL614" s="89"/>
      <c r="AM614" s="89"/>
      <c r="AN614" s="89"/>
      <c r="AO614" s="89"/>
      <c r="AP614" s="89"/>
      <c r="AQ614" s="89"/>
      <c r="AR614" s="89"/>
      <c r="AS614" s="89"/>
      <c r="AT614" s="89"/>
      <c r="AU614" s="89"/>
      <c r="AV614" s="89"/>
      <c r="AW614" s="89"/>
      <c r="AX614" s="89"/>
      <c r="AY614" s="89"/>
      <c r="AZ614" s="89"/>
      <c r="BA614" s="89"/>
    </row>
    <row r="615" spans="3:53"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89"/>
      <c r="AF615" s="89"/>
      <c r="AG615" s="89"/>
      <c r="AH615" s="89"/>
      <c r="AI615" s="89"/>
      <c r="AJ615" s="89"/>
      <c r="AK615" s="89"/>
      <c r="AL615" s="89"/>
      <c r="AM615" s="89"/>
      <c r="AN615" s="89"/>
      <c r="AO615" s="89"/>
      <c r="AP615" s="89"/>
      <c r="AQ615" s="89"/>
      <c r="AR615" s="89"/>
      <c r="AS615" s="89"/>
      <c r="AT615" s="89"/>
      <c r="AU615" s="89"/>
      <c r="AV615" s="89"/>
      <c r="AW615" s="89"/>
      <c r="AX615" s="89"/>
      <c r="AY615" s="89"/>
      <c r="AZ615" s="89"/>
      <c r="BA615" s="89"/>
    </row>
    <row r="616" spans="3:53"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89"/>
      <c r="AF616" s="89"/>
      <c r="AG616" s="89"/>
      <c r="AH616" s="89"/>
      <c r="AI616" s="89"/>
      <c r="AJ616" s="89"/>
      <c r="AK616" s="89"/>
      <c r="AL616" s="89"/>
      <c r="AM616" s="89"/>
      <c r="AN616" s="89"/>
      <c r="AO616" s="89"/>
      <c r="AP616" s="89"/>
      <c r="AQ616" s="89"/>
      <c r="AR616" s="89"/>
      <c r="AS616" s="89"/>
      <c r="AT616" s="89"/>
      <c r="AU616" s="89"/>
      <c r="AV616" s="89"/>
      <c r="AW616" s="89"/>
      <c r="AX616" s="89"/>
      <c r="AY616" s="89"/>
      <c r="AZ616" s="89"/>
      <c r="BA616" s="89"/>
    </row>
    <row r="617" spans="3:53"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89"/>
      <c r="AF617" s="89"/>
      <c r="AG617" s="89"/>
      <c r="AH617" s="89"/>
      <c r="AI617" s="89"/>
      <c r="AJ617" s="89"/>
      <c r="AK617" s="89"/>
      <c r="AL617" s="89"/>
      <c r="AM617" s="89"/>
      <c r="AN617" s="89"/>
      <c r="AO617" s="89"/>
      <c r="AP617" s="89"/>
      <c r="AQ617" s="89"/>
      <c r="AR617" s="89"/>
      <c r="AS617" s="89"/>
      <c r="AT617" s="89"/>
      <c r="AU617" s="89"/>
      <c r="AV617" s="89"/>
      <c r="AW617" s="89"/>
      <c r="AX617" s="89"/>
      <c r="AY617" s="89"/>
      <c r="AZ617" s="89"/>
      <c r="BA617" s="89"/>
    </row>
    <row r="618" spans="3:53"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  <c r="AD618" s="89"/>
      <c r="AE618" s="89"/>
      <c r="AF618" s="89"/>
      <c r="AG618" s="89"/>
      <c r="AH618" s="89"/>
      <c r="AI618" s="89"/>
      <c r="AJ618" s="89"/>
      <c r="AK618" s="89"/>
      <c r="AL618" s="89"/>
      <c r="AM618" s="89"/>
      <c r="AN618" s="89"/>
      <c r="AO618" s="89"/>
      <c r="AP618" s="89"/>
      <c r="AQ618" s="89"/>
      <c r="AR618" s="89"/>
      <c r="AS618" s="89"/>
      <c r="AT618" s="89"/>
      <c r="AU618" s="89"/>
      <c r="AV618" s="89"/>
      <c r="AW618" s="89"/>
      <c r="AX618" s="89"/>
      <c r="AY618" s="89"/>
      <c r="AZ618" s="89"/>
      <c r="BA618" s="89"/>
    </row>
    <row r="619" spans="3:53"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  <c r="AV619" s="89"/>
      <c r="AW619" s="89"/>
      <c r="AX619" s="89"/>
      <c r="AY619" s="89"/>
      <c r="AZ619" s="89"/>
      <c r="BA619" s="89"/>
    </row>
    <row r="620" spans="3:53"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89"/>
      <c r="AF620" s="89"/>
      <c r="AG620" s="89"/>
      <c r="AH620" s="89"/>
      <c r="AI620" s="89"/>
      <c r="AJ620" s="89"/>
      <c r="AK620" s="89"/>
      <c r="AL620" s="89"/>
      <c r="AM620" s="89"/>
      <c r="AN620" s="89"/>
      <c r="AO620" s="89"/>
      <c r="AP620" s="89"/>
      <c r="AQ620" s="89"/>
      <c r="AR620" s="89"/>
      <c r="AS620" s="89"/>
      <c r="AT620" s="89"/>
      <c r="AU620" s="89"/>
      <c r="AV620" s="89"/>
      <c r="AW620" s="89"/>
      <c r="AX620" s="89"/>
      <c r="AY620" s="89"/>
      <c r="AZ620" s="89"/>
      <c r="BA620" s="89"/>
    </row>
    <row r="621" spans="3:53"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89"/>
      <c r="AF621" s="89"/>
      <c r="AG621" s="89"/>
      <c r="AH621" s="89"/>
      <c r="AI621" s="89"/>
      <c r="AJ621" s="89"/>
      <c r="AK621" s="89"/>
      <c r="AL621" s="89"/>
      <c r="AM621" s="89"/>
      <c r="AN621" s="89"/>
      <c r="AO621" s="89"/>
      <c r="AP621" s="89"/>
      <c r="AQ621" s="89"/>
      <c r="AR621" s="89"/>
      <c r="AS621" s="89"/>
      <c r="AT621" s="89"/>
      <c r="AU621" s="89"/>
      <c r="AV621" s="89"/>
      <c r="AW621" s="89"/>
      <c r="AX621" s="89"/>
      <c r="AY621" s="89"/>
      <c r="AZ621" s="89"/>
      <c r="BA621" s="89"/>
    </row>
    <row r="622" spans="3:53"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89"/>
      <c r="AD622" s="89"/>
      <c r="AE622" s="89"/>
      <c r="AF622" s="89"/>
      <c r="AG622" s="89"/>
      <c r="AH622" s="89"/>
      <c r="AI622" s="89"/>
      <c r="AJ622" s="89"/>
      <c r="AK622" s="89"/>
      <c r="AL622" s="89"/>
      <c r="AM622" s="89"/>
      <c r="AN622" s="89"/>
      <c r="AO622" s="89"/>
      <c r="AP622" s="89"/>
      <c r="AQ622" s="89"/>
      <c r="AR622" s="89"/>
      <c r="AS622" s="89"/>
      <c r="AT622" s="89"/>
      <c r="AU622" s="89"/>
      <c r="AV622" s="89"/>
      <c r="AW622" s="89"/>
      <c r="AX622" s="89"/>
      <c r="AY622" s="89"/>
      <c r="AZ622" s="89"/>
      <c r="BA622" s="89"/>
    </row>
    <row r="623" spans="3:53"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  <c r="AP623" s="89"/>
      <c r="AQ623" s="89"/>
      <c r="AR623" s="89"/>
      <c r="AS623" s="89"/>
      <c r="AT623" s="89"/>
      <c r="AU623" s="89"/>
      <c r="AV623" s="89"/>
      <c r="AW623" s="89"/>
      <c r="AX623" s="89"/>
      <c r="AY623" s="89"/>
      <c r="AZ623" s="89"/>
      <c r="BA623" s="89"/>
    </row>
    <row r="624" spans="3:53"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  <c r="AP624" s="89"/>
      <c r="AQ624" s="89"/>
      <c r="AR624" s="89"/>
      <c r="AS624" s="89"/>
      <c r="AT624" s="89"/>
      <c r="AU624" s="89"/>
      <c r="AV624" s="89"/>
      <c r="AW624" s="89"/>
      <c r="AX624" s="89"/>
      <c r="AY624" s="89"/>
      <c r="AZ624" s="89"/>
      <c r="BA624" s="89"/>
    </row>
    <row r="625" spans="3:53"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  <c r="AP625" s="89"/>
      <c r="AQ625" s="89"/>
      <c r="AR625" s="89"/>
      <c r="AS625" s="89"/>
      <c r="AT625" s="89"/>
      <c r="AU625" s="89"/>
      <c r="AV625" s="89"/>
      <c r="AW625" s="89"/>
      <c r="AX625" s="89"/>
      <c r="AY625" s="89"/>
      <c r="AZ625" s="89"/>
      <c r="BA625" s="89"/>
    </row>
    <row r="626" spans="3:53"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  <c r="AF626" s="89"/>
      <c r="AG626" s="89"/>
      <c r="AH626" s="89"/>
      <c r="AI626" s="89"/>
      <c r="AJ626" s="89"/>
      <c r="AK626" s="89"/>
      <c r="AL626" s="89"/>
      <c r="AM626" s="89"/>
      <c r="AN626" s="89"/>
      <c r="AO626" s="89"/>
      <c r="AP626" s="89"/>
      <c r="AQ626" s="89"/>
      <c r="AR626" s="89"/>
      <c r="AS626" s="89"/>
      <c r="AT626" s="89"/>
      <c r="AU626" s="89"/>
      <c r="AV626" s="89"/>
      <c r="AW626" s="89"/>
      <c r="AX626" s="89"/>
      <c r="AY626" s="89"/>
      <c r="AZ626" s="89"/>
      <c r="BA626" s="89"/>
    </row>
    <row r="627" spans="3:53"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89"/>
      <c r="AC627" s="89"/>
      <c r="AD627" s="89"/>
      <c r="AE627" s="89"/>
      <c r="AF627" s="89"/>
      <c r="AG627" s="89"/>
      <c r="AH627" s="89"/>
      <c r="AI627" s="89"/>
      <c r="AJ627" s="89"/>
      <c r="AK627" s="89"/>
      <c r="AL627" s="89"/>
      <c r="AM627" s="89"/>
      <c r="AN627" s="89"/>
      <c r="AO627" s="89"/>
      <c r="AP627" s="89"/>
      <c r="AQ627" s="89"/>
      <c r="AR627" s="89"/>
      <c r="AS627" s="89"/>
      <c r="AT627" s="89"/>
      <c r="AU627" s="89"/>
      <c r="AV627" s="89"/>
      <c r="AW627" s="89"/>
      <c r="AX627" s="89"/>
      <c r="AY627" s="89"/>
      <c r="AZ627" s="89"/>
      <c r="BA627" s="89"/>
    </row>
    <row r="628" spans="3:53"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89"/>
      <c r="AD628" s="89"/>
      <c r="AE628" s="89"/>
      <c r="AF628" s="89"/>
      <c r="AG628" s="89"/>
      <c r="AH628" s="89"/>
      <c r="AI628" s="89"/>
      <c r="AJ628" s="89"/>
      <c r="AK628" s="89"/>
      <c r="AL628" s="89"/>
      <c r="AM628" s="89"/>
      <c r="AN628" s="89"/>
      <c r="AO628" s="89"/>
      <c r="AP628" s="89"/>
      <c r="AQ628" s="89"/>
      <c r="AR628" s="89"/>
      <c r="AS628" s="89"/>
      <c r="AT628" s="89"/>
      <c r="AU628" s="89"/>
      <c r="AV628" s="89"/>
      <c r="AW628" s="89"/>
      <c r="AX628" s="89"/>
      <c r="AY628" s="89"/>
      <c r="AZ628" s="89"/>
      <c r="BA628" s="89"/>
    </row>
    <row r="629" spans="3:53"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89"/>
      <c r="AC629" s="89"/>
      <c r="AD629" s="89"/>
      <c r="AE629" s="89"/>
      <c r="AF629" s="89"/>
      <c r="AG629" s="89"/>
      <c r="AH629" s="89"/>
      <c r="AI629" s="89"/>
      <c r="AJ629" s="89"/>
      <c r="AK629" s="89"/>
      <c r="AL629" s="89"/>
      <c r="AM629" s="89"/>
      <c r="AN629" s="89"/>
      <c r="AO629" s="89"/>
      <c r="AP629" s="89"/>
      <c r="AQ629" s="89"/>
      <c r="AR629" s="89"/>
      <c r="AS629" s="89"/>
      <c r="AT629" s="89"/>
      <c r="AU629" s="89"/>
      <c r="AV629" s="89"/>
      <c r="AW629" s="89"/>
      <c r="AX629" s="89"/>
      <c r="AY629" s="89"/>
      <c r="AZ629" s="89"/>
      <c r="BA629" s="89"/>
    </row>
    <row r="630" spans="3:53"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89"/>
      <c r="AC630" s="89"/>
      <c r="AD630" s="89"/>
      <c r="AE630" s="89"/>
      <c r="AF630" s="89"/>
      <c r="AG630" s="89"/>
      <c r="AH630" s="89"/>
      <c r="AI630" s="89"/>
      <c r="AJ630" s="89"/>
      <c r="AK630" s="89"/>
      <c r="AL630" s="89"/>
      <c r="AM630" s="89"/>
      <c r="AN630" s="89"/>
      <c r="AO630" s="89"/>
      <c r="AP630" s="89"/>
      <c r="AQ630" s="89"/>
      <c r="AR630" s="89"/>
      <c r="AS630" s="89"/>
      <c r="AT630" s="89"/>
      <c r="AU630" s="89"/>
      <c r="AV630" s="89"/>
      <c r="AW630" s="89"/>
      <c r="AX630" s="89"/>
      <c r="AY630" s="89"/>
      <c r="AZ630" s="89"/>
      <c r="BA630" s="89"/>
    </row>
    <row r="631" spans="3:53"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  <c r="AV631" s="89"/>
      <c r="AW631" s="89"/>
      <c r="AX631" s="89"/>
      <c r="AY631" s="89"/>
      <c r="AZ631" s="89"/>
      <c r="BA631" s="89"/>
    </row>
    <row r="632" spans="3:53"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  <c r="AV632" s="89"/>
      <c r="AW632" s="89"/>
      <c r="AX632" s="89"/>
      <c r="AY632" s="89"/>
      <c r="AZ632" s="89"/>
      <c r="BA632" s="89"/>
    </row>
    <row r="633" spans="3:53"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  <c r="AV633" s="89"/>
      <c r="AW633" s="89"/>
      <c r="AX633" s="89"/>
      <c r="AY633" s="89"/>
      <c r="AZ633" s="89"/>
      <c r="BA633" s="89"/>
    </row>
    <row r="634" spans="3:53"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  <c r="AV634" s="89"/>
      <c r="AW634" s="89"/>
      <c r="AX634" s="89"/>
      <c r="AY634" s="89"/>
      <c r="AZ634" s="89"/>
      <c r="BA634" s="89"/>
    </row>
    <row r="635" spans="3:53"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  <c r="AV635" s="89"/>
      <c r="AW635" s="89"/>
      <c r="AX635" s="89"/>
      <c r="AY635" s="89"/>
      <c r="AZ635" s="89"/>
      <c r="BA635" s="89"/>
    </row>
    <row r="636" spans="3:53"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  <c r="AV636" s="89"/>
      <c r="AW636" s="89"/>
      <c r="AX636" s="89"/>
      <c r="AY636" s="89"/>
      <c r="AZ636" s="89"/>
      <c r="BA636" s="89"/>
    </row>
    <row r="637" spans="3:53"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  <c r="AV637" s="89"/>
      <c r="AW637" s="89"/>
      <c r="AX637" s="89"/>
      <c r="AY637" s="89"/>
      <c r="AZ637" s="89"/>
      <c r="BA637" s="89"/>
    </row>
    <row r="638" spans="3:53"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  <c r="AV638" s="89"/>
      <c r="AW638" s="89"/>
      <c r="AX638" s="89"/>
      <c r="AY638" s="89"/>
      <c r="AZ638" s="89"/>
      <c r="BA638" s="89"/>
    </row>
    <row r="639" spans="3:53"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  <c r="AV639" s="89"/>
      <c r="AW639" s="89"/>
      <c r="AX639" s="89"/>
      <c r="AY639" s="89"/>
      <c r="AZ639" s="89"/>
      <c r="BA639" s="89"/>
    </row>
    <row r="640" spans="3:53"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  <c r="AV640" s="89"/>
      <c r="AW640" s="89"/>
      <c r="AX640" s="89"/>
      <c r="AY640" s="89"/>
      <c r="AZ640" s="89"/>
      <c r="BA640" s="89"/>
    </row>
    <row r="641" spans="3:53"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  <c r="AV641" s="89"/>
      <c r="AW641" s="89"/>
      <c r="AX641" s="89"/>
      <c r="AY641" s="89"/>
      <c r="AZ641" s="89"/>
      <c r="BA641" s="89"/>
    </row>
    <row r="642" spans="3:53"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  <c r="AV642" s="89"/>
      <c r="AW642" s="89"/>
      <c r="AX642" s="89"/>
      <c r="AY642" s="89"/>
      <c r="AZ642" s="89"/>
      <c r="BA642" s="89"/>
    </row>
    <row r="643" spans="3:53"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  <c r="AV643" s="89"/>
      <c r="AW643" s="89"/>
      <c r="AX643" s="89"/>
      <c r="AY643" s="89"/>
      <c r="AZ643" s="89"/>
      <c r="BA643" s="89"/>
    </row>
    <row r="644" spans="3:53"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  <c r="AV644" s="89"/>
      <c r="AW644" s="89"/>
      <c r="AX644" s="89"/>
      <c r="AY644" s="89"/>
      <c r="AZ644" s="89"/>
      <c r="BA644" s="89"/>
    </row>
    <row r="645" spans="3:53"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  <c r="AV645" s="89"/>
      <c r="AW645" s="89"/>
      <c r="AX645" s="89"/>
      <c r="AY645" s="89"/>
      <c r="AZ645" s="89"/>
      <c r="BA645" s="89"/>
    </row>
    <row r="646" spans="3:53"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  <c r="AV646" s="89"/>
      <c r="AW646" s="89"/>
      <c r="AX646" s="89"/>
      <c r="AY646" s="89"/>
      <c r="AZ646" s="89"/>
      <c r="BA646" s="89"/>
    </row>
    <row r="647" spans="3:53"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  <c r="AV647" s="89"/>
      <c r="AW647" s="89"/>
      <c r="AX647" s="89"/>
      <c r="AY647" s="89"/>
      <c r="AZ647" s="89"/>
      <c r="BA647" s="89"/>
    </row>
    <row r="648" spans="3:53"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  <c r="AV648" s="89"/>
      <c r="AW648" s="89"/>
      <c r="AX648" s="89"/>
      <c r="AY648" s="89"/>
      <c r="AZ648" s="89"/>
      <c r="BA648" s="89"/>
    </row>
    <row r="649" spans="3:53"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  <c r="AV649" s="89"/>
      <c r="AW649" s="89"/>
      <c r="AX649" s="89"/>
      <c r="AY649" s="89"/>
      <c r="AZ649" s="89"/>
      <c r="BA649" s="89"/>
    </row>
    <row r="650" spans="3:53"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  <c r="AV650" s="89"/>
      <c r="AW650" s="89"/>
      <c r="AX650" s="89"/>
      <c r="AY650" s="89"/>
      <c r="AZ650" s="89"/>
      <c r="BA650" s="89"/>
    </row>
    <row r="651" spans="3:53"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  <c r="AV651" s="89"/>
      <c r="AW651" s="89"/>
      <c r="AX651" s="89"/>
      <c r="AY651" s="89"/>
      <c r="AZ651" s="89"/>
      <c r="BA651" s="89"/>
    </row>
    <row r="652" spans="3:53"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  <c r="AV652" s="89"/>
      <c r="AW652" s="89"/>
      <c r="AX652" s="89"/>
      <c r="AY652" s="89"/>
      <c r="AZ652" s="89"/>
      <c r="BA652" s="89"/>
    </row>
    <row r="653" spans="3:53"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  <c r="AV653" s="89"/>
      <c r="AW653" s="89"/>
      <c r="AX653" s="89"/>
      <c r="AY653" s="89"/>
      <c r="AZ653" s="89"/>
      <c r="BA653" s="89"/>
    </row>
    <row r="654" spans="3:53"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  <c r="AV654" s="89"/>
      <c r="AW654" s="89"/>
      <c r="AX654" s="89"/>
      <c r="AY654" s="89"/>
      <c r="AZ654" s="89"/>
      <c r="BA654" s="89"/>
    </row>
    <row r="655" spans="3:53"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  <c r="AV655" s="89"/>
      <c r="AW655" s="89"/>
      <c r="AX655" s="89"/>
      <c r="AY655" s="89"/>
      <c r="AZ655" s="89"/>
      <c r="BA655" s="89"/>
    </row>
    <row r="656" spans="3:53"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  <c r="AV656" s="89"/>
      <c r="AW656" s="89"/>
      <c r="AX656" s="89"/>
      <c r="AY656" s="89"/>
      <c r="AZ656" s="89"/>
      <c r="BA656" s="89"/>
    </row>
    <row r="657" spans="3:53"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  <c r="AV657" s="89"/>
      <c r="AW657" s="89"/>
      <c r="AX657" s="89"/>
      <c r="AY657" s="89"/>
      <c r="AZ657" s="89"/>
      <c r="BA657" s="89"/>
    </row>
    <row r="658" spans="3:53"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  <c r="AV658" s="89"/>
      <c r="AW658" s="89"/>
      <c r="AX658" s="89"/>
      <c r="AY658" s="89"/>
      <c r="AZ658" s="89"/>
      <c r="BA658" s="89"/>
    </row>
    <row r="659" spans="3:53"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  <c r="AV659" s="89"/>
      <c r="AW659" s="89"/>
      <c r="AX659" s="89"/>
      <c r="AY659" s="89"/>
      <c r="AZ659" s="89"/>
      <c r="BA659" s="89"/>
    </row>
    <row r="660" spans="3:53"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  <c r="AV660" s="89"/>
      <c r="AW660" s="89"/>
      <c r="AX660" s="89"/>
      <c r="AY660" s="89"/>
      <c r="AZ660" s="89"/>
      <c r="BA660" s="89"/>
    </row>
    <row r="661" spans="3:53"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  <c r="AV661" s="89"/>
      <c r="AW661" s="89"/>
      <c r="AX661" s="89"/>
      <c r="AY661" s="89"/>
      <c r="AZ661" s="89"/>
      <c r="BA661" s="89"/>
    </row>
    <row r="662" spans="3:53"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89"/>
      <c r="AX662" s="89"/>
      <c r="AY662" s="89"/>
      <c r="AZ662" s="89"/>
      <c r="BA662" s="89"/>
    </row>
    <row r="663" spans="3:53"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  <c r="AV663" s="89"/>
      <c r="AW663" s="89"/>
      <c r="AX663" s="89"/>
      <c r="AY663" s="89"/>
      <c r="AZ663" s="89"/>
      <c r="BA663" s="89"/>
    </row>
    <row r="664" spans="3:53"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  <c r="AV664" s="89"/>
      <c r="AW664" s="89"/>
      <c r="AX664" s="89"/>
      <c r="AY664" s="89"/>
      <c r="AZ664" s="89"/>
      <c r="BA664" s="89"/>
    </row>
    <row r="665" spans="3:53"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  <c r="AV665" s="89"/>
      <c r="AW665" s="89"/>
      <c r="AX665" s="89"/>
      <c r="AY665" s="89"/>
      <c r="AZ665" s="89"/>
      <c r="BA665" s="89"/>
    </row>
    <row r="666" spans="3:53"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  <c r="AV666" s="89"/>
      <c r="AW666" s="89"/>
      <c r="AX666" s="89"/>
      <c r="AY666" s="89"/>
      <c r="AZ666" s="89"/>
      <c r="BA666" s="89"/>
    </row>
    <row r="667" spans="3:53"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  <c r="AV667" s="89"/>
      <c r="AW667" s="89"/>
      <c r="AX667" s="89"/>
      <c r="AY667" s="89"/>
      <c r="AZ667" s="89"/>
      <c r="BA667" s="89"/>
    </row>
    <row r="668" spans="3:53"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  <c r="AV668" s="89"/>
      <c r="AW668" s="89"/>
      <c r="AX668" s="89"/>
      <c r="AY668" s="89"/>
      <c r="AZ668" s="89"/>
      <c r="BA668" s="89"/>
    </row>
    <row r="669" spans="3:53"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  <c r="AV669" s="89"/>
      <c r="AW669" s="89"/>
      <c r="AX669" s="89"/>
      <c r="AY669" s="89"/>
      <c r="AZ669" s="89"/>
      <c r="BA669" s="89"/>
    </row>
    <row r="670" spans="3:53"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  <c r="AV670" s="89"/>
      <c r="AW670" s="89"/>
      <c r="AX670" s="89"/>
      <c r="AY670" s="89"/>
      <c r="AZ670" s="89"/>
      <c r="BA670" s="89"/>
    </row>
    <row r="671" spans="3:53"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  <c r="AV671" s="89"/>
      <c r="AW671" s="89"/>
      <c r="AX671" s="89"/>
      <c r="AY671" s="89"/>
      <c r="AZ671" s="89"/>
      <c r="BA671" s="89"/>
    </row>
    <row r="672" spans="3:53"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  <c r="AV672" s="89"/>
      <c r="AW672" s="89"/>
      <c r="AX672" s="89"/>
      <c r="AY672" s="89"/>
      <c r="AZ672" s="89"/>
      <c r="BA672" s="89"/>
    </row>
    <row r="673" spans="3:53"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  <c r="AV673" s="89"/>
      <c r="AW673" s="89"/>
      <c r="AX673" s="89"/>
      <c r="AY673" s="89"/>
      <c r="AZ673" s="89"/>
      <c r="BA673" s="89"/>
    </row>
    <row r="674" spans="3:53"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  <c r="AV674" s="89"/>
      <c r="AW674" s="89"/>
      <c r="AX674" s="89"/>
      <c r="AY674" s="89"/>
      <c r="AZ674" s="89"/>
      <c r="BA674" s="89"/>
    </row>
    <row r="675" spans="3:53"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  <c r="AV675" s="89"/>
      <c r="AW675" s="89"/>
      <c r="AX675" s="89"/>
      <c r="AY675" s="89"/>
      <c r="AZ675" s="89"/>
      <c r="BA675" s="89"/>
    </row>
    <row r="676" spans="3:53"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  <c r="AV676" s="89"/>
      <c r="AW676" s="89"/>
      <c r="AX676" s="89"/>
      <c r="AY676" s="89"/>
      <c r="AZ676" s="89"/>
      <c r="BA676" s="89"/>
    </row>
    <row r="677" spans="3:53"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  <c r="AV677" s="89"/>
      <c r="AW677" s="89"/>
      <c r="AX677" s="89"/>
      <c r="AY677" s="89"/>
      <c r="AZ677" s="89"/>
      <c r="BA677" s="89"/>
    </row>
  </sheetData>
  <mergeCells count="2">
    <mergeCell ref="B4:Q4"/>
    <mergeCell ref="B3:Q3"/>
  </mergeCells>
  <phoneticPr fontId="25" type="noConversion"/>
  <printOptions horizontalCentered="1"/>
  <pageMargins left="0.2" right="0.2" top="0.28000000000000003" bottom="0.4" header="0.26" footer="0.22"/>
  <pageSetup scale="84" orientation="landscape" r:id="rId1"/>
  <headerFooter alignWithMargins="0">
    <oddFooter>&amp;C&amp;A&amp;R&amp;8&amp;F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06"/>
  <sheetViews>
    <sheetView zoomScaleNormal="100" workbookViewId="0">
      <selection activeCell="H37" sqref="H37"/>
    </sheetView>
  </sheetViews>
  <sheetFormatPr defaultColWidth="11.42578125" defaultRowHeight="13.2"/>
  <cols>
    <col min="1" max="1" width="8.28515625" style="5" customWidth="1"/>
    <col min="2" max="2" width="46" style="5" customWidth="1"/>
    <col min="3" max="3" width="17.140625" style="5" customWidth="1"/>
    <col min="4" max="4" width="11.42578125" style="5" customWidth="1"/>
    <col min="5" max="5" width="14.28515625" style="5" customWidth="1"/>
    <col min="6" max="6" width="13.42578125" style="5" customWidth="1"/>
    <col min="7" max="7" width="12.85546875" style="5" customWidth="1"/>
    <col min="8" max="8" width="11.85546875" style="5" customWidth="1"/>
    <col min="9" max="253" width="8.85546875" style="5" customWidth="1"/>
    <col min="254" max="16384" width="11.42578125" style="5"/>
  </cols>
  <sheetData>
    <row r="1" spans="1:8">
      <c r="A1" s="3" t="s">
        <v>2</v>
      </c>
      <c r="B1" s="4"/>
      <c r="C1" s="4"/>
      <c r="D1" s="4"/>
      <c r="E1" s="4"/>
      <c r="F1" s="4"/>
      <c r="G1" s="4"/>
      <c r="H1" s="4"/>
    </row>
    <row r="2" spans="1:8" ht="16.2">
      <c r="A2" s="33"/>
      <c r="B2" s="322" t="s">
        <v>25</v>
      </c>
      <c r="C2" s="196"/>
      <c r="D2" s="196"/>
      <c r="E2" s="196"/>
      <c r="F2" s="196"/>
    </row>
    <row r="3" spans="1:8" ht="16.2">
      <c r="A3" s="33"/>
      <c r="B3" s="322" t="s">
        <v>37</v>
      </c>
      <c r="C3" s="196"/>
      <c r="D3" s="196"/>
      <c r="E3" s="196"/>
      <c r="F3" s="196"/>
    </row>
    <row r="4" spans="1:8" ht="15.75" customHeight="1">
      <c r="B4" s="323" t="str">
        <f>'New Format'!B5</f>
        <v>For The 12 Months Ending December 31, 2020</v>
      </c>
      <c r="C4" s="197"/>
      <c r="D4" s="197"/>
      <c r="E4" s="197"/>
      <c r="F4" s="197"/>
    </row>
    <row r="5" spans="1:8" ht="12.75" customHeight="1">
      <c r="B5" s="6"/>
      <c r="C5" s="6"/>
      <c r="D5" s="7"/>
      <c r="E5" s="7"/>
      <c r="F5" s="7"/>
    </row>
    <row r="6" spans="1:8">
      <c r="A6" s="3" t="s">
        <v>2</v>
      </c>
    </row>
    <row r="7" spans="1:8">
      <c r="A7" s="3" t="s">
        <v>2</v>
      </c>
      <c r="C7" s="5" t="s">
        <v>2</v>
      </c>
    </row>
    <row r="8" spans="1:8">
      <c r="A8" s="3">
        <v>1</v>
      </c>
      <c r="B8" s="68" t="s">
        <v>5</v>
      </c>
      <c r="C8" s="68" t="s">
        <v>27</v>
      </c>
      <c r="D8" s="68" t="s">
        <v>52</v>
      </c>
      <c r="E8" s="68" t="s">
        <v>64</v>
      </c>
      <c r="F8" s="68" t="s">
        <v>65</v>
      </c>
      <c r="G8" s="66"/>
    </row>
    <row r="9" spans="1:8">
      <c r="A9" s="3">
        <f t="shared" ref="A9:A28" si="0">A8+1</f>
        <v>2</v>
      </c>
      <c r="B9" s="67"/>
      <c r="C9" s="68"/>
      <c r="D9" s="67"/>
      <c r="E9" s="67"/>
      <c r="F9" s="67"/>
      <c r="G9" s="66"/>
    </row>
    <row r="10" spans="1:8">
      <c r="A10" s="3">
        <f t="shared" si="0"/>
        <v>3</v>
      </c>
      <c r="B10" s="67"/>
      <c r="C10" s="68" t="s">
        <v>53</v>
      </c>
      <c r="D10" s="68" t="s">
        <v>38</v>
      </c>
      <c r="E10" s="68" t="s">
        <v>18</v>
      </c>
      <c r="F10" s="68" t="s">
        <v>11</v>
      </c>
      <c r="G10" s="66"/>
    </row>
    <row r="11" spans="1:8">
      <c r="A11" s="3">
        <f t="shared" si="0"/>
        <v>4</v>
      </c>
      <c r="B11" s="69" t="s">
        <v>9</v>
      </c>
      <c r="C11" s="69" t="s">
        <v>78</v>
      </c>
      <c r="D11" s="69" t="s">
        <v>19</v>
      </c>
      <c r="E11" s="69" t="s">
        <v>20</v>
      </c>
      <c r="F11" s="69" t="s">
        <v>19</v>
      </c>
      <c r="G11" s="66"/>
    </row>
    <row r="12" spans="1:8">
      <c r="A12" s="3">
        <f t="shared" si="0"/>
        <v>5</v>
      </c>
      <c r="B12" s="70"/>
      <c r="C12" s="71"/>
      <c r="D12" s="71"/>
      <c r="E12" s="72"/>
      <c r="F12" s="71"/>
      <c r="G12" s="66"/>
    </row>
    <row r="13" spans="1:8">
      <c r="A13" s="3">
        <f t="shared" si="0"/>
        <v>6</v>
      </c>
      <c r="B13" s="70" t="s">
        <v>36</v>
      </c>
      <c r="C13" s="75">
        <f>'Pg 4 STD OS &amp; Comm Fees'!C11</f>
        <v>134816008.18000001</v>
      </c>
      <c r="D13" s="206">
        <f>IF(E13=0,"NA",(E13/C13))</f>
        <v>4.783148149135474E-3</v>
      </c>
      <c r="E13" s="75">
        <f>'Pg 4 STD OS &amp; Comm Fees'!D11</f>
        <v>644844.93999999994</v>
      </c>
      <c r="F13" s="73"/>
      <c r="G13" s="74"/>
    </row>
    <row r="14" spans="1:8">
      <c r="A14" s="3">
        <f t="shared" si="0"/>
        <v>7</v>
      </c>
      <c r="B14" s="66" t="s">
        <v>109</v>
      </c>
      <c r="C14" s="84">
        <f>'Pg 4 STD OS &amp; Comm Fees'!C12</f>
        <v>0</v>
      </c>
      <c r="D14" s="206" t="str">
        <f>IF(E14=0,"NA",(E14/C14))</f>
        <v>NA</v>
      </c>
      <c r="E14" s="75">
        <f>'Pg 4 STD OS &amp; Comm Fees'!D12</f>
        <v>0</v>
      </c>
      <c r="F14" s="73"/>
      <c r="G14" s="74"/>
    </row>
    <row r="15" spans="1:8">
      <c r="A15" s="3">
        <v>10</v>
      </c>
      <c r="B15" s="66" t="s">
        <v>170</v>
      </c>
      <c r="C15" s="84">
        <f>'Pg 4 STD OS &amp; Comm Fees'!C13</f>
        <v>0</v>
      </c>
      <c r="D15" s="206" t="str">
        <f>IF(E15=0,"NA",(E15/C15))</f>
        <v>NA</v>
      </c>
      <c r="E15" s="75">
        <f>'Pg 4 STD OS &amp; Comm Fees'!D13</f>
        <v>0</v>
      </c>
      <c r="F15" s="73"/>
      <c r="G15" s="74"/>
    </row>
    <row r="16" spans="1:8">
      <c r="A16" s="3">
        <f>A15+1</f>
        <v>11</v>
      </c>
      <c r="B16" s="66" t="s">
        <v>192</v>
      </c>
      <c r="C16" s="84">
        <f>'Pg 4 STD OS &amp; Comm Fees'!C14</f>
        <v>18855191.260000002</v>
      </c>
      <c r="D16" s="206">
        <f>IF(E16=0,"NA",(E16/C16))</f>
        <v>1.7676922785030396E-2</v>
      </c>
      <c r="E16" s="75">
        <f>'Pg 4 STD OS &amp; Comm Fees'!D14</f>
        <v>333301.76000000001</v>
      </c>
    </row>
    <row r="17" spans="1:7">
      <c r="A17" s="3">
        <f t="shared" si="0"/>
        <v>12</v>
      </c>
      <c r="B17" s="316" t="s">
        <v>147</v>
      </c>
      <c r="C17" s="318">
        <f>SUM(C13:C16)</f>
        <v>153671199.44</v>
      </c>
      <c r="D17" s="319">
        <f>IF(E17=0,"NA",(E17/C17))</f>
        <v>6.3651920695908379E-3</v>
      </c>
      <c r="E17" s="317">
        <f>SUM(E13:E16)</f>
        <v>978146.7</v>
      </c>
      <c r="F17" s="73">
        <f>E17/C23</f>
        <v>6.3651920695908379E-3</v>
      </c>
      <c r="G17" s="74"/>
    </row>
    <row r="18" spans="1:7">
      <c r="A18" s="3">
        <f t="shared" si="0"/>
        <v>13</v>
      </c>
      <c r="B18" s="66"/>
      <c r="C18" s="85"/>
      <c r="D18" s="207"/>
      <c r="E18" s="76"/>
      <c r="F18" s="66"/>
      <c r="G18" s="74"/>
    </row>
    <row r="19" spans="1:7">
      <c r="A19" s="3">
        <f t="shared" si="0"/>
        <v>14</v>
      </c>
      <c r="B19" s="70" t="s">
        <v>54</v>
      </c>
      <c r="C19" s="86"/>
      <c r="D19" s="87"/>
      <c r="E19" s="335">
        <f>'Pg 4 STD OS &amp; Comm Fees'!F16</f>
        <v>1417761.9231666666</v>
      </c>
      <c r="F19" s="401">
        <f>E19/C23</f>
        <v>9.2259442779987107E-3</v>
      </c>
      <c r="G19" s="186" t="s">
        <v>77</v>
      </c>
    </row>
    <row r="20" spans="1:7">
      <c r="A20" s="3">
        <f t="shared" si="0"/>
        <v>15</v>
      </c>
      <c r="B20" s="70"/>
      <c r="C20" s="77"/>
      <c r="D20" s="78"/>
      <c r="E20" s="82"/>
      <c r="F20" s="73"/>
      <c r="G20" s="74"/>
    </row>
    <row r="21" spans="1:7">
      <c r="A21" s="3">
        <f t="shared" si="0"/>
        <v>16</v>
      </c>
      <c r="B21" s="70" t="s">
        <v>55</v>
      </c>
      <c r="C21" s="77"/>
      <c r="D21" s="78"/>
      <c r="E21" s="335">
        <f>-'Pg 5 STD Amort'!G27</f>
        <v>712410.12</v>
      </c>
      <c r="F21" s="401">
        <f>E21/C23</f>
        <v>4.6359377853242845E-3</v>
      </c>
      <c r="G21" s="186" t="s">
        <v>92</v>
      </c>
    </row>
    <row r="22" spans="1:7" ht="13.8" thickBot="1">
      <c r="A22" s="3">
        <f t="shared" si="0"/>
        <v>17</v>
      </c>
      <c r="B22" s="66"/>
      <c r="C22" s="76"/>
      <c r="D22" s="75"/>
      <c r="E22" s="83"/>
      <c r="G22" s="66"/>
    </row>
    <row r="23" spans="1:7" ht="13.8" thickBot="1">
      <c r="A23" s="3">
        <f t="shared" si="0"/>
        <v>18</v>
      </c>
      <c r="B23" s="79" t="s">
        <v>39</v>
      </c>
      <c r="C23" s="80">
        <f>C17</f>
        <v>153671199.44</v>
      </c>
      <c r="D23" s="81"/>
      <c r="E23" s="80">
        <f>SUM(E17:E22)</f>
        <v>3108318.7431666665</v>
      </c>
      <c r="F23" s="211">
        <f>E23/C23</f>
        <v>2.022707413291383E-2</v>
      </c>
      <c r="G23" s="74"/>
    </row>
    <row r="24" spans="1:7">
      <c r="A24" s="3">
        <f t="shared" si="0"/>
        <v>19</v>
      </c>
      <c r="B24" s="66"/>
      <c r="C24" s="66"/>
      <c r="D24" s="66"/>
      <c r="E24" s="66"/>
      <c r="F24" s="66"/>
      <c r="G24" s="74"/>
    </row>
    <row r="25" spans="1:7">
      <c r="A25" s="3">
        <f t="shared" si="0"/>
        <v>20</v>
      </c>
      <c r="E25" s="10"/>
      <c r="F25" s="9"/>
      <c r="G25" s="10"/>
    </row>
    <row r="26" spans="1:7">
      <c r="A26" s="3">
        <f t="shared" si="0"/>
        <v>21</v>
      </c>
      <c r="B26" s="129" t="s">
        <v>162</v>
      </c>
      <c r="C26" s="130"/>
      <c r="D26" s="130"/>
      <c r="E26" s="130"/>
      <c r="F26" s="70"/>
      <c r="G26" s="10"/>
    </row>
    <row r="27" spans="1:7">
      <c r="A27" s="3">
        <f t="shared" si="0"/>
        <v>22</v>
      </c>
      <c r="B27" s="129" t="s">
        <v>140</v>
      </c>
      <c r="C27" s="130"/>
      <c r="D27" s="130"/>
      <c r="E27" s="130"/>
      <c r="F27" s="70"/>
      <c r="G27" s="10"/>
    </row>
    <row r="28" spans="1:7">
      <c r="A28" s="3">
        <f t="shared" si="0"/>
        <v>23</v>
      </c>
      <c r="B28" s="129" t="s">
        <v>161</v>
      </c>
      <c r="C28" s="70"/>
      <c r="D28" s="70"/>
      <c r="E28" s="70"/>
      <c r="F28" s="70"/>
      <c r="G28" s="10"/>
    </row>
    <row r="29" spans="1:7">
      <c r="A29" s="3"/>
      <c r="B29" s="129"/>
    </row>
    <row r="30" spans="1:7">
      <c r="A30" s="3"/>
      <c r="B30" s="8"/>
    </row>
    <row r="31" spans="1:7">
      <c r="A31" s="3"/>
      <c r="B31" s="8"/>
    </row>
    <row r="32" spans="1:7">
      <c r="A32" s="3" t="s">
        <v>2</v>
      </c>
    </row>
    <row r="33" spans="1:7" ht="12.75" customHeight="1">
      <c r="A33" s="11"/>
    </row>
    <row r="34" spans="1:7">
      <c r="A34" s="3" t="s">
        <v>2</v>
      </c>
      <c r="E34" s="10"/>
      <c r="F34" s="9"/>
      <c r="G34" s="10"/>
    </row>
    <row r="35" spans="1:7">
      <c r="A35" s="3" t="s">
        <v>2</v>
      </c>
      <c r="E35" s="10"/>
      <c r="F35" s="9"/>
      <c r="G35" s="10"/>
    </row>
    <row r="36" spans="1:7">
      <c r="E36" s="10"/>
      <c r="F36" s="9"/>
      <c r="G36" s="10"/>
    </row>
    <row r="40" spans="1:7">
      <c r="D40" s="12"/>
      <c r="E40" s="10"/>
      <c r="F40" s="9"/>
      <c r="G40" s="10"/>
    </row>
    <row r="41" spans="1:7">
      <c r="D41" s="12"/>
      <c r="E41" s="10"/>
      <c r="F41" s="9"/>
      <c r="G41" s="10"/>
    </row>
    <row r="42" spans="1:7">
      <c r="D42" s="12"/>
      <c r="E42" s="10"/>
      <c r="F42" s="9"/>
      <c r="G42" s="10"/>
    </row>
    <row r="43" spans="1:7">
      <c r="D43" s="12"/>
      <c r="E43" s="10"/>
      <c r="F43" s="9"/>
      <c r="G43" s="10"/>
    </row>
    <row r="44" spans="1:7">
      <c r="E44" s="10"/>
    </row>
    <row r="45" spans="1:7">
      <c r="E45" s="10"/>
      <c r="G45" s="10"/>
    </row>
    <row r="54" spans="2:2">
      <c r="B54" s="12"/>
    </row>
    <row r="55" spans="2:2">
      <c r="B55" s="8"/>
    </row>
    <row r="72" spans="6:6">
      <c r="F72" s="9"/>
    </row>
    <row r="83" spans="4:4">
      <c r="D83" s="12"/>
    </row>
    <row r="85" spans="4:4">
      <c r="D85" s="12"/>
    </row>
    <row r="88" spans="4:4">
      <c r="D88" s="12"/>
    </row>
    <row r="89" spans="4:4">
      <c r="D89" s="12"/>
    </row>
    <row r="94" spans="4:4">
      <c r="D94" s="12"/>
    </row>
    <row r="95" spans="4:4">
      <c r="D95" s="12"/>
    </row>
    <row r="102" spans="3:3">
      <c r="C102" s="13"/>
    </row>
    <row r="103" spans="3:3">
      <c r="C103" s="14"/>
    </row>
    <row r="105" spans="3:3">
      <c r="C105" s="13"/>
    </row>
    <row r="106" spans="3:3">
      <c r="C106" s="9"/>
    </row>
  </sheetData>
  <phoneticPr fontId="25" type="noConversion"/>
  <printOptions horizontalCentered="1"/>
  <pageMargins left="0.75" right="0.75" top="0.65" bottom="0.63" header="0.5" footer="0.31"/>
  <pageSetup orientation="landscape" r:id="rId1"/>
  <headerFooter alignWithMargins="0">
    <oddFooter>&amp;C&amp;A&amp;R&amp;8&amp;F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S36"/>
  <sheetViews>
    <sheetView zoomScaleNormal="100" workbookViewId="0">
      <selection activeCell="D31" sqref="D31"/>
    </sheetView>
  </sheetViews>
  <sheetFormatPr defaultRowHeight="10.199999999999999"/>
  <cols>
    <col min="1" max="1" width="5.7109375" bestFit="1" customWidth="1"/>
    <col min="2" max="2" width="24.7109375" customWidth="1"/>
    <col min="3" max="3" width="16.140625" customWidth="1"/>
    <col min="4" max="4" width="15.140625" customWidth="1"/>
    <col min="5" max="5" width="11.85546875" customWidth="1"/>
    <col min="6" max="6" width="17.140625" customWidth="1"/>
    <col min="7" max="7" width="15" customWidth="1"/>
    <col min="8" max="8" width="14.85546875" bestFit="1" customWidth="1"/>
    <col min="9" max="9" width="12.85546875" customWidth="1"/>
    <col min="10" max="10" width="12.140625" bestFit="1" customWidth="1"/>
    <col min="11" max="11" width="5.85546875" customWidth="1"/>
    <col min="12" max="12" width="8.42578125" customWidth="1"/>
    <col min="13" max="13" width="16" customWidth="1"/>
    <col min="14" max="14" width="11.140625" customWidth="1"/>
    <col min="15" max="15" width="11.42578125" customWidth="1"/>
  </cols>
  <sheetData>
    <row r="1" spans="1:15" ht="12">
      <c r="A1" s="34"/>
      <c r="B1" s="35" t="s">
        <v>46</v>
      </c>
      <c r="C1" s="35"/>
      <c r="D1" s="34"/>
      <c r="E1" s="34"/>
      <c r="F1" s="34"/>
      <c r="G1" s="35"/>
      <c r="H1" s="35"/>
      <c r="I1" s="35"/>
      <c r="J1" s="35"/>
      <c r="K1" s="34"/>
      <c r="L1" s="34"/>
      <c r="M1" s="34"/>
      <c r="N1" s="34"/>
      <c r="O1" s="34"/>
    </row>
    <row r="2" spans="1:15" ht="12">
      <c r="A2" s="34"/>
      <c r="B2" s="35" t="s">
        <v>47</v>
      </c>
      <c r="C2" s="35"/>
      <c r="D2" s="34"/>
      <c r="E2" s="34"/>
      <c r="F2" s="34"/>
      <c r="G2" s="35"/>
      <c r="H2" s="35"/>
      <c r="I2" s="35"/>
      <c r="J2" s="35"/>
      <c r="K2" s="36"/>
      <c r="L2" s="34"/>
      <c r="N2" s="34"/>
      <c r="O2" s="34"/>
    </row>
    <row r="3" spans="1:15" ht="13.2">
      <c r="A3" s="34"/>
      <c r="B3" s="258" t="str">
        <f>'New Format'!B5</f>
        <v>For The 12 Months Ending December 31, 2020</v>
      </c>
      <c r="C3" s="249"/>
      <c r="D3" s="250"/>
      <c r="E3" s="250"/>
      <c r="F3" s="250"/>
      <c r="G3" s="251"/>
      <c r="H3" s="251"/>
      <c r="I3" s="251"/>
      <c r="J3" s="251"/>
      <c r="K3" s="34"/>
      <c r="L3" s="34"/>
      <c r="N3" s="34"/>
      <c r="O3" s="34"/>
    </row>
    <row r="4" spans="1:15" ht="12">
      <c r="A4" s="34"/>
      <c r="B4" s="35"/>
      <c r="C4" s="42"/>
      <c r="D4" s="34"/>
      <c r="E4" s="34"/>
      <c r="F4" s="34"/>
      <c r="G4" s="34"/>
      <c r="H4" s="34"/>
      <c r="I4" s="34"/>
      <c r="J4" s="34"/>
      <c r="K4" s="34"/>
      <c r="L4" s="34"/>
      <c r="N4" s="34"/>
      <c r="O4" s="34"/>
    </row>
    <row r="5" spans="1:15" ht="13.8" thickBot="1">
      <c r="A5" s="187">
        <v>1</v>
      </c>
      <c r="B5" s="337" t="s">
        <v>5</v>
      </c>
      <c r="C5" s="337" t="s">
        <v>27</v>
      </c>
      <c r="D5" s="337" t="s">
        <v>52</v>
      </c>
      <c r="E5" s="337" t="s">
        <v>64</v>
      </c>
      <c r="F5" s="337" t="s">
        <v>65</v>
      </c>
      <c r="G5" s="337" t="s">
        <v>66</v>
      </c>
      <c r="H5" s="337" t="s">
        <v>67</v>
      </c>
      <c r="I5" s="337" t="s">
        <v>68</v>
      </c>
      <c r="J5" s="337" t="s">
        <v>69</v>
      </c>
      <c r="K5" s="68"/>
      <c r="L5" s="68"/>
      <c r="N5" s="34"/>
      <c r="O5" s="34"/>
    </row>
    <row r="6" spans="1:15" ht="12">
      <c r="A6" s="187">
        <f>+A5+1</f>
        <v>2</v>
      </c>
      <c r="B6" s="338" t="s">
        <v>115</v>
      </c>
      <c r="C6" s="339"/>
      <c r="D6" s="339"/>
      <c r="E6" s="339"/>
      <c r="F6" s="339"/>
      <c r="G6" s="339"/>
      <c r="H6" s="147"/>
      <c r="I6" s="147"/>
      <c r="J6" s="147"/>
      <c r="K6" s="340"/>
      <c r="M6" s="34"/>
      <c r="N6" s="34"/>
      <c r="O6" s="34"/>
    </row>
    <row r="7" spans="1:15" ht="11.4">
      <c r="A7" s="187">
        <f>+A6+1</f>
        <v>3</v>
      </c>
      <c r="B7" s="200"/>
      <c r="C7" s="201"/>
      <c r="D7" s="201"/>
      <c r="E7" s="201"/>
      <c r="F7" s="201" t="s">
        <v>2</v>
      </c>
      <c r="G7" s="37" t="s">
        <v>2</v>
      </c>
      <c r="H7" s="37"/>
      <c r="I7" s="37"/>
      <c r="J7" s="37"/>
      <c r="K7" s="341" t="s">
        <v>2</v>
      </c>
      <c r="L7" s="34"/>
      <c r="M7" s="266"/>
      <c r="N7" s="34"/>
      <c r="O7" s="34"/>
    </row>
    <row r="8" spans="1:15" ht="11.4">
      <c r="A8" s="187">
        <f>A7+1</f>
        <v>4</v>
      </c>
      <c r="B8" s="200"/>
      <c r="C8" s="208" t="s">
        <v>50</v>
      </c>
      <c r="D8" s="208" t="s">
        <v>108</v>
      </c>
      <c r="E8" s="208" t="s">
        <v>50</v>
      </c>
      <c r="F8" s="208" t="s">
        <v>124</v>
      </c>
      <c r="G8" s="37"/>
      <c r="H8" s="37"/>
      <c r="I8" s="37"/>
      <c r="J8" s="37"/>
      <c r="K8" s="341"/>
      <c r="L8" s="199"/>
      <c r="M8" s="34"/>
      <c r="N8" s="34"/>
      <c r="O8" s="34"/>
    </row>
    <row r="9" spans="1:15" ht="11.4">
      <c r="A9" s="187">
        <f>A8+1</f>
        <v>5</v>
      </c>
      <c r="B9" s="200"/>
      <c r="C9" s="209" t="s">
        <v>142</v>
      </c>
      <c r="D9" s="209" t="s">
        <v>38</v>
      </c>
      <c r="E9" s="209" t="s">
        <v>93</v>
      </c>
      <c r="F9" s="209" t="s">
        <v>143</v>
      </c>
      <c r="G9" s="39"/>
      <c r="H9" s="39"/>
      <c r="I9" s="37"/>
      <c r="J9" s="37"/>
      <c r="K9" s="341"/>
      <c r="L9" s="199"/>
      <c r="M9" s="232"/>
      <c r="N9" s="34"/>
      <c r="O9" s="34"/>
    </row>
    <row r="10" spans="1:15" ht="11.4">
      <c r="A10" s="187">
        <f>A9+1</f>
        <v>6</v>
      </c>
      <c r="B10" s="200"/>
      <c r="C10" s="88"/>
      <c r="D10" s="88"/>
      <c r="E10" s="88"/>
      <c r="F10" s="315"/>
      <c r="G10" s="37"/>
      <c r="H10" s="37"/>
      <c r="I10" s="37"/>
      <c r="J10" s="37"/>
      <c r="K10" s="341"/>
      <c r="L10" s="34"/>
      <c r="M10" s="34"/>
      <c r="O10" s="34"/>
    </row>
    <row r="11" spans="1:15" ht="11.4">
      <c r="A11" s="187">
        <f t="shared" ref="A11:A36" si="0">A10+1</f>
        <v>7</v>
      </c>
      <c r="B11" s="200" t="s">
        <v>36</v>
      </c>
      <c r="C11" s="310">
        <v>134816008.18000001</v>
      </c>
      <c r="D11" s="310">
        <v>644844.93999999994</v>
      </c>
      <c r="E11" s="260">
        <f>IF(C11=0,"NA",(D11/C11))</f>
        <v>4.783148149135474E-3</v>
      </c>
      <c r="F11" s="364">
        <v>0</v>
      </c>
      <c r="G11" s="332"/>
      <c r="I11" s="37"/>
      <c r="J11" s="37"/>
      <c r="K11" s="341"/>
      <c r="L11" s="34"/>
      <c r="M11" s="353"/>
      <c r="O11" s="34"/>
    </row>
    <row r="12" spans="1:15" ht="11.4">
      <c r="A12" s="187">
        <f t="shared" si="0"/>
        <v>8</v>
      </c>
      <c r="B12" s="200" t="s">
        <v>109</v>
      </c>
      <c r="C12" s="310">
        <v>0</v>
      </c>
      <c r="D12" s="310">
        <v>0</v>
      </c>
      <c r="E12" s="260" t="str">
        <f>IF(C12=0,"NA",(D12/C12))</f>
        <v>NA</v>
      </c>
      <c r="F12" s="364">
        <v>0</v>
      </c>
      <c r="G12" s="332"/>
      <c r="H12" s="311"/>
      <c r="I12" s="37"/>
      <c r="J12" s="37"/>
      <c r="K12" s="341"/>
      <c r="L12" s="34"/>
      <c r="M12" s="353"/>
      <c r="O12" s="34"/>
    </row>
    <row r="13" spans="1:15" ht="11.4" hidden="1">
      <c r="A13" s="187">
        <v>9</v>
      </c>
      <c r="B13" s="200" t="s">
        <v>170</v>
      </c>
      <c r="C13" s="310">
        <v>0</v>
      </c>
      <c r="D13" s="310">
        <v>0</v>
      </c>
      <c r="E13" s="260" t="str">
        <f>IF(C13=0,"NA",(D13/C13))</f>
        <v>NA</v>
      </c>
      <c r="F13" s="205">
        <f>J26</f>
        <v>0</v>
      </c>
      <c r="G13" s="332"/>
      <c r="H13" s="352"/>
      <c r="I13" s="37"/>
      <c r="J13" s="37"/>
      <c r="K13" s="341"/>
      <c r="L13" s="34"/>
      <c r="M13" s="353"/>
      <c r="O13" s="34"/>
    </row>
    <row r="14" spans="1:15" ht="11.4">
      <c r="A14" s="187">
        <f>A13+1</f>
        <v>10</v>
      </c>
      <c r="B14" s="200" t="s">
        <v>192</v>
      </c>
      <c r="C14" s="310">
        <v>18855191.260000002</v>
      </c>
      <c r="D14" s="310">
        <v>333301.76000000001</v>
      </c>
      <c r="E14" s="260">
        <f>IF(C14=0,"NA",(D14/C14))</f>
        <v>1.7676922785030396E-2</v>
      </c>
      <c r="F14" s="205">
        <f>J27</f>
        <v>1389786.8055</v>
      </c>
      <c r="G14" s="332"/>
      <c r="H14" s="311"/>
      <c r="I14" s="37"/>
      <c r="J14" s="37"/>
      <c r="K14" s="341"/>
      <c r="L14" s="34"/>
      <c r="M14" s="198"/>
      <c r="N14" s="34"/>
      <c r="O14" s="34"/>
    </row>
    <row r="15" spans="1:15" ht="11.4">
      <c r="A15" s="187">
        <f t="shared" si="0"/>
        <v>11</v>
      </c>
      <c r="B15" s="200" t="s">
        <v>149</v>
      </c>
      <c r="C15" s="310">
        <v>0</v>
      </c>
      <c r="D15" s="310">
        <v>0</v>
      </c>
      <c r="E15" s="260" t="str">
        <f>IF(C15=0,"NA",(D15/C15))</f>
        <v>NA</v>
      </c>
      <c r="F15" s="205">
        <f>J32</f>
        <v>27975.117666666665</v>
      </c>
      <c r="G15" s="37"/>
      <c r="H15" s="37"/>
      <c r="I15" s="37"/>
      <c r="J15" s="37"/>
      <c r="K15" s="341"/>
      <c r="L15" s="34"/>
      <c r="M15" s="34"/>
      <c r="N15" s="34"/>
      <c r="O15" s="34"/>
    </row>
    <row r="16" spans="1:15" ht="12.6" thickBot="1">
      <c r="A16" s="187">
        <f t="shared" si="0"/>
        <v>12</v>
      </c>
      <c r="B16" s="321" t="s">
        <v>153</v>
      </c>
      <c r="C16" s="356">
        <f>SUM(C10:C15)</f>
        <v>153671199.44</v>
      </c>
      <c r="D16" s="358">
        <f>SUM(D10:D15)</f>
        <v>978146.7</v>
      </c>
      <c r="E16" s="357">
        <f>D16/C16</f>
        <v>6.3651920695908379E-3</v>
      </c>
      <c r="F16" s="358">
        <f>SUM(F10:F15)</f>
        <v>1417761.9231666666</v>
      </c>
      <c r="G16" s="37"/>
      <c r="H16" s="37"/>
      <c r="I16" s="37"/>
      <c r="J16" s="37"/>
      <c r="K16" s="341"/>
      <c r="L16" s="34"/>
      <c r="M16" s="34"/>
      <c r="N16" s="34"/>
      <c r="O16" s="34"/>
    </row>
    <row r="17" spans="1:15" ht="12.6" thickTop="1">
      <c r="A17" s="187"/>
      <c r="B17" s="321"/>
      <c r="C17" s="395"/>
      <c r="D17" s="418"/>
      <c r="E17" s="419"/>
      <c r="F17" s="418"/>
      <c r="G17" s="37"/>
      <c r="H17" s="37"/>
      <c r="I17" s="37"/>
      <c r="J17" s="37"/>
      <c r="K17" s="341"/>
      <c r="L17" s="34"/>
      <c r="M17" s="34"/>
      <c r="N17" s="34"/>
      <c r="O17" s="34"/>
    </row>
    <row r="18" spans="1:15" ht="12">
      <c r="A18" s="187"/>
      <c r="B18" s="411" t="s">
        <v>186</v>
      </c>
      <c r="C18" s="202"/>
      <c r="D18" s="203"/>
      <c r="E18" s="201"/>
      <c r="F18" s="410">
        <f>'New Format'!C30</f>
        <v>8801662440</v>
      </c>
      <c r="G18" s="37"/>
      <c r="H18" s="37"/>
      <c r="I18" s="37"/>
      <c r="J18" s="37"/>
      <c r="K18" s="341"/>
      <c r="L18" s="34"/>
      <c r="M18" s="34"/>
      <c r="N18" s="34"/>
      <c r="O18" s="34"/>
    </row>
    <row r="19" spans="1:15" ht="11.4">
      <c r="A19" s="187"/>
      <c r="B19" s="200"/>
      <c r="C19" s="202"/>
      <c r="D19" s="203"/>
      <c r="E19" s="201"/>
      <c r="F19" s="202"/>
      <c r="G19" s="37"/>
      <c r="H19" s="37"/>
      <c r="I19" s="37"/>
      <c r="J19" s="37"/>
      <c r="K19" s="341"/>
      <c r="L19" s="34"/>
      <c r="M19" s="34"/>
      <c r="N19" s="34"/>
      <c r="O19" s="34"/>
    </row>
    <row r="20" spans="1:15" ht="12">
      <c r="A20" s="187"/>
      <c r="B20" s="411" t="s">
        <v>188</v>
      </c>
      <c r="C20" s="202"/>
      <c r="D20" s="203"/>
      <c r="E20" s="201"/>
      <c r="F20" s="406">
        <f>ROUND(F16/F18,4)</f>
        <v>2.0000000000000001E-4</v>
      </c>
      <c r="G20" s="37"/>
      <c r="H20" s="37"/>
      <c r="I20" s="37"/>
      <c r="J20" s="37"/>
      <c r="K20" s="341"/>
      <c r="L20" s="34"/>
      <c r="M20" s="34"/>
      <c r="N20" s="34"/>
      <c r="O20" s="34"/>
    </row>
    <row r="21" spans="1:15" ht="12" thickBot="1">
      <c r="A21" s="187">
        <f>A16+1</f>
        <v>13</v>
      </c>
      <c r="B21" s="334"/>
      <c r="C21" s="204"/>
      <c r="D21" s="204"/>
      <c r="E21" s="204"/>
      <c r="F21" s="204"/>
      <c r="G21" s="342"/>
      <c r="H21" s="342"/>
      <c r="I21" s="342"/>
      <c r="J21" s="342"/>
      <c r="K21" s="343"/>
      <c r="L21" s="37"/>
      <c r="M21" s="34"/>
      <c r="N21" s="34"/>
      <c r="O21" s="34"/>
    </row>
    <row r="22" spans="1:15" ht="12">
      <c r="A22" s="187">
        <f t="shared" si="0"/>
        <v>14</v>
      </c>
      <c r="B22" s="458" t="s">
        <v>91</v>
      </c>
      <c r="C22" s="459"/>
      <c r="D22" s="147"/>
      <c r="E22" s="147"/>
      <c r="F22" s="147"/>
      <c r="G22" s="147"/>
      <c r="H22" s="179"/>
      <c r="I22" s="179"/>
      <c r="J22" s="179"/>
      <c r="K22" s="144"/>
      <c r="L22" s="37" t="s">
        <v>2</v>
      </c>
      <c r="M22" s="34"/>
      <c r="N22" s="34"/>
      <c r="O22" s="34"/>
    </row>
    <row r="23" spans="1:15" ht="12">
      <c r="A23" s="187">
        <f t="shared" si="0"/>
        <v>15</v>
      </c>
      <c r="B23" s="456" t="s">
        <v>100</v>
      </c>
      <c r="C23" s="457"/>
      <c r="D23" s="37"/>
      <c r="E23" s="37"/>
      <c r="F23" s="37"/>
      <c r="G23" s="212" t="s">
        <v>171</v>
      </c>
      <c r="H23" s="212" t="s">
        <v>171</v>
      </c>
      <c r="I23" s="41"/>
      <c r="J23" s="41"/>
      <c r="K23" s="149"/>
      <c r="L23" s="37"/>
      <c r="M23" s="34"/>
      <c r="N23" s="34"/>
      <c r="O23" s="34"/>
    </row>
    <row r="24" spans="1:15" ht="12">
      <c r="A24" s="187">
        <f t="shared" si="0"/>
        <v>16</v>
      </c>
      <c r="B24" s="180"/>
      <c r="C24" s="178"/>
      <c r="D24" s="37"/>
      <c r="E24" s="37"/>
      <c r="F24" s="37"/>
      <c r="G24" s="212" t="s">
        <v>145</v>
      </c>
      <c r="H24" s="212" t="s">
        <v>146</v>
      </c>
      <c r="I24" s="41"/>
      <c r="J24" s="41"/>
      <c r="K24" s="149"/>
      <c r="L24" s="37"/>
      <c r="M24" s="34"/>
      <c r="N24" s="34"/>
      <c r="O24" s="34"/>
    </row>
    <row r="25" spans="1:15" ht="11.4">
      <c r="A25" s="187">
        <f t="shared" si="0"/>
        <v>17</v>
      </c>
      <c r="B25" s="148"/>
      <c r="C25" s="38" t="s">
        <v>48</v>
      </c>
      <c r="D25" s="38" t="s">
        <v>49</v>
      </c>
      <c r="E25" s="39" t="s">
        <v>51</v>
      </c>
      <c r="F25" s="39" t="s">
        <v>124</v>
      </c>
      <c r="G25" s="39" t="s">
        <v>144</v>
      </c>
      <c r="H25" s="39" t="s">
        <v>124</v>
      </c>
      <c r="I25" s="39" t="s">
        <v>60</v>
      </c>
      <c r="J25" s="39" t="s">
        <v>61</v>
      </c>
      <c r="K25" s="181"/>
      <c r="L25" s="37"/>
      <c r="M25" s="34"/>
      <c r="N25" s="34"/>
      <c r="O25" s="34"/>
    </row>
    <row r="26" spans="1:15" ht="11.4" hidden="1">
      <c r="A26" s="187">
        <v>18</v>
      </c>
      <c r="B26" s="200" t="s">
        <v>170</v>
      </c>
      <c r="C26" s="311"/>
      <c r="D26" s="311"/>
      <c r="E26" s="333">
        <f>D26-C26</f>
        <v>0</v>
      </c>
      <c r="F26" s="354">
        <v>650000000</v>
      </c>
      <c r="G26" s="252">
        <f>C13+H32</f>
        <v>0</v>
      </c>
      <c r="H26" s="252">
        <f>F26-G26</f>
        <v>650000000</v>
      </c>
      <c r="I26" s="365">
        <v>1.75E-3</v>
      </c>
      <c r="J26" s="205">
        <f>ROUND(H26*I26*E26/360,4)</f>
        <v>0</v>
      </c>
      <c r="K26" s="149"/>
      <c r="L26" s="37"/>
      <c r="M26" s="34"/>
      <c r="N26" s="34"/>
      <c r="O26" s="34"/>
    </row>
    <row r="27" spans="1:15" ht="11.4">
      <c r="A27" s="187">
        <f>A26+1</f>
        <v>19</v>
      </c>
      <c r="B27" s="200" t="s">
        <v>192</v>
      </c>
      <c r="C27" s="311">
        <v>43831</v>
      </c>
      <c r="D27" s="311">
        <v>44196</v>
      </c>
      <c r="E27" s="333">
        <f>D27-C27+1</f>
        <v>366</v>
      </c>
      <c r="F27" s="354">
        <v>800000000</v>
      </c>
      <c r="G27" s="252">
        <f>C14+H33</f>
        <v>18855191.260000002</v>
      </c>
      <c r="H27" s="252">
        <f>F27-G27</f>
        <v>781144808.74000001</v>
      </c>
      <c r="I27" s="365">
        <v>1.75E-3</v>
      </c>
      <c r="J27" s="205">
        <f>ROUND(H27*I27*E27/360,4)</f>
        <v>1389786.8055</v>
      </c>
      <c r="K27" s="182"/>
      <c r="L27" s="37"/>
      <c r="M27" s="34"/>
      <c r="N27" s="34"/>
      <c r="O27" s="34"/>
    </row>
    <row r="28" spans="1:15" ht="12" thickBot="1">
      <c r="A28" s="187">
        <f t="shared" si="0"/>
        <v>20</v>
      </c>
      <c r="B28" s="256" t="s">
        <v>123</v>
      </c>
      <c r="C28" s="40"/>
      <c r="D28" s="268"/>
      <c r="E28" s="314"/>
      <c r="F28" s="269"/>
      <c r="G28" s="414"/>
      <c r="H28" s="414"/>
      <c r="I28" s="270"/>
      <c r="J28" s="417">
        <f>+J26+J27</f>
        <v>1389786.8055</v>
      </c>
      <c r="K28" s="182"/>
      <c r="L28" s="37"/>
      <c r="M28" s="34"/>
      <c r="N28" s="34"/>
      <c r="O28" s="34"/>
    </row>
    <row r="29" spans="1:15" ht="12" thickTop="1">
      <c r="A29" s="187">
        <f t="shared" si="0"/>
        <v>21</v>
      </c>
      <c r="B29" s="235"/>
      <c r="C29" s="40"/>
      <c r="D29" s="268"/>
      <c r="E29" s="314"/>
      <c r="F29" s="314"/>
      <c r="G29" s="268"/>
      <c r="H29" s="271"/>
      <c r="I29" s="271"/>
      <c r="J29" s="271"/>
      <c r="K29" s="182"/>
      <c r="L29" s="37"/>
      <c r="M29" s="34"/>
      <c r="N29" s="34"/>
      <c r="O29" s="34"/>
    </row>
    <row r="30" spans="1:15" ht="12">
      <c r="A30" s="187">
        <f t="shared" si="0"/>
        <v>22</v>
      </c>
      <c r="B30" s="255" t="s">
        <v>125</v>
      </c>
      <c r="C30" s="272"/>
      <c r="D30" s="88"/>
      <c r="E30" s="88"/>
      <c r="F30" s="39" t="s">
        <v>163</v>
      </c>
      <c r="G30" s="39" t="s">
        <v>51</v>
      </c>
      <c r="H30" s="39" t="s">
        <v>150</v>
      </c>
      <c r="I30" s="268"/>
      <c r="J30" s="271"/>
      <c r="K30" s="182"/>
      <c r="L30" s="37"/>
      <c r="M30" s="34"/>
      <c r="N30" s="34"/>
      <c r="O30" s="34"/>
    </row>
    <row r="31" spans="1:15" ht="11.4">
      <c r="A31" s="187">
        <f t="shared" si="0"/>
        <v>23</v>
      </c>
      <c r="B31" s="256" t="s">
        <v>151</v>
      </c>
      <c r="C31" s="414"/>
      <c r="D31" s="88"/>
      <c r="E31" s="88"/>
      <c r="F31" s="415" t="s">
        <v>165</v>
      </c>
      <c r="G31" s="389">
        <v>366</v>
      </c>
      <c r="H31" s="310">
        <v>2733946</v>
      </c>
      <c r="I31" s="365">
        <v>0.01</v>
      </c>
      <c r="J31" s="252">
        <f>(I31*H31)*(G31/360)+(15*12)</f>
        <v>27975.117666666665</v>
      </c>
      <c r="K31" s="182"/>
      <c r="L31" s="37"/>
      <c r="M31" s="34"/>
      <c r="N31" s="34"/>
      <c r="O31" s="34"/>
    </row>
    <row r="32" spans="1:15" ht="12.75" customHeight="1" thickBot="1">
      <c r="A32" s="187">
        <f>A31+1</f>
        <v>24</v>
      </c>
      <c r="B32" s="256"/>
      <c r="C32" s="414"/>
      <c r="D32" s="88"/>
      <c r="E32" s="88"/>
      <c r="F32" s="415"/>
      <c r="G32" s="389"/>
      <c r="H32" s="310"/>
      <c r="I32" s="365"/>
      <c r="J32" s="355">
        <f>SUM(J31)</f>
        <v>27975.117666666665</v>
      </c>
      <c r="K32" s="149"/>
      <c r="L32" s="37"/>
      <c r="M32" s="34"/>
      <c r="N32" s="34"/>
      <c r="O32" s="34"/>
    </row>
    <row r="33" spans="1:19" ht="12.75" customHeight="1" thickTop="1">
      <c r="A33" s="187">
        <f t="shared" si="0"/>
        <v>25</v>
      </c>
      <c r="B33" s="320" t="s">
        <v>152</v>
      </c>
      <c r="C33" s="414"/>
      <c r="D33" s="414"/>
      <c r="E33" s="416"/>
      <c r="F33" s="354"/>
      <c r="G33" s="333"/>
      <c r="H33" s="41"/>
      <c r="I33" s="41"/>
      <c r="K33" s="149"/>
      <c r="L33" s="37"/>
      <c r="M33" s="34"/>
      <c r="N33" s="34"/>
      <c r="O33" s="34"/>
    </row>
    <row r="34" spans="1:19" ht="12.75" customHeight="1">
      <c r="A34" s="187">
        <f t="shared" si="0"/>
        <v>26</v>
      </c>
      <c r="B34" s="256"/>
      <c r="C34" s="414"/>
      <c r="D34" s="414"/>
      <c r="E34" s="414"/>
      <c r="F34" s="312"/>
      <c r="G34" s="313"/>
      <c r="H34" s="41"/>
      <c r="I34" s="41"/>
      <c r="J34" s="41"/>
      <c r="K34" s="149"/>
      <c r="L34" s="37"/>
      <c r="M34" s="34"/>
      <c r="N34" s="34"/>
      <c r="O34" s="34"/>
    </row>
    <row r="35" spans="1:19" ht="12">
      <c r="A35" s="187">
        <f t="shared" si="0"/>
        <v>27</v>
      </c>
      <c r="B35" s="180"/>
      <c r="C35" s="178"/>
      <c r="D35" s="178"/>
      <c r="E35" s="88"/>
      <c r="F35" s="88"/>
      <c r="G35" s="88"/>
      <c r="H35" s="145"/>
      <c r="I35" s="145"/>
      <c r="J35" s="145"/>
      <c r="K35" s="149"/>
    </row>
    <row r="36" spans="1:19" ht="12.6" thickBot="1">
      <c r="A36" s="187">
        <f t="shared" si="0"/>
        <v>28</v>
      </c>
      <c r="B36" s="124" t="s">
        <v>83</v>
      </c>
      <c r="C36" s="184"/>
      <c r="D36" s="184"/>
      <c r="E36" s="150"/>
      <c r="F36" s="150"/>
      <c r="G36" s="150"/>
      <c r="H36" s="185"/>
      <c r="I36" s="185"/>
      <c r="J36" s="185"/>
      <c r="K36" s="183"/>
      <c r="S36" s="123"/>
    </row>
  </sheetData>
  <mergeCells count="2">
    <mergeCell ref="B23:C23"/>
    <mergeCell ref="B22:C22"/>
  </mergeCells>
  <phoneticPr fontId="25" type="noConversion"/>
  <pageMargins left="0.5" right="0.5" top="0.51" bottom="0.96" header="0.28999999999999998" footer="0.28000000000000003"/>
  <pageSetup orientation="landscape" r:id="rId1"/>
  <headerFooter alignWithMargins="0">
    <oddFooter>&amp;C&amp;A&amp;R&amp;8&amp;F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zoomScaleNormal="100" workbookViewId="0">
      <selection activeCell="I19" sqref="I19"/>
    </sheetView>
  </sheetViews>
  <sheetFormatPr defaultRowHeight="10.199999999999999"/>
  <cols>
    <col min="1" max="1" width="5.7109375" bestFit="1" customWidth="1"/>
    <col min="2" max="2" width="52.7109375" bestFit="1" customWidth="1"/>
    <col min="3" max="6" width="21.7109375" customWidth="1"/>
    <col min="7" max="7" width="15.85546875" customWidth="1"/>
    <col min="8" max="9" width="12" style="123" customWidth="1"/>
  </cols>
  <sheetData>
    <row r="1" spans="1:8" ht="12">
      <c r="B1" s="35" t="s">
        <v>46</v>
      </c>
    </row>
    <row r="2" spans="1:8" ht="12">
      <c r="A2" s="88"/>
      <c r="B2" s="125" t="s">
        <v>99</v>
      </c>
    </row>
    <row r="3" spans="1:8" ht="12">
      <c r="A3" s="88"/>
      <c r="B3" s="399" t="str">
        <f>'New Format'!B5</f>
        <v>For The 12 Months Ending December 31, 2020</v>
      </c>
    </row>
    <row r="4" spans="1:8" ht="12">
      <c r="A4" s="37"/>
      <c r="B4" s="35"/>
      <c r="C4" s="366"/>
      <c r="D4" s="366"/>
      <c r="E4" s="366"/>
      <c r="F4" s="366"/>
      <c r="G4" s="366"/>
    </row>
    <row r="5" spans="1:8" ht="12">
      <c r="A5" s="367" t="s">
        <v>5</v>
      </c>
      <c r="B5" s="367" t="s">
        <v>27</v>
      </c>
      <c r="C5" s="367" t="s">
        <v>64</v>
      </c>
      <c r="D5" s="367" t="s">
        <v>65</v>
      </c>
      <c r="E5" s="367" t="s">
        <v>66</v>
      </c>
      <c r="F5" s="367" t="s">
        <v>67</v>
      </c>
      <c r="G5" s="367" t="s">
        <v>68</v>
      </c>
    </row>
    <row r="6" spans="1:8" ht="11.25" customHeight="1">
      <c r="A6" s="366"/>
      <c r="B6" s="368"/>
      <c r="C6" s="368"/>
      <c r="D6" s="368"/>
      <c r="E6" s="368"/>
      <c r="F6" s="368"/>
      <c r="G6" s="368"/>
    </row>
    <row r="7" spans="1:8" ht="11.25" customHeight="1">
      <c r="A7" s="187"/>
      <c r="B7" s="159"/>
      <c r="C7" s="324"/>
      <c r="D7" s="324"/>
      <c r="E7" s="324"/>
      <c r="F7" s="324"/>
    </row>
    <row r="8" spans="1:8" ht="11.25" customHeight="1">
      <c r="A8" s="187">
        <v>1</v>
      </c>
      <c r="B8" s="369" t="s">
        <v>9</v>
      </c>
      <c r="C8" s="370" t="s">
        <v>172</v>
      </c>
      <c r="D8" s="370" t="s">
        <v>172</v>
      </c>
      <c r="E8" s="370" t="s">
        <v>191</v>
      </c>
      <c r="F8" s="370" t="s">
        <v>172</v>
      </c>
      <c r="G8" s="366"/>
    </row>
    <row r="9" spans="1:8" ht="11.25" customHeight="1">
      <c r="A9" s="187">
        <f>A8+1</f>
        <v>2</v>
      </c>
      <c r="B9" s="369"/>
      <c r="C9" s="371" t="s">
        <v>173</v>
      </c>
      <c r="D9" s="371" t="s">
        <v>176</v>
      </c>
      <c r="E9" s="371" t="s">
        <v>173</v>
      </c>
      <c r="F9" s="371" t="s">
        <v>176</v>
      </c>
      <c r="G9" s="372" t="s">
        <v>156</v>
      </c>
    </row>
    <row r="10" spans="1:8" ht="11.25" customHeight="1">
      <c r="A10" s="187">
        <f t="shared" ref="A10:A35" si="0">A9+1</f>
        <v>3</v>
      </c>
      <c r="B10" s="125" t="s">
        <v>141</v>
      </c>
      <c r="C10" s="373">
        <v>18100673</v>
      </c>
      <c r="D10" s="373">
        <v>18900443</v>
      </c>
      <c r="E10" s="373">
        <v>18100683</v>
      </c>
      <c r="F10" s="373">
        <v>18900473</v>
      </c>
      <c r="G10" s="373" t="s">
        <v>157</v>
      </c>
    </row>
    <row r="11" spans="1:8" ht="11.25" customHeight="1">
      <c r="A11" s="187">
        <f t="shared" si="0"/>
        <v>4</v>
      </c>
      <c r="B11" s="125"/>
      <c r="C11" s="366"/>
      <c r="D11" s="366"/>
      <c r="E11" s="366"/>
      <c r="G11" s="366"/>
    </row>
    <row r="12" spans="1:8" ht="11.4">
      <c r="A12" s="187">
        <f t="shared" si="0"/>
        <v>5</v>
      </c>
      <c r="B12" s="374" t="s">
        <v>62</v>
      </c>
      <c r="C12" s="366"/>
      <c r="D12" s="366"/>
      <c r="E12" s="366"/>
      <c r="F12" s="366"/>
      <c r="G12" s="375"/>
    </row>
    <row r="13" spans="1:8" ht="11.4">
      <c r="A13" s="187">
        <f t="shared" si="0"/>
        <v>6</v>
      </c>
      <c r="B13" s="404" t="s">
        <v>194</v>
      </c>
      <c r="C13" s="402">
        <v>349611.21</v>
      </c>
      <c r="D13" s="402">
        <v>0</v>
      </c>
      <c r="E13" s="402">
        <v>2188496.36</v>
      </c>
      <c r="F13" s="402">
        <v>53722.06</v>
      </c>
      <c r="G13" s="377"/>
    </row>
    <row r="14" spans="1:8" ht="11.4">
      <c r="A14" s="187">
        <f t="shared" si="0"/>
        <v>7</v>
      </c>
      <c r="B14" s="34"/>
      <c r="C14" s="378"/>
      <c r="D14" s="378"/>
      <c r="E14" s="378"/>
      <c r="F14" s="378"/>
      <c r="G14" s="377"/>
    </row>
    <row r="15" spans="1:8" ht="11.4">
      <c r="A15" s="187">
        <f t="shared" si="0"/>
        <v>8</v>
      </c>
      <c r="B15" s="388">
        <v>43831</v>
      </c>
      <c r="C15" s="378">
        <v>-10211.44</v>
      </c>
      <c r="D15" s="378">
        <v>0</v>
      </c>
      <c r="E15" s="378">
        <f>-47576.01</f>
        <v>-47576.01</v>
      </c>
      <c r="F15" s="378">
        <v>-1580.06</v>
      </c>
      <c r="G15" s="377"/>
    </row>
    <row r="16" spans="1:8" ht="11.4">
      <c r="A16" s="187">
        <f t="shared" si="0"/>
        <v>9</v>
      </c>
      <c r="B16" s="388">
        <v>43862</v>
      </c>
      <c r="C16" s="378">
        <v>-10211.44</v>
      </c>
      <c r="D16" s="378">
        <v>0</v>
      </c>
      <c r="E16" s="378">
        <f>-47576.01</f>
        <v>-47576.01</v>
      </c>
      <c r="F16" s="378">
        <v>-1580.06</v>
      </c>
      <c r="G16" s="376"/>
      <c r="H16" s="351"/>
    </row>
    <row r="17" spans="1:7" ht="11.4">
      <c r="A17" s="187">
        <f t="shared" si="0"/>
        <v>10</v>
      </c>
      <c r="B17" s="388">
        <v>43891</v>
      </c>
      <c r="C17" s="378">
        <v>-10211.44</v>
      </c>
      <c r="D17" s="378">
        <v>0</v>
      </c>
      <c r="E17" s="378">
        <f>-47576.01</f>
        <v>-47576.01</v>
      </c>
      <c r="F17" s="378">
        <v>-1580.06</v>
      </c>
      <c r="G17" s="377"/>
    </row>
    <row r="18" spans="1:7" ht="11.4">
      <c r="A18" s="187">
        <f t="shared" si="0"/>
        <v>11</v>
      </c>
      <c r="B18" s="388">
        <v>43922</v>
      </c>
      <c r="C18" s="378">
        <v>-10211.44</v>
      </c>
      <c r="D18" s="378">
        <v>0</v>
      </c>
      <c r="E18" s="378">
        <f t="shared" ref="E18:E23" si="1">-47576.01</f>
        <v>-47576.01</v>
      </c>
      <c r="F18" s="378">
        <v>-1580.06</v>
      </c>
      <c r="G18" s="377"/>
    </row>
    <row r="19" spans="1:7" ht="11.4">
      <c r="A19" s="187">
        <f t="shared" si="0"/>
        <v>12</v>
      </c>
      <c r="B19" s="388">
        <v>43952</v>
      </c>
      <c r="C19" s="378">
        <v>-10211.44</v>
      </c>
      <c r="D19" s="378">
        <v>0</v>
      </c>
      <c r="E19" s="378">
        <f t="shared" si="1"/>
        <v>-47576.01</v>
      </c>
      <c r="F19" s="378">
        <v>-1580.06</v>
      </c>
      <c r="G19" s="377"/>
    </row>
    <row r="20" spans="1:7" ht="11.4">
      <c r="A20" s="187">
        <f t="shared" si="0"/>
        <v>13</v>
      </c>
      <c r="B20" s="388">
        <v>43983</v>
      </c>
      <c r="C20" s="378">
        <v>-10211.44</v>
      </c>
      <c r="D20" s="378">
        <v>0</v>
      </c>
      <c r="E20" s="378">
        <f t="shared" si="1"/>
        <v>-47576.01</v>
      </c>
      <c r="F20" s="378">
        <v>-1580.06</v>
      </c>
      <c r="G20" s="377"/>
    </row>
    <row r="21" spans="1:7" ht="11.4">
      <c r="A21" s="187">
        <f t="shared" si="0"/>
        <v>14</v>
      </c>
      <c r="B21" s="388">
        <v>44013</v>
      </c>
      <c r="C21" s="378">
        <v>-10211.44</v>
      </c>
      <c r="D21" s="378">
        <v>0</v>
      </c>
      <c r="E21" s="378">
        <f t="shared" si="1"/>
        <v>-47576.01</v>
      </c>
      <c r="F21" s="378">
        <v>-1580.06</v>
      </c>
      <c r="G21" s="377"/>
    </row>
    <row r="22" spans="1:7" ht="11.4">
      <c r="A22" s="187">
        <f t="shared" si="0"/>
        <v>15</v>
      </c>
      <c r="B22" s="388">
        <v>44044</v>
      </c>
      <c r="C22" s="378">
        <v>-10211.44</v>
      </c>
      <c r="D22" s="378">
        <v>0</v>
      </c>
      <c r="E22" s="378">
        <f t="shared" si="1"/>
        <v>-47576.01</v>
      </c>
      <c r="F22" s="378">
        <v>-1580.06</v>
      </c>
      <c r="G22" s="377"/>
    </row>
    <row r="23" spans="1:7" ht="11.4">
      <c r="A23" s="187">
        <f t="shared" si="0"/>
        <v>16</v>
      </c>
      <c r="B23" s="388">
        <v>44075</v>
      </c>
      <c r="C23" s="378">
        <v>-10211.44</v>
      </c>
      <c r="D23" s="378">
        <v>0</v>
      </c>
      <c r="E23" s="378">
        <f t="shared" si="1"/>
        <v>-47576.01</v>
      </c>
      <c r="F23" s="378">
        <v>-1580.06</v>
      </c>
      <c r="G23" s="377"/>
    </row>
    <row r="24" spans="1:7" ht="11.4">
      <c r="A24" s="187">
        <f t="shared" si="0"/>
        <v>17</v>
      </c>
      <c r="B24" s="388">
        <v>44105</v>
      </c>
      <c r="C24" s="378">
        <v>-10211.44</v>
      </c>
      <c r="D24" s="378">
        <v>0</v>
      </c>
      <c r="E24" s="378">
        <f t="shared" ref="E24:E26" si="2">-47576.01</f>
        <v>-47576.01</v>
      </c>
      <c r="F24" s="378">
        <v>-1580.06</v>
      </c>
      <c r="G24" s="377"/>
    </row>
    <row r="25" spans="1:7" ht="11.4">
      <c r="A25" s="187">
        <f t="shared" si="0"/>
        <v>18</v>
      </c>
      <c r="B25" s="388">
        <v>44136</v>
      </c>
      <c r="C25" s="378">
        <v>-10211.44</v>
      </c>
      <c r="D25" s="378">
        <v>0</v>
      </c>
      <c r="E25" s="378">
        <f t="shared" si="2"/>
        <v>-47576.01</v>
      </c>
      <c r="F25" s="378">
        <v>-1580.06</v>
      </c>
      <c r="G25" s="377"/>
    </row>
    <row r="26" spans="1:7" ht="12" thickBot="1">
      <c r="A26" s="187">
        <f t="shared" si="0"/>
        <v>19</v>
      </c>
      <c r="B26" s="388">
        <v>44166</v>
      </c>
      <c r="C26" s="378">
        <v>-10211.44</v>
      </c>
      <c r="D26" s="378">
        <v>0</v>
      </c>
      <c r="E26" s="378">
        <f t="shared" si="2"/>
        <v>-47576.01</v>
      </c>
      <c r="F26" s="378">
        <v>-1580.06</v>
      </c>
      <c r="G26" s="377"/>
    </row>
    <row r="27" spans="1:7" ht="12.6" thickBot="1">
      <c r="A27" s="187">
        <f t="shared" si="0"/>
        <v>20</v>
      </c>
      <c r="B27" s="379" t="s">
        <v>195</v>
      </c>
      <c r="C27" s="385">
        <f>SUM(C15:C26)</f>
        <v>-122537.28000000001</v>
      </c>
      <c r="D27" s="385">
        <f t="shared" ref="D27:F27" si="3">SUM(D15:D26)</f>
        <v>0</v>
      </c>
      <c r="E27" s="385">
        <f t="shared" si="3"/>
        <v>-570912.12</v>
      </c>
      <c r="F27" s="385">
        <f t="shared" si="3"/>
        <v>-18960.719999999998</v>
      </c>
      <c r="G27" s="386">
        <f>SUM(C27:F27)</f>
        <v>-712410.12</v>
      </c>
    </row>
    <row r="28" spans="1:7" ht="11.4">
      <c r="A28" s="187">
        <f t="shared" si="0"/>
        <v>21</v>
      </c>
      <c r="B28" s="374"/>
      <c r="C28" s="380"/>
      <c r="D28" s="380"/>
      <c r="E28" s="380"/>
      <c r="F28" s="380"/>
      <c r="G28" s="375"/>
    </row>
    <row r="29" spans="1:7" ht="11.4">
      <c r="A29" s="187">
        <f t="shared" si="0"/>
        <v>22</v>
      </c>
      <c r="B29" s="381" t="s">
        <v>154</v>
      </c>
      <c r="C29" s="378"/>
      <c r="D29" s="378"/>
      <c r="E29" s="378"/>
      <c r="F29" s="378"/>
      <c r="G29" s="377"/>
    </row>
    <row r="30" spans="1:7" ht="11.4">
      <c r="A30" s="187">
        <f t="shared" si="0"/>
        <v>23</v>
      </c>
      <c r="B30" s="382" t="s">
        <v>155</v>
      </c>
      <c r="D30" s="378"/>
      <c r="E30" s="378"/>
      <c r="F30" s="378"/>
      <c r="G30" s="377"/>
    </row>
    <row r="31" spans="1:7" ht="12" thickBot="1">
      <c r="A31" s="187">
        <f t="shared" si="0"/>
        <v>24</v>
      </c>
      <c r="B31" s="201" t="s">
        <v>63</v>
      </c>
      <c r="C31" s="387">
        <f>C13+C27+C29+C30</f>
        <v>227073.93</v>
      </c>
      <c r="D31" s="387">
        <f>D13+D27+D29+D30</f>
        <v>0</v>
      </c>
      <c r="E31" s="387">
        <f>E13+E27+E29+E30</f>
        <v>1617584.2399999998</v>
      </c>
      <c r="F31" s="387">
        <f>F13+F27+F29+F30</f>
        <v>34761.339999999997</v>
      </c>
      <c r="G31" s="377"/>
    </row>
    <row r="32" spans="1:7" ht="12.6" thickTop="1">
      <c r="A32" s="187">
        <f t="shared" si="0"/>
        <v>25</v>
      </c>
      <c r="B32" s="383"/>
      <c r="C32" s="366"/>
      <c r="D32" s="366"/>
      <c r="E32" s="366"/>
      <c r="F32" s="366"/>
      <c r="G32" s="366"/>
    </row>
    <row r="33" spans="1:8" ht="12">
      <c r="A33" s="187">
        <f t="shared" si="0"/>
        <v>26</v>
      </c>
      <c r="B33" s="35" t="s">
        <v>186</v>
      </c>
      <c r="C33" s="376"/>
      <c r="D33" s="376"/>
      <c r="E33" s="376"/>
      <c r="F33" s="376"/>
      <c r="G33" s="34">
        <f>'New Format'!C30</f>
        <v>8801662440</v>
      </c>
    </row>
    <row r="34" spans="1:8" ht="11.4">
      <c r="A34" s="187">
        <f t="shared" si="0"/>
        <v>27</v>
      </c>
      <c r="B34" s="34"/>
      <c r="C34" s="384"/>
      <c r="D34" s="384"/>
      <c r="E34" s="384"/>
      <c r="F34" s="384"/>
      <c r="G34" s="34"/>
    </row>
    <row r="35" spans="1:8" ht="12">
      <c r="A35" s="187">
        <f t="shared" si="0"/>
        <v>28</v>
      </c>
      <c r="B35" s="35" t="s">
        <v>187</v>
      </c>
      <c r="C35" s="34"/>
      <c r="D35" s="34"/>
      <c r="E35" s="34"/>
      <c r="F35" s="34"/>
      <c r="G35" s="407">
        <f>ROUND(-G27/G33,4)</f>
        <v>1E-4</v>
      </c>
      <c r="H35" s="421"/>
    </row>
    <row r="36" spans="1:8">
      <c r="A36" s="187"/>
    </row>
    <row r="37" spans="1:8">
      <c r="A37" s="187"/>
    </row>
    <row r="38" spans="1:8">
      <c r="A38" s="187"/>
      <c r="B38" s="214"/>
    </row>
    <row r="39" spans="1:8">
      <c r="A39" s="187"/>
    </row>
    <row r="40" spans="1:8">
      <c r="A40" s="187"/>
    </row>
    <row r="41" spans="1:8">
      <c r="A41" s="187"/>
    </row>
    <row r="42" spans="1:8">
      <c r="A42" s="187"/>
    </row>
    <row r="43" spans="1:8">
      <c r="A43" s="187"/>
      <c r="B43" s="157"/>
    </row>
    <row r="44" spans="1:8">
      <c r="A44" s="187"/>
    </row>
    <row r="45" spans="1:8">
      <c r="A45" s="187"/>
    </row>
    <row r="46" spans="1:8">
      <c r="A46" s="187"/>
      <c r="B46" s="216"/>
    </row>
    <row r="47" spans="1:8">
      <c r="A47" s="187"/>
    </row>
    <row r="48" spans="1:8">
      <c r="A48" s="187"/>
    </row>
    <row r="49" spans="1:2">
      <c r="A49" s="187"/>
    </row>
    <row r="50" spans="1:2">
      <c r="A50" s="187"/>
    </row>
    <row r="51" spans="1:2">
      <c r="A51" s="187"/>
    </row>
    <row r="52" spans="1:2">
      <c r="A52" s="187"/>
    </row>
    <row r="53" spans="1:2">
      <c r="A53" s="187"/>
      <c r="B53" s="158"/>
    </row>
    <row r="54" spans="1:2">
      <c r="A54" s="187"/>
      <c r="B54" s="158"/>
    </row>
    <row r="55" spans="1:2">
      <c r="A55" s="187"/>
      <c r="B55" s="216"/>
    </row>
  </sheetData>
  <phoneticPr fontId="25" type="noConversion"/>
  <pageMargins left="0.79" right="0.67" top="0.44" bottom="0.44" header="0.23" footer="0.17"/>
  <pageSetup scale="96" orientation="landscape" r:id="rId1"/>
  <headerFooter alignWithMargins="0">
    <oddFooter>&amp;C&amp;A&amp;R&amp;F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C165"/>
  <sheetViews>
    <sheetView zoomScaleNormal="100" workbookViewId="0">
      <pane xSplit="5" ySplit="5" topLeftCell="F6" activePane="bottomRight" state="frozen"/>
      <selection activeCell="D31" sqref="D31"/>
      <selection pane="topRight" activeCell="D31" sqref="D31"/>
      <selection pane="bottomLeft" activeCell="D31" sqref="D31"/>
      <selection pane="bottomRight" activeCell="Z31" sqref="Z31"/>
    </sheetView>
  </sheetViews>
  <sheetFormatPr defaultColWidth="8.85546875" defaultRowHeight="13.2" outlineLevelCol="1"/>
  <cols>
    <col min="1" max="1" width="5.7109375" style="25" bestFit="1" customWidth="1"/>
    <col min="2" max="2" width="7" style="23" customWidth="1"/>
    <col min="3" max="3" width="8.28515625" style="23" customWidth="1"/>
    <col min="4" max="5" width="7.140625" style="23" customWidth="1"/>
    <col min="6" max="6" width="10" style="26" customWidth="1"/>
    <col min="7" max="7" width="9.85546875" style="23" customWidth="1"/>
    <col min="8" max="8" width="8" style="23" customWidth="1"/>
    <col min="9" max="9" width="7.85546875" style="26" customWidth="1"/>
    <col min="10" max="11" width="9.140625" style="23" customWidth="1"/>
    <col min="12" max="12" width="9.85546875" style="23" customWidth="1"/>
    <col min="13" max="13" width="9.140625" style="23" customWidth="1"/>
    <col min="14" max="14" width="9.85546875" style="23" customWidth="1"/>
    <col min="15" max="23" width="8.85546875" style="23" customWidth="1"/>
    <col min="24" max="24" width="8.85546875" style="23" customWidth="1" outlineLevel="1"/>
    <col min="25" max="25" width="12.28515625" style="23" customWidth="1" outlineLevel="1"/>
    <col min="26" max="26" width="14.7109375" style="23" customWidth="1" outlineLevel="1"/>
    <col min="27" max="27" width="12.7109375" style="23" customWidth="1"/>
    <col min="28" max="28" width="8.85546875" style="23"/>
    <col min="29" max="30" width="10.85546875" style="23" bestFit="1" customWidth="1"/>
    <col min="31" max="16384" width="8.85546875" style="23"/>
  </cols>
  <sheetData>
    <row r="1" spans="1:25" ht="12.75" customHeight="1">
      <c r="A1" s="226" t="s">
        <v>90</v>
      </c>
      <c r="B1" s="152"/>
      <c r="C1" s="152"/>
      <c r="D1" s="151"/>
      <c r="E1" s="153"/>
      <c r="F1" s="151"/>
      <c r="G1" s="152"/>
      <c r="H1" s="152"/>
      <c r="I1" s="152"/>
    </row>
    <row r="2" spans="1:25" s="56" customFormat="1" ht="12.75" customHeight="1">
      <c r="A2" s="259" t="str">
        <f>'New Format'!B5</f>
        <v>For The 12 Months Ending December 31, 2020</v>
      </c>
      <c r="B2" s="154"/>
      <c r="C2" s="154"/>
      <c r="D2" s="154"/>
      <c r="E2" s="155"/>
      <c r="F2" s="154"/>
      <c r="G2" s="156"/>
      <c r="H2" s="155"/>
      <c r="I2" s="154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</row>
    <row r="3" spans="1:25" s="56" customFormat="1" ht="12.75" customHeight="1">
      <c r="A3" s="259"/>
      <c r="B3" s="154"/>
      <c r="C3" s="154"/>
      <c r="D3" s="154"/>
      <c r="E3" s="155"/>
      <c r="F3" s="154"/>
      <c r="G3" s="156"/>
      <c r="H3" s="155"/>
      <c r="I3" s="154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</row>
    <row r="4" spans="1:25" ht="11.1" customHeight="1">
      <c r="A4" s="174" t="s">
        <v>5</v>
      </c>
      <c r="B4" s="174" t="s">
        <v>27</v>
      </c>
      <c r="C4" s="174" t="s">
        <v>52</v>
      </c>
      <c r="D4" s="174" t="s">
        <v>64</v>
      </c>
      <c r="E4" s="174" t="s">
        <v>65</v>
      </c>
      <c r="F4" s="174" t="s">
        <v>66</v>
      </c>
      <c r="G4" s="174" t="s">
        <v>67</v>
      </c>
      <c r="H4" s="174" t="s">
        <v>68</v>
      </c>
      <c r="I4" s="174" t="s">
        <v>69</v>
      </c>
      <c r="J4" s="174" t="s">
        <v>68</v>
      </c>
      <c r="K4" s="174" t="s">
        <v>69</v>
      </c>
      <c r="L4" s="174" t="s">
        <v>68</v>
      </c>
      <c r="M4" s="174" t="s">
        <v>69</v>
      </c>
      <c r="N4" s="174" t="s">
        <v>68</v>
      </c>
      <c r="O4" s="174" t="s">
        <v>69</v>
      </c>
      <c r="P4" s="174" t="s">
        <v>68</v>
      </c>
      <c r="Q4" s="174" t="s">
        <v>69</v>
      </c>
      <c r="R4" s="174" t="s">
        <v>68</v>
      </c>
      <c r="S4" s="174" t="s">
        <v>69</v>
      </c>
      <c r="T4" s="174" t="s">
        <v>68</v>
      </c>
      <c r="U4" s="174" t="s">
        <v>69</v>
      </c>
      <c r="V4" s="174" t="s">
        <v>68</v>
      </c>
      <c r="W4" s="174"/>
      <c r="X4" s="390" t="s">
        <v>166</v>
      </c>
    </row>
    <row r="5" spans="1:25" ht="31.2">
      <c r="A5" s="346">
        <v>1</v>
      </c>
      <c r="B5" s="347" t="s">
        <v>120</v>
      </c>
      <c r="C5" s="347" t="s">
        <v>94</v>
      </c>
      <c r="D5" s="347" t="s">
        <v>57</v>
      </c>
      <c r="E5" s="347" t="s">
        <v>98</v>
      </c>
      <c r="F5" s="347" t="s">
        <v>111</v>
      </c>
      <c r="G5" s="347" t="s">
        <v>84</v>
      </c>
      <c r="H5" s="347" t="s">
        <v>88</v>
      </c>
      <c r="I5" s="347" t="s">
        <v>80</v>
      </c>
      <c r="J5" s="348">
        <f>'Pg 2 CapStructure'!C6</f>
        <v>43830</v>
      </c>
      <c r="K5" s="348">
        <f>'Pg 2 CapStructure'!D6</f>
        <v>43861</v>
      </c>
      <c r="L5" s="348">
        <f>'Pg 2 CapStructure'!E6</f>
        <v>43890</v>
      </c>
      <c r="M5" s="348">
        <f>'Pg 2 CapStructure'!F6</f>
        <v>43921</v>
      </c>
      <c r="N5" s="348">
        <f>'Pg 2 CapStructure'!G6</f>
        <v>43951</v>
      </c>
      <c r="O5" s="348">
        <f>'Pg 2 CapStructure'!H6</f>
        <v>43982</v>
      </c>
      <c r="P5" s="348">
        <f>'Pg 2 CapStructure'!I6</f>
        <v>44012</v>
      </c>
      <c r="Q5" s="348">
        <f>'Pg 2 CapStructure'!J6</f>
        <v>44043</v>
      </c>
      <c r="R5" s="348">
        <f>'Pg 2 CapStructure'!K6</f>
        <v>44074</v>
      </c>
      <c r="S5" s="348">
        <f>'Pg 2 CapStructure'!L6</f>
        <v>44104</v>
      </c>
      <c r="T5" s="348">
        <f>'Pg 2 CapStructure'!M6</f>
        <v>44135</v>
      </c>
      <c r="U5" s="348">
        <f>'Pg 2 CapStructure'!N6</f>
        <v>44165</v>
      </c>
      <c r="V5" s="348">
        <f>'Pg 2 CapStructure'!O6</f>
        <v>44196</v>
      </c>
      <c r="W5" s="348"/>
      <c r="X5" s="391" t="s">
        <v>38</v>
      </c>
      <c r="Y5" s="391" t="s">
        <v>167</v>
      </c>
    </row>
    <row r="6" spans="1:25" s="27" customFormat="1">
      <c r="A6" s="437">
        <v>2</v>
      </c>
      <c r="B6" s="286" t="s">
        <v>23</v>
      </c>
      <c r="C6" s="425">
        <v>7.1499999999999994E-2</v>
      </c>
      <c r="D6" s="426">
        <v>35053</v>
      </c>
      <c r="E6" s="426">
        <v>46010</v>
      </c>
      <c r="F6" s="264">
        <f t="shared" ref="F6:F23" si="0">ROUND(((J6+V6)+(SUM(K6:U6)*2))/24,0)</f>
        <v>15000000</v>
      </c>
      <c r="G6" s="275">
        <v>99.211911999999998</v>
      </c>
      <c r="H6" s="427">
        <f t="shared" ref="H6:H9" si="1">ROUND(YIELD(D6,E6,C6,G6,100,2,2),4)</f>
        <v>7.2099999999999997E-2</v>
      </c>
      <c r="I6" s="264">
        <f t="shared" ref="I6:I9" si="2">ROUND(+H6*F6,0)</f>
        <v>1081500</v>
      </c>
      <c r="J6" s="264">
        <v>15000000</v>
      </c>
      <c r="K6" s="264">
        <v>15000000</v>
      </c>
      <c r="L6" s="264">
        <v>15000000</v>
      </c>
      <c r="M6" s="264">
        <v>15000000</v>
      </c>
      <c r="N6" s="264">
        <v>15000000</v>
      </c>
      <c r="O6" s="264">
        <v>15000000</v>
      </c>
      <c r="P6" s="264">
        <v>15000000</v>
      </c>
      <c r="Q6" s="264">
        <v>15000000</v>
      </c>
      <c r="R6" s="264">
        <v>15000000</v>
      </c>
      <c r="S6" s="264">
        <v>15000000</v>
      </c>
      <c r="T6" s="264">
        <v>15000000</v>
      </c>
      <c r="U6" s="264">
        <v>15000000</v>
      </c>
      <c r="V6" s="264">
        <v>15000000</v>
      </c>
      <c r="W6" s="264"/>
      <c r="X6" s="264">
        <f t="shared" ref="X6:X23" si="3">H6*V6</f>
        <v>1081500</v>
      </c>
    </row>
    <row r="7" spans="1:25" s="27" customFormat="1">
      <c r="A7" s="424">
        <v>3</v>
      </c>
      <c r="B7" s="286" t="s">
        <v>23</v>
      </c>
      <c r="C7" s="425">
        <v>7.1999999999999995E-2</v>
      </c>
      <c r="D7" s="426">
        <v>35054</v>
      </c>
      <c r="E7" s="426">
        <v>46013</v>
      </c>
      <c r="F7" s="264">
        <f t="shared" si="0"/>
        <v>2000000</v>
      </c>
      <c r="G7" s="275">
        <v>99.211600000000004</v>
      </c>
      <c r="H7" s="427">
        <f t="shared" si="1"/>
        <v>7.2599999999999998E-2</v>
      </c>
      <c r="I7" s="264">
        <f t="shared" si="2"/>
        <v>145200</v>
      </c>
      <c r="J7" s="264">
        <v>2000000</v>
      </c>
      <c r="K7" s="264">
        <v>2000000</v>
      </c>
      <c r="L7" s="264">
        <v>2000000</v>
      </c>
      <c r="M7" s="264">
        <v>2000000</v>
      </c>
      <c r="N7" s="264">
        <v>2000000</v>
      </c>
      <c r="O7" s="264">
        <v>2000000</v>
      </c>
      <c r="P7" s="264">
        <v>2000000</v>
      </c>
      <c r="Q7" s="264">
        <v>2000000</v>
      </c>
      <c r="R7" s="264">
        <v>2000000</v>
      </c>
      <c r="S7" s="264">
        <v>2000000</v>
      </c>
      <c r="T7" s="264">
        <v>2000000</v>
      </c>
      <c r="U7" s="264">
        <v>2000000</v>
      </c>
      <c r="V7" s="264">
        <v>2000000</v>
      </c>
      <c r="W7" s="264"/>
      <c r="X7" s="264">
        <f t="shared" si="3"/>
        <v>145200</v>
      </c>
    </row>
    <row r="8" spans="1:25" s="27" customFormat="1">
      <c r="A8" s="437">
        <v>4</v>
      </c>
      <c r="B8" s="286" t="s">
        <v>21</v>
      </c>
      <c r="C8" s="425">
        <v>7.0199999999999999E-2</v>
      </c>
      <c r="D8" s="426">
        <v>35786</v>
      </c>
      <c r="E8" s="426">
        <v>46722</v>
      </c>
      <c r="F8" s="264">
        <f t="shared" si="0"/>
        <v>300000000</v>
      </c>
      <c r="G8" s="275">
        <v>98.985735776666658</v>
      </c>
      <c r="H8" s="427">
        <f t="shared" si="1"/>
        <v>7.0999999999999994E-2</v>
      </c>
      <c r="I8" s="264">
        <f t="shared" si="2"/>
        <v>21300000</v>
      </c>
      <c r="J8" s="264">
        <v>300000000</v>
      </c>
      <c r="K8" s="264">
        <v>300000000</v>
      </c>
      <c r="L8" s="264">
        <v>300000000</v>
      </c>
      <c r="M8" s="264">
        <v>300000000</v>
      </c>
      <c r="N8" s="264">
        <v>300000000</v>
      </c>
      <c r="O8" s="264">
        <v>300000000</v>
      </c>
      <c r="P8" s="264">
        <v>300000000</v>
      </c>
      <c r="Q8" s="264">
        <v>300000000</v>
      </c>
      <c r="R8" s="264">
        <v>300000000</v>
      </c>
      <c r="S8" s="264">
        <v>300000000</v>
      </c>
      <c r="T8" s="264">
        <v>300000000</v>
      </c>
      <c r="U8" s="264">
        <v>300000000</v>
      </c>
      <c r="V8" s="264">
        <v>300000000</v>
      </c>
      <c r="W8" s="264"/>
      <c r="X8" s="264">
        <f t="shared" si="3"/>
        <v>21299999.999999996</v>
      </c>
    </row>
    <row r="9" spans="1:25" s="285" customFormat="1">
      <c r="A9" s="424">
        <v>5</v>
      </c>
      <c r="B9" s="286" t="s">
        <v>22</v>
      </c>
      <c r="C9" s="425">
        <v>7.0000000000000007E-2</v>
      </c>
      <c r="D9" s="426">
        <v>36228</v>
      </c>
      <c r="E9" s="426">
        <v>47186</v>
      </c>
      <c r="F9" s="264">
        <f t="shared" si="0"/>
        <v>100000000</v>
      </c>
      <c r="G9" s="275">
        <v>99.042870549999989</v>
      </c>
      <c r="H9" s="427">
        <f t="shared" si="1"/>
        <v>7.0800000000000002E-2</v>
      </c>
      <c r="I9" s="264">
        <f t="shared" si="2"/>
        <v>7080000</v>
      </c>
      <c r="J9" s="264">
        <v>100000000</v>
      </c>
      <c r="K9" s="264">
        <v>100000000</v>
      </c>
      <c r="L9" s="264">
        <v>100000000</v>
      </c>
      <c r="M9" s="264">
        <v>100000000</v>
      </c>
      <c r="N9" s="264">
        <v>100000000</v>
      </c>
      <c r="O9" s="264">
        <v>100000000</v>
      </c>
      <c r="P9" s="264">
        <v>100000000</v>
      </c>
      <c r="Q9" s="264">
        <v>100000000</v>
      </c>
      <c r="R9" s="264">
        <v>100000000</v>
      </c>
      <c r="S9" s="264">
        <v>100000000</v>
      </c>
      <c r="T9" s="264">
        <v>100000000</v>
      </c>
      <c r="U9" s="264">
        <v>100000000</v>
      </c>
      <c r="V9" s="264">
        <v>100000000</v>
      </c>
      <c r="W9" s="264"/>
      <c r="X9" s="264">
        <f t="shared" si="3"/>
        <v>7080000</v>
      </c>
      <c r="Y9" s="27"/>
    </row>
    <row r="10" spans="1:25" s="285" customFormat="1">
      <c r="A10" s="437">
        <v>6</v>
      </c>
      <c r="B10" s="438" t="s">
        <v>24</v>
      </c>
      <c r="C10" s="425">
        <v>3.9E-2</v>
      </c>
      <c r="D10" s="439">
        <v>41417</v>
      </c>
      <c r="E10" s="440">
        <v>47908</v>
      </c>
      <c r="F10" s="264">
        <f t="shared" si="0"/>
        <v>138460000</v>
      </c>
      <c r="G10" s="275">
        <v>98.939099999999996</v>
      </c>
      <c r="H10" s="427">
        <f t="shared" ref="H10:H22" si="4">ROUND(YIELD(D10,E10,C10,G10,100,2,2),4)</f>
        <v>3.9800000000000002E-2</v>
      </c>
      <c r="I10" s="264">
        <f t="shared" ref="I10:I23" si="5">ROUND(+H10*F10,0)</f>
        <v>5510708</v>
      </c>
      <c r="J10" s="264">
        <v>138460000</v>
      </c>
      <c r="K10" s="264">
        <v>138460000</v>
      </c>
      <c r="L10" s="264">
        <v>138460000</v>
      </c>
      <c r="M10" s="264">
        <v>138460000</v>
      </c>
      <c r="N10" s="264">
        <v>138460000</v>
      </c>
      <c r="O10" s="264">
        <v>138460000</v>
      </c>
      <c r="P10" s="264">
        <v>138460000</v>
      </c>
      <c r="Q10" s="264">
        <v>138460000</v>
      </c>
      <c r="R10" s="264">
        <v>138460000</v>
      </c>
      <c r="S10" s="264">
        <v>138460000</v>
      </c>
      <c r="T10" s="264">
        <v>138460000</v>
      </c>
      <c r="U10" s="264">
        <v>138460000</v>
      </c>
      <c r="V10" s="264">
        <v>138460000</v>
      </c>
      <c r="W10" s="264"/>
      <c r="X10" s="264">
        <f t="shared" si="3"/>
        <v>5510708</v>
      </c>
    </row>
    <row r="11" spans="1:25" s="285" customFormat="1">
      <c r="A11" s="424">
        <v>7</v>
      </c>
      <c r="B11" s="438" t="s">
        <v>24</v>
      </c>
      <c r="C11" s="425">
        <v>0.04</v>
      </c>
      <c r="D11" s="439">
        <v>41417</v>
      </c>
      <c r="E11" s="440">
        <v>47908</v>
      </c>
      <c r="F11" s="264">
        <f t="shared" si="0"/>
        <v>23400000</v>
      </c>
      <c r="G11" s="275">
        <v>98.939099999999996</v>
      </c>
      <c r="H11" s="427">
        <f t="shared" si="4"/>
        <v>4.0800000000000003E-2</v>
      </c>
      <c r="I11" s="264">
        <f t="shared" si="5"/>
        <v>954720</v>
      </c>
      <c r="J11" s="264">
        <v>23400000</v>
      </c>
      <c r="K11" s="264">
        <v>23400000</v>
      </c>
      <c r="L11" s="264">
        <v>23400000</v>
      </c>
      <c r="M11" s="264">
        <v>23400000</v>
      </c>
      <c r="N11" s="264">
        <v>23400000</v>
      </c>
      <c r="O11" s="264">
        <v>23400000</v>
      </c>
      <c r="P11" s="264">
        <v>23400000</v>
      </c>
      <c r="Q11" s="264">
        <v>23400000</v>
      </c>
      <c r="R11" s="264">
        <v>23400000</v>
      </c>
      <c r="S11" s="264">
        <v>23400000</v>
      </c>
      <c r="T11" s="264">
        <v>23400000</v>
      </c>
      <c r="U11" s="264">
        <v>23400000</v>
      </c>
      <c r="V11" s="264">
        <v>23400000</v>
      </c>
      <c r="W11" s="264"/>
      <c r="X11" s="264">
        <f t="shared" si="3"/>
        <v>954720.00000000012</v>
      </c>
    </row>
    <row r="12" spans="1:25" s="285" customFormat="1">
      <c r="A12" s="437">
        <v>8</v>
      </c>
      <c r="B12" s="286" t="s">
        <v>89</v>
      </c>
      <c r="C12" s="425">
        <v>5.4829999999999997E-2</v>
      </c>
      <c r="D12" s="426">
        <v>38499</v>
      </c>
      <c r="E12" s="426">
        <v>49461</v>
      </c>
      <c r="F12" s="264">
        <f t="shared" si="0"/>
        <v>250000000</v>
      </c>
      <c r="G12" s="275">
        <v>84.886606835999999</v>
      </c>
      <c r="H12" s="427">
        <f t="shared" si="4"/>
        <v>6.6500000000000004E-2</v>
      </c>
      <c r="I12" s="267">
        <f t="shared" si="5"/>
        <v>16625000</v>
      </c>
      <c r="J12" s="267">
        <v>250000000</v>
      </c>
      <c r="K12" s="267">
        <v>250000000</v>
      </c>
      <c r="L12" s="267">
        <v>250000000</v>
      </c>
      <c r="M12" s="267">
        <v>250000000</v>
      </c>
      <c r="N12" s="267">
        <v>250000000</v>
      </c>
      <c r="O12" s="267">
        <v>250000000</v>
      </c>
      <c r="P12" s="267">
        <v>250000000</v>
      </c>
      <c r="Q12" s="267">
        <v>250000000</v>
      </c>
      <c r="R12" s="267">
        <v>250000000</v>
      </c>
      <c r="S12" s="267">
        <v>250000000</v>
      </c>
      <c r="T12" s="267">
        <v>250000000</v>
      </c>
      <c r="U12" s="267">
        <v>250000000</v>
      </c>
      <c r="V12" s="267">
        <v>250000000</v>
      </c>
      <c r="W12" s="267"/>
      <c r="X12" s="264">
        <f t="shared" si="3"/>
        <v>16625000</v>
      </c>
    </row>
    <row r="13" spans="1:25" s="285" customFormat="1">
      <c r="A13" s="424">
        <v>9</v>
      </c>
      <c r="B13" s="286" t="s">
        <v>89</v>
      </c>
      <c r="C13" s="425">
        <v>6.7239999999999994E-2</v>
      </c>
      <c r="D13" s="426">
        <v>38898</v>
      </c>
      <c r="E13" s="426">
        <v>49841</v>
      </c>
      <c r="F13" s="264">
        <f t="shared" si="0"/>
        <v>250000000</v>
      </c>
      <c r="G13" s="275">
        <v>107.515271756</v>
      </c>
      <c r="H13" s="427">
        <f t="shared" si="4"/>
        <v>6.1699999999999998E-2</v>
      </c>
      <c r="I13" s="267">
        <f t="shared" si="5"/>
        <v>15425000</v>
      </c>
      <c r="J13" s="267">
        <v>250000000</v>
      </c>
      <c r="K13" s="267">
        <v>250000000</v>
      </c>
      <c r="L13" s="267">
        <v>250000000</v>
      </c>
      <c r="M13" s="267">
        <v>250000000</v>
      </c>
      <c r="N13" s="267">
        <v>250000000</v>
      </c>
      <c r="O13" s="267">
        <v>250000000</v>
      </c>
      <c r="P13" s="267">
        <v>250000000</v>
      </c>
      <c r="Q13" s="267">
        <v>250000000</v>
      </c>
      <c r="R13" s="267">
        <v>250000000</v>
      </c>
      <c r="S13" s="267">
        <v>250000000</v>
      </c>
      <c r="T13" s="267">
        <v>250000000</v>
      </c>
      <c r="U13" s="267">
        <v>250000000</v>
      </c>
      <c r="V13" s="267">
        <v>250000000</v>
      </c>
      <c r="W13" s="267"/>
      <c r="X13" s="264">
        <f t="shared" si="3"/>
        <v>15425000</v>
      </c>
    </row>
    <row r="14" spans="1:25" s="285" customFormat="1">
      <c r="A14" s="437">
        <v>10</v>
      </c>
      <c r="B14" s="286" t="s">
        <v>89</v>
      </c>
      <c r="C14" s="425">
        <v>6.2740000000000004E-2</v>
      </c>
      <c r="D14" s="426">
        <v>38978</v>
      </c>
      <c r="E14" s="426">
        <v>50114</v>
      </c>
      <c r="F14" s="264">
        <f t="shared" si="0"/>
        <v>300000000</v>
      </c>
      <c r="G14" s="275">
        <v>98.812700000000007</v>
      </c>
      <c r="H14" s="427">
        <f t="shared" si="4"/>
        <v>6.3600000000000004E-2</v>
      </c>
      <c r="I14" s="267">
        <f t="shared" si="5"/>
        <v>19080000</v>
      </c>
      <c r="J14" s="267">
        <v>300000000</v>
      </c>
      <c r="K14" s="267">
        <v>300000000</v>
      </c>
      <c r="L14" s="267">
        <v>300000000</v>
      </c>
      <c r="M14" s="267">
        <v>300000000</v>
      </c>
      <c r="N14" s="267">
        <v>300000000</v>
      </c>
      <c r="O14" s="267">
        <v>300000000</v>
      </c>
      <c r="P14" s="267">
        <v>300000000</v>
      </c>
      <c r="Q14" s="267">
        <v>300000000</v>
      </c>
      <c r="R14" s="267">
        <v>300000000</v>
      </c>
      <c r="S14" s="267">
        <v>300000000</v>
      </c>
      <c r="T14" s="267">
        <v>300000000</v>
      </c>
      <c r="U14" s="267">
        <v>300000000</v>
      </c>
      <c r="V14" s="267">
        <v>300000000</v>
      </c>
      <c r="W14" s="267"/>
      <c r="X14" s="264">
        <f t="shared" si="3"/>
        <v>19080000</v>
      </c>
    </row>
    <row r="15" spans="1:25" s="285" customFormat="1">
      <c r="A15" s="424">
        <v>11</v>
      </c>
      <c r="B15" s="286" t="s">
        <v>89</v>
      </c>
      <c r="C15" s="425">
        <v>5.7570000000000003E-2</v>
      </c>
      <c r="D15" s="426">
        <v>40067</v>
      </c>
      <c r="E15" s="426">
        <v>51058</v>
      </c>
      <c r="F15" s="264">
        <f t="shared" si="0"/>
        <v>350000000</v>
      </c>
      <c r="G15" s="275">
        <v>98.983599999999996</v>
      </c>
      <c r="H15" s="427">
        <f t="shared" si="4"/>
        <v>5.8299999999999998E-2</v>
      </c>
      <c r="I15" s="267">
        <f t="shared" si="5"/>
        <v>20405000</v>
      </c>
      <c r="J15" s="267">
        <v>350000000</v>
      </c>
      <c r="K15" s="267">
        <v>350000000</v>
      </c>
      <c r="L15" s="267">
        <v>350000000</v>
      </c>
      <c r="M15" s="267">
        <v>350000000</v>
      </c>
      <c r="N15" s="267">
        <v>350000000</v>
      </c>
      <c r="O15" s="267">
        <v>350000000</v>
      </c>
      <c r="P15" s="267">
        <v>350000000</v>
      </c>
      <c r="Q15" s="267">
        <v>350000000</v>
      </c>
      <c r="R15" s="267">
        <v>350000000</v>
      </c>
      <c r="S15" s="267">
        <v>350000000</v>
      </c>
      <c r="T15" s="267">
        <v>350000000</v>
      </c>
      <c r="U15" s="267">
        <v>350000000</v>
      </c>
      <c r="V15" s="267">
        <v>350000000</v>
      </c>
      <c r="W15" s="267"/>
      <c r="X15" s="264">
        <f t="shared" si="3"/>
        <v>20405000</v>
      </c>
    </row>
    <row r="16" spans="1:25" s="285" customFormat="1">
      <c r="A16" s="437">
        <v>12</v>
      </c>
      <c r="B16" s="286" t="s">
        <v>89</v>
      </c>
      <c r="C16" s="425">
        <v>5.7950000000000002E-2</v>
      </c>
      <c r="D16" s="426">
        <v>40245</v>
      </c>
      <c r="E16" s="426">
        <v>51210</v>
      </c>
      <c r="F16" s="264">
        <f t="shared" si="0"/>
        <v>325000000</v>
      </c>
      <c r="G16" s="275">
        <v>98.958799999999997</v>
      </c>
      <c r="H16" s="427">
        <f t="shared" si="4"/>
        <v>5.8700000000000002E-2</v>
      </c>
      <c r="I16" s="267">
        <f t="shared" si="5"/>
        <v>19077500</v>
      </c>
      <c r="J16" s="267">
        <v>325000000</v>
      </c>
      <c r="K16" s="267">
        <v>325000000</v>
      </c>
      <c r="L16" s="267">
        <v>325000000</v>
      </c>
      <c r="M16" s="267">
        <v>325000000</v>
      </c>
      <c r="N16" s="267">
        <v>325000000</v>
      </c>
      <c r="O16" s="267">
        <v>325000000</v>
      </c>
      <c r="P16" s="267">
        <v>325000000</v>
      </c>
      <c r="Q16" s="267">
        <v>325000000</v>
      </c>
      <c r="R16" s="267">
        <v>325000000</v>
      </c>
      <c r="S16" s="267">
        <v>325000000</v>
      </c>
      <c r="T16" s="267">
        <v>325000000</v>
      </c>
      <c r="U16" s="267">
        <v>325000000</v>
      </c>
      <c r="V16" s="267">
        <v>325000000</v>
      </c>
      <c r="W16" s="267"/>
      <c r="X16" s="264">
        <f t="shared" si="3"/>
        <v>19077500</v>
      </c>
    </row>
    <row r="17" spans="1:25" s="285" customFormat="1">
      <c r="A17" s="424">
        <v>13</v>
      </c>
      <c r="B17" s="286" t="s">
        <v>89</v>
      </c>
      <c r="C17" s="425">
        <v>5.7639999999999997E-2</v>
      </c>
      <c r="D17" s="426">
        <v>40358</v>
      </c>
      <c r="E17" s="426">
        <v>51332</v>
      </c>
      <c r="F17" s="264">
        <f t="shared" si="0"/>
        <v>250000000</v>
      </c>
      <c r="G17" s="275">
        <v>98.965199999999996</v>
      </c>
      <c r="H17" s="427">
        <f t="shared" si="4"/>
        <v>5.8400000000000001E-2</v>
      </c>
      <c r="I17" s="267">
        <f t="shared" si="5"/>
        <v>14600000</v>
      </c>
      <c r="J17" s="267">
        <v>250000000</v>
      </c>
      <c r="K17" s="267">
        <v>250000000</v>
      </c>
      <c r="L17" s="267">
        <v>250000000</v>
      </c>
      <c r="M17" s="267">
        <v>250000000</v>
      </c>
      <c r="N17" s="267">
        <v>250000000</v>
      </c>
      <c r="O17" s="267">
        <v>250000000</v>
      </c>
      <c r="P17" s="267">
        <v>250000000</v>
      </c>
      <c r="Q17" s="267">
        <v>250000000</v>
      </c>
      <c r="R17" s="267">
        <v>250000000</v>
      </c>
      <c r="S17" s="267">
        <v>250000000</v>
      </c>
      <c r="T17" s="267">
        <v>250000000</v>
      </c>
      <c r="U17" s="267">
        <v>250000000</v>
      </c>
      <c r="V17" s="267">
        <v>250000000</v>
      </c>
      <c r="W17" s="267"/>
      <c r="X17" s="264">
        <f t="shared" si="3"/>
        <v>14600000</v>
      </c>
    </row>
    <row r="18" spans="1:25" s="285" customFormat="1">
      <c r="A18" s="437">
        <v>14</v>
      </c>
      <c r="B18" s="286" t="s">
        <v>89</v>
      </c>
      <c r="C18" s="425">
        <v>5.638E-2</v>
      </c>
      <c r="D18" s="426">
        <v>40627</v>
      </c>
      <c r="E18" s="426">
        <v>51606</v>
      </c>
      <c r="F18" s="264">
        <f t="shared" si="0"/>
        <v>300000000</v>
      </c>
      <c r="G18" s="275">
        <v>98.971000000000004</v>
      </c>
      <c r="H18" s="427">
        <f t="shared" si="4"/>
        <v>5.7099999999999998E-2</v>
      </c>
      <c r="I18" s="267">
        <f t="shared" si="5"/>
        <v>17130000</v>
      </c>
      <c r="J18" s="267">
        <v>300000000</v>
      </c>
      <c r="K18" s="267">
        <v>300000000</v>
      </c>
      <c r="L18" s="267">
        <v>300000000</v>
      </c>
      <c r="M18" s="267">
        <v>300000000</v>
      </c>
      <c r="N18" s="267">
        <v>300000000</v>
      </c>
      <c r="O18" s="267">
        <v>300000000</v>
      </c>
      <c r="P18" s="267">
        <v>300000000</v>
      </c>
      <c r="Q18" s="267">
        <v>300000000</v>
      </c>
      <c r="R18" s="267">
        <v>300000000</v>
      </c>
      <c r="S18" s="267">
        <v>300000000</v>
      </c>
      <c r="T18" s="267">
        <v>300000000</v>
      </c>
      <c r="U18" s="267">
        <v>300000000</v>
      </c>
      <c r="V18" s="267">
        <v>300000000</v>
      </c>
      <c r="W18" s="267"/>
      <c r="X18" s="264">
        <f t="shared" si="3"/>
        <v>17130000</v>
      </c>
    </row>
    <row r="19" spans="1:25" s="285" customFormat="1">
      <c r="A19" s="424">
        <v>15</v>
      </c>
      <c r="B19" s="286" t="s">
        <v>89</v>
      </c>
      <c r="C19" s="425">
        <v>4.4339999999999997E-2</v>
      </c>
      <c r="D19" s="426">
        <v>40863</v>
      </c>
      <c r="E19" s="426">
        <v>51820</v>
      </c>
      <c r="F19" s="264">
        <f t="shared" si="0"/>
        <v>250000000</v>
      </c>
      <c r="G19" s="275">
        <v>98.962999999999994</v>
      </c>
      <c r="H19" s="427">
        <f t="shared" si="4"/>
        <v>4.4999999999999998E-2</v>
      </c>
      <c r="I19" s="267">
        <f t="shared" si="5"/>
        <v>11250000</v>
      </c>
      <c r="J19" s="267">
        <v>250000000</v>
      </c>
      <c r="K19" s="267">
        <v>250000000</v>
      </c>
      <c r="L19" s="267">
        <v>250000000</v>
      </c>
      <c r="M19" s="267">
        <v>250000000</v>
      </c>
      <c r="N19" s="267">
        <v>250000000</v>
      </c>
      <c r="O19" s="267">
        <v>250000000</v>
      </c>
      <c r="P19" s="267">
        <v>250000000</v>
      </c>
      <c r="Q19" s="267">
        <v>250000000</v>
      </c>
      <c r="R19" s="267">
        <v>250000000</v>
      </c>
      <c r="S19" s="267">
        <v>250000000</v>
      </c>
      <c r="T19" s="267">
        <v>250000000</v>
      </c>
      <c r="U19" s="267">
        <v>250000000</v>
      </c>
      <c r="V19" s="267">
        <v>250000000</v>
      </c>
      <c r="W19" s="267"/>
      <c r="X19" s="264">
        <f t="shared" si="3"/>
        <v>11250000</v>
      </c>
    </row>
    <row r="20" spans="1:25" s="285" customFormat="1">
      <c r="A20" s="437">
        <v>16</v>
      </c>
      <c r="B20" s="286" t="s">
        <v>89</v>
      </c>
      <c r="C20" s="425">
        <v>4.7E-2</v>
      </c>
      <c r="D20" s="426">
        <v>40869</v>
      </c>
      <c r="E20" s="426">
        <v>55472</v>
      </c>
      <c r="F20" s="264">
        <f t="shared" si="0"/>
        <v>45000000</v>
      </c>
      <c r="G20" s="275">
        <v>98.863900000000001</v>
      </c>
      <c r="H20" s="427">
        <f t="shared" si="4"/>
        <v>4.7600000000000003E-2</v>
      </c>
      <c r="I20" s="267">
        <f t="shared" si="5"/>
        <v>2142000</v>
      </c>
      <c r="J20" s="267">
        <v>45000000</v>
      </c>
      <c r="K20" s="267">
        <v>45000000</v>
      </c>
      <c r="L20" s="267">
        <v>45000000</v>
      </c>
      <c r="M20" s="267">
        <v>45000000</v>
      </c>
      <c r="N20" s="267">
        <v>45000000</v>
      </c>
      <c r="O20" s="267">
        <v>45000000</v>
      </c>
      <c r="P20" s="267">
        <v>45000000</v>
      </c>
      <c r="Q20" s="267">
        <v>45000000</v>
      </c>
      <c r="R20" s="267">
        <v>45000000</v>
      </c>
      <c r="S20" s="267">
        <v>45000000</v>
      </c>
      <c r="T20" s="267">
        <v>45000000</v>
      </c>
      <c r="U20" s="267">
        <v>45000000</v>
      </c>
      <c r="V20" s="267">
        <v>45000000</v>
      </c>
      <c r="W20" s="267"/>
      <c r="X20" s="264">
        <f t="shared" si="3"/>
        <v>2142000</v>
      </c>
    </row>
    <row r="21" spans="1:25" s="285" customFormat="1">
      <c r="A21" s="424">
        <v>17</v>
      </c>
      <c r="B21" s="286" t="s">
        <v>89</v>
      </c>
      <c r="C21" s="425">
        <v>4.2999999999999997E-2</v>
      </c>
      <c r="D21" s="426">
        <v>42150</v>
      </c>
      <c r="E21" s="426">
        <v>53102</v>
      </c>
      <c r="F21" s="264">
        <f t="shared" si="0"/>
        <v>425000000</v>
      </c>
      <c r="G21" s="275">
        <v>98.483019762352939</v>
      </c>
      <c r="H21" s="427">
        <f t="shared" si="4"/>
        <v>4.3900000000000002E-2</v>
      </c>
      <c r="I21" s="267">
        <f t="shared" si="5"/>
        <v>18657500</v>
      </c>
      <c r="J21" s="264">
        <v>425000000</v>
      </c>
      <c r="K21" s="264">
        <v>425000000</v>
      </c>
      <c r="L21" s="264">
        <v>425000000</v>
      </c>
      <c r="M21" s="264">
        <v>425000000</v>
      </c>
      <c r="N21" s="264">
        <v>425000000</v>
      </c>
      <c r="O21" s="264">
        <v>425000000</v>
      </c>
      <c r="P21" s="264">
        <v>425000000</v>
      </c>
      <c r="Q21" s="264">
        <v>425000000</v>
      </c>
      <c r="R21" s="264">
        <v>425000000</v>
      </c>
      <c r="S21" s="264">
        <v>425000000</v>
      </c>
      <c r="T21" s="264">
        <v>425000000</v>
      </c>
      <c r="U21" s="264">
        <v>425000000</v>
      </c>
      <c r="V21" s="264">
        <v>425000000</v>
      </c>
      <c r="W21" s="264"/>
      <c r="X21" s="264">
        <f t="shared" si="3"/>
        <v>18657500</v>
      </c>
    </row>
    <row r="22" spans="1:25" s="285" customFormat="1">
      <c r="A22" s="437">
        <v>18</v>
      </c>
      <c r="B22" s="286" t="s">
        <v>89</v>
      </c>
      <c r="C22" s="425">
        <v>4.2229999999999997E-2</v>
      </c>
      <c r="D22" s="426">
        <v>43265</v>
      </c>
      <c r="E22" s="426">
        <v>54224</v>
      </c>
      <c r="F22" s="264">
        <f t="shared" si="0"/>
        <v>600000000</v>
      </c>
      <c r="G22" s="275">
        <v>98.886799999999994</v>
      </c>
      <c r="H22" s="427">
        <f t="shared" si="4"/>
        <v>4.2900000000000001E-2</v>
      </c>
      <c r="I22" s="267">
        <f t="shared" si="5"/>
        <v>25740000</v>
      </c>
      <c r="J22" s="264">
        <v>600000000</v>
      </c>
      <c r="K22" s="264">
        <v>600000000</v>
      </c>
      <c r="L22" s="264">
        <v>600000000</v>
      </c>
      <c r="M22" s="264">
        <v>600000000</v>
      </c>
      <c r="N22" s="264">
        <v>600000000</v>
      </c>
      <c r="O22" s="264">
        <v>600000000</v>
      </c>
      <c r="P22" s="264">
        <v>600000000</v>
      </c>
      <c r="Q22" s="264">
        <v>600000000</v>
      </c>
      <c r="R22" s="264">
        <v>600000000</v>
      </c>
      <c r="S22" s="264">
        <v>600000000</v>
      </c>
      <c r="T22" s="264">
        <v>600000000</v>
      </c>
      <c r="U22" s="264">
        <v>600000000</v>
      </c>
      <c r="V22" s="264">
        <v>600000000</v>
      </c>
      <c r="W22" s="264"/>
      <c r="X22" s="267">
        <f t="shared" si="3"/>
        <v>25740000</v>
      </c>
    </row>
    <row r="23" spans="1:25">
      <c r="A23" s="424">
        <v>19</v>
      </c>
      <c r="B23" s="405" t="s">
        <v>89</v>
      </c>
      <c r="C23" s="273">
        <v>3.2500000000000001E-2</v>
      </c>
      <c r="D23" s="274">
        <v>43707</v>
      </c>
      <c r="E23" s="274">
        <v>54681</v>
      </c>
      <c r="F23" s="264">
        <f t="shared" si="0"/>
        <v>450000000</v>
      </c>
      <c r="G23" s="275">
        <v>99.087100000000007</v>
      </c>
      <c r="H23" s="427">
        <f>ROUND(YIELD(D23,E23,C23,G23,100,2,2),4)</f>
        <v>3.3000000000000002E-2</v>
      </c>
      <c r="I23" s="267">
        <f t="shared" si="5"/>
        <v>14850000</v>
      </c>
      <c r="J23" s="264">
        <v>450000000</v>
      </c>
      <c r="K23" s="264">
        <v>450000000</v>
      </c>
      <c r="L23" s="264">
        <v>450000000</v>
      </c>
      <c r="M23" s="264">
        <v>450000000</v>
      </c>
      <c r="N23" s="264">
        <v>450000000</v>
      </c>
      <c r="O23" s="264">
        <v>450000000</v>
      </c>
      <c r="P23" s="264">
        <v>450000000</v>
      </c>
      <c r="Q23" s="264">
        <v>450000000</v>
      </c>
      <c r="R23" s="264">
        <v>450000000</v>
      </c>
      <c r="S23" s="264">
        <v>450000000</v>
      </c>
      <c r="T23" s="264">
        <v>450000000</v>
      </c>
      <c r="U23" s="264">
        <v>450000000</v>
      </c>
      <c r="V23" s="264">
        <v>450000000</v>
      </c>
      <c r="W23" s="264"/>
      <c r="X23" s="267">
        <f t="shared" si="3"/>
        <v>14850000</v>
      </c>
    </row>
    <row r="24" spans="1:25">
      <c r="A24" s="437">
        <v>20</v>
      </c>
      <c r="B24" s="135"/>
      <c r="C24" s="273"/>
      <c r="D24" s="274"/>
      <c r="E24" s="274"/>
      <c r="F24" s="264"/>
      <c r="G24" s="280"/>
      <c r="H24" s="177"/>
      <c r="I24" s="267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392">
        <f>SUM(X6:X23)</f>
        <v>231054128</v>
      </c>
    </row>
    <row r="25" spans="1:25" ht="13.8" thickBot="1">
      <c r="A25" s="424">
        <v>21</v>
      </c>
      <c r="B25" s="135"/>
      <c r="C25" s="137" t="s">
        <v>110</v>
      </c>
      <c r="D25" s="274"/>
      <c r="E25" s="274"/>
      <c r="F25" s="264"/>
      <c r="G25" s="276"/>
      <c r="H25" s="177"/>
      <c r="I25" s="277">
        <f>'Pg 7 Reacquired Debt'!I31</f>
        <v>2157708.2400000002</v>
      </c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67"/>
      <c r="X25" s="392">
        <f>I25</f>
        <v>2157708.2400000002</v>
      </c>
    </row>
    <row r="26" spans="1:25" ht="13.8" thickBot="1">
      <c r="A26" s="437">
        <v>22</v>
      </c>
      <c r="B26" s="137" t="s">
        <v>122</v>
      </c>
      <c r="C26" s="273"/>
      <c r="D26" s="274"/>
      <c r="E26" s="274"/>
      <c r="F26" s="277">
        <f>SUM(F6:F25)</f>
        <v>4373860000</v>
      </c>
      <c r="G26" s="278"/>
      <c r="H26" s="210">
        <f>ROUND(+I26/F26,4)</f>
        <v>5.33E-2</v>
      </c>
      <c r="I26" s="281">
        <f t="shared" ref="I26:V26" si="6">SUM(I6:I25)</f>
        <v>233211836.24000001</v>
      </c>
      <c r="J26" s="281">
        <f>SUM(J6:J25)</f>
        <v>4373860000</v>
      </c>
      <c r="K26" s="281">
        <f>SUM(K6:K25)</f>
        <v>4373860000</v>
      </c>
      <c r="L26" s="281">
        <f>SUM(L6:L25)</f>
        <v>4373860000</v>
      </c>
      <c r="M26" s="281">
        <f t="shared" si="6"/>
        <v>4373860000</v>
      </c>
      <c r="N26" s="281">
        <f t="shared" si="6"/>
        <v>4373860000</v>
      </c>
      <c r="O26" s="281">
        <f t="shared" si="6"/>
        <v>4373860000</v>
      </c>
      <c r="P26" s="281">
        <f t="shared" si="6"/>
        <v>4373860000</v>
      </c>
      <c r="Q26" s="281">
        <f t="shared" si="6"/>
        <v>4373860000</v>
      </c>
      <c r="R26" s="281">
        <f t="shared" si="6"/>
        <v>4373860000</v>
      </c>
      <c r="S26" s="281">
        <f t="shared" si="6"/>
        <v>4373860000</v>
      </c>
      <c r="T26" s="281">
        <f t="shared" si="6"/>
        <v>4373860000</v>
      </c>
      <c r="U26" s="281">
        <f t="shared" si="6"/>
        <v>4373860000</v>
      </c>
      <c r="V26" s="281">
        <f t="shared" si="6"/>
        <v>4373860000</v>
      </c>
      <c r="W26" s="279"/>
      <c r="X26" s="281">
        <f>SUM(X24:X25)</f>
        <v>233211836.24000001</v>
      </c>
      <c r="Y26" s="393">
        <f>X26/V26</f>
        <v>5.3319456095988441E-2</v>
      </c>
    </row>
    <row r="27" spans="1:25" ht="13.8" thickBot="1">
      <c r="A27" s="424">
        <v>23</v>
      </c>
      <c r="B27" s="135"/>
      <c r="C27" s="273"/>
      <c r="D27" s="274"/>
      <c r="E27" s="274"/>
      <c r="F27" s="279"/>
      <c r="G27" s="276"/>
      <c r="H27" s="237"/>
      <c r="I27" s="279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265">
        <f>H27*S27</f>
        <v>0</v>
      </c>
    </row>
    <row r="28" spans="1:25" ht="13.8" thickBot="1">
      <c r="A28" s="437">
        <v>24</v>
      </c>
      <c r="B28" s="137" t="s">
        <v>190</v>
      </c>
      <c r="C28" s="273"/>
      <c r="D28" s="274"/>
      <c r="E28" s="274"/>
      <c r="F28" s="279">
        <f>F26-I25</f>
        <v>4371702291.7600002</v>
      </c>
      <c r="G28" s="276"/>
      <c r="H28" s="210">
        <f>ROUND(+I28/F28,4)</f>
        <v>5.2900000000000003E-2</v>
      </c>
      <c r="I28" s="279">
        <f>SUM(I6:I23)</f>
        <v>231054128</v>
      </c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265"/>
    </row>
    <row r="29" spans="1:25">
      <c r="A29" s="424">
        <v>25</v>
      </c>
      <c r="B29" s="135"/>
      <c r="C29" s="273"/>
      <c r="D29" s="274"/>
      <c r="E29" s="274"/>
      <c r="F29" s="279"/>
      <c r="G29" s="276"/>
      <c r="H29" s="237"/>
      <c r="I29" s="279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265"/>
    </row>
    <row r="30" spans="1:25">
      <c r="A30" s="437">
        <v>26</v>
      </c>
      <c r="B30" s="405" t="s">
        <v>180</v>
      </c>
      <c r="C30" s="273"/>
      <c r="D30" s="274"/>
      <c r="E30" s="274"/>
      <c r="F30" s="279">
        <f>'Pg 3 STD Cost Rate'!C17</f>
        <v>153671199.44</v>
      </c>
      <c r="G30" s="276"/>
      <c r="H30" s="412">
        <f>ROUND(I30/F30,4)</f>
        <v>6.4000000000000003E-3</v>
      </c>
      <c r="I30" s="279">
        <f>'Pg 3 STD Cost Rate'!E17</f>
        <v>978146.7</v>
      </c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4"/>
      <c r="V30" s="394"/>
      <c r="W30" s="394"/>
      <c r="X30" s="265"/>
    </row>
    <row r="31" spans="1:25">
      <c r="A31" s="424">
        <v>27</v>
      </c>
      <c r="B31" s="135"/>
      <c r="C31" s="273"/>
      <c r="D31" s="274"/>
      <c r="E31" s="274"/>
      <c r="F31" s="279"/>
      <c r="G31" s="276"/>
      <c r="H31" s="237"/>
      <c r="I31" s="279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265"/>
    </row>
    <row r="32" spans="1:25">
      <c r="A32" s="437">
        <v>28</v>
      </c>
      <c r="B32" s="413" t="s">
        <v>181</v>
      </c>
      <c r="C32" s="273"/>
      <c r="D32" s="274"/>
      <c r="E32" s="274"/>
      <c r="F32" s="279">
        <f>F30+F26</f>
        <v>4527531199.4399996</v>
      </c>
      <c r="G32" s="276"/>
      <c r="H32" s="412">
        <f>ROUND(I32/F32,4)</f>
        <v>5.1200000000000002E-2</v>
      </c>
      <c r="I32" s="279">
        <f>I30+I28</f>
        <v>232032274.69999999</v>
      </c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265"/>
    </row>
    <row r="33" spans="1:55">
      <c r="A33" s="424">
        <v>29</v>
      </c>
      <c r="B33" s="135"/>
      <c r="C33" s="273"/>
      <c r="D33" s="274"/>
      <c r="E33" s="274"/>
      <c r="F33" s="279"/>
      <c r="G33" s="276"/>
      <c r="H33" s="237"/>
      <c r="I33" s="279"/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265"/>
    </row>
    <row r="34" spans="1:55">
      <c r="A34" s="437">
        <v>30</v>
      </c>
      <c r="B34" s="133" t="s">
        <v>85</v>
      </c>
      <c r="C34" s="134"/>
      <c r="D34" s="134"/>
      <c r="E34" s="134"/>
      <c r="F34" s="134"/>
      <c r="G34" s="134"/>
      <c r="H34" s="134"/>
      <c r="I34" s="134"/>
      <c r="X34" s="279"/>
      <c r="Y34" s="237"/>
    </row>
    <row r="35" spans="1:55">
      <c r="A35" s="424">
        <v>31</v>
      </c>
      <c r="B35" s="133" t="s">
        <v>87</v>
      </c>
      <c r="C35" s="134"/>
      <c r="D35" s="134"/>
      <c r="E35" s="134"/>
      <c r="F35" s="134"/>
      <c r="G35" s="136"/>
      <c r="H35" s="134"/>
      <c r="I35" s="134"/>
    </row>
    <row r="36" spans="1:55">
      <c r="A36" s="131"/>
      <c r="B36" s="133"/>
      <c r="C36" s="134"/>
      <c r="D36" s="134"/>
      <c r="E36" s="134"/>
      <c r="F36" s="134"/>
      <c r="G36" s="136"/>
      <c r="H36" s="134"/>
      <c r="I36" s="134"/>
    </row>
    <row r="37" spans="1:55">
      <c r="A37" s="131"/>
      <c r="B37" s="133"/>
      <c r="C37" s="134"/>
      <c r="D37" s="134"/>
      <c r="E37" s="134"/>
      <c r="F37" s="134"/>
      <c r="G37" s="136"/>
      <c r="H37" s="134"/>
      <c r="I37" s="134"/>
    </row>
    <row r="38" spans="1:55">
      <c r="A38" s="131"/>
      <c r="B38" s="132"/>
      <c r="C38" s="132"/>
      <c r="D38" s="132"/>
      <c r="E38" s="309"/>
      <c r="G38" s="132"/>
      <c r="H38" s="282"/>
      <c r="I38" s="283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</row>
    <row r="39" spans="1:55">
      <c r="A39" s="43"/>
      <c r="B39" s="285"/>
      <c r="C39" s="285"/>
      <c r="D39" s="285"/>
      <c r="E39" s="285"/>
      <c r="F39" s="263"/>
      <c r="G39" s="285"/>
      <c r="H39" s="134"/>
      <c r="I39" s="173"/>
      <c r="J39" s="286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</row>
    <row r="40" spans="1:55">
      <c r="A40" s="43"/>
      <c r="B40" s="285"/>
      <c r="C40" s="285"/>
      <c r="D40" s="285"/>
      <c r="E40" s="285"/>
      <c r="F40" s="262"/>
      <c r="G40" s="285"/>
      <c r="H40" s="132"/>
      <c r="I40" s="283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</row>
    <row r="41" spans="1:55">
      <c r="A41" s="43"/>
      <c r="B41" s="27"/>
      <c r="C41" s="27"/>
      <c r="D41" s="27"/>
      <c r="E41" s="27"/>
      <c r="F41" s="263"/>
      <c r="G41" s="27"/>
      <c r="H41" s="27"/>
      <c r="I41" s="44"/>
      <c r="J41" s="213" t="str">
        <f t="shared" ref="J41:S41" si="7">IF(J40&lt;&gt;0,"ERROR","")</f>
        <v/>
      </c>
      <c r="K41" s="213" t="str">
        <f t="shared" si="7"/>
        <v/>
      </c>
      <c r="L41" s="213" t="str">
        <f t="shared" si="7"/>
        <v/>
      </c>
      <c r="M41" s="213" t="str">
        <f t="shared" si="7"/>
        <v/>
      </c>
      <c r="N41" s="213" t="str">
        <f t="shared" si="7"/>
        <v/>
      </c>
      <c r="O41" s="213" t="str">
        <f t="shared" si="7"/>
        <v/>
      </c>
      <c r="P41" s="213" t="str">
        <f t="shared" si="7"/>
        <v/>
      </c>
      <c r="Q41" s="213" t="str">
        <f t="shared" si="7"/>
        <v/>
      </c>
      <c r="R41" s="213" t="str">
        <f t="shared" si="7"/>
        <v/>
      </c>
      <c r="S41" s="43" t="str">
        <f t="shared" si="7"/>
        <v/>
      </c>
      <c r="T41" s="43"/>
      <c r="U41" s="43"/>
      <c r="V41" s="43"/>
      <c r="W41" s="43"/>
    </row>
    <row r="42" spans="1:55">
      <c r="A42" s="43"/>
      <c r="B42" s="27"/>
      <c r="C42" s="27"/>
      <c r="D42" s="27"/>
      <c r="E42" s="450" t="s">
        <v>198</v>
      </c>
      <c r="F42" s="44"/>
      <c r="G42" s="27"/>
      <c r="H42" s="177">
        <f>0.095*(274/366)+0.094*(92/366)</f>
        <v>9.4748633879781427E-2</v>
      </c>
      <c r="Y42" s="429"/>
    </row>
    <row r="43" spans="1:55">
      <c r="A43" s="45"/>
      <c r="B43" s="46"/>
      <c r="C43" s="47"/>
      <c r="D43" s="48"/>
      <c r="E43" s="48"/>
      <c r="F43" s="253"/>
      <c r="G43" s="50"/>
      <c r="H43" s="177"/>
      <c r="I43" s="96"/>
      <c r="Y43" s="429"/>
    </row>
    <row r="44" spans="1:55">
      <c r="A44" s="45"/>
      <c r="B44" s="46"/>
      <c r="C44" s="47"/>
      <c r="D44" s="48"/>
      <c r="E44" s="48"/>
      <c r="F44" s="49"/>
      <c r="G44" s="50"/>
      <c r="H44" s="51"/>
      <c r="I44" s="52"/>
      <c r="Y44" s="429"/>
    </row>
    <row r="45" spans="1:55">
      <c r="A45" s="45"/>
      <c r="B45" s="46"/>
      <c r="C45" s="47"/>
      <c r="D45" s="48"/>
      <c r="E45" s="48"/>
      <c r="F45" s="49"/>
      <c r="G45" s="50"/>
      <c r="H45" s="51"/>
      <c r="I45" s="52"/>
      <c r="Y45" s="429"/>
    </row>
    <row r="46" spans="1:55" hidden="1">
      <c r="A46" s="53"/>
      <c r="B46" s="27"/>
      <c r="C46" s="27"/>
      <c r="D46" s="27"/>
      <c r="E46" s="27"/>
      <c r="F46" s="44"/>
      <c r="G46" s="27"/>
      <c r="H46" s="54"/>
      <c r="I46" s="44"/>
      <c r="Y46" s="429"/>
    </row>
    <row r="47" spans="1:55" hidden="1">
      <c r="A47" s="53"/>
      <c r="B47" s="27"/>
      <c r="C47" s="27"/>
      <c r="D47" s="27"/>
      <c r="E47" s="27"/>
      <c r="F47" s="44"/>
      <c r="G47" s="27"/>
      <c r="H47" s="55"/>
      <c r="I47" s="44"/>
      <c r="Y47" s="429"/>
    </row>
    <row r="48" spans="1:55" hidden="1">
      <c r="A48" s="53"/>
      <c r="B48" s="27"/>
      <c r="C48" s="27"/>
      <c r="D48" s="27"/>
      <c r="E48" s="27"/>
      <c r="F48" s="44"/>
      <c r="G48" s="27"/>
      <c r="H48" s="27"/>
      <c r="I48" s="44"/>
      <c r="Y48" s="429"/>
    </row>
    <row r="49" spans="1:25">
      <c r="A49" s="45"/>
      <c r="B49" s="46"/>
      <c r="C49" s="47"/>
      <c r="D49" s="48"/>
      <c r="E49" s="48"/>
      <c r="F49" s="49"/>
      <c r="G49" s="50"/>
      <c r="H49" s="51"/>
      <c r="I49" s="52"/>
      <c r="Y49" s="429"/>
    </row>
    <row r="50" spans="1:25">
      <c r="A50" s="45"/>
      <c r="B50" s="46"/>
      <c r="C50" s="47"/>
      <c r="D50" s="48"/>
      <c r="E50" s="48"/>
      <c r="F50" s="49"/>
      <c r="G50" s="50"/>
      <c r="H50" s="51"/>
      <c r="I50" s="52"/>
      <c r="Y50" s="429"/>
    </row>
    <row r="51" spans="1:25">
      <c r="A51" s="53"/>
      <c r="B51" s="27"/>
      <c r="C51" s="27"/>
      <c r="D51" s="27"/>
      <c r="E51" s="27"/>
      <c r="F51" s="44"/>
      <c r="G51" s="27"/>
      <c r="H51" s="27"/>
      <c r="I51" s="44"/>
      <c r="Y51" s="429"/>
    </row>
    <row r="52" spans="1:25">
      <c r="A52" s="53"/>
      <c r="B52" s="27"/>
      <c r="C52" s="27"/>
      <c r="D52" s="27"/>
      <c r="E52" s="27"/>
      <c r="F52" s="44"/>
      <c r="G52" s="27"/>
      <c r="H52" s="27"/>
      <c r="I52" s="44"/>
      <c r="Y52" s="429"/>
    </row>
    <row r="53" spans="1:25">
      <c r="A53" s="53"/>
      <c r="B53" s="27"/>
      <c r="C53" s="27"/>
      <c r="D53" s="27"/>
      <c r="E53" s="27"/>
      <c r="F53" s="44"/>
      <c r="G53" s="27"/>
      <c r="H53" s="27"/>
      <c r="I53" s="44"/>
      <c r="Y53" s="429"/>
    </row>
    <row r="54" spans="1:25">
      <c r="A54" s="53"/>
      <c r="B54" s="27"/>
      <c r="C54" s="27"/>
      <c r="D54" s="27"/>
      <c r="E54" s="27"/>
      <c r="F54" s="44"/>
      <c r="G54" s="27"/>
      <c r="H54" s="27"/>
      <c r="I54" s="44"/>
      <c r="Y54" s="429"/>
    </row>
    <row r="55" spans="1:25">
      <c r="A55" s="53"/>
      <c r="B55" s="27"/>
      <c r="C55" s="27"/>
      <c r="D55" s="27"/>
      <c r="E55" s="27"/>
      <c r="F55" s="44"/>
      <c r="G55" s="27"/>
      <c r="H55" s="27"/>
      <c r="I55" s="44"/>
      <c r="Y55" s="429"/>
    </row>
    <row r="56" spans="1:25">
      <c r="A56" s="53"/>
      <c r="B56" s="27"/>
      <c r="C56" s="27"/>
      <c r="D56" s="27"/>
      <c r="E56" s="27"/>
      <c r="F56" s="44"/>
      <c r="G56" s="27"/>
      <c r="H56" s="27"/>
      <c r="I56" s="44"/>
      <c r="Y56" s="429"/>
    </row>
    <row r="57" spans="1:25">
      <c r="A57" s="53"/>
      <c r="B57" s="27"/>
      <c r="C57" s="27"/>
      <c r="D57" s="27"/>
      <c r="E57" s="27"/>
      <c r="F57" s="44"/>
      <c r="G57" s="27"/>
      <c r="H57" s="27"/>
      <c r="I57" s="44"/>
      <c r="Y57" s="429"/>
    </row>
    <row r="58" spans="1:25">
      <c r="A58" s="53"/>
      <c r="B58" s="27"/>
      <c r="C58" s="27"/>
      <c r="D58" s="27"/>
      <c r="E58" s="27"/>
      <c r="F58" s="44"/>
      <c r="G58" s="27"/>
      <c r="H58" s="27"/>
      <c r="I58" s="44"/>
      <c r="Y58" s="429"/>
    </row>
    <row r="59" spans="1:25">
      <c r="A59" s="53"/>
      <c r="B59" s="27"/>
      <c r="C59" s="27"/>
      <c r="D59" s="27"/>
      <c r="E59" s="27"/>
      <c r="F59" s="44"/>
      <c r="G59" s="27"/>
      <c r="H59" s="27"/>
      <c r="I59" s="44"/>
      <c r="Y59" s="429"/>
    </row>
    <row r="60" spans="1:25">
      <c r="A60" s="43"/>
      <c r="B60" s="27"/>
      <c r="C60" s="46"/>
      <c r="D60" s="27"/>
      <c r="E60" s="27"/>
      <c r="F60" s="44"/>
      <c r="G60" s="27"/>
      <c r="H60" s="27"/>
      <c r="I60" s="44"/>
      <c r="Y60" s="429"/>
    </row>
    <row r="61" spans="1:25">
      <c r="C61" s="24"/>
      <c r="E61" s="29"/>
      <c r="Y61" s="429"/>
    </row>
    <row r="62" spans="1:25">
      <c r="C62" s="28"/>
      <c r="Y62" s="429"/>
    </row>
    <row r="63" spans="1:25">
      <c r="Y63" s="429"/>
    </row>
    <row r="64" spans="1:25">
      <c r="Y64" s="429"/>
    </row>
    <row r="65" spans="25:25">
      <c r="Y65" s="429"/>
    </row>
    <row r="66" spans="25:25">
      <c r="Y66" s="429"/>
    </row>
    <row r="67" spans="25:25">
      <c r="Y67" s="429"/>
    </row>
    <row r="68" spans="25:25">
      <c r="Y68" s="429"/>
    </row>
    <row r="69" spans="25:25">
      <c r="Y69" s="429"/>
    </row>
    <row r="70" spans="25:25">
      <c r="Y70" s="429"/>
    </row>
    <row r="71" spans="25:25">
      <c r="Y71" s="429"/>
    </row>
    <row r="72" spans="25:25">
      <c r="Y72" s="429"/>
    </row>
    <row r="73" spans="25:25">
      <c r="Y73" s="429"/>
    </row>
    <row r="74" spans="25:25">
      <c r="Y74" s="429"/>
    </row>
    <row r="75" spans="25:25">
      <c r="Y75" s="429"/>
    </row>
    <row r="76" spans="25:25">
      <c r="Y76" s="429"/>
    </row>
    <row r="77" spans="25:25">
      <c r="Y77" s="429"/>
    </row>
    <row r="78" spans="25:25">
      <c r="Y78" s="429"/>
    </row>
    <row r="79" spans="25:25">
      <c r="Y79" s="429"/>
    </row>
    <row r="80" spans="25:25">
      <c r="Y80" s="429"/>
    </row>
    <row r="81" spans="25:25">
      <c r="Y81" s="429"/>
    </row>
    <row r="82" spans="25:25">
      <c r="Y82" s="429"/>
    </row>
    <row r="83" spans="25:25">
      <c r="Y83" s="429"/>
    </row>
    <row r="84" spans="25:25">
      <c r="Y84" s="429"/>
    </row>
    <row r="85" spans="25:25">
      <c r="Y85" s="429"/>
    </row>
    <row r="86" spans="25:25">
      <c r="Y86" s="429"/>
    </row>
    <row r="87" spans="25:25">
      <c r="Y87" s="429"/>
    </row>
    <row r="88" spans="25:25">
      <c r="Y88" s="429"/>
    </row>
    <row r="89" spans="25:25">
      <c r="Y89" s="429"/>
    </row>
    <row r="90" spans="25:25">
      <c r="Y90" s="429"/>
    </row>
    <row r="91" spans="25:25">
      <c r="Y91" s="429"/>
    </row>
    <row r="92" spans="25:25">
      <c r="Y92" s="429"/>
    </row>
    <row r="93" spans="25:25">
      <c r="Y93" s="429"/>
    </row>
    <row r="94" spans="25:25">
      <c r="Y94" s="429"/>
    </row>
    <row r="95" spans="25:25">
      <c r="Y95" s="429"/>
    </row>
    <row r="96" spans="25:25">
      <c r="Y96" s="429"/>
    </row>
    <row r="97" spans="25:25">
      <c r="Y97" s="429"/>
    </row>
    <row r="98" spans="25:25">
      <c r="Y98" s="429"/>
    </row>
    <row r="99" spans="25:25">
      <c r="Y99" s="429"/>
    </row>
    <row r="100" spans="25:25">
      <c r="Y100" s="429"/>
    </row>
    <row r="101" spans="25:25">
      <c r="Y101" s="429"/>
    </row>
    <row r="102" spans="25:25">
      <c r="Y102" s="429"/>
    </row>
    <row r="105" spans="25:25">
      <c r="Y105" s="429"/>
    </row>
    <row r="106" spans="25:25">
      <c r="Y106" s="429"/>
    </row>
    <row r="107" spans="25:25">
      <c r="Y107" s="429"/>
    </row>
    <row r="108" spans="25:25">
      <c r="Y108" s="429"/>
    </row>
    <row r="109" spans="25:25">
      <c r="Y109" s="429"/>
    </row>
    <row r="110" spans="25:25">
      <c r="Y110" s="429"/>
    </row>
    <row r="111" spans="25:25">
      <c r="Y111" s="429"/>
    </row>
    <row r="112" spans="25:25">
      <c r="Y112" s="429"/>
    </row>
    <row r="113" spans="25:25">
      <c r="Y113" s="429"/>
    </row>
    <row r="114" spans="25:25">
      <c r="Y114" s="429"/>
    </row>
    <row r="115" spans="25:25">
      <c r="Y115" s="429"/>
    </row>
    <row r="116" spans="25:25">
      <c r="Y116" s="429"/>
    </row>
    <row r="117" spans="25:25">
      <c r="Y117" s="429"/>
    </row>
    <row r="118" spans="25:25">
      <c r="Y118" s="429"/>
    </row>
    <row r="119" spans="25:25">
      <c r="Y119" s="429"/>
    </row>
    <row r="120" spans="25:25">
      <c r="Y120" s="429"/>
    </row>
    <row r="121" spans="25:25">
      <c r="Y121" s="429"/>
    </row>
    <row r="122" spans="25:25">
      <c r="Y122" s="429"/>
    </row>
    <row r="123" spans="25:25">
      <c r="Y123" s="429"/>
    </row>
    <row r="124" spans="25:25">
      <c r="Y124" s="429"/>
    </row>
    <row r="125" spans="25:25">
      <c r="Y125" s="429"/>
    </row>
    <row r="126" spans="25:25">
      <c r="Y126" s="429"/>
    </row>
    <row r="127" spans="25:25">
      <c r="Y127" s="429"/>
    </row>
    <row r="128" spans="25:25">
      <c r="Y128" s="429"/>
    </row>
    <row r="129" spans="25:25">
      <c r="Y129" s="429"/>
    </row>
    <row r="130" spans="25:25">
      <c r="Y130" s="429"/>
    </row>
    <row r="131" spans="25:25">
      <c r="Y131" s="429"/>
    </row>
    <row r="132" spans="25:25">
      <c r="Y132" s="429"/>
    </row>
    <row r="133" spans="25:25">
      <c r="Y133" s="429"/>
    </row>
    <row r="134" spans="25:25">
      <c r="Y134" s="429"/>
    </row>
    <row r="136" spans="25:25">
      <c r="Y136" s="429"/>
    </row>
    <row r="137" spans="25:25">
      <c r="Y137" s="429"/>
    </row>
    <row r="138" spans="25:25">
      <c r="Y138" s="429"/>
    </row>
    <row r="139" spans="25:25">
      <c r="Y139" s="429"/>
    </row>
    <row r="140" spans="25:25">
      <c r="Y140" s="429"/>
    </row>
    <row r="141" spans="25:25">
      <c r="Y141" s="429"/>
    </row>
    <row r="142" spans="25:25">
      <c r="Y142" s="429"/>
    </row>
    <row r="143" spans="25:25">
      <c r="Y143" s="429"/>
    </row>
    <row r="144" spans="25:25">
      <c r="Y144" s="429"/>
    </row>
    <row r="145" spans="25:25">
      <c r="Y145" s="429"/>
    </row>
    <row r="146" spans="25:25">
      <c r="Y146" s="429"/>
    </row>
    <row r="147" spans="25:25">
      <c r="Y147" s="429"/>
    </row>
    <row r="148" spans="25:25">
      <c r="Y148" s="429"/>
    </row>
    <row r="149" spans="25:25">
      <c r="Y149" s="429"/>
    </row>
    <row r="150" spans="25:25">
      <c r="Y150" s="429"/>
    </row>
    <row r="151" spans="25:25">
      <c r="Y151" s="429"/>
    </row>
    <row r="152" spans="25:25">
      <c r="Y152" s="429"/>
    </row>
    <row r="153" spans="25:25">
      <c r="Y153" s="429"/>
    </row>
    <row r="154" spans="25:25">
      <c r="Y154" s="429"/>
    </row>
    <row r="155" spans="25:25">
      <c r="Y155" s="429"/>
    </row>
    <row r="156" spans="25:25">
      <c r="Y156" s="429"/>
    </row>
    <row r="157" spans="25:25">
      <c r="Y157" s="429"/>
    </row>
    <row r="158" spans="25:25">
      <c r="Y158" s="429"/>
    </row>
    <row r="159" spans="25:25">
      <c r="Y159" s="429"/>
    </row>
    <row r="160" spans="25:25">
      <c r="Y160" s="429"/>
    </row>
    <row r="161" spans="25:25">
      <c r="Y161" s="429"/>
    </row>
    <row r="162" spans="25:25">
      <c r="Y162" s="429"/>
    </row>
    <row r="163" spans="25:25">
      <c r="Y163" s="429"/>
    </row>
    <row r="164" spans="25:25">
      <c r="Y164" s="429"/>
    </row>
    <row r="165" spans="25:25">
      <c r="Y165" s="429"/>
    </row>
  </sheetData>
  <phoneticPr fontId="25" type="noConversion"/>
  <printOptions horizontalCentered="1"/>
  <pageMargins left="0.2" right="0.2" top="0.41" bottom="0.35" header="0.17" footer="0.17"/>
  <pageSetup scale="90" orientation="landscape" r:id="rId1"/>
  <headerFooter alignWithMargins="0">
    <oddFooter>&amp;C&amp;A&amp;R&amp;8&amp;F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W83"/>
  <sheetViews>
    <sheetView zoomScaleNormal="100" workbookViewId="0">
      <pane xSplit="2" ySplit="7" topLeftCell="C8" activePane="bottomRight" state="frozen"/>
      <selection activeCell="D18" sqref="D18"/>
      <selection pane="topRight" activeCell="D18" sqref="D18"/>
      <selection pane="bottomLeft" activeCell="D18" sqref="D18"/>
      <selection pane="bottomRight" activeCell="I36" sqref="I36"/>
    </sheetView>
  </sheetViews>
  <sheetFormatPr defaultColWidth="8.85546875" defaultRowHeight="15"/>
  <cols>
    <col min="1" max="1" width="4.7109375" style="30" customWidth="1"/>
    <col min="2" max="2" width="46" style="30" customWidth="1"/>
    <col min="3" max="3" width="10.85546875" style="30" customWidth="1"/>
    <col min="4" max="4" width="11.85546875" style="30" customWidth="1"/>
    <col min="5" max="5" width="12.85546875" style="30" customWidth="1"/>
    <col min="6" max="6" width="15.85546875" style="30" customWidth="1"/>
    <col min="7" max="7" width="13" style="30" customWidth="1"/>
    <col min="8" max="8" width="13.85546875" style="30" customWidth="1"/>
    <col min="9" max="9" width="18" style="30" customWidth="1"/>
    <col min="10" max="10" width="12.140625" style="30" customWidth="1"/>
    <col min="11" max="11" width="15.7109375" style="447" customWidth="1"/>
    <col min="12" max="12" width="12" customWidth="1"/>
    <col min="13" max="13" width="14.7109375" customWidth="1"/>
    <col min="14" max="14" width="15.140625" customWidth="1"/>
    <col min="15" max="15" width="8.42578125" customWidth="1"/>
    <col min="16" max="16" width="2.42578125" customWidth="1"/>
    <col min="17" max="18" width="13.42578125" bestFit="1" customWidth="1"/>
    <col min="19" max="19" width="12.85546875" customWidth="1"/>
    <col min="24" max="16384" width="8.85546875" style="30"/>
  </cols>
  <sheetData>
    <row r="1" spans="1:23" ht="12.75" customHeight="1">
      <c r="B1" s="65" t="s">
        <v>25</v>
      </c>
      <c r="C1" s="58"/>
      <c r="D1" s="58"/>
      <c r="E1" s="58"/>
      <c r="F1" s="58"/>
      <c r="G1" s="58"/>
      <c r="H1" s="58"/>
      <c r="I1" s="58"/>
      <c r="J1" s="59"/>
      <c r="K1" s="59"/>
    </row>
    <row r="2" spans="1:23" s="31" customFormat="1" ht="12.75" customHeight="1">
      <c r="B2" s="65" t="s">
        <v>26</v>
      </c>
      <c r="C2" s="58"/>
      <c r="D2" s="58"/>
      <c r="E2" s="58"/>
      <c r="F2" s="58"/>
      <c r="G2" s="58"/>
      <c r="H2" s="58"/>
      <c r="I2" s="58"/>
      <c r="J2" s="61"/>
      <c r="K2" s="59"/>
      <c r="L2"/>
      <c r="M2"/>
      <c r="N2"/>
      <c r="O2"/>
      <c r="P2"/>
      <c r="Q2"/>
      <c r="R2"/>
      <c r="S2"/>
      <c r="T2"/>
      <c r="U2"/>
      <c r="V2"/>
      <c r="W2"/>
    </row>
    <row r="3" spans="1:23" s="31" customFormat="1" ht="12.75" customHeight="1">
      <c r="B3" s="460" t="str">
        <f>'New Format'!B5</f>
        <v>For The 12 Months Ending December 31, 2020</v>
      </c>
      <c r="C3" s="460"/>
      <c r="D3" s="460"/>
      <c r="E3" s="58"/>
      <c r="F3" s="58"/>
      <c r="G3" s="58"/>
      <c r="H3" s="58"/>
      <c r="I3" s="58"/>
      <c r="J3" s="59"/>
      <c r="K3" s="59"/>
      <c r="L3"/>
      <c r="M3"/>
      <c r="N3"/>
      <c r="O3"/>
      <c r="P3"/>
      <c r="Q3"/>
      <c r="R3"/>
      <c r="S3"/>
      <c r="T3"/>
      <c r="U3"/>
      <c r="V3"/>
      <c r="W3"/>
    </row>
    <row r="4" spans="1:23" s="31" customFormat="1" ht="12.75" customHeight="1">
      <c r="B4" s="122"/>
      <c r="C4" s="122"/>
      <c r="D4" s="122"/>
      <c r="E4" s="58"/>
      <c r="F4" s="58"/>
      <c r="G4" s="58"/>
      <c r="H4" s="58"/>
      <c r="I4" s="58"/>
      <c r="J4" s="59"/>
      <c r="K4" s="59"/>
      <c r="L4"/>
      <c r="M4"/>
      <c r="N4"/>
      <c r="O4"/>
      <c r="P4"/>
      <c r="Q4"/>
      <c r="R4"/>
      <c r="S4"/>
      <c r="T4"/>
      <c r="U4"/>
      <c r="V4"/>
      <c r="W4"/>
    </row>
    <row r="5" spans="1:23" s="31" customFormat="1" ht="12.75" customHeight="1">
      <c r="A5" s="229">
        <v>1</v>
      </c>
      <c r="B5" s="126" t="s">
        <v>5</v>
      </c>
      <c r="C5" s="126" t="s">
        <v>27</v>
      </c>
      <c r="D5" s="126" t="s">
        <v>52</v>
      </c>
      <c r="E5" s="126" t="s">
        <v>64</v>
      </c>
      <c r="F5" s="126" t="s">
        <v>65</v>
      </c>
      <c r="G5" s="254" t="s">
        <v>66</v>
      </c>
      <c r="H5" s="126" t="s">
        <v>67</v>
      </c>
      <c r="I5" s="126" t="s">
        <v>68</v>
      </c>
      <c r="J5" s="126" t="s">
        <v>69</v>
      </c>
      <c r="K5" s="59"/>
      <c r="L5"/>
      <c r="M5"/>
      <c r="N5"/>
      <c r="O5"/>
      <c r="P5"/>
      <c r="Q5"/>
      <c r="R5"/>
      <c r="S5"/>
      <c r="T5"/>
      <c r="U5"/>
      <c r="V5"/>
      <c r="W5"/>
    </row>
    <row r="6" spans="1:23" s="31" customFormat="1" ht="12.75" customHeight="1">
      <c r="A6" s="229">
        <f t="shared" ref="A6:A40" si="0">A5+1</f>
        <v>2</v>
      </c>
      <c r="B6" s="60" t="s">
        <v>2</v>
      </c>
      <c r="C6" s="240" t="s">
        <v>17</v>
      </c>
      <c r="D6" s="241" t="s">
        <v>101</v>
      </c>
      <c r="E6" s="215" t="s">
        <v>136</v>
      </c>
      <c r="F6" s="215" t="s">
        <v>137</v>
      </c>
      <c r="G6" s="215" t="s">
        <v>137</v>
      </c>
      <c r="H6" s="215" t="s">
        <v>70</v>
      </c>
      <c r="I6" s="241" t="s">
        <v>18</v>
      </c>
      <c r="J6" s="59"/>
      <c r="K6" s="59"/>
      <c r="L6"/>
      <c r="M6"/>
      <c r="N6"/>
      <c r="O6"/>
      <c r="P6"/>
      <c r="Q6"/>
      <c r="R6"/>
      <c r="S6"/>
      <c r="T6"/>
      <c r="U6"/>
      <c r="V6"/>
      <c r="W6"/>
    </row>
    <row r="7" spans="1:23" s="31" customFormat="1" ht="12.75" customHeight="1">
      <c r="A7" s="229">
        <f t="shared" si="0"/>
        <v>3</v>
      </c>
      <c r="B7" s="113" t="s">
        <v>17</v>
      </c>
      <c r="C7" s="62" t="s">
        <v>102</v>
      </c>
      <c r="D7" s="62" t="s">
        <v>102</v>
      </c>
      <c r="E7" s="62" t="s">
        <v>102</v>
      </c>
      <c r="F7" s="62" t="s">
        <v>17</v>
      </c>
      <c r="G7" s="62" t="s">
        <v>102</v>
      </c>
      <c r="H7" s="62" t="s">
        <v>138</v>
      </c>
      <c r="I7" s="62" t="s">
        <v>135</v>
      </c>
      <c r="J7" s="63" t="s">
        <v>56</v>
      </c>
      <c r="K7" s="59"/>
      <c r="L7"/>
      <c r="M7"/>
      <c r="N7"/>
      <c r="O7"/>
      <c r="P7"/>
      <c r="Q7"/>
      <c r="R7"/>
      <c r="S7"/>
      <c r="T7"/>
      <c r="U7"/>
      <c r="V7"/>
      <c r="W7"/>
    </row>
    <row r="8" spans="1:23" s="31" customFormat="1" ht="12.75" customHeight="1">
      <c r="A8" s="229">
        <f t="shared" si="0"/>
        <v>4</v>
      </c>
      <c r="B8" s="114"/>
      <c r="C8" s="115"/>
      <c r="D8" s="115"/>
      <c r="E8" s="115"/>
      <c r="F8" s="115"/>
      <c r="G8" s="115"/>
      <c r="H8" s="287"/>
      <c r="I8" s="64"/>
      <c r="J8" s="116"/>
      <c r="K8" s="228"/>
      <c r="L8"/>
      <c r="M8"/>
      <c r="N8"/>
      <c r="O8"/>
      <c r="P8"/>
      <c r="Q8"/>
      <c r="R8"/>
      <c r="S8"/>
      <c r="T8"/>
      <c r="U8"/>
      <c r="V8"/>
      <c r="W8"/>
    </row>
    <row r="9" spans="1:23" s="31" customFormat="1" ht="12.75" customHeight="1">
      <c r="A9" s="229">
        <f>A8+1</f>
        <v>5</v>
      </c>
      <c r="B9" s="114">
        <v>0.10249999999999999</v>
      </c>
      <c r="C9" s="115">
        <v>32140</v>
      </c>
      <c r="D9" s="115">
        <v>35779</v>
      </c>
      <c r="E9" s="115">
        <v>35048</v>
      </c>
      <c r="F9" s="115"/>
      <c r="G9" s="115"/>
      <c r="H9" s="287">
        <v>42684</v>
      </c>
      <c r="I9" s="288">
        <v>0</v>
      </c>
      <c r="J9" s="116">
        <v>18900013</v>
      </c>
      <c r="K9" s="228"/>
      <c r="L9"/>
      <c r="M9"/>
      <c r="N9"/>
      <c r="O9"/>
      <c r="P9"/>
      <c r="Q9"/>
      <c r="R9"/>
      <c r="S9"/>
      <c r="T9"/>
      <c r="U9"/>
      <c r="V9"/>
      <c r="W9"/>
    </row>
    <row r="10" spans="1:23" s="31" customFormat="1" ht="12.75" customHeight="1">
      <c r="A10" s="229">
        <f t="shared" si="0"/>
        <v>6</v>
      </c>
      <c r="B10" s="114" t="s">
        <v>118</v>
      </c>
      <c r="C10" s="115">
        <v>35587</v>
      </c>
      <c r="D10" s="115">
        <v>46539</v>
      </c>
      <c r="E10" s="115">
        <v>39234</v>
      </c>
      <c r="F10" s="115" t="s">
        <v>126</v>
      </c>
      <c r="G10" s="115">
        <v>39237</v>
      </c>
      <c r="H10" s="287">
        <v>42887</v>
      </c>
      <c r="I10" s="288">
        <v>0</v>
      </c>
      <c r="J10" s="116">
        <v>18900383</v>
      </c>
      <c r="K10" s="228"/>
      <c r="L10"/>
      <c r="M10"/>
      <c r="N10"/>
      <c r="O10"/>
      <c r="P10"/>
      <c r="Q10"/>
      <c r="R10"/>
      <c r="S10"/>
      <c r="T10"/>
      <c r="U10"/>
      <c r="V10"/>
      <c r="W10"/>
    </row>
    <row r="11" spans="1:23" s="31" customFormat="1" ht="12.75" customHeight="1">
      <c r="A11" s="229">
        <f t="shared" si="0"/>
        <v>7</v>
      </c>
      <c r="B11" s="114" t="s">
        <v>131</v>
      </c>
      <c r="C11" s="115">
        <v>33410</v>
      </c>
      <c r="D11" s="115">
        <v>37063</v>
      </c>
      <c r="E11" s="115">
        <v>35961</v>
      </c>
      <c r="F11" s="115" t="s">
        <v>127</v>
      </c>
      <c r="G11" s="115">
        <v>35961</v>
      </c>
      <c r="H11" s="287">
        <v>43266</v>
      </c>
      <c r="I11" s="288">
        <v>0</v>
      </c>
      <c r="J11" s="116">
        <v>18900243</v>
      </c>
      <c r="K11" s="228"/>
      <c r="L11"/>
      <c r="M11"/>
      <c r="N11"/>
      <c r="O11"/>
      <c r="P11"/>
      <c r="Q11"/>
      <c r="R11"/>
      <c r="S11"/>
      <c r="T11"/>
      <c r="U11"/>
      <c r="V11"/>
      <c r="W11"/>
    </row>
    <row r="12" spans="1:23" s="228" customFormat="1" ht="12.75" customHeight="1">
      <c r="A12" s="229">
        <f t="shared" si="0"/>
        <v>8</v>
      </c>
      <c r="B12" s="289" t="s">
        <v>44</v>
      </c>
      <c r="C12" s="115">
        <v>33616</v>
      </c>
      <c r="D12" s="115">
        <f>DATE(2022,1,12)</f>
        <v>44573</v>
      </c>
      <c r="E12" s="290">
        <v>37701</v>
      </c>
      <c r="F12" s="290"/>
      <c r="G12" s="290"/>
      <c r="H12" s="287">
        <f>DATE(2022,1,12)</f>
        <v>44573</v>
      </c>
      <c r="I12" s="288">
        <v>1141.08</v>
      </c>
      <c r="J12" s="116">
        <v>18900293</v>
      </c>
      <c r="K12" s="446"/>
      <c r="L12"/>
      <c r="M12"/>
      <c r="N12"/>
      <c r="O12"/>
      <c r="P12"/>
      <c r="Q12"/>
      <c r="R12"/>
      <c r="S12"/>
      <c r="T12"/>
      <c r="U12"/>
      <c r="V12"/>
      <c r="W12"/>
    </row>
    <row r="13" spans="1:23" s="228" customFormat="1" ht="12.75" customHeight="1">
      <c r="A13" s="229">
        <f t="shared" si="0"/>
        <v>9</v>
      </c>
      <c r="B13" s="289" t="s">
        <v>45</v>
      </c>
      <c r="C13" s="115">
        <v>33616</v>
      </c>
      <c r="D13" s="115">
        <f>DATE(2022,1,13)</f>
        <v>44574</v>
      </c>
      <c r="E13" s="290">
        <v>37701</v>
      </c>
      <c r="F13" s="290"/>
      <c r="G13" s="290"/>
      <c r="H13" s="287">
        <f>DATE(2022,1,13)</f>
        <v>44574</v>
      </c>
      <c r="I13" s="288">
        <v>2662.56</v>
      </c>
      <c r="J13" s="116">
        <v>18900303</v>
      </c>
      <c r="K13" s="446"/>
      <c r="L13"/>
      <c r="M13"/>
      <c r="N13"/>
      <c r="O13"/>
      <c r="P13"/>
      <c r="Q13"/>
      <c r="R13"/>
      <c r="S13"/>
      <c r="T13"/>
      <c r="U13"/>
      <c r="V13"/>
      <c r="W13"/>
    </row>
    <row r="14" spans="1:23" s="228" customFormat="1" ht="12.75" customHeight="1">
      <c r="A14" s="229">
        <f t="shared" si="0"/>
        <v>10</v>
      </c>
      <c r="B14" s="289" t="s">
        <v>119</v>
      </c>
      <c r="C14" s="115">
        <v>33828</v>
      </c>
      <c r="D14" s="115">
        <v>44785</v>
      </c>
      <c r="E14" s="290">
        <v>37770</v>
      </c>
      <c r="F14" s="290"/>
      <c r="G14" s="290"/>
      <c r="H14" s="287">
        <v>44785</v>
      </c>
      <c r="I14" s="288">
        <v>62485.68</v>
      </c>
      <c r="J14" s="116">
        <v>18900323</v>
      </c>
      <c r="K14" s="446"/>
      <c r="L14"/>
      <c r="M14"/>
      <c r="N14"/>
      <c r="O14"/>
      <c r="P14"/>
      <c r="Q14"/>
      <c r="R14"/>
      <c r="S14"/>
      <c r="T14"/>
      <c r="U14"/>
      <c r="V14"/>
      <c r="W14"/>
    </row>
    <row r="15" spans="1:23" s="228" customFormat="1" ht="12.75" customHeight="1">
      <c r="A15" s="229">
        <f t="shared" si="0"/>
        <v>11</v>
      </c>
      <c r="B15" s="289" t="s">
        <v>139</v>
      </c>
      <c r="C15" s="115">
        <v>34199</v>
      </c>
      <c r="D15" s="115">
        <v>45156</v>
      </c>
      <c r="E15" s="290">
        <v>37851</v>
      </c>
      <c r="H15" s="287">
        <v>45156</v>
      </c>
      <c r="I15" s="288">
        <v>10655.88</v>
      </c>
      <c r="J15" s="116">
        <v>18900353</v>
      </c>
      <c r="K15" s="446"/>
      <c r="L15"/>
      <c r="M15"/>
      <c r="N15"/>
      <c r="O15"/>
      <c r="P15"/>
      <c r="Q15"/>
      <c r="R15"/>
      <c r="S15"/>
      <c r="T15"/>
      <c r="U15"/>
      <c r="V15"/>
      <c r="W15"/>
    </row>
    <row r="16" spans="1:23" s="228" customFormat="1" ht="12.75" customHeight="1">
      <c r="A16" s="229">
        <f t="shared" si="0"/>
        <v>12</v>
      </c>
      <c r="B16" s="114" t="s">
        <v>132</v>
      </c>
      <c r="C16" s="115">
        <v>33161</v>
      </c>
      <c r="D16" s="115">
        <v>35718</v>
      </c>
      <c r="E16" s="115">
        <v>34372</v>
      </c>
      <c r="F16" s="115" t="s">
        <v>128</v>
      </c>
      <c r="G16" s="115">
        <v>34366</v>
      </c>
      <c r="H16" s="287">
        <v>45323</v>
      </c>
      <c r="I16" s="288">
        <v>168880.08</v>
      </c>
      <c r="J16" s="116">
        <v>18900173</v>
      </c>
      <c r="K16" s="446"/>
      <c r="L16"/>
      <c r="M16"/>
      <c r="N16"/>
      <c r="O16"/>
      <c r="P16"/>
      <c r="Q16"/>
      <c r="R16"/>
      <c r="S16"/>
      <c r="T16"/>
      <c r="U16"/>
      <c r="V16"/>
      <c r="W16"/>
    </row>
    <row r="17" spans="1:23" s="228" customFormat="1" ht="12.75" customHeight="1">
      <c r="A17" s="229">
        <f t="shared" si="0"/>
        <v>13</v>
      </c>
      <c r="B17" s="114" t="s">
        <v>117</v>
      </c>
      <c r="C17" s="115">
        <v>35587</v>
      </c>
      <c r="D17" s="115">
        <v>46539</v>
      </c>
      <c r="E17" s="115">
        <v>38504</v>
      </c>
      <c r="F17" s="115"/>
      <c r="G17" s="115"/>
      <c r="H17" s="287">
        <v>46539</v>
      </c>
      <c r="I17" s="288">
        <v>229804.2</v>
      </c>
      <c r="J17" s="116">
        <v>18900193</v>
      </c>
      <c r="K17" s="446"/>
      <c r="L17"/>
      <c r="M17"/>
      <c r="N17"/>
      <c r="O17"/>
      <c r="P17"/>
      <c r="Q17"/>
      <c r="R17"/>
      <c r="S17"/>
      <c r="T17"/>
      <c r="U17"/>
      <c r="V17"/>
      <c r="W17"/>
    </row>
    <row r="18" spans="1:23" s="228" customFormat="1" ht="12.75" customHeight="1">
      <c r="A18" s="229">
        <f t="shared" si="0"/>
        <v>14</v>
      </c>
      <c r="B18" s="289" t="s">
        <v>40</v>
      </c>
      <c r="C18" s="115">
        <v>33457</v>
      </c>
      <c r="D18" s="115">
        <f>DATE(2021,8,1)</f>
        <v>44409</v>
      </c>
      <c r="E18" s="290">
        <v>37691</v>
      </c>
      <c r="F18" s="290" t="s">
        <v>129</v>
      </c>
      <c r="G18" s="290">
        <v>37691</v>
      </c>
      <c r="H18" s="287">
        <v>47908</v>
      </c>
      <c r="I18" s="288">
        <v>45480.480000000003</v>
      </c>
      <c r="J18" s="116">
        <v>18900253</v>
      </c>
      <c r="K18" s="446"/>
      <c r="L18"/>
      <c r="M18"/>
      <c r="N18"/>
      <c r="O18"/>
      <c r="P18"/>
      <c r="Q18"/>
      <c r="R18"/>
      <c r="S18"/>
      <c r="T18"/>
      <c r="U18"/>
      <c r="V18"/>
      <c r="W18"/>
    </row>
    <row r="19" spans="1:23" s="228" customFormat="1" ht="12.75" customHeight="1">
      <c r="A19" s="229">
        <f t="shared" si="0"/>
        <v>15</v>
      </c>
      <c r="B19" s="289" t="s">
        <v>41</v>
      </c>
      <c r="C19" s="115">
        <v>33457</v>
      </c>
      <c r="D19" s="115">
        <f>DATE(2021,8,1)</f>
        <v>44409</v>
      </c>
      <c r="E19" s="290">
        <v>37691</v>
      </c>
      <c r="F19" s="290" t="s">
        <v>129</v>
      </c>
      <c r="G19" s="290">
        <v>37691</v>
      </c>
      <c r="H19" s="287">
        <v>47908</v>
      </c>
      <c r="I19" s="288">
        <v>34561.440000000002</v>
      </c>
      <c r="J19" s="116">
        <v>18900263</v>
      </c>
      <c r="K19" s="446"/>
      <c r="L19"/>
      <c r="M19"/>
      <c r="N19"/>
      <c r="O19"/>
      <c r="P19"/>
      <c r="Q19"/>
      <c r="R19"/>
      <c r="S19"/>
      <c r="T19"/>
      <c r="U19"/>
      <c r="V19"/>
      <c r="W19"/>
    </row>
    <row r="20" spans="1:23" s="228" customFormat="1" ht="12.75" customHeight="1">
      <c r="A20" s="229">
        <f t="shared" si="0"/>
        <v>16</v>
      </c>
      <c r="B20" s="289" t="s">
        <v>42</v>
      </c>
      <c r="C20" s="115">
        <v>33664</v>
      </c>
      <c r="D20" s="115">
        <f>DATE(2022,3,1)</f>
        <v>44621</v>
      </c>
      <c r="E20" s="290">
        <v>37691</v>
      </c>
      <c r="F20" s="290" t="s">
        <v>129</v>
      </c>
      <c r="G20" s="290">
        <v>37691</v>
      </c>
      <c r="H20" s="287">
        <v>47908</v>
      </c>
      <c r="I20" s="288">
        <v>105825.48</v>
      </c>
      <c r="J20" s="116">
        <v>18900273</v>
      </c>
      <c r="K20" s="446"/>
      <c r="L20"/>
      <c r="M20"/>
      <c r="N20"/>
      <c r="O20"/>
      <c r="P20"/>
      <c r="Q20"/>
      <c r="R20"/>
      <c r="S20"/>
      <c r="T20"/>
      <c r="U20"/>
      <c r="V20"/>
      <c r="W20"/>
    </row>
    <row r="21" spans="1:23" s="228" customFormat="1" ht="12.75" customHeight="1">
      <c r="A21" s="229">
        <f t="shared" si="0"/>
        <v>17</v>
      </c>
      <c r="B21" s="289" t="s">
        <v>43</v>
      </c>
      <c r="C21" s="115">
        <v>33664</v>
      </c>
      <c r="D21" s="115">
        <f>DATE(2022,3,1)</f>
        <v>44621</v>
      </c>
      <c r="E21" s="290">
        <v>37691</v>
      </c>
      <c r="F21" s="290" t="s">
        <v>129</v>
      </c>
      <c r="G21" s="290">
        <v>37691</v>
      </c>
      <c r="H21" s="287">
        <v>47908</v>
      </c>
      <c r="I21" s="288">
        <v>32297.759999999998</v>
      </c>
      <c r="J21" s="116">
        <v>18900283</v>
      </c>
      <c r="K21" s="446"/>
      <c r="L21"/>
      <c r="M21"/>
      <c r="N21"/>
      <c r="O21"/>
      <c r="P21"/>
      <c r="Q21"/>
      <c r="R21"/>
      <c r="S21"/>
      <c r="T21"/>
      <c r="U21"/>
      <c r="V21"/>
      <c r="W21"/>
    </row>
    <row r="22" spans="1:23" s="228" customFormat="1" ht="12.75" customHeight="1">
      <c r="A22" s="229">
        <f t="shared" si="0"/>
        <v>18</v>
      </c>
      <c r="B22" s="289" t="s">
        <v>174</v>
      </c>
      <c r="C22" s="115">
        <v>37691</v>
      </c>
      <c r="D22" s="115">
        <v>47908</v>
      </c>
      <c r="E22" s="290">
        <v>41449</v>
      </c>
      <c r="F22" s="290" t="s">
        <v>175</v>
      </c>
      <c r="G22" s="290">
        <v>41417</v>
      </c>
      <c r="H22" s="287">
        <v>47908</v>
      </c>
      <c r="I22" s="288">
        <v>299128.68</v>
      </c>
      <c r="J22" s="116">
        <v>18900433</v>
      </c>
      <c r="K22" s="446"/>
      <c r="L22"/>
      <c r="M22"/>
      <c r="N22"/>
      <c r="O22"/>
      <c r="P22"/>
      <c r="Q22"/>
      <c r="R22"/>
      <c r="S22"/>
      <c r="T22"/>
      <c r="U22"/>
      <c r="V22"/>
      <c r="W22"/>
    </row>
    <row r="23" spans="1:23" s="228" customFormat="1" ht="12.75" customHeight="1">
      <c r="A23" s="229">
        <f t="shared" si="0"/>
        <v>19</v>
      </c>
      <c r="B23" s="289" t="s">
        <v>174</v>
      </c>
      <c r="C23" s="115">
        <v>37691</v>
      </c>
      <c r="D23" s="115">
        <v>47908</v>
      </c>
      <c r="E23" s="290">
        <v>41449</v>
      </c>
      <c r="F23" s="290" t="s">
        <v>175</v>
      </c>
      <c r="G23" s="290">
        <v>41417</v>
      </c>
      <c r="H23" s="287">
        <v>47908</v>
      </c>
      <c r="I23" s="288">
        <v>50553.24</v>
      </c>
      <c r="J23" s="116">
        <v>18900533</v>
      </c>
      <c r="K23" s="446"/>
      <c r="L23"/>
      <c r="M23"/>
      <c r="N23"/>
      <c r="O23"/>
      <c r="P23"/>
      <c r="Q23"/>
      <c r="R23"/>
      <c r="S23"/>
      <c r="T23"/>
      <c r="U23"/>
      <c r="V23"/>
      <c r="W23"/>
    </row>
    <row r="24" spans="1:23" s="228" customFormat="1" ht="12.75" customHeight="1">
      <c r="A24" s="229">
        <f>A23+1</f>
        <v>20</v>
      </c>
      <c r="B24" s="114" t="s">
        <v>95</v>
      </c>
      <c r="C24" s="115">
        <v>38183</v>
      </c>
      <c r="D24" s="115">
        <v>38913</v>
      </c>
      <c r="E24" s="115">
        <v>38499</v>
      </c>
      <c r="F24" s="115" t="s">
        <v>96</v>
      </c>
      <c r="G24" s="115">
        <v>38499</v>
      </c>
      <c r="H24" s="287">
        <v>49456</v>
      </c>
      <c r="I24" s="288">
        <f>17086.56</f>
        <v>17086.560000000001</v>
      </c>
      <c r="J24" s="116">
        <v>18900183</v>
      </c>
      <c r="K24" s="446"/>
      <c r="L24"/>
      <c r="M24"/>
      <c r="N24"/>
      <c r="O24"/>
      <c r="P24"/>
      <c r="Q24"/>
      <c r="R24"/>
      <c r="S24"/>
      <c r="T24"/>
      <c r="U24"/>
      <c r="V24"/>
      <c r="W24"/>
    </row>
    <row r="25" spans="1:23" s="228" customFormat="1" ht="12.75" customHeight="1">
      <c r="A25" s="229">
        <f t="shared" si="0"/>
        <v>21</v>
      </c>
      <c r="B25" s="114" t="s">
        <v>29</v>
      </c>
      <c r="C25" s="115">
        <v>37035</v>
      </c>
      <c r="D25" s="115">
        <v>51682</v>
      </c>
      <c r="E25" s="115">
        <v>38898</v>
      </c>
      <c r="F25" s="115" t="s">
        <v>130</v>
      </c>
      <c r="G25" s="115">
        <v>38898</v>
      </c>
      <c r="H25" s="287">
        <v>49841</v>
      </c>
      <c r="I25" s="288">
        <f>(16418.45*12)</f>
        <v>197021.40000000002</v>
      </c>
      <c r="J25" s="116">
        <v>18900373</v>
      </c>
      <c r="K25" s="446"/>
      <c r="L25"/>
      <c r="M25"/>
      <c r="N25"/>
      <c r="O25"/>
      <c r="P25"/>
      <c r="Q25"/>
      <c r="R25"/>
      <c r="S25"/>
      <c r="T25"/>
      <c r="U25"/>
      <c r="V25"/>
      <c r="W25"/>
    </row>
    <row r="26" spans="1:23" s="228" customFormat="1" ht="12.75" customHeight="1">
      <c r="A26" s="229">
        <f t="shared" si="0"/>
        <v>22</v>
      </c>
      <c r="B26" s="114" t="s">
        <v>168</v>
      </c>
      <c r="C26" s="115">
        <v>33117</v>
      </c>
      <c r="D26" s="115">
        <v>44075</v>
      </c>
      <c r="E26" s="115">
        <v>40900</v>
      </c>
      <c r="F26" s="115" t="s">
        <v>169</v>
      </c>
      <c r="G26" s="115">
        <v>40869</v>
      </c>
      <c r="H26" s="287">
        <v>55472</v>
      </c>
      <c r="I26" s="288">
        <v>400518.84</v>
      </c>
      <c r="J26" s="116">
        <v>18900393</v>
      </c>
      <c r="K26" s="446"/>
      <c r="L26"/>
      <c r="M26"/>
      <c r="N26"/>
      <c r="O26"/>
      <c r="P26"/>
      <c r="Q26"/>
      <c r="R26"/>
      <c r="S26"/>
      <c r="T26"/>
      <c r="U26"/>
      <c r="V26"/>
      <c r="W26"/>
    </row>
    <row r="27" spans="1:23" s="228" customFormat="1" ht="12.75" customHeight="1">
      <c r="A27" s="229">
        <f t="shared" si="0"/>
        <v>23</v>
      </c>
      <c r="B27" s="114" t="s">
        <v>177</v>
      </c>
      <c r="C27" s="115">
        <v>38637</v>
      </c>
      <c r="D27" s="115">
        <v>42278</v>
      </c>
      <c r="E27" s="115">
        <v>42160</v>
      </c>
      <c r="F27" s="115" t="s">
        <v>179</v>
      </c>
      <c r="G27" s="115">
        <v>42150</v>
      </c>
      <c r="H27" s="287">
        <v>53102</v>
      </c>
      <c r="I27" s="288">
        <v>82302.48</v>
      </c>
      <c r="J27" s="116">
        <v>18900203</v>
      </c>
      <c r="K27" s="446"/>
      <c r="L27"/>
      <c r="M27"/>
      <c r="N27"/>
      <c r="O27"/>
      <c r="P27"/>
      <c r="Q27"/>
      <c r="R27"/>
      <c r="S27"/>
      <c r="T27"/>
      <c r="U27"/>
      <c r="V27"/>
      <c r="W27"/>
    </row>
    <row r="28" spans="1:23" s="228" customFormat="1" ht="12.75" customHeight="1">
      <c r="A28" s="229">
        <f t="shared" si="0"/>
        <v>24</v>
      </c>
      <c r="B28" s="114" t="s">
        <v>178</v>
      </c>
      <c r="C28" s="115">
        <v>39836</v>
      </c>
      <c r="D28" s="115">
        <v>42384</v>
      </c>
      <c r="E28" s="115">
        <v>42160</v>
      </c>
      <c r="F28" s="115" t="s">
        <v>179</v>
      </c>
      <c r="G28" s="115">
        <v>42150</v>
      </c>
      <c r="H28" s="287">
        <v>53102</v>
      </c>
      <c r="I28" s="288">
        <v>316649.76</v>
      </c>
      <c r="J28" s="116">
        <v>18900213</v>
      </c>
      <c r="K28" s="446"/>
      <c r="L28"/>
      <c r="M28"/>
      <c r="N28"/>
      <c r="O28"/>
      <c r="P28"/>
      <c r="Q28"/>
      <c r="R28"/>
      <c r="S28"/>
      <c r="T28"/>
      <c r="U28"/>
      <c r="V28"/>
      <c r="W28"/>
    </row>
    <row r="29" spans="1:23" s="228" customFormat="1" ht="12.75" customHeight="1">
      <c r="A29" s="229">
        <f t="shared" si="0"/>
        <v>25</v>
      </c>
      <c r="B29" s="114" t="s">
        <v>116</v>
      </c>
      <c r="C29" s="115">
        <v>39237</v>
      </c>
      <c r="D29" s="115">
        <v>24624</v>
      </c>
      <c r="E29" s="115">
        <v>43217</v>
      </c>
      <c r="F29" s="115"/>
      <c r="G29" s="115"/>
      <c r="H29" s="287">
        <v>61149</v>
      </c>
      <c r="I29" s="288">
        <v>100652.64</v>
      </c>
      <c r="J29" s="116">
        <v>18900233</v>
      </c>
      <c r="K29" s="446"/>
      <c r="L29"/>
      <c r="M29"/>
      <c r="N29"/>
      <c r="O29"/>
      <c r="P29"/>
      <c r="Q29"/>
      <c r="R29"/>
      <c r="S29"/>
      <c r="T29"/>
      <c r="U29"/>
      <c r="V29"/>
      <c r="W29"/>
    </row>
    <row r="30" spans="1:23" s="31" customFormat="1" ht="12.75" customHeight="1">
      <c r="A30" s="229">
        <f t="shared" si="0"/>
        <v>26</v>
      </c>
      <c r="B30" s="114"/>
      <c r="C30" s="115"/>
      <c r="D30" s="115"/>
      <c r="E30" s="115"/>
      <c r="F30" s="115"/>
      <c r="G30" s="115"/>
      <c r="H30" s="287"/>
      <c r="I30" s="291"/>
      <c r="J30" s="292"/>
      <c r="K30" s="228"/>
      <c r="L30"/>
      <c r="M30"/>
      <c r="N30"/>
      <c r="O30"/>
      <c r="P30"/>
      <c r="Q30"/>
      <c r="R30"/>
      <c r="S30"/>
      <c r="T30"/>
      <c r="U30"/>
      <c r="V30"/>
      <c r="W30"/>
    </row>
    <row r="31" spans="1:23" s="31" customFormat="1" ht="15" customHeight="1" thickBot="1">
      <c r="A31" s="229">
        <f t="shared" si="0"/>
        <v>27</v>
      </c>
      <c r="B31" s="112" t="s">
        <v>28</v>
      </c>
      <c r="C31" s="117"/>
      <c r="D31" s="117"/>
      <c r="E31" s="117"/>
      <c r="F31" s="117"/>
      <c r="G31" s="117"/>
      <c r="H31" s="117"/>
      <c r="I31" s="293">
        <f>SUM(I8:I30)</f>
        <v>2157708.2400000002</v>
      </c>
      <c r="J31" s="119"/>
      <c r="K31" s="228"/>
      <c r="L31"/>
      <c r="M31"/>
      <c r="N31"/>
      <c r="O31"/>
      <c r="P31"/>
      <c r="Q31"/>
      <c r="R31"/>
      <c r="S31"/>
      <c r="T31"/>
      <c r="U31"/>
      <c r="V31"/>
      <c r="W31"/>
    </row>
    <row r="32" spans="1:23" s="31" customFormat="1" ht="12.75" customHeight="1" thickTop="1">
      <c r="A32" s="229">
        <f t="shared" si="0"/>
        <v>28</v>
      </c>
      <c r="B32" s="120"/>
      <c r="C32" s="121"/>
      <c r="D32" s="121"/>
      <c r="E32" s="121"/>
      <c r="F32" s="121"/>
      <c r="G32" s="121"/>
      <c r="H32" s="121"/>
      <c r="I32" s="64"/>
      <c r="J32" s="118"/>
      <c r="K32" s="228"/>
      <c r="L32"/>
      <c r="M32"/>
      <c r="N32"/>
      <c r="O32"/>
      <c r="P32"/>
      <c r="Q32"/>
      <c r="R32"/>
      <c r="S32"/>
      <c r="T32"/>
      <c r="U32"/>
      <c r="V32"/>
      <c r="W32"/>
    </row>
    <row r="33" spans="1:23" s="31" customFormat="1" ht="12.75" customHeight="1">
      <c r="A33" s="229">
        <f t="shared" si="0"/>
        <v>29</v>
      </c>
      <c r="B33" s="120" t="s">
        <v>186</v>
      </c>
      <c r="C33" s="121"/>
      <c r="D33" s="121"/>
      <c r="E33" s="121"/>
      <c r="F33" s="121"/>
      <c r="G33" s="121"/>
      <c r="H33" s="121"/>
      <c r="I33" s="288">
        <f>'New Format'!C30</f>
        <v>8801662440</v>
      </c>
      <c r="J33" s="118"/>
      <c r="K33" s="228"/>
      <c r="L33"/>
      <c r="M33"/>
      <c r="N33"/>
      <c r="O33"/>
      <c r="P33"/>
      <c r="Q33"/>
      <c r="R33"/>
      <c r="S33"/>
      <c r="T33"/>
      <c r="U33"/>
      <c r="V33"/>
      <c r="W33"/>
    </row>
    <row r="34" spans="1:23" s="31" customFormat="1" ht="12.75" customHeight="1">
      <c r="A34" s="229">
        <f t="shared" si="0"/>
        <v>30</v>
      </c>
      <c r="B34" s="120"/>
      <c r="C34" s="121"/>
      <c r="D34" s="121"/>
      <c r="E34" s="121"/>
      <c r="F34" s="121"/>
      <c r="G34" s="121"/>
      <c r="H34" s="121"/>
      <c r="I34" s="64"/>
      <c r="J34" s="118"/>
      <c r="K34" s="228"/>
      <c r="L34"/>
      <c r="M34"/>
      <c r="N34"/>
      <c r="O34"/>
      <c r="P34"/>
      <c r="Q34"/>
      <c r="R34"/>
      <c r="S34"/>
      <c r="T34"/>
      <c r="U34"/>
      <c r="V34"/>
      <c r="W34"/>
    </row>
    <row r="35" spans="1:23" s="31" customFormat="1" ht="12.75" customHeight="1">
      <c r="A35" s="229">
        <f t="shared" si="0"/>
        <v>31</v>
      </c>
      <c r="B35" s="120" t="s">
        <v>189</v>
      </c>
      <c r="C35" s="121"/>
      <c r="D35" s="121"/>
      <c r="E35" s="121"/>
      <c r="F35" s="121"/>
      <c r="G35" s="121"/>
      <c r="H35" s="121"/>
      <c r="I35" s="408">
        <f>ROUND(I31/I33,4)</f>
        <v>2.0000000000000001E-4</v>
      </c>
      <c r="J35" s="422"/>
      <c r="K35" s="228"/>
      <c r="L35"/>
      <c r="M35"/>
      <c r="N35"/>
      <c r="O35"/>
      <c r="P35"/>
      <c r="Q35"/>
      <c r="R35"/>
      <c r="S35"/>
      <c r="T35"/>
      <c r="U35"/>
      <c r="V35"/>
      <c r="W35"/>
    </row>
    <row r="36" spans="1:23" s="31" customFormat="1" ht="12.75" customHeight="1">
      <c r="A36" s="229">
        <f t="shared" si="0"/>
        <v>32</v>
      </c>
      <c r="B36" s="120"/>
      <c r="C36" s="121"/>
      <c r="D36" s="121"/>
      <c r="E36" s="121"/>
      <c r="F36" s="121"/>
      <c r="G36" s="121"/>
      <c r="H36" s="121"/>
      <c r="I36" s="64"/>
      <c r="J36" s="118"/>
      <c r="K36" s="228"/>
      <c r="L36"/>
      <c r="M36"/>
      <c r="N36"/>
      <c r="O36"/>
      <c r="P36"/>
      <c r="Q36"/>
      <c r="R36"/>
      <c r="S36"/>
      <c r="T36"/>
      <c r="U36"/>
      <c r="V36"/>
      <c r="W36"/>
    </row>
    <row r="37" spans="1:23" s="31" customFormat="1" ht="12.75" customHeight="1">
      <c r="A37" s="229">
        <f t="shared" si="0"/>
        <v>33</v>
      </c>
      <c r="C37" s="57"/>
      <c r="D37" s="57"/>
      <c r="E37" s="57"/>
      <c r="F37" s="57"/>
      <c r="G37" s="57"/>
      <c r="H37" s="146"/>
      <c r="I37" s="64"/>
      <c r="J37" s="118"/>
      <c r="K37" s="228"/>
      <c r="L37"/>
      <c r="M37"/>
      <c r="N37"/>
      <c r="O37"/>
      <c r="P37"/>
      <c r="Q37"/>
      <c r="R37"/>
      <c r="S37"/>
      <c r="T37"/>
      <c r="U37"/>
      <c r="V37"/>
      <c r="W37"/>
    </row>
    <row r="38" spans="1:23" s="31" customFormat="1" ht="12.75" customHeight="1">
      <c r="A38" s="229">
        <f t="shared" si="0"/>
        <v>34</v>
      </c>
      <c r="B38" s="227"/>
      <c r="C38" s="228"/>
      <c r="D38" s="228"/>
      <c r="E38" s="228"/>
      <c r="F38" s="228"/>
      <c r="H38" s="32"/>
      <c r="I38" s="64"/>
      <c r="K38" s="228"/>
      <c r="L38"/>
      <c r="M38"/>
      <c r="N38"/>
      <c r="O38"/>
      <c r="P38"/>
      <c r="Q38"/>
      <c r="R38"/>
      <c r="S38"/>
      <c r="T38"/>
      <c r="U38"/>
      <c r="V38"/>
      <c r="W38"/>
    </row>
    <row r="39" spans="1:23" s="31" customFormat="1" ht="12.75" customHeight="1">
      <c r="A39" s="229">
        <f t="shared" si="0"/>
        <v>35</v>
      </c>
      <c r="B39" s="57" t="s">
        <v>134</v>
      </c>
      <c r="H39" s="32"/>
      <c r="I39" s="64"/>
      <c r="J39" s="116"/>
      <c r="K39" s="228"/>
      <c r="L39"/>
      <c r="M39"/>
      <c r="N39"/>
      <c r="O39"/>
      <c r="P39"/>
      <c r="Q39"/>
      <c r="R39"/>
      <c r="S39"/>
      <c r="T39"/>
      <c r="U39"/>
      <c r="V39"/>
      <c r="W39"/>
    </row>
    <row r="40" spans="1:23" s="31" customFormat="1" ht="12.75" customHeight="1">
      <c r="A40" s="229">
        <f t="shared" si="0"/>
        <v>36</v>
      </c>
      <c r="B40" s="257" t="s">
        <v>133</v>
      </c>
      <c r="H40" s="32"/>
      <c r="I40" s="32"/>
      <c r="K40" s="228"/>
      <c r="L40"/>
      <c r="M40"/>
      <c r="N40"/>
      <c r="O40"/>
      <c r="P40"/>
      <c r="Q40"/>
      <c r="R40"/>
      <c r="S40"/>
      <c r="T40"/>
      <c r="U40"/>
      <c r="V40"/>
      <c r="W40"/>
    </row>
    <row r="41" spans="1:23" s="31" customFormat="1" ht="12.75" customHeight="1">
      <c r="A41" s="230"/>
      <c r="H41" s="32"/>
      <c r="I41" s="32"/>
      <c r="K41" s="228"/>
      <c r="L41"/>
      <c r="M41"/>
      <c r="N41"/>
      <c r="O41"/>
      <c r="P41"/>
      <c r="Q41"/>
      <c r="R41"/>
      <c r="S41"/>
      <c r="T41"/>
      <c r="U41"/>
      <c r="V41"/>
      <c r="W41"/>
    </row>
    <row r="42" spans="1:23" s="31" customFormat="1" ht="12.75" customHeight="1">
      <c r="H42" s="32"/>
      <c r="I42" s="32"/>
      <c r="K42" s="228"/>
      <c r="L42"/>
      <c r="M42"/>
      <c r="N42"/>
      <c r="O42"/>
      <c r="P42"/>
      <c r="Q42"/>
      <c r="R42"/>
      <c r="S42"/>
      <c r="T42"/>
      <c r="U42"/>
      <c r="V42"/>
      <c r="W42"/>
    </row>
    <row r="43" spans="1:23" s="31" customFormat="1" ht="12.75" customHeight="1">
      <c r="H43" s="32"/>
      <c r="I43" s="217"/>
      <c r="K43" s="228"/>
      <c r="L43"/>
      <c r="M43"/>
      <c r="N43"/>
      <c r="O43"/>
      <c r="P43"/>
      <c r="Q43"/>
      <c r="R43"/>
      <c r="S43"/>
      <c r="T43"/>
      <c r="U43"/>
      <c r="V43"/>
      <c r="W43"/>
    </row>
    <row r="44" spans="1:23" s="31" customFormat="1" ht="12.75" customHeight="1">
      <c r="H44" s="32"/>
      <c r="I44" s="32"/>
      <c r="K44" s="228"/>
      <c r="L44"/>
      <c r="M44"/>
      <c r="N44"/>
      <c r="O44"/>
      <c r="P44"/>
      <c r="Q44"/>
      <c r="R44"/>
      <c r="S44"/>
      <c r="T44"/>
      <c r="U44"/>
      <c r="V44"/>
      <c r="W44"/>
    </row>
    <row r="45" spans="1:23" s="31" customFormat="1" ht="12.75" customHeight="1">
      <c r="H45" s="32"/>
      <c r="I45" s="32"/>
      <c r="K45" s="228"/>
      <c r="L45"/>
      <c r="M45"/>
      <c r="N45"/>
      <c r="O45"/>
      <c r="P45"/>
      <c r="Q45"/>
      <c r="R45"/>
      <c r="S45"/>
      <c r="T45"/>
      <c r="U45"/>
      <c r="V45"/>
      <c r="W45"/>
    </row>
    <row r="46" spans="1:23" s="31" customFormat="1" ht="12.75" customHeight="1">
      <c r="H46" s="32"/>
      <c r="I46" s="32"/>
      <c r="K46" s="228"/>
      <c r="L46"/>
      <c r="M46"/>
      <c r="N46"/>
      <c r="O46"/>
      <c r="P46"/>
      <c r="Q46"/>
      <c r="R46"/>
      <c r="S46"/>
      <c r="T46"/>
      <c r="U46"/>
      <c r="V46"/>
      <c r="W46"/>
    </row>
    <row r="47" spans="1:23" s="31" customFormat="1" ht="12.75" customHeight="1">
      <c r="H47" s="32"/>
      <c r="I47" s="32"/>
      <c r="K47" s="228"/>
      <c r="L47"/>
      <c r="M47"/>
      <c r="N47"/>
      <c r="O47"/>
      <c r="P47"/>
      <c r="Q47"/>
      <c r="R47"/>
      <c r="S47"/>
      <c r="T47"/>
      <c r="U47"/>
      <c r="V47"/>
      <c r="W47"/>
    </row>
    <row r="48" spans="1:23" s="31" customFormat="1" ht="12.75" customHeight="1">
      <c r="H48" s="32"/>
      <c r="I48" s="32"/>
      <c r="K48" s="228"/>
      <c r="L48"/>
      <c r="M48"/>
      <c r="N48"/>
      <c r="O48"/>
      <c r="P48"/>
      <c r="Q48"/>
      <c r="R48"/>
      <c r="S48"/>
      <c r="T48"/>
      <c r="U48"/>
      <c r="V48"/>
      <c r="W48"/>
    </row>
    <row r="49" spans="8:23" s="31" customFormat="1" ht="12.75" customHeight="1">
      <c r="H49" s="32"/>
      <c r="I49" s="32"/>
      <c r="K49" s="228"/>
      <c r="L49"/>
      <c r="M49"/>
      <c r="N49"/>
      <c r="O49"/>
      <c r="P49"/>
      <c r="Q49"/>
      <c r="R49"/>
      <c r="S49"/>
      <c r="T49"/>
      <c r="U49"/>
      <c r="V49"/>
      <c r="W49"/>
    </row>
    <row r="50" spans="8:23" s="31" customFormat="1" ht="12.75" customHeight="1">
      <c r="H50" s="32"/>
      <c r="I50" s="32"/>
      <c r="K50" s="228"/>
      <c r="L50"/>
      <c r="M50"/>
      <c r="N50"/>
      <c r="O50"/>
      <c r="P50"/>
      <c r="Q50"/>
      <c r="R50"/>
      <c r="S50"/>
      <c r="T50"/>
      <c r="U50"/>
      <c r="V50"/>
      <c r="W50"/>
    </row>
    <row r="51" spans="8:23" s="31" customFormat="1" ht="12.75" customHeight="1">
      <c r="H51" s="32"/>
      <c r="I51" s="32"/>
      <c r="K51" s="228"/>
      <c r="L51"/>
      <c r="M51"/>
      <c r="N51"/>
      <c r="O51"/>
      <c r="P51"/>
      <c r="Q51"/>
      <c r="R51"/>
      <c r="S51"/>
      <c r="T51"/>
      <c r="U51"/>
      <c r="V51"/>
      <c r="W51"/>
    </row>
    <row r="52" spans="8:23" s="31" customFormat="1" ht="12.75" customHeight="1">
      <c r="K52" s="228"/>
      <c r="L52"/>
      <c r="M52"/>
      <c r="N52"/>
      <c r="O52"/>
      <c r="P52"/>
      <c r="Q52"/>
      <c r="R52"/>
      <c r="S52"/>
      <c r="T52"/>
      <c r="U52"/>
      <c r="V52"/>
      <c r="W52"/>
    </row>
    <row r="53" spans="8:23" s="31" customFormat="1" ht="12.75" customHeight="1">
      <c r="K53" s="228"/>
      <c r="L53"/>
      <c r="M53"/>
      <c r="N53"/>
      <c r="O53"/>
      <c r="P53"/>
      <c r="Q53"/>
      <c r="R53"/>
      <c r="S53"/>
      <c r="T53"/>
      <c r="U53"/>
      <c r="V53"/>
      <c r="W53"/>
    </row>
    <row r="54" spans="8:23" s="31" customFormat="1" ht="12.75" customHeight="1">
      <c r="K54" s="228"/>
      <c r="L54"/>
      <c r="M54"/>
      <c r="N54"/>
      <c r="O54"/>
      <c r="P54"/>
      <c r="Q54"/>
      <c r="R54"/>
      <c r="S54"/>
      <c r="T54"/>
      <c r="U54"/>
      <c r="V54"/>
      <c r="W54"/>
    </row>
    <row r="55" spans="8:23" s="31" customFormat="1" ht="12.75" customHeight="1">
      <c r="K55" s="228"/>
      <c r="L55"/>
      <c r="M55"/>
      <c r="N55"/>
      <c r="O55"/>
      <c r="P55"/>
      <c r="Q55"/>
      <c r="R55"/>
      <c r="S55"/>
      <c r="T55"/>
      <c r="U55"/>
      <c r="V55"/>
      <c r="W55"/>
    </row>
    <row r="56" spans="8:23" s="31" customFormat="1" ht="12.75" customHeight="1">
      <c r="K56" s="228"/>
      <c r="L56"/>
      <c r="M56"/>
      <c r="N56"/>
      <c r="O56"/>
      <c r="P56"/>
      <c r="Q56"/>
      <c r="R56"/>
      <c r="S56"/>
      <c r="T56"/>
      <c r="U56"/>
      <c r="V56"/>
      <c r="W56"/>
    </row>
    <row r="57" spans="8:23" s="31" customFormat="1" ht="12.75" customHeight="1">
      <c r="K57" s="228"/>
      <c r="L57"/>
      <c r="M57"/>
      <c r="N57"/>
      <c r="O57"/>
      <c r="P57"/>
      <c r="Q57"/>
      <c r="R57"/>
      <c r="S57"/>
      <c r="T57"/>
      <c r="U57"/>
      <c r="V57"/>
      <c r="W57"/>
    </row>
    <row r="58" spans="8:23" s="31" customFormat="1" ht="12.75" customHeight="1">
      <c r="K58" s="228"/>
      <c r="L58"/>
      <c r="M58"/>
      <c r="N58"/>
      <c r="O58"/>
      <c r="P58"/>
      <c r="Q58"/>
      <c r="R58"/>
      <c r="S58"/>
      <c r="T58"/>
      <c r="U58"/>
      <c r="V58"/>
      <c r="W58"/>
    </row>
    <row r="59" spans="8:23" s="31" customFormat="1" ht="15.6">
      <c r="K59" s="228"/>
      <c r="L59"/>
      <c r="M59"/>
      <c r="N59"/>
      <c r="O59"/>
      <c r="P59"/>
      <c r="Q59"/>
      <c r="R59"/>
      <c r="S59"/>
      <c r="T59"/>
      <c r="U59"/>
      <c r="V59"/>
      <c r="W59"/>
    </row>
    <row r="60" spans="8:23" s="31" customFormat="1" ht="15.6">
      <c r="K60" s="228"/>
      <c r="L60"/>
      <c r="M60"/>
      <c r="N60"/>
      <c r="O60"/>
      <c r="P60"/>
      <c r="Q60"/>
      <c r="R60"/>
      <c r="S60"/>
      <c r="T60"/>
      <c r="U60"/>
      <c r="V60"/>
      <c r="W60"/>
    </row>
    <row r="61" spans="8:23" s="31" customFormat="1" ht="15.6">
      <c r="K61" s="228"/>
      <c r="L61"/>
      <c r="M61"/>
      <c r="N61"/>
      <c r="O61"/>
      <c r="P61"/>
      <c r="Q61"/>
      <c r="R61"/>
      <c r="S61"/>
      <c r="T61"/>
      <c r="U61"/>
      <c r="V61"/>
      <c r="W61"/>
    </row>
    <row r="62" spans="8:23" s="31" customFormat="1" ht="15.6">
      <c r="K62" s="228"/>
      <c r="L62"/>
      <c r="M62"/>
      <c r="N62"/>
      <c r="O62"/>
      <c r="P62"/>
      <c r="Q62"/>
      <c r="R62"/>
      <c r="S62"/>
      <c r="T62"/>
      <c r="U62"/>
      <c r="V62"/>
      <c r="W62"/>
    </row>
    <row r="63" spans="8:23" s="31" customFormat="1" ht="15.6">
      <c r="K63" s="228"/>
      <c r="L63"/>
      <c r="M63"/>
      <c r="N63"/>
      <c r="O63"/>
      <c r="P63"/>
      <c r="Q63"/>
      <c r="R63"/>
      <c r="S63"/>
      <c r="T63"/>
      <c r="U63"/>
      <c r="V63"/>
      <c r="W63"/>
    </row>
    <row r="64" spans="8:23" s="31" customFormat="1" ht="15.6">
      <c r="K64" s="228"/>
      <c r="L64"/>
      <c r="M64"/>
      <c r="N64"/>
      <c r="O64"/>
      <c r="P64"/>
      <c r="Q64"/>
      <c r="R64"/>
      <c r="S64"/>
      <c r="T64"/>
      <c r="U64"/>
      <c r="V64"/>
      <c r="W64"/>
    </row>
    <row r="65" spans="11:23" s="31" customFormat="1" ht="15.6">
      <c r="K65" s="228"/>
      <c r="L65"/>
      <c r="M65"/>
      <c r="N65"/>
      <c r="O65"/>
      <c r="P65"/>
      <c r="Q65"/>
      <c r="R65"/>
      <c r="S65"/>
      <c r="T65"/>
      <c r="U65"/>
      <c r="V65"/>
      <c r="W65"/>
    </row>
    <row r="66" spans="11:23" s="31" customFormat="1" ht="15.6">
      <c r="K66" s="228"/>
      <c r="L66"/>
      <c r="M66"/>
      <c r="N66"/>
      <c r="O66"/>
      <c r="P66"/>
      <c r="Q66"/>
      <c r="R66"/>
      <c r="S66"/>
      <c r="T66"/>
      <c r="U66"/>
      <c r="V66"/>
      <c r="W66"/>
    </row>
    <row r="67" spans="11:23" s="31" customFormat="1" ht="15.6">
      <c r="K67" s="228"/>
      <c r="L67"/>
      <c r="M67"/>
      <c r="N67"/>
      <c r="O67"/>
      <c r="P67"/>
      <c r="Q67"/>
      <c r="R67"/>
      <c r="S67"/>
      <c r="T67"/>
      <c r="U67"/>
      <c r="V67"/>
      <c r="W67"/>
    </row>
    <row r="68" spans="11:23" s="31" customFormat="1" ht="15.6">
      <c r="K68" s="228"/>
      <c r="L68"/>
      <c r="M68"/>
      <c r="N68"/>
      <c r="O68"/>
      <c r="P68"/>
      <c r="Q68"/>
      <c r="R68"/>
      <c r="S68"/>
      <c r="T68"/>
      <c r="U68"/>
      <c r="V68"/>
      <c r="W68"/>
    </row>
    <row r="69" spans="11:23" s="31" customFormat="1" ht="15.6">
      <c r="K69" s="228"/>
      <c r="L69"/>
      <c r="M69"/>
      <c r="N69"/>
      <c r="O69"/>
      <c r="P69"/>
      <c r="Q69"/>
      <c r="R69"/>
      <c r="S69"/>
      <c r="T69"/>
      <c r="U69"/>
      <c r="V69"/>
      <c r="W69"/>
    </row>
    <row r="70" spans="11:23" s="31" customFormat="1" ht="15.6">
      <c r="K70" s="228"/>
      <c r="L70"/>
      <c r="M70"/>
      <c r="N70"/>
      <c r="O70"/>
      <c r="P70"/>
      <c r="Q70"/>
      <c r="R70"/>
      <c r="S70"/>
      <c r="T70"/>
      <c r="U70"/>
      <c r="V70"/>
      <c r="W70"/>
    </row>
    <row r="71" spans="11:23" s="31" customFormat="1" ht="15.6">
      <c r="K71" s="228"/>
      <c r="L71"/>
      <c r="M71"/>
      <c r="N71"/>
      <c r="O71"/>
      <c r="P71"/>
      <c r="Q71"/>
      <c r="R71"/>
      <c r="S71"/>
      <c r="T71"/>
      <c r="U71"/>
      <c r="V71"/>
      <c r="W71"/>
    </row>
    <row r="72" spans="11:23" s="31" customFormat="1" ht="15.6">
      <c r="K72" s="228"/>
      <c r="L72"/>
      <c r="M72"/>
      <c r="N72"/>
      <c r="O72"/>
      <c r="P72"/>
      <c r="Q72"/>
      <c r="R72"/>
      <c r="S72"/>
      <c r="T72"/>
      <c r="U72"/>
      <c r="V72"/>
      <c r="W72"/>
    </row>
    <row r="73" spans="11:23" s="31" customFormat="1" ht="15.6">
      <c r="K73" s="228"/>
      <c r="L73"/>
      <c r="M73"/>
      <c r="N73"/>
      <c r="O73"/>
      <c r="P73"/>
      <c r="Q73"/>
      <c r="R73"/>
      <c r="S73"/>
      <c r="T73"/>
      <c r="U73"/>
      <c r="V73"/>
      <c r="W73"/>
    </row>
    <row r="74" spans="11:23" s="31" customFormat="1" ht="15.6">
      <c r="K74" s="228"/>
      <c r="L74"/>
      <c r="M74"/>
      <c r="N74"/>
      <c r="O74"/>
      <c r="P74"/>
      <c r="Q74"/>
      <c r="R74"/>
      <c r="S74"/>
      <c r="T74"/>
      <c r="U74"/>
      <c r="V74"/>
      <c r="W74"/>
    </row>
    <row r="75" spans="11:23" s="31" customFormat="1" ht="15.6">
      <c r="K75" s="228"/>
      <c r="L75"/>
      <c r="M75"/>
      <c r="N75"/>
      <c r="O75"/>
      <c r="P75"/>
      <c r="Q75"/>
      <c r="R75"/>
      <c r="S75"/>
      <c r="T75"/>
      <c r="U75"/>
      <c r="V75"/>
      <c r="W75"/>
    </row>
    <row r="76" spans="11:23" s="31" customFormat="1" ht="15.6">
      <c r="K76" s="228"/>
      <c r="L76"/>
      <c r="M76"/>
      <c r="N76"/>
      <c r="O76"/>
      <c r="P76"/>
      <c r="Q76"/>
      <c r="R76"/>
      <c r="S76"/>
      <c r="T76"/>
      <c r="U76"/>
      <c r="V76"/>
      <c r="W76"/>
    </row>
    <row r="77" spans="11:23" s="31" customFormat="1" ht="15.6">
      <c r="K77" s="228"/>
      <c r="L77"/>
      <c r="M77"/>
      <c r="N77"/>
      <c r="O77"/>
      <c r="P77"/>
      <c r="Q77"/>
      <c r="R77"/>
      <c r="S77"/>
      <c r="T77"/>
      <c r="U77"/>
      <c r="V77"/>
      <c r="W77"/>
    </row>
    <row r="78" spans="11:23" s="31" customFormat="1" ht="15.6">
      <c r="K78" s="228"/>
      <c r="L78"/>
      <c r="M78"/>
      <c r="N78"/>
      <c r="O78"/>
      <c r="P78"/>
      <c r="Q78"/>
      <c r="R78"/>
      <c r="S78"/>
      <c r="T78"/>
      <c r="U78"/>
      <c r="V78"/>
      <c r="W78"/>
    </row>
    <row r="79" spans="11:23" s="31" customFormat="1" ht="15.6">
      <c r="K79" s="228"/>
      <c r="L79"/>
      <c r="M79"/>
      <c r="N79"/>
      <c r="O79"/>
      <c r="P79"/>
      <c r="Q79"/>
      <c r="R79"/>
      <c r="S79"/>
      <c r="T79"/>
      <c r="U79"/>
      <c r="V79"/>
      <c r="W79"/>
    </row>
    <row r="80" spans="11:23" s="31" customFormat="1" ht="15.6">
      <c r="K80" s="228"/>
      <c r="L80"/>
      <c r="M80"/>
      <c r="N80"/>
      <c r="O80"/>
      <c r="P80"/>
      <c r="Q80"/>
      <c r="R80"/>
      <c r="S80"/>
      <c r="T80"/>
      <c r="U80"/>
      <c r="V80"/>
      <c r="W80"/>
    </row>
    <row r="81" spans="11:23" s="31" customFormat="1" ht="15.6">
      <c r="K81" s="228"/>
      <c r="L81"/>
      <c r="M81"/>
      <c r="N81"/>
      <c r="O81"/>
      <c r="P81"/>
      <c r="Q81"/>
      <c r="R81"/>
      <c r="S81"/>
      <c r="T81"/>
      <c r="U81"/>
      <c r="V81"/>
      <c r="W81"/>
    </row>
    <row r="82" spans="11:23" s="31" customFormat="1" ht="15.6">
      <c r="K82" s="228"/>
      <c r="L82"/>
      <c r="M82"/>
      <c r="N82"/>
      <c r="O82"/>
      <c r="P82"/>
      <c r="Q82"/>
      <c r="R82"/>
      <c r="S82"/>
      <c r="T82"/>
      <c r="U82"/>
      <c r="V82"/>
      <c r="W82"/>
    </row>
    <row r="83" spans="11:23" s="31" customFormat="1" ht="15.6">
      <c r="K83" s="228"/>
      <c r="L83"/>
      <c r="M83"/>
      <c r="N83"/>
      <c r="O83"/>
      <c r="P83"/>
      <c r="Q83"/>
      <c r="R83"/>
      <c r="S83"/>
      <c r="T83"/>
      <c r="U83"/>
      <c r="V83"/>
      <c r="W83"/>
    </row>
  </sheetData>
  <mergeCells count="1">
    <mergeCell ref="B3:D3"/>
  </mergeCells>
  <phoneticPr fontId="25" type="noConversion"/>
  <printOptions horizontalCentered="1"/>
  <pageMargins left="0.2" right="0.2" top="0.75" bottom="0.4" header="0.36" footer="0.17"/>
  <pageSetup orientation="landscape" r:id="rId1"/>
  <headerFooter alignWithMargins="0">
    <oddFooter>&amp;C&amp;A&amp;R&amp;7&amp;F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EA1D77CE308A4EA6E35C2A7381B207" ma:contentTypeVersion="44" ma:contentTypeDescription="" ma:contentTypeScope="" ma:versionID="fc5f09e9178916f11ad34e4c1e3c9b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5E9798F-C11D-4811-BF7D-B2587C302C5E}"/>
</file>

<file path=customXml/itemProps2.xml><?xml version="1.0" encoding="utf-8"?>
<ds:datastoreItem xmlns:ds="http://schemas.openxmlformats.org/officeDocument/2006/customXml" ds:itemID="{6D82D52E-EB8C-404C-B987-AAB15D9D774F}"/>
</file>

<file path=customXml/itemProps3.xml><?xml version="1.0" encoding="utf-8"?>
<ds:datastoreItem xmlns:ds="http://schemas.openxmlformats.org/officeDocument/2006/customXml" ds:itemID="{18D6002F-B987-4C3A-9F21-F65E0D717B72}"/>
</file>

<file path=customXml/itemProps4.xml><?xml version="1.0" encoding="utf-8"?>
<ds:datastoreItem xmlns:ds="http://schemas.openxmlformats.org/officeDocument/2006/customXml" ds:itemID="{9CAE0F14-7799-47EA-A203-C06E1B1209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New Format</vt:lpstr>
      <vt:lpstr>Pg 2 CapStructure</vt:lpstr>
      <vt:lpstr>Pg 3 STD Cost Rate</vt:lpstr>
      <vt:lpstr>Pg 4 STD OS &amp; Comm Fees</vt:lpstr>
      <vt:lpstr>Pg 5 STD Amort</vt:lpstr>
      <vt:lpstr>Pg 6 LTD Cost </vt:lpstr>
      <vt:lpstr>Pg 7 Reacquired Debt</vt:lpstr>
      <vt:lpstr>'New Format'!Print_Area</vt:lpstr>
      <vt:lpstr>'Pg 2 CapStructure'!Print_Area</vt:lpstr>
      <vt:lpstr>'Pg 3 STD Cost Rate'!Print_Area</vt:lpstr>
      <vt:lpstr>'Pg 4 STD OS &amp; Comm Fees'!Print_Area</vt:lpstr>
      <vt:lpstr>'Pg 5 STD Amort'!Print_Area</vt:lpstr>
      <vt:lpstr>'Pg 6 LTD Cost '!Print_Area</vt:lpstr>
      <vt:lpstr>'Pg 7 Reacquired Debt'!Print_Area</vt:lpstr>
      <vt:lpstr>'Pg 7 Reacquired Debt'!Print_Titles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Marvelous Marina</cp:lastModifiedBy>
  <cp:lastPrinted>2021-02-22T23:06:57Z</cp:lastPrinted>
  <dcterms:created xsi:type="dcterms:W3CDTF">2001-12-28T16:42:36Z</dcterms:created>
  <dcterms:modified xsi:type="dcterms:W3CDTF">2021-03-23T18:09:29Z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0x0101006E56B4D1795A2E4DB2F0B01679ED314A004FEA1D77CE308A4EA6E35C2A7381B207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