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mgg5259\Desktop\"/>
    </mc:Choice>
  </mc:AlternateContent>
  <xr:revisionPtr revIDLastSave="0" documentId="8_{635E953E-16EE-454D-8014-BA69D227CDF1}" xr6:coauthVersionLast="45" xr6:coauthVersionMax="45" xr10:uidLastSave="{00000000-0000-0000-0000-000000000000}"/>
  <bookViews>
    <workbookView xWindow="28680" yWindow="-120" windowWidth="29040" windowHeight="15840" tabRatio="719" activeTab="1" xr2:uid="{00000000-000D-0000-FFFF-FFFF00000000}"/>
  </bookViews>
  <sheets>
    <sheet name="Background" sheetId="21" r:id="rId1"/>
    <sheet name="Conservation Report" sheetId="18" r:id="rId2"/>
    <sheet name="Data" sheetId="19" state="hidden" r:id="rId3"/>
  </sheets>
  <definedNames>
    <definedName name="CON_2020_Agriculture_Expend">'Conservation Report'!$D$19</definedName>
    <definedName name="CON_2020_Agriculture_MWH">'Conservation Report'!$C$19</definedName>
    <definedName name="CON_2020_Commercial_Expend">'Conservation Report'!$D$17</definedName>
    <definedName name="CON_2020_Commercial_MWH">'Conservation Report'!$C$17</definedName>
    <definedName name="CON_2020_Distribution_Expend">'Conservation Report'!$D$20</definedName>
    <definedName name="CON_2020_Distribution_MWH">'Conservation Report'!$C$20</definedName>
    <definedName name="CON_2020_Expenditures">'Conservation Report'!$D$28</definedName>
    <definedName name="CON_2020_Industrial_Expend">'Conservation Report'!$D$18</definedName>
    <definedName name="CON_2020_Industrial_MWH">'Conservation Report'!$C$18</definedName>
    <definedName name="CON_2020_MWH">'Conservation Report'!$C$28</definedName>
    <definedName name="CON_2020_NEEA_Expend">'Conservation Report'!$D$22</definedName>
    <definedName name="CON_2020_NEEA_MWH">'Conservation Report'!$C$22</definedName>
    <definedName name="CON_2020_OtherSector1_Expend">'Conservation Report'!$D$23</definedName>
    <definedName name="CON_2020_OtherSector1_MWH">'Conservation Report'!$C$23</definedName>
    <definedName name="CON_2020_OtherSector2_Expend">'Conservation Report'!$D$24</definedName>
    <definedName name="CON_2020_OtherSector2_MWH">'Conservation Report'!$C$24</definedName>
    <definedName name="CON_2020_Production_Expend">'Conservation Report'!$D$21</definedName>
    <definedName name="CON_2020_Production_MWH">'Conservation Report'!$C$21</definedName>
    <definedName name="CON_2020_Program1_Expend">'Conservation Report'!$D$26</definedName>
    <definedName name="CON_2020_Program2_Expend">'Conservation Report'!$D$27</definedName>
    <definedName name="CON_2020_Residential_Expend">'Conservation Report'!$D$16</definedName>
    <definedName name="CON_2020_Residential_MWH">'Conservation Report'!$C$16</definedName>
    <definedName name="CON_2021_Agriculture_Expend">'Conservation Report'!$G$19</definedName>
    <definedName name="CON_2021_Agriculture_MWH">'Conservation Report'!$F$19</definedName>
    <definedName name="CON_2021_Commercial_Expend">'Conservation Report'!$G$17</definedName>
    <definedName name="CON_2021_Commercial_MWH">'Conservation Report'!$F$17</definedName>
    <definedName name="CON_2021_Distribution_Expend">'Conservation Report'!$G$20</definedName>
    <definedName name="CON_2021_Distribution_MWH">'Conservation Report'!$F$20</definedName>
    <definedName name="CON_2021_Expenditures">'Conservation Report'!$G$28</definedName>
    <definedName name="CON_2021_Industrial_Expend">'Conservation Report'!$G$18</definedName>
    <definedName name="CON_2021_Industrial_MWH">'Conservation Report'!$F$18</definedName>
    <definedName name="CON_2021_MWH">'Conservation Report'!$F$28</definedName>
    <definedName name="CON_2021_NEEA_Expend">'Conservation Report'!$G$22</definedName>
    <definedName name="CON_2021_NEEA_MWH">'Conservation Report'!$F$22</definedName>
    <definedName name="CON_2021_OtherSector1_Expend">'Conservation Report'!$G$23</definedName>
    <definedName name="CON_2021_OtherSector1_MWH">'Conservation Report'!$F$23</definedName>
    <definedName name="CON_2021_OtherSector2_Expend">'Conservation Report'!$G$24</definedName>
    <definedName name="CON_2021_OtherSector2_MWH">'Conservation Report'!$F$24</definedName>
    <definedName name="CON_2021_Production_Expend">'Conservation Report'!$G$21</definedName>
    <definedName name="CON_2021_Production_MWH">'Conservation Report'!$F$21</definedName>
    <definedName name="CON_2021_Program1_Expend">'Conservation Report'!$G$26</definedName>
    <definedName name="CON_2021_Program2_Expend">'Conservation Report'!$G$27</definedName>
    <definedName name="CON_2021_Residential_Expend">'Conservation Report'!$G$16</definedName>
    <definedName name="CON_2021_Residential_MWH">'Conservation Report'!$F$16</definedName>
    <definedName name="CON_Contact_Name">'Conservation Report'!$B$7</definedName>
    <definedName name="CON_Email">'Conservation Report'!$B$9</definedName>
    <definedName name="CON_Phone">'Conservation Report'!$B$8</definedName>
    <definedName name="CON_Potential_2020_2029">'Conservation Report'!$H$8</definedName>
    <definedName name="CON_Report_Date">'Conservation Report'!$B$6</definedName>
    <definedName name="CON_Target_2020_2021">'Conservation Report'!$H$9</definedName>
    <definedName name="CON_Utility_Name">'Conservation Report'!$B$5</definedName>
    <definedName name="_xlnm.Print_Area" localSheetId="1">'Conservation Report'!$A$3:$I$34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8" l="1"/>
  <c r="C16" i="18"/>
  <c r="AZ2" i="19" l="1"/>
  <c r="AY2" i="19" l="1"/>
  <c r="AW2" i="19" l="1"/>
  <c r="A2" i="19" l="1"/>
  <c r="AS2" i="19" l="1"/>
  <c r="W2" i="19"/>
  <c r="E2" i="19"/>
  <c r="AX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8" i="18" l="1"/>
  <c r="AD2" i="19" s="1"/>
  <c r="F28" i="18"/>
  <c r="AG2" i="19" s="1"/>
  <c r="B30" i="18" l="1"/>
  <c r="D28" i="18" l="1"/>
  <c r="C28" i="18"/>
  <c r="H10" i="18" s="1"/>
  <c r="H2" i="19" l="1"/>
  <c r="K2" i="19"/>
</calcChain>
</file>

<file path=xl/sharedStrings.xml><?xml version="1.0" encoding="utf-8"?>
<sst xmlns="http://schemas.openxmlformats.org/spreadsheetml/2006/main" count="97" uniqueCount="91">
  <si>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</si>
  <si>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</si>
  <si>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</si>
  <si>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</si>
  <si>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</si>
  <si>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</si>
  <si>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</si>
  <si>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</si>
  <si>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</si>
  <si>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</si>
  <si>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</si>
  <si>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</si>
  <si>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</si>
  <si>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 xml:space="preserve"> Distribution Efficiency</t>
  </si>
  <si>
    <t xml:space="preserve"> Production Efficiency</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</si>
  <si>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</si>
  <si>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</si>
  <si>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</si>
  <si>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</si>
  <si>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</si>
  <si>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</si>
  <si>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</si>
  <si>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</si>
  <si>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</si>
  <si>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</si>
  <si>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</si>
  <si>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</si>
  <si>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</si>
  <si>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</si>
  <si>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Biennial</t>
  </si>
  <si>
    <r>
      <t xml:space="preserve">Energy Independence Act (I-937) </t>
    </r>
    <r>
      <rPr>
        <sz val="11"/>
        <color rgb="FF000000"/>
        <rFont val="Arial Black"/>
        <family val="2"/>
      </rPr>
      <t>Conservation Report Workbook</t>
    </r>
  </si>
  <si>
    <r>
      <t>Questions:</t>
    </r>
    <r>
      <rPr>
        <sz val="11"/>
        <color rgb="FF000000"/>
        <rFont val="Arial"/>
        <family val="2"/>
      </rPr>
      <t xml:space="preserve"> Glenn Blackmon, State Energy Office, (360) 339-5619, </t>
    </r>
    <r>
      <rPr>
        <b/>
        <sz val="11"/>
        <color theme="3"/>
        <rFont val="Arial"/>
        <family val="2"/>
      </rPr>
      <t>glenn.blackmon@commerce.wa.gov</t>
    </r>
  </si>
  <si>
    <r>
      <rPr>
        <sz val="12"/>
        <color theme="1"/>
        <rFont val="Arial"/>
        <family val="2"/>
      </rPr>
      <t xml:space="preserve">Energy Independence Act (I-937) </t>
    </r>
    <r>
      <rPr>
        <sz val="12"/>
        <color theme="1"/>
        <rFont val="Arial Black"/>
        <family val="2"/>
      </rPr>
      <t>Conservation Report 2020-2021</t>
    </r>
  </si>
  <si>
    <t>2020 Achievement</t>
  </si>
  <si>
    <t>2021 Achievement</t>
  </si>
  <si>
    <r>
      <t>Deadline:</t>
    </r>
    <r>
      <rPr>
        <sz val="11"/>
        <color rgb="FF000000"/>
        <rFont val="Arial"/>
        <family val="2"/>
      </rPr>
      <t xml:space="preserve"> June 1, 2021</t>
    </r>
  </si>
  <si>
    <t>CON_2020_Agriculture_Expend</t>
  </si>
  <si>
    <t>CON_2020_Agriculture_MWH</t>
  </si>
  <si>
    <t>CON_2020_Commercial_Expend</t>
  </si>
  <si>
    <t>CON_2020_Commercial_MWH</t>
  </si>
  <si>
    <t>CON_2020_Distribution_Expend</t>
  </si>
  <si>
    <t>CON_2020_Distribution_MWH</t>
  </si>
  <si>
    <t>CON_2020_Expenditures</t>
  </si>
  <si>
    <t>CON_2020_Industrial_Expend</t>
  </si>
  <si>
    <t>CON_2020_Industrial_MWH</t>
  </si>
  <si>
    <t>CON_2020_MWH</t>
  </si>
  <si>
    <t>CON_2020_NEEA_Expend</t>
  </si>
  <si>
    <t>CON_2020_NEEA_MWH</t>
  </si>
  <si>
    <t>CON_2020_OtherSector1_Expend</t>
  </si>
  <si>
    <t>CON_2020_OtherSector1_MWH</t>
  </si>
  <si>
    <t>CON_2020_OtherSector2_Expend</t>
  </si>
  <si>
    <t>CON_2020_OtherSector2_MWH</t>
  </si>
  <si>
    <t>CON_2020_Production_Expend</t>
  </si>
  <si>
    <t>CON_2020_Production_MWH</t>
  </si>
  <si>
    <t>CON_2020_Program1_Expend</t>
  </si>
  <si>
    <t>CON_2020_Program2_Expend</t>
  </si>
  <si>
    <t>CON_2020_Residential_Expend</t>
  </si>
  <si>
    <t>CON_2020_Residential_MWH</t>
  </si>
  <si>
    <t>CON_2021_Agriculture_Expend</t>
  </si>
  <si>
    <t>CON_2021_Agriculture_MWH</t>
  </si>
  <si>
    <t>CON_2021_Commercial_Expend</t>
  </si>
  <si>
    <t>CON_2021_Commercial_MWH</t>
  </si>
  <si>
    <t>CON_2021_Distribution_Expend</t>
  </si>
  <si>
    <t>CON_2021_Distribution_MWH</t>
  </si>
  <si>
    <t>CON_2021_Expenditures</t>
  </si>
  <si>
    <t>CON_2021_Industrial_Expend</t>
  </si>
  <si>
    <t>CON_2021_Industrial_MWH</t>
  </si>
  <si>
    <t>CON_2021_MWH</t>
  </si>
  <si>
    <t>CON_2021_NEEA_Expend</t>
  </si>
  <si>
    <t>CON_2021_NEEA_MWH</t>
  </si>
  <si>
    <t>CON_2021_OtherSector1_Expend</t>
  </si>
  <si>
    <t>CON_2021_OtherSector1_MWH</t>
  </si>
  <si>
    <t>CON_2021_OtherSector2_Expend</t>
  </si>
  <si>
    <t>CON_2021_OtherSector2_MWH</t>
  </si>
  <si>
    <t>CON_2021_Production_Expend</t>
  </si>
  <si>
    <t>CON_2021_Production_MWH</t>
  </si>
  <si>
    <t>CON_2021_Program1_Expend</t>
  </si>
  <si>
    <t>CON_2021_Program2_Expend</t>
  </si>
  <si>
    <t>CON_2021_Residential_Expend</t>
  </si>
  <si>
    <t>CON_2021_Residential_MWH</t>
  </si>
  <si>
    <t>CON_Potential_2020_2029</t>
  </si>
  <si>
    <t>CON_Target_2020_2021</t>
  </si>
  <si>
    <t>2020-2021</t>
  </si>
  <si>
    <t>Potential 2020-2029</t>
  </si>
  <si>
    <t>Target 2020-2021</t>
  </si>
  <si>
    <t>Achievement 2020</t>
  </si>
  <si>
    <t>Published: March 16, 2021</t>
  </si>
  <si>
    <t>Avista Corp</t>
  </si>
  <si>
    <t>Ryan Finesilver/Energy Efficiency</t>
  </si>
  <si>
    <t>509 495-4873</t>
  </si>
  <si>
    <t>ryan.finesilver@avistacorp.com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</si>
</sst>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_);_(* \(#,##0\);_(* &quot;-&quot;??_);_(@_)"/>
    <numFmt numFmtId="166" formatCode="[$-409]mmmm\ d\,\ yyyy;@"/>
    <numFmt numFmtId="167" formatCode="&quot;$&quot;#,##0"/>
  </numFmts>
  <fonts count="16"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s>
  <fills count="12">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lightTrellis">
        <bgColor theme="6" tint="0.79998168889431442"/>
      </patternFill>
    </fill>
    <fill>
      <patternFill patternType="lightTrellis">
        <bgColor theme="0"/>
      </patternFill>
    </fill>
    <fill>
      <patternFill patternType="lightTrellis">
        <fgColor theme="0" tint="-0.499984740745262"/>
        <bgColor rgb="FFE4E4E4"/>
      </patternFill>
    </fill>
    <fill>
      <patternFill patternType="lightTrellis">
        <bgColor theme="4" tint="0.79998168889431442"/>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77">
    <xf numFmtId="0" fontId="0" fillId="0" borderId="0" xfId="0"/>
    <xf numFmtId="0" fontId="5" fillId="2" borderId="0" xfId="0" applyFont="1" applyFill="1"/>
    <xf numFmtId="0" fontId="1" fillId="2" borderId="7" xfId="0" applyFont="1" applyFill="1" applyBorder="1" applyAlignment="1" applyProtection="1">
      <alignment horizontal="right"/>
    </xf>
    <xf numFmtId="0" fontId="0" fillId="0" borderId="0" xfId="0" applyNumberFormat="1"/>
    <xf numFmtId="0" fontId="12" fillId="4" borderId="0" xfId="0" applyFont="1" applyFill="1" applyBorder="1" applyAlignment="1">
      <alignment vertical="center" wrapText="1"/>
    </xf>
    <xf numFmtId="0" fontId="11" fillId="4" borderId="0" xfId="0" applyFont="1" applyFill="1" applyBorder="1" applyAlignment="1">
      <alignment vertical="center"/>
    </xf>
    <xf numFmtId="0" fontId="12" fillId="6"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8"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5" fontId="5" fillId="8" borderId="4" xfId="1" applyNumberFormat="1" applyFont="1" applyFill="1" applyBorder="1" applyAlignment="1" applyProtection="1">
      <alignment horizontal="center"/>
      <protection locked="0"/>
    </xf>
    <xf numFmtId="167" fontId="5" fillId="8" borderId="12" xfId="1" applyNumberFormat="1" applyFont="1" applyFill="1" applyBorder="1" applyAlignment="1" applyProtection="1">
      <alignment horizontal="right"/>
      <protection locked="0"/>
    </xf>
    <xf numFmtId="165" fontId="5" fillId="8" borderId="4" xfId="0" applyNumberFormat="1" applyFont="1" applyFill="1" applyBorder="1" applyAlignment="1" applyProtection="1">
      <alignment horizontal="center"/>
      <protection locked="0"/>
    </xf>
    <xf numFmtId="0" fontId="5" fillId="9" borderId="0" xfId="0" applyFont="1" applyFill="1" applyProtection="1"/>
    <xf numFmtId="167" fontId="5" fillId="9" borderId="0" xfId="0" applyNumberFormat="1" applyFont="1" applyFill="1" applyAlignment="1" applyProtection="1">
      <alignment horizontal="right"/>
    </xf>
    <xf numFmtId="164" fontId="5" fillId="10" borderId="13" xfId="0" applyNumberFormat="1" applyFont="1" applyFill="1" applyBorder="1" applyAlignment="1" applyProtection="1">
      <alignment horizontal="center"/>
    </xf>
    <xf numFmtId="164" fontId="5" fillId="10" borderId="14" xfId="0" applyNumberFormat="1" applyFont="1" applyFill="1" applyBorder="1" applyAlignment="1" applyProtection="1">
      <alignment horizontal="center"/>
    </xf>
    <xf numFmtId="165" fontId="6" fillId="11" borderId="6" xfId="0" applyNumberFormat="1" applyFont="1" applyFill="1" applyBorder="1" applyAlignment="1" applyProtection="1">
      <alignment horizontal="center"/>
    </xf>
    <xf numFmtId="167" fontId="6" fillId="11" borderId="1" xfId="1" applyNumberFormat="1" applyFont="1" applyFill="1" applyBorder="1" applyAlignment="1" applyProtection="1">
      <alignment horizontal="right"/>
    </xf>
    <xf numFmtId="166" fontId="15" fillId="0" borderId="0" xfId="0" applyNumberFormat="1" applyFont="1" applyFill="1" applyBorder="1" applyAlignment="1">
      <alignment horizontal="left" vertical="center"/>
    </xf>
    <xf numFmtId="165" fontId="5" fillId="6" borderId="20"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1" xfId="1" applyNumberFormat="1" applyFont="1" applyFill="1" applyBorder="1"/>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xf numFmtId="0" fontId="12" fillId="6" borderId="0"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6" borderId="22" xfId="0" applyFont="1" applyFill="1" applyBorder="1" applyAlignment="1" applyProtection="1">
      <alignment horizontal="left"/>
      <protection locked="0"/>
    </xf>
    <xf numFmtId="0" fontId="5" fillId="6" borderId="22" xfId="0" applyFont="1" applyFill="1" applyBorder="1" applyAlignment="1" applyProtection="1">
      <alignment horizontal="left"/>
      <protection locked="0"/>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cellXfs>
  <cellStyles count="4">
    <cellStyle name="Comma" xfId="1" builtinId="3"/>
    <cellStyle name="Hyperlink" xfId="2" builtinId="8"/>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32</xdr:row>
      <xdr:rowOff>352425</xdr:rowOff>
    </xdr:from>
    <xdr:to>
      <xdr:col>8</xdr:col>
      <xdr:colOff>695325</xdr:colOff>
      <xdr:row>33</xdr:row>
      <xdr:rowOff>3409950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 y="7639050"/>
          <a:ext cx="8191500" cy="34194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Avista uses a pro-rata 10-yera</a:t>
          </a:r>
          <a:r>
            <a:rPr lang="en-US" sz="1100" baseline="0"/>
            <a:t> approach to setting its CPA value, the amount is further adjusted for distirbution efficiency, decoupling commitments and NEEA.</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N9"/>
  <sheetViews>
    <sheetView workbookViewId="0">
      <selection activeCell="B6" sqref="B6"/>
    </sheetView>
  </sheetViews>
  <sheetFormatPr defaultRowHeight="15" x14ac:dyDescent="0.25"/>
  <cols>
    <col min="1" max="1" width="135.140625" customWidth="1"/>
    <col min="14" max="14" width="11.7109375" customWidth="1"/>
  </cols>
  <sheetData>
    <row r="1" spans="1:14" ht="18.600000000000001" x14ac:dyDescent="0.25">
      <c r="A1" s="5" t="s">
        <v>30</v>
      </c>
    </row>
    <row r="2" spans="1:14" ht="14.85" x14ac:dyDescent="0.25">
      <c r="A2" s="53" t="s">
        <v>86</v>
      </c>
    </row>
    <row r="3" spans="1:14" ht="14.85" x14ac:dyDescent="0.25">
      <c r="A3" s="5"/>
      <c r="N3" s="3"/>
    </row>
    <row r="4" spans="1:14" ht="14.85" x14ac:dyDescent="0.25">
      <c r="A4" s="4" t="s">
        <v>35</v>
      </c>
    </row>
    <row r="5" spans="1:14" ht="14.85" x14ac:dyDescent="0.25">
      <c r="A5" s="4" t="s">
        <v>24</v>
      </c>
    </row>
    <row r="6" spans="1:14" ht="14.85" x14ac:dyDescent="0.25">
      <c r="A6" s="4" t="s">
        <v>31</v>
      </c>
    </row>
    <row r="8" spans="1:14" ht="14.85" x14ac:dyDescent="0.25">
      <c r="A8" s="6" t="s">
        <v>26</v>
      </c>
    </row>
    <row r="9" spans="1:14" ht="14.85" x14ac:dyDescent="0.25">
      <c r="A9" s="7" t="s">
        <v>27</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pageSetUpPr fitToPage="1"/>
  </sheetPr>
  <dimension ref="A1:K53"/>
  <sheetViews>
    <sheetView tabSelected="1" zoomScaleNormal="100" workbookViewId="0">
      <selection activeCell="L12" sqref="L12"/>
    </sheetView>
  </sheetViews>
  <sheetFormatPr defaultColWidth="9.140625" defaultRowHeight="12.75" x14ac:dyDescent="0.2"/>
  <cols>
    <col min="1" max="2" width="16.7109375" style="14" customWidth="1"/>
    <col min="3" max="3" width="17.140625" style="14" customWidth="1"/>
    <col min="4" max="4" width="16" style="14" customWidth="1"/>
    <col min="5" max="5" width="4.42578125" style="14" customWidth="1"/>
    <col min="6" max="6" width="14.42578125" style="14" customWidth="1"/>
    <col min="7" max="7" width="15.42578125" style="14" customWidth="1"/>
    <col min="8" max="8" width="16.140625" style="14" customWidth="1"/>
    <col min="9" max="9" width="8.5703125" style="14" customWidth="1"/>
    <col min="10" max="10" width="9.140625" style="14"/>
    <col min="11" max="11" width="11.7109375" style="14" customWidth="1"/>
    <col min="12" max="16384" width="9.140625" style="14"/>
  </cols>
  <sheetData>
    <row r="1" spans="1:11" ht="15" x14ac:dyDescent="0.2">
      <c r="A1" s="60" t="s">
        <v>26</v>
      </c>
      <c r="B1" s="60"/>
      <c r="C1" s="60"/>
      <c r="D1" s="60"/>
      <c r="E1" s="60"/>
      <c r="F1" s="60"/>
      <c r="G1" s="60"/>
      <c r="H1" s="60"/>
      <c r="I1" s="60"/>
    </row>
    <row r="2" spans="1:11" ht="15" x14ac:dyDescent="0.2">
      <c r="A2" s="61" t="s">
        <v>27</v>
      </c>
      <c r="B2" s="61"/>
      <c r="C2" s="61"/>
      <c r="D2" s="61"/>
      <c r="E2" s="61"/>
      <c r="F2" s="61"/>
      <c r="G2" s="61"/>
      <c r="H2" s="61"/>
      <c r="I2" s="61"/>
    </row>
    <row r="3" spans="1:11" s="16" customFormat="1" ht="19.5" x14ac:dyDescent="0.4">
      <c r="A3" s="15" t="s">
        <v>32</v>
      </c>
    </row>
    <row r="4" spans="1:11" ht="15" customHeight="1" thickBot="1" x14ac:dyDescent="0.25">
      <c r="A4" s="17"/>
    </row>
    <row r="5" spans="1:11" ht="14.25" customHeight="1" thickBot="1" x14ac:dyDescent="0.25">
      <c r="A5" s="20" t="s">
        <v>3</v>
      </c>
      <c r="B5" s="68" t="s">
        <v>87</v>
      </c>
      <c r="C5" s="69"/>
      <c r="D5" s="69"/>
      <c r="F5" s="70" t="s">
        <v>28</v>
      </c>
      <c r="G5" s="70"/>
      <c r="H5" s="70"/>
      <c r="I5" s="70"/>
      <c r="K5" s="19"/>
    </row>
    <row r="6" spans="1:11" ht="15" customHeight="1" x14ac:dyDescent="0.2">
      <c r="A6" s="20" t="s">
        <v>18</v>
      </c>
      <c r="B6" s="71">
        <v>44348</v>
      </c>
      <c r="C6" s="72"/>
      <c r="D6" s="72"/>
      <c r="E6" s="21"/>
      <c r="G6" s="1"/>
      <c r="H6" s="41" t="s">
        <v>82</v>
      </c>
      <c r="I6" s="1"/>
    </row>
    <row r="7" spans="1:11" ht="15" customHeight="1" x14ac:dyDescent="0.2">
      <c r="A7" s="22" t="s">
        <v>17</v>
      </c>
      <c r="B7" s="73" t="s">
        <v>88</v>
      </c>
      <c r="C7" s="74"/>
      <c r="D7" s="74"/>
      <c r="E7" s="16"/>
      <c r="G7" s="1"/>
      <c r="H7" s="42" t="s">
        <v>29</v>
      </c>
      <c r="I7" s="1"/>
    </row>
    <row r="8" spans="1:11" ht="15" customHeight="1" x14ac:dyDescent="0.2">
      <c r="A8" s="22" t="s">
        <v>0</v>
      </c>
      <c r="B8" s="74" t="s">
        <v>89</v>
      </c>
      <c r="C8" s="74"/>
      <c r="D8" s="74"/>
      <c r="E8" s="16"/>
      <c r="G8" s="22" t="s">
        <v>83</v>
      </c>
      <c r="H8" s="54">
        <v>354887</v>
      </c>
      <c r="I8" s="1"/>
    </row>
    <row r="9" spans="1:11" ht="15" customHeight="1" x14ac:dyDescent="0.2">
      <c r="A9" s="22" t="s">
        <v>1</v>
      </c>
      <c r="B9" s="75" t="s">
        <v>90</v>
      </c>
      <c r="C9" s="76"/>
      <c r="D9" s="76"/>
      <c r="E9" s="16"/>
      <c r="G9" s="43" t="s">
        <v>84</v>
      </c>
      <c r="H9" s="55">
        <v>59948</v>
      </c>
      <c r="I9" s="1"/>
    </row>
    <row r="10" spans="1:11" ht="15" customHeight="1" thickBot="1" x14ac:dyDescent="0.25">
      <c r="A10" s="22"/>
      <c r="B10" s="22"/>
      <c r="C10" s="22"/>
      <c r="D10" s="22"/>
      <c r="E10" s="16"/>
      <c r="G10" s="43" t="s">
        <v>85</v>
      </c>
      <c r="H10" s="56">
        <f>CON_2020_MWH+CON_2021_MWH</f>
        <v>32593</v>
      </c>
      <c r="I10" s="1"/>
    </row>
    <row r="11" spans="1:11" s="16" customFormat="1" x14ac:dyDescent="0.2">
      <c r="E11" s="23"/>
      <c r="F11" s="14"/>
      <c r="G11" s="14"/>
      <c r="H11" s="14"/>
      <c r="I11" s="14"/>
    </row>
    <row r="12" spans="1:11" s="16" customFormat="1" ht="13.5" thickBot="1" x14ac:dyDescent="0.25">
      <c r="E12" s="23"/>
      <c r="F12" s="14"/>
      <c r="G12" s="14"/>
      <c r="H12" s="14"/>
      <c r="I12" s="14"/>
    </row>
    <row r="13" spans="1:11" ht="13.5" thickTop="1" x14ac:dyDescent="0.2">
      <c r="A13" s="63" t="s">
        <v>2</v>
      </c>
      <c r="B13" s="63"/>
      <c r="C13" s="63"/>
      <c r="D13" s="63"/>
      <c r="E13" s="63"/>
      <c r="F13" s="63"/>
      <c r="G13" s="63"/>
    </row>
    <row r="14" spans="1:11" ht="15" customHeight="1" x14ac:dyDescent="0.2">
      <c r="A14" s="24"/>
      <c r="C14" s="66" t="s">
        <v>33</v>
      </c>
      <c r="D14" s="66"/>
      <c r="F14" s="67" t="s">
        <v>34</v>
      </c>
      <c r="G14" s="67"/>
    </row>
    <row r="15" spans="1:11" ht="30.75" customHeight="1" x14ac:dyDescent="0.2">
      <c r="B15" s="25" t="s">
        <v>15</v>
      </c>
      <c r="C15" s="26" t="s">
        <v>6</v>
      </c>
      <c r="D15" s="26" t="s">
        <v>7</v>
      </c>
      <c r="F15" s="40" t="s">
        <v>6</v>
      </c>
      <c r="G15" s="40" t="s">
        <v>7</v>
      </c>
    </row>
    <row r="16" spans="1:11" ht="15" customHeight="1" x14ac:dyDescent="0.2">
      <c r="B16" s="2" t="s">
        <v>8</v>
      </c>
      <c r="C16" s="9">
        <f>3261+341</f>
        <v>3602</v>
      </c>
      <c r="D16" s="10">
        <f>2164571+2026805+110023</f>
        <v>4301399</v>
      </c>
      <c r="F16" s="44"/>
      <c r="G16" s="45"/>
    </row>
    <row r="17" spans="1:7" ht="15" customHeight="1" x14ac:dyDescent="0.2">
      <c r="B17" s="2" t="s">
        <v>9</v>
      </c>
      <c r="C17" s="9">
        <v>20584</v>
      </c>
      <c r="D17" s="10">
        <v>5040889</v>
      </c>
      <c r="F17" s="44"/>
      <c r="G17" s="45"/>
    </row>
    <row r="18" spans="1:7" ht="15" customHeight="1" x14ac:dyDescent="0.2">
      <c r="B18" s="2" t="s">
        <v>10</v>
      </c>
      <c r="C18" s="9">
        <v>0</v>
      </c>
      <c r="D18" s="10"/>
      <c r="F18" s="44"/>
      <c r="G18" s="45"/>
    </row>
    <row r="19" spans="1:7" ht="15" customHeight="1" x14ac:dyDescent="0.2">
      <c r="B19" s="2" t="s">
        <v>11</v>
      </c>
      <c r="C19" s="9">
        <v>0</v>
      </c>
      <c r="D19" s="10"/>
      <c r="F19" s="44"/>
      <c r="G19" s="45"/>
    </row>
    <row r="20" spans="1:7" ht="15" customHeight="1" x14ac:dyDescent="0.2">
      <c r="B20" s="2" t="s">
        <v>13</v>
      </c>
      <c r="C20" s="9">
        <v>0</v>
      </c>
      <c r="D20" s="10"/>
      <c r="F20" s="44"/>
      <c r="G20" s="45"/>
    </row>
    <row r="21" spans="1:7" ht="15" customHeight="1" x14ac:dyDescent="0.2">
      <c r="B21" s="27" t="s">
        <v>14</v>
      </c>
      <c r="C21" s="9">
        <v>0</v>
      </c>
      <c r="D21" s="10"/>
      <c r="F21" s="44"/>
      <c r="G21" s="45"/>
    </row>
    <row r="22" spans="1:7" ht="15" customHeight="1" x14ac:dyDescent="0.2">
      <c r="B22" s="27" t="s">
        <v>4</v>
      </c>
      <c r="C22" s="11">
        <v>8407</v>
      </c>
      <c r="D22" s="10">
        <v>1528771</v>
      </c>
      <c r="F22" s="46"/>
      <c r="G22" s="45"/>
    </row>
    <row r="23" spans="1:7" ht="15" customHeight="1" x14ac:dyDescent="0.2">
      <c r="B23" s="12"/>
      <c r="C23" s="11"/>
      <c r="D23" s="10"/>
      <c r="F23" s="46"/>
      <c r="G23" s="45"/>
    </row>
    <row r="24" spans="1:7" ht="15" customHeight="1" x14ac:dyDescent="0.2">
      <c r="B24" s="12"/>
      <c r="C24" s="11"/>
      <c r="D24" s="10"/>
      <c r="F24" s="46"/>
      <c r="G24" s="45"/>
    </row>
    <row r="25" spans="1:7" ht="30.75" customHeight="1" x14ac:dyDescent="0.2">
      <c r="A25" s="64" t="s">
        <v>16</v>
      </c>
      <c r="B25" s="65"/>
      <c r="D25" s="28"/>
      <c r="F25" s="47"/>
      <c r="G25" s="48"/>
    </row>
    <row r="26" spans="1:7" ht="15" customHeight="1" x14ac:dyDescent="0.2">
      <c r="B26" s="13"/>
      <c r="C26" s="29"/>
      <c r="D26" s="10"/>
      <c r="F26" s="49"/>
      <c r="G26" s="45"/>
    </row>
    <row r="27" spans="1:7" ht="15" customHeight="1" x14ac:dyDescent="0.2">
      <c r="B27" s="13"/>
      <c r="C27" s="30"/>
      <c r="D27" s="10"/>
      <c r="F27" s="50"/>
      <c r="G27" s="45"/>
    </row>
    <row r="28" spans="1:7" ht="15" customHeight="1" x14ac:dyDescent="0.2">
      <c r="B28" s="31" t="s">
        <v>5</v>
      </c>
      <c r="C28" s="32">
        <f>SUM(C16:C24)</f>
        <v>32593</v>
      </c>
      <c r="D28" s="33">
        <f>SUM(D16:D27)</f>
        <v>10871059</v>
      </c>
      <c r="F28" s="51">
        <f>SUM(F16:F24)</f>
        <v>0</v>
      </c>
      <c r="G28" s="52">
        <f>SUM(G16:G27)</f>
        <v>0</v>
      </c>
    </row>
    <row r="29" spans="1:7" ht="15" customHeight="1" x14ac:dyDescent="0.2">
      <c r="A29" s="34"/>
      <c r="B29" s="35"/>
      <c r="C29" s="36"/>
      <c r="D29" s="35"/>
      <c r="E29" s="36"/>
    </row>
    <row r="30" spans="1:7" s="16" customFormat="1" ht="15" customHeight="1" x14ac:dyDescent="0.2">
      <c r="A30" s="18" t="s">
        <v>3</v>
      </c>
      <c r="B30" s="62" t="str">
        <f>CON_Utility_Name</f>
        <v>Avista Corp</v>
      </c>
      <c r="C30" s="62"/>
      <c r="D30" s="62"/>
      <c r="E30" s="62"/>
      <c r="F30" s="14"/>
      <c r="G30" s="14"/>
    </row>
    <row r="31" spans="1:7" s="16" customFormat="1" x14ac:dyDescent="0.2">
      <c r="A31" s="37" t="s">
        <v>12</v>
      </c>
      <c r="B31" s="58">
        <v>2020</v>
      </c>
      <c r="C31" s="58"/>
      <c r="D31" s="58"/>
      <c r="E31" s="58"/>
    </row>
    <row r="32" spans="1:7" s="16" customFormat="1" x14ac:dyDescent="0.2">
      <c r="A32" s="37"/>
      <c r="B32" s="38"/>
      <c r="C32" s="38"/>
      <c r="D32" s="38"/>
      <c r="E32" s="38"/>
    </row>
    <row r="33" spans="1:9" ht="28.7" customHeight="1" x14ac:dyDescent="0.2">
      <c r="A33" s="57" t="s">
        <v>25</v>
      </c>
      <c r="B33" s="57"/>
      <c r="C33" s="57"/>
      <c r="D33" s="57"/>
      <c r="E33" s="57"/>
      <c r="F33" s="57"/>
      <c r="G33" s="57"/>
      <c r="H33" s="57"/>
      <c r="I33" s="57"/>
    </row>
    <row r="34" spans="1:9" s="8" customFormat="1" ht="270.75" customHeight="1" x14ac:dyDescent="0.2">
      <c r="A34" s="59"/>
      <c r="B34" s="59"/>
      <c r="C34" s="59"/>
      <c r="D34" s="59"/>
      <c r="E34" s="59"/>
      <c r="F34" s="59"/>
      <c r="G34" s="59"/>
      <c r="H34" s="59"/>
      <c r="I34" s="59"/>
    </row>
    <row r="35" spans="1:9" s="8" customFormat="1" x14ac:dyDescent="0.2"/>
    <row r="36" spans="1:9" s="8" customFormat="1" x14ac:dyDescent="0.2"/>
    <row r="37" spans="1:9" s="8" customFormat="1" x14ac:dyDescent="0.2"/>
    <row r="38" spans="1:9" s="8" customFormat="1" x14ac:dyDescent="0.2"/>
    <row r="39" spans="1:9" s="8" customFormat="1" x14ac:dyDescent="0.2"/>
    <row r="40" spans="1:9" s="8" customFormat="1" x14ac:dyDescent="0.2"/>
    <row r="41" spans="1:9" s="8" customFormat="1" x14ac:dyDescent="0.2"/>
    <row r="42" spans="1:9" s="8" customFormat="1" x14ac:dyDescent="0.2"/>
    <row r="43" spans="1:9" s="8" customFormat="1" x14ac:dyDescent="0.2"/>
    <row r="44" spans="1:9" s="8" customFormat="1" x14ac:dyDescent="0.2"/>
    <row r="45" spans="1:9" s="8" customFormat="1" x14ac:dyDescent="0.2"/>
    <row r="46" spans="1:9" s="8" customFormat="1" x14ac:dyDescent="0.2"/>
    <row r="47" spans="1:9" s="8" customFormat="1" x14ac:dyDescent="0.2"/>
    <row r="48" spans="1:9" s="8" customFormat="1" x14ac:dyDescent="0.2"/>
    <row r="49" s="8" customFormat="1" x14ac:dyDescent="0.2"/>
    <row r="50" s="8" customFormat="1" x14ac:dyDescent="0.2"/>
    <row r="51" s="8" customFormat="1" x14ac:dyDescent="0.2"/>
    <row r="52" s="8" customFormat="1" x14ac:dyDescent="0.2"/>
    <row r="53" s="8" customFormat="1" x14ac:dyDescent="0.2"/>
  </sheetData>
  <mergeCells count="17">
    <mergeCell ref="B9:D9"/>
    <mergeCell ref="A33:I33"/>
    <mergeCell ref="B31:E31"/>
    <mergeCell ref="A34:I34"/>
    <mergeCell ref="A1:I1"/>
    <mergeCell ref="A2:I2"/>
    <mergeCell ref="B30:E30"/>
    <mergeCell ref="F13:G13"/>
    <mergeCell ref="A13:E13"/>
    <mergeCell ref="A25:B25"/>
    <mergeCell ref="C14:D14"/>
    <mergeCell ref="F14:G14"/>
    <mergeCell ref="B5:D5"/>
    <mergeCell ref="F5:I5"/>
    <mergeCell ref="B6:D6"/>
    <mergeCell ref="B7:D7"/>
    <mergeCell ref="B8:D8"/>
  </mergeCells>
  <dataValidations count="1">
    <dataValidation allowBlank="1" showInputMessage="1" showErrorMessage="1" promptTitle="Next Year" prompt="Achievement in 2021 will be included in the report submitted in 2021" sqref="F16:G28" xr:uid="{00000000-0002-0000-0100-000000000000}"/>
  </dataValidations>
  <pageMargins left="0.7" right="0.7" top="0.75" bottom="0.75" header="0.3" footer="0.3"/>
  <pageSetup scale="97" fitToHeight="0" orientation="landscape"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2"/>
  <sheetViews>
    <sheetView topLeftCell="A16" workbookViewId="0">
      <selection activeCell="A3" sqref="A3"/>
    </sheetView>
  </sheetViews>
  <sheetFormatPr defaultRowHeight="15" x14ac:dyDescent="0.25"/>
  <cols>
    <col min="1" max="1" width="36.140625" bestFit="1" customWidth="1"/>
    <col min="3" max="3" width="10.5703125" customWidth="1"/>
    <col min="12" max="12" width="10.5703125" customWidth="1"/>
  </cols>
  <sheetData>
    <row r="1" spans="1:82" ht="162.75" x14ac:dyDescent="0.25">
      <c r="A1" s="39" t="s">
        <v>23</v>
      </c>
      <c r="B1" s="39" t="s">
        <v>36</v>
      </c>
      <c r="C1" s="39" t="s">
        <v>37</v>
      </c>
      <c r="D1" s="39" t="s">
        <v>38</v>
      </c>
      <c r="E1" s="39" t="s">
        <v>39</v>
      </c>
      <c r="F1" s="39" t="s">
        <v>40</v>
      </c>
      <c r="G1" s="39" t="s">
        <v>41</v>
      </c>
      <c r="H1" s="39" t="s">
        <v>42</v>
      </c>
      <c r="I1" s="39" t="s">
        <v>43</v>
      </c>
      <c r="J1" s="39" t="s">
        <v>44</v>
      </c>
      <c r="K1" s="39" t="s">
        <v>45</v>
      </c>
      <c r="L1" s="39" t="s">
        <v>46</v>
      </c>
      <c r="M1" s="39" t="s">
        <v>47</v>
      </c>
      <c r="N1" s="39" t="s">
        <v>48</v>
      </c>
      <c r="O1" s="39" t="s">
        <v>49</v>
      </c>
      <c r="P1" s="39" t="s">
        <v>50</v>
      </c>
      <c r="Q1" s="39" t="s">
        <v>51</v>
      </c>
      <c r="R1" s="39" t="s">
        <v>52</v>
      </c>
      <c r="S1" s="39" t="s">
        <v>53</v>
      </c>
      <c r="T1" s="39" t="s">
        <v>54</v>
      </c>
      <c r="U1" s="39" t="s">
        <v>55</v>
      </c>
      <c r="V1" s="39" t="s">
        <v>56</v>
      </c>
      <c r="W1" s="39" t="s">
        <v>57</v>
      </c>
      <c r="X1" s="39" t="s">
        <v>58</v>
      </c>
      <c r="Y1" s="39" t="s">
        <v>59</v>
      </c>
      <c r="Z1" s="39" t="s">
        <v>60</v>
      </c>
      <c r="AA1" s="39" t="s">
        <v>61</v>
      </c>
      <c r="AB1" s="39" t="s">
        <v>62</v>
      </c>
      <c r="AC1" s="39" t="s">
        <v>63</v>
      </c>
      <c r="AD1" s="39" t="s">
        <v>64</v>
      </c>
      <c r="AE1" s="39" t="s">
        <v>65</v>
      </c>
      <c r="AF1" s="39" t="s">
        <v>66</v>
      </c>
      <c r="AG1" s="39" t="s">
        <v>67</v>
      </c>
      <c r="AH1" s="39" t="s">
        <v>68</v>
      </c>
      <c r="AI1" s="39" t="s">
        <v>69</v>
      </c>
      <c r="AJ1" s="39" t="s">
        <v>70</v>
      </c>
      <c r="AK1" s="39" t="s">
        <v>71</v>
      </c>
      <c r="AL1" s="39" t="s">
        <v>72</v>
      </c>
      <c r="AM1" s="39" t="s">
        <v>73</v>
      </c>
      <c r="AN1" s="39" t="s">
        <v>74</v>
      </c>
      <c r="AO1" s="39" t="s">
        <v>75</v>
      </c>
      <c r="AP1" s="39" t="s">
        <v>76</v>
      </c>
      <c r="AQ1" s="39" t="s">
        <v>77</v>
      </c>
      <c r="AR1" s="39" t="s">
        <v>78</v>
      </c>
      <c r="AS1" s="39" t="s">
        <v>79</v>
      </c>
      <c r="AT1" s="39" t="s">
        <v>19</v>
      </c>
      <c r="AU1" s="39" t="s">
        <v>20</v>
      </c>
      <c r="AV1" s="39" t="s">
        <v>21</v>
      </c>
      <c r="AW1" s="39" t="s">
        <v>80</v>
      </c>
      <c r="AX1" s="39" t="s">
        <v>22</v>
      </c>
      <c r="AY1" s="39" t="s">
        <v>81</v>
      </c>
      <c r="AZ1" s="39" t="s">
        <v>23</v>
      </c>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row>
    <row r="2" spans="1:82" x14ac:dyDescent="0.25">
      <c r="A2" t="str">
        <f>CON_Utility_Name</f>
        <v>Avista Corp</v>
      </c>
      <c r="B2">
        <f>+CON_2020_Agriculture_Expend</f>
        <v>0</v>
      </c>
      <c r="C2">
        <f>+CON_2020_Agriculture_MWH</f>
        <v>0</v>
      </c>
      <c r="D2">
        <f>+CON_2020_Commercial_Expend</f>
        <v>5040889</v>
      </c>
      <c r="E2">
        <f>+CON_2020_Commercial_MWH</f>
        <v>20584</v>
      </c>
      <c r="F2">
        <f>+CON_2020_Distribution_Expend</f>
        <v>0</v>
      </c>
      <c r="G2">
        <f>+CON_2020_Distribution_MWH</f>
        <v>0</v>
      </c>
      <c r="H2">
        <f>+CON_2020_Expenditures</f>
        <v>10871059</v>
      </c>
      <c r="I2">
        <f>+CON_2020_Industrial_Expend</f>
        <v>0</v>
      </c>
      <c r="J2">
        <f>+CON_2020_Industrial_MWH</f>
        <v>0</v>
      </c>
      <c r="K2">
        <f>+CON_2020_MWH</f>
        <v>32593</v>
      </c>
      <c r="L2">
        <f>+CON_2020_NEEA_Expend</f>
        <v>1528771</v>
      </c>
      <c r="M2">
        <f>+CON_2020_NEEA_MWH</f>
        <v>8407</v>
      </c>
      <c r="N2">
        <f>+CON_2020_OtherSector1_Expend</f>
        <v>0</v>
      </c>
      <c r="O2">
        <f>+CON_2020_OtherSector1_MWH</f>
        <v>0</v>
      </c>
      <c r="P2">
        <f>+CON_2020_OtherSector2_Expend</f>
        <v>0</v>
      </c>
      <c r="Q2">
        <f>+CON_2020_OtherSector2_MWH</f>
        <v>0</v>
      </c>
      <c r="R2">
        <f>+CON_2020_Production_Expend</f>
        <v>0</v>
      </c>
      <c r="S2">
        <f>+CON_2020_Production_MWH</f>
        <v>0</v>
      </c>
      <c r="T2">
        <f>+CON_2020_Program1_Expend</f>
        <v>0</v>
      </c>
      <c r="U2">
        <f>+CON_2020_Program2_Expend</f>
        <v>0</v>
      </c>
      <c r="V2">
        <f>+CON_2020_Residential_Expend</f>
        <v>4301399</v>
      </c>
      <c r="W2">
        <f>+CON_2020_Residential_MWH</f>
        <v>3602</v>
      </c>
      <c r="X2">
        <f>+CON_2021_Agriculture_Expend</f>
        <v>0</v>
      </c>
      <c r="Y2">
        <f>+CON_2021_Agriculture_MWH</f>
        <v>0</v>
      </c>
      <c r="Z2">
        <f>+CON_2021_Commercial_Expend</f>
        <v>0</v>
      </c>
      <c r="AA2">
        <f>+CON_2021_Commercial_MWH</f>
        <v>0</v>
      </c>
      <c r="AB2">
        <f>+CON_2021_Distribution_Expend</f>
        <v>0</v>
      </c>
      <c r="AC2">
        <f>+CON_2021_Distribution_MWH</f>
        <v>0</v>
      </c>
      <c r="AD2">
        <f>+CON_2021_Expenditures</f>
        <v>0</v>
      </c>
      <c r="AE2">
        <f>+CON_2021_Industrial_Expend</f>
        <v>0</v>
      </c>
      <c r="AF2">
        <f>+CON_2021_Industrial_MWH</f>
        <v>0</v>
      </c>
      <c r="AG2">
        <f>+CON_2021_MWH</f>
        <v>0</v>
      </c>
      <c r="AH2">
        <f>+CON_2021_NEEA_Expend</f>
        <v>0</v>
      </c>
      <c r="AI2">
        <f>+CON_2021_NEEA_MWH</f>
        <v>0</v>
      </c>
      <c r="AJ2">
        <f>+CON_2021_OtherSector1_Expend</f>
        <v>0</v>
      </c>
      <c r="AK2">
        <f>+CON_2021_OtherSector1_MWH</f>
        <v>0</v>
      </c>
      <c r="AL2">
        <f>+CON_2021_OtherSector2_Expend</f>
        <v>0</v>
      </c>
      <c r="AM2">
        <f>+CON_2021_OtherSector2_MWH</f>
        <v>0</v>
      </c>
      <c r="AN2">
        <f>+CON_2021_Production_Expend</f>
        <v>0</v>
      </c>
      <c r="AO2">
        <f>+CON_2021_Production_MWH</f>
        <v>0</v>
      </c>
      <c r="AP2">
        <f>+CON_2021_Program1_Expend</f>
        <v>0</v>
      </c>
      <c r="AQ2">
        <f>+CON_2021_Program2_Expend</f>
        <v>0</v>
      </c>
      <c r="AR2">
        <f>+CON_2021_Residential_Expend</f>
        <v>0</v>
      </c>
      <c r="AS2">
        <f>+CON_2021_Residential_MWH</f>
        <v>0</v>
      </c>
      <c r="AT2" t="str">
        <f>+CON_Contact_Name</f>
        <v>Ryan Finesilver/Energy Efficiency</v>
      </c>
      <c r="AU2" t="str">
        <f>+CON_Email</f>
        <v>ryan.finesilver@avistacorp.com</v>
      </c>
      <c r="AV2" t="str">
        <f>+CON_Phone</f>
        <v>509 495-4873</v>
      </c>
      <c r="AW2">
        <f>CON_Potential_2020_2029</f>
        <v>354887</v>
      </c>
      <c r="AX2">
        <f>+CON_Report_Date</f>
        <v>44348</v>
      </c>
      <c r="AY2">
        <f>+CON_Target_2020_2021</f>
        <v>59948</v>
      </c>
      <c r="AZ2" t="str">
        <f>+CON_Utility_Name</f>
        <v>Avista Corp</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Closed</CaseStatus>
    <OpenedDate xmlns="dc463f71-b30c-4ab2-9473-d307f9d35888">2019-11-06T08:00:00+00:00</OpenedDate>
    <SignificantOrder xmlns="dc463f71-b30c-4ab2-9473-d307f9d35888">false</SignificantOrder>
    <Date1 xmlns="dc463f71-b30c-4ab2-9473-d307f9d35888">2021-06-02T07:00:00+00:00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190920</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3793A8794CBA549A97717825D1CE839" ma:contentTypeVersion="56" ma:contentTypeDescription="" ma:contentTypeScope="" ma:versionID="44b383fe5a13ee8ba631acf0a5baaee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B5134EF7-F04D-4218-953F-7A835D8EE7C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4836072-9B98-4E8F-8C1C-8CE47DF4EFFA}"/>
</file>

<file path=customXml/itemProps4.xml><?xml version="1.0" encoding="utf-8"?>
<ds:datastoreItem xmlns:ds="http://schemas.openxmlformats.org/officeDocument/2006/customXml" ds:itemID="{7B69E4A3-A2FF-44FB-94D4-9DB79F2281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52</vt:i4>
      </vt:variant>
    </vt:vector>
  </HeadingPairs>
  <TitlesOfParts>
    <vt:vector size="55" baseType="lpstr">
      <vt:lpstr>Background</vt:lpstr>
      <vt:lpstr>Conservation Report</vt:lpstr>
      <vt:lpstr>Data</vt:lpstr>
      <vt:lpstr>CON_2020_Agriculture_Expend</vt:lpstr>
      <vt:lpstr>CON_2020_Agriculture_MWH</vt:lpstr>
      <vt:lpstr>CON_2020_Commercial_Expend</vt:lpstr>
      <vt:lpstr>CON_2020_Commercial_MWH</vt:lpstr>
      <vt:lpstr>CON_2020_Distribution_Expend</vt:lpstr>
      <vt:lpstr>CON_2020_Distribution_MWH</vt:lpstr>
      <vt:lpstr>CON_2020_Expenditures</vt:lpstr>
      <vt:lpstr>CON_2020_Industrial_Expend</vt:lpstr>
      <vt:lpstr>CON_2020_Industrial_MWH</vt:lpstr>
      <vt:lpstr>CON_2020_MWH</vt:lpstr>
      <vt:lpstr>CON_2020_NEEA_Expend</vt:lpstr>
      <vt:lpstr>CON_2020_NEEA_MWH</vt:lpstr>
      <vt:lpstr>CON_2020_OtherSector1_Expend</vt:lpstr>
      <vt:lpstr>CON_2020_OtherSector1_MWH</vt:lpstr>
      <vt:lpstr>CON_2020_OtherSector2_Expend</vt:lpstr>
      <vt:lpstr>CON_2020_OtherSector2_MWH</vt:lpstr>
      <vt:lpstr>CON_2020_Production_Expend</vt:lpstr>
      <vt:lpstr>CON_2020_Production_MWH</vt:lpstr>
      <vt:lpstr>CON_2020_Program1_Expend</vt:lpstr>
      <vt:lpstr>CON_2020_Program2_Expend</vt:lpstr>
      <vt:lpstr>CON_2020_Residential_Expend</vt:lpstr>
      <vt:lpstr>CON_2020_Residential_MWH</vt:lpstr>
      <vt:lpstr>CON_2021_Agriculture_Expend</vt:lpstr>
      <vt:lpstr>CON_2021_Agriculture_MWH</vt:lpstr>
      <vt:lpstr>CON_2021_Commercial_Expend</vt:lpstr>
      <vt:lpstr>CON_2021_Commercial_MWH</vt:lpstr>
      <vt:lpstr>CON_2021_Distribution_Expend</vt:lpstr>
      <vt:lpstr>CON_2021_Distribution_MWH</vt:lpstr>
      <vt:lpstr>CON_2021_Expenditures</vt:lpstr>
      <vt:lpstr>CON_2021_Industrial_Expend</vt:lpstr>
      <vt:lpstr>CON_2021_Industrial_MWH</vt:lpstr>
      <vt:lpstr>CON_2021_MWH</vt:lpstr>
      <vt:lpstr>CON_2021_NEEA_Expend</vt:lpstr>
      <vt:lpstr>CON_2021_NEEA_MWH</vt:lpstr>
      <vt:lpstr>CON_2021_OtherSector1_Expend</vt:lpstr>
      <vt:lpstr>CON_2021_OtherSector1_MWH</vt:lpstr>
      <vt:lpstr>CON_2021_OtherSector2_Expend</vt:lpstr>
      <vt:lpstr>CON_2021_OtherSector2_MWH</vt:lpstr>
      <vt:lpstr>CON_2021_Production_Expend</vt:lpstr>
      <vt:lpstr>CON_2021_Production_MWH</vt:lpstr>
      <vt:lpstr>CON_2021_Program1_Expend</vt:lpstr>
      <vt:lpstr>CON_2021_Program2_Expend</vt:lpstr>
      <vt:lpstr>CON_2021_Residential_Expend</vt:lpstr>
      <vt:lpstr>CON_2021_Residential_MWH</vt:lpstr>
      <vt:lpstr>CON_Contact_Name</vt:lpstr>
      <vt:lpstr>CON_Email</vt:lpstr>
      <vt:lpstr>CON_Phone</vt:lpstr>
      <vt:lpstr>CON_Potential_2020_2029</vt:lpstr>
      <vt:lpstr>CON_Report_Date</vt:lpstr>
      <vt:lpstr>CON_Target_2020_2021</vt:lpstr>
      <vt:lpstr>CON_Utility_Name</vt:lpstr>
      <vt:lpstr>'Conservation Report'!Print_Area</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Gump, Michael</cp:lastModifiedBy>
  <cp:lastPrinted>2019-04-03T22:15:51Z</cp:lastPrinted>
  <dcterms:created xsi:type="dcterms:W3CDTF">2012-03-20T21:01:26Z</dcterms:created>
  <dcterms:modified xsi:type="dcterms:W3CDTF">2021-06-02T16:32:36Z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0x0101006E56B4D1795A2E4DB2F0B01679ED314A00E3793A8794CBA549A97717825D1CE839</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